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6461\Desktop\"/>
    </mc:Choice>
  </mc:AlternateContent>
  <xr:revisionPtr revIDLastSave="0" documentId="13_ncr:1_{74379C62-CAAB-4746-9581-3EE12BFF2877}" xr6:coauthVersionLast="36" xr6:coauthVersionMax="36" xr10:uidLastSave="{00000000-0000-0000-0000-000000000000}"/>
  <bookViews>
    <workbookView xWindow="0" yWindow="0" windowWidth="21600" windowHeight="8925" activeTab="1" xr2:uid="{00000000-000D-0000-FFFF-FFFF00000000}"/>
  </bookViews>
  <sheets>
    <sheet name="pesticide" sheetId="1" r:id="rId1"/>
    <sheet name="PPCP" sheetId="2" r:id="rId2"/>
    <sheet name="PAHs" sheetId="3" r:id="rId3"/>
    <sheet name="HOPs" sheetId="4" r:id="rId4"/>
    <sheet name="others" sheetId="5" r:id="rId5"/>
    <sheet name="PAEs" sheetId="16" r:id="rId6"/>
    <sheet name="refer" sheetId="8" r:id="rId7"/>
  </sheets>
  <calcPr calcId="179021"/>
</workbook>
</file>

<file path=xl/calcChain.xml><?xml version="1.0" encoding="utf-8"?>
<calcChain xmlns="http://schemas.openxmlformats.org/spreadsheetml/2006/main">
  <c r="D696" i="5" l="1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F32" i="16" l="1"/>
  <c r="F39" i="16" l="1"/>
  <c r="F38" i="16"/>
  <c r="F37" i="16"/>
  <c r="F36" i="16"/>
  <c r="F35" i="16"/>
  <c r="F34" i="16"/>
  <c r="F33" i="16"/>
  <c r="F31" i="16"/>
  <c r="F30" i="16"/>
  <c r="F29" i="16"/>
  <c r="F28" i="16"/>
  <c r="F27" i="16"/>
  <c r="F26" i="16"/>
  <c r="F25" i="16"/>
  <c r="F24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348" i="5" l="1"/>
  <c r="F347" i="5"/>
  <c r="F346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173" i="5"/>
  <c r="F172" i="5"/>
  <c r="F171" i="5"/>
  <c r="F170" i="5"/>
  <c r="F169" i="5"/>
  <c r="F166" i="5"/>
  <c r="F168" i="5"/>
  <c r="F167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11" i="4"/>
  <c r="F10" i="4"/>
  <c r="F9" i="4"/>
  <c r="F8" i="4"/>
  <c r="F7" i="4"/>
  <c r="F6" i="4"/>
  <c r="F5" i="4"/>
  <c r="F4" i="4"/>
  <c r="F3" i="4"/>
  <c r="F2" i="4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6" i="1"/>
  <c r="F629" i="1"/>
  <c r="F628" i="1"/>
  <c r="F627" i="1"/>
  <c r="F625" i="1"/>
  <c r="F624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8" i="2"/>
  <c r="F257" i="2"/>
  <c r="F256" i="2"/>
  <c r="F259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32" i="2"/>
  <c r="F21" i="2"/>
  <c r="F20" i="2"/>
  <c r="F19" i="2"/>
  <c r="F18" i="2"/>
  <c r="F17" i="2"/>
  <c r="F15" i="2"/>
  <c r="F16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1" i="1"/>
  <c r="F302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69" i="1"/>
  <c r="F70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<sst xmlns="http://schemas.openxmlformats.org/spreadsheetml/2006/main" count="8894" uniqueCount="220">
  <si>
    <t>pollutant</t>
  </si>
  <si>
    <t>time</t>
  </si>
  <si>
    <t>part</t>
  </si>
  <si>
    <t>conc</t>
  </si>
  <si>
    <t>index</t>
  </si>
  <si>
    <t>value</t>
  </si>
  <si>
    <t>refer</t>
  </si>
  <si>
    <t>atrazine</t>
  </si>
  <si>
    <t>shoot</t>
  </si>
  <si>
    <t>pho</t>
  </si>
  <si>
    <t>anti</t>
  </si>
  <si>
    <t>root</t>
  </si>
  <si>
    <t>mor</t>
  </si>
  <si>
    <t>butachlor</t>
  </si>
  <si>
    <t>Chlorpyrifos</t>
  </si>
  <si>
    <t>Imidacloprid</t>
  </si>
  <si>
    <t>R-Diclofop methyl</t>
  </si>
  <si>
    <t>S-Diclofop methyl</t>
  </si>
  <si>
    <t>Rac-Diclofop methyl</t>
  </si>
  <si>
    <t>pretilachlor</t>
  </si>
  <si>
    <t>Fenclorim</t>
  </si>
  <si>
    <t>imidacloprid</t>
  </si>
  <si>
    <t>paclobutrazol</t>
  </si>
  <si>
    <t>fenclorim</t>
  </si>
  <si>
    <t>quinclorac</t>
  </si>
  <si>
    <t>ciprofloxacin</t>
  </si>
  <si>
    <t>tetracycline</t>
  </si>
  <si>
    <t>Enrofloxacin</t>
  </si>
  <si>
    <t>Levofloxacin</t>
  </si>
  <si>
    <t>Ciprofloxacin</t>
  </si>
  <si>
    <t>Ampicillin</t>
  </si>
  <si>
    <t>Amoxicillin</t>
  </si>
  <si>
    <t>Ofloxacin</t>
  </si>
  <si>
    <t>trimethoprim</t>
  </si>
  <si>
    <t>hygromycin-B</t>
  </si>
  <si>
    <t>Levofloxacin hydrochloride</t>
  </si>
  <si>
    <t>levofloxacin</t>
  </si>
  <si>
    <t>norfloxacin</t>
  </si>
  <si>
    <t>Sulfamethazine</t>
  </si>
  <si>
    <t>oxytetracycline</t>
  </si>
  <si>
    <t>Validamycin</t>
  </si>
  <si>
    <t>Triazophos</t>
  </si>
  <si>
    <t>R-imazamox</t>
  </si>
  <si>
    <t>Rac-imazamox</t>
  </si>
  <si>
    <t>S-imazamox</t>
  </si>
  <si>
    <t>Quizalofop-p-ethyl</t>
  </si>
  <si>
    <t>Rac-Metolachlor</t>
  </si>
  <si>
    <t>S-Metolachlor</t>
  </si>
  <si>
    <t>naphthalene</t>
  </si>
  <si>
    <t>Pyrene</t>
  </si>
  <si>
    <t>phenanthrene</t>
  </si>
  <si>
    <t>1,2,3-Trichlorobenzene</t>
  </si>
  <si>
    <t>2,2',5-trichlorobiphenyl</t>
  </si>
  <si>
    <t>di(2-ethylhexyl) phthalate</t>
  </si>
  <si>
    <t>bis(2-ethylhexyl) phthalate</t>
  </si>
  <si>
    <t>aniline</t>
  </si>
  <si>
    <t>benzotriazole</t>
  </si>
  <si>
    <t>methyl tert-butyl ether</t>
  </si>
  <si>
    <t>1-decyl-3-methylimidazolium chloride</t>
  </si>
  <si>
    <t>1-dodecyl-3-methylimidazolium chloride</t>
  </si>
  <si>
    <t>diethyl phthalate</t>
  </si>
  <si>
    <t>1-octyl-3-methylimidazolium chloride</t>
  </si>
  <si>
    <t>biphenol A</t>
  </si>
  <si>
    <t>Microcystin-LR</t>
  </si>
  <si>
    <t>Nitrobenzene</t>
  </si>
  <si>
    <t>Atrazine</t>
  </si>
  <si>
    <t>Metolachlor</t>
  </si>
  <si>
    <t>diclofop-methy</t>
  </si>
  <si>
    <t>Fluroxypyr</t>
  </si>
  <si>
    <t>Anthracene</t>
  </si>
  <si>
    <t>fluoranthene</t>
  </si>
  <si>
    <t>fluorene</t>
  </si>
  <si>
    <t>PHEN</t>
  </si>
  <si>
    <t>PY</t>
  </si>
  <si>
    <t>BaP</t>
  </si>
  <si>
    <t>PCB18</t>
  </si>
  <si>
    <t>CB61</t>
  </si>
  <si>
    <t>OH-CB61</t>
  </si>
  <si>
    <t>MeO-CB61</t>
  </si>
  <si>
    <t>Ketoprofen</t>
  </si>
  <si>
    <t>Methylene-blue</t>
  </si>
  <si>
    <t>dimethyl-sulfoxide</t>
  </si>
  <si>
    <t>NN-dimethyl-formamide</t>
  </si>
  <si>
    <t>bisphenol_A</t>
  </si>
  <si>
    <t>BDE47</t>
  </si>
  <si>
    <t>BDE209</t>
  </si>
  <si>
    <t>C1=CC(=C(C(=C1)Cl)Cl)Cl</t>
  </si>
  <si>
    <t>Name</t>
  </si>
  <si>
    <t>CID</t>
  </si>
  <si>
    <t>SMILES</t>
  </si>
  <si>
    <t>MW</t>
  </si>
  <si>
    <t>LogKow</t>
  </si>
  <si>
    <t>Solubility(mg/L)</t>
  </si>
  <si>
    <t>Molecular Formula</t>
  </si>
  <si>
    <t xml:space="preserve">1-decyl-3-methylimidazolium </t>
  </si>
  <si>
    <t>1-dodecyl-3-methylimidazolium</t>
  </si>
  <si>
    <t xml:space="preserve">1-octyl-3-methylimidazolium </t>
  </si>
  <si>
    <t>C16H31N2+</t>
  </si>
  <si>
    <t>CCCCCCCCCCCCN1C=C[N+](=C1)C</t>
  </si>
  <si>
    <t>C14H27N2+</t>
  </si>
  <si>
    <t>CCCCCCCCCCN1C=C[N+](=C1)C</t>
  </si>
  <si>
    <t>C6H3Cl3</t>
  </si>
  <si>
    <t>C12H23N2+</t>
  </si>
  <si>
    <t>CCCCCCCCN1C=C[N+](=C1)C</t>
  </si>
  <si>
    <t>C1C2=CC=CC=C2C3=CC=CC=C31</t>
  </si>
  <si>
    <t>C1=CC=C2C(=C1)C=CC3=CC=CC=C32</t>
  </si>
  <si>
    <t>C1=CC=C2C=C3C=CC=CC3=CC2=C1</t>
  </si>
  <si>
    <t>C1=CC=C2C(=C1)C3=CC=CC4=C3C2=CC=C4</t>
  </si>
  <si>
    <t>C1=CC=C2C3=C4C(=CC2=C1)C=CC5=C4C(=CC=C5)C=C3</t>
  </si>
  <si>
    <t>CCCCC(CC)COC(=O)C1=CC=CC=C1C(=O)OCC(CC)CCCC</t>
  </si>
  <si>
    <t>C1=CC2=C3C(=C1)C=CC4=CC=CC(=C43)C=C2</t>
  </si>
  <si>
    <t>C1(=C(C(=C(C(=C1Br)Br)Br)Br)Br)OC2=C(C(=C(C(=C2Br)Br)Br)Br)Br</t>
  </si>
  <si>
    <t>C1=CC(=C(C=C1Br)Br)OC2=C(C=C(C=C2)Br)Br</t>
  </si>
  <si>
    <t>C1=CC=C2C=CC=CC2=C1</t>
  </si>
  <si>
    <t>CCNC1=NC(=NC(=N1)Cl)NC(C)C</t>
  </si>
  <si>
    <t>COC1=CC(=CC(=C1OC)OC)CC2=CN=C(N=C2N)N</t>
  </si>
  <si>
    <t>C1CN(C(=N[N+](=O)[O-])N1)CC2=CN=C(C=C2)Cl</t>
  </si>
  <si>
    <t>C1=CC=C(C(=C1)C2=C(C=CC(=C2)Cl)Cl)Cl</t>
  </si>
  <si>
    <t>C12H7Cl3</t>
  </si>
  <si>
    <t>CC1(C(N2C(S1)C(C2=O)NC(=O)C(C3=CC=C(C=C3)O)N)C(=O)O)C</t>
  </si>
  <si>
    <t>C16H19N3O5S</t>
  </si>
  <si>
    <t>CC1(C(N2C(S1)C(C2=O)NC(=O)C(C3=CC=CC=C3)N)C(=O)O)C</t>
  </si>
  <si>
    <t>C16H19N3O4S</t>
  </si>
  <si>
    <t>C1=CC=C(C=C1)N</t>
  </si>
  <si>
    <t>C6H7N</t>
  </si>
  <si>
    <t>C14H10</t>
  </si>
  <si>
    <t>C8H14ClN5</t>
  </si>
  <si>
    <t>C20H12</t>
  </si>
  <si>
    <t>C12Br10O</t>
  </si>
  <si>
    <t>C12H6Br4O</t>
  </si>
  <si>
    <t>C1=CC2=NNN=C2C=C1</t>
  </si>
  <si>
    <t>C6H5N3</t>
  </si>
  <si>
    <t>CC(C)(C1=CC=C(C=C1)O)C2=CC=C(C=C2)O</t>
  </si>
  <si>
    <t>C15H16O2</t>
  </si>
  <si>
    <t>C24H38O4</t>
  </si>
  <si>
    <t>CCCCOCN(C1=C(C=CC=C1CC)CC)C(=O)CCl</t>
  </si>
  <si>
    <t>C17H26ClNO2</t>
  </si>
  <si>
    <t>C1=CC=C(C=C1)C2=CC(=C(C(=C2Cl)Cl)Cl)Cl</t>
  </si>
  <si>
    <t>C12H6Cl4</t>
  </si>
  <si>
    <t>CCOP(=S)(OCC)OC1=NC(=C(C=C1Cl)Cl)Cl</t>
  </si>
  <si>
    <t>C9H11Cl3NO3PS</t>
  </si>
  <si>
    <t>C1CC1N2C=C(C(=O)C3=CC(=C(C=C32)N4CCNCC4)F)C(=O)O</t>
  </si>
  <si>
    <t>C17H18FN3O3</t>
  </si>
  <si>
    <t>CC(C(=O)OC)OC1=CC=C(C=C1)OC2=C(C=C(C=C2)Cl)Cl</t>
  </si>
  <si>
    <t>C16H14Cl2O4</t>
  </si>
  <si>
    <t>CCOC(=O)C1=CC=CC=C1C(=O)OCC</t>
  </si>
  <si>
    <t>C12H14O4</t>
  </si>
  <si>
    <t>CS(=O)C</t>
  </si>
  <si>
    <t>C2H6OS</t>
  </si>
  <si>
    <t>C19H22FN3O3</t>
  </si>
  <si>
    <t>CCN1CCN(CC1)C2=C(C=C3C(=C2)N(C=C(C3=O)C(=O)O)C4CC4)F</t>
  </si>
  <si>
    <t>C1=CC=C(C=C1)C2=NC(=CC(=N2)Cl)Cl</t>
  </si>
  <si>
    <t>C10H6Cl2N2</t>
  </si>
  <si>
    <t>C16H10</t>
  </si>
  <si>
    <t>C13H10</t>
  </si>
  <si>
    <t>C(C(=O)O)OC1=NC(=C(C(=C1Cl)N)Cl)F</t>
  </si>
  <si>
    <t>C7H5Cl2FN2O3</t>
  </si>
  <si>
    <t>CNC1CC(C(C(C1O)OC2C3C(C(C(O2)CO)O)OC4(O3)C(C(C(C(O4)C(CO)N)O)O)O)O)N</t>
  </si>
  <si>
    <t>C20H37N3O13</t>
  </si>
  <si>
    <t>C9H10ClN5O2</t>
  </si>
  <si>
    <t>CC(C1=CC(=CC=C1)C(=O)C2=CC=CC=C2)C(=O)O</t>
  </si>
  <si>
    <t>C16H14O3</t>
  </si>
  <si>
    <t>CC1COC2=C3N1C=C(C(=O)C3=CC(=C2N4CCN(CC4)C)F)C(=O)O</t>
  </si>
  <si>
    <t>C18H20FN3O4</t>
  </si>
  <si>
    <t>CC1COC2=C3N1C=C(C(=O)C3=CC(=C2N4CCN(CC4)C)F)C(=O)O.Cl</t>
  </si>
  <si>
    <t>C18H21ClFN3O4</t>
  </si>
  <si>
    <t>COC1=C(C=C(C=C1Cl)C2=C(C=C(C=C2)Cl)Cl)Cl</t>
  </si>
  <si>
    <t>C13H8Cl4O</t>
  </si>
  <si>
    <t>CC(C)(C)OC</t>
  </si>
  <si>
    <t>C5H12O</t>
  </si>
  <si>
    <t>CN(C)C1=CC2=C(C=C1)N=C3C=CC(=[N+](C)C)C=C3S2.[Cl-]</t>
  </si>
  <si>
    <t>C16H18ClN3S</t>
  </si>
  <si>
    <t>CCC1=CC=CC(=C1N(C(C)COC)C(=O)CCl)C</t>
  </si>
  <si>
    <t>C15H22ClNO2</t>
  </si>
  <si>
    <t>CC1C(NC(=O)C(NC(=O)C(C(NC(=O)C(NC(=O)C(NC(=O)C(=C)N(C(=O)CCC(NC1=O)C(=O)O)C)C)CC(C)C)C(=O)O)C)CCCN=C(N)N)C=CC(=CC(C)C(CC2=CC=CC=C2)OC)C</t>
  </si>
  <si>
    <t>C49H74N10O12</t>
  </si>
  <si>
    <t>C10H8</t>
  </si>
  <si>
    <t>C1=CC=C(C=C1)[N+](=O)[O-]</t>
  </si>
  <si>
    <t>C6H5NO2</t>
  </si>
  <si>
    <t>CN(C)C=O</t>
  </si>
  <si>
    <t>C3H7NO</t>
  </si>
  <si>
    <t>CCN1C=C(C(=O)C2=CC(=C(C=C21)N3CCNCC3)F)C(=O)O</t>
  </si>
  <si>
    <t>C16H18FN3O3</t>
  </si>
  <si>
    <t>C1=CC(=CC=C1C2=CC(=C(C(=C2Cl)Cl)Cl)Cl)O</t>
  </si>
  <si>
    <t>C12H6Cl4O</t>
  </si>
  <si>
    <t>CC1(C2C(C3C(C(=O)C(=C(C3(C(=O)C2=C(C4=C1C=CC=C4O)O)O)O)C(=O)N)N(C)C)O)O</t>
  </si>
  <si>
    <t>C22H24N2O9</t>
  </si>
  <si>
    <t>CC(C)(C)C(C(CC1=CC=C(C=C1)Cl)N2C=NC=N2)O</t>
  </si>
  <si>
    <t>C15H20ClN3O</t>
  </si>
  <si>
    <t>CCCOCCN(C1=C(C=CC=C1CC)CC)C(=O)CCl</t>
  </si>
  <si>
    <t>C1=CC(=C(C2=NC=C(C=C21)Cl)C(=O)O)Cl</t>
  </si>
  <si>
    <t>C10H5Cl2NO2</t>
  </si>
  <si>
    <t>CCOC(=O)C(C)OC1=CC=C(C=C1)OC2=CN=C3C=C(C=CC3=N2)Cl</t>
  </si>
  <si>
    <t>C19H17ClN2O4</t>
  </si>
  <si>
    <t>C1C(C(C(C(C1NC2C=C(C(C(C2O)O)O)CO)O)O)OC3C(C(C(C(O3)CO)O)O)O)CO</t>
  </si>
  <si>
    <t>C20H35NO13</t>
  </si>
  <si>
    <t>C14H18N4O3</t>
  </si>
  <si>
    <t>CCOP(=S)(OCC)OC1=NN(C=N1)C2=CC=CC=C2</t>
  </si>
  <si>
    <t>C12H16N3O3PS</t>
  </si>
  <si>
    <t>CC1(C2CC3C(C(=O)C(=C(C3(C(=O)C2=C(C4=C1C=CC=C4O)O)O)O)C(=O)N)N(C)C)O</t>
  </si>
  <si>
    <t>C22H24N2O8</t>
  </si>
  <si>
    <t>CC1=CC(=NC(=N1)NS(=O)(=O)C2=CC=C(C=C2)N)C</t>
  </si>
  <si>
    <t>C12H14N4O2S</t>
  </si>
  <si>
    <t>C15H19N3O4</t>
  </si>
  <si>
    <t>CC(C)[C@]1(C(=O)NC(=N1)C2=C(C=C(C=N2)COC)C(=O)O)C</t>
  </si>
  <si>
    <t>XLogP3</t>
  </si>
  <si>
    <t>HBD</t>
  </si>
  <si>
    <t>HBA</t>
  </si>
  <si>
    <t>RBC</t>
  </si>
  <si>
    <t>C=1(C(=CC(=CC1)Cl)Cl)OC2=CC=C(C=C2)O[C@H](C(OC)=O)C</t>
  </si>
  <si>
    <t>C=1(C(=CC(=CC1)Cl)Cl)OC2=CC=C(C=C2)O[C@@H](C(OC)=O)C</t>
  </si>
  <si>
    <t>C1(=NC=C(C=C1C(=O)O)COC)C2=NC([C@@](N2)(C)C(C)C)=O</t>
  </si>
  <si>
    <t>CCc1cccc(C)c1N([C@@H](C)COC)C(=O)CCl</t>
  </si>
  <si>
    <t>CCc1cccc(C)c1N([C@H](C)COC)C(=O)CCl</t>
  </si>
  <si>
    <t>di-n-butyl phthalate</t>
  </si>
  <si>
    <t>C16H22O4</t>
  </si>
  <si>
    <t>CCCCOC(=O)C1=CC=CC=C1C(=O)OCCCC</t>
  </si>
  <si>
    <t>2,4,6-TriBP</t>
  </si>
  <si>
    <t>C6H3Br3O</t>
  </si>
  <si>
    <t>C1=C(C=C(C(=C1Br)O)Br)Br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</si>
</sst>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10"/>
      <color rgb="FF000000"/>
      <name val="Arial"/>
      <family val="2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6"/>
  <sheetViews>
    <sheetView workbookViewId="0">
      <pane ySplit="1" topLeftCell="A665" activePane="bottomLeft" state="frozen"/>
      <selection pane="bottomLeft" activeCell="G683" sqref="G683"/>
    </sheetView>
  </sheetViews>
  <sheetFormatPr defaultRowHeight="13.5" x14ac:dyDescent="0.3"/>
  <cols>
    <col min="1" max="1" width="18.33203125" customWidth="1"/>
  </cols>
  <sheetData>
    <row r="1" spans="1:7" s="5" customFormat="1" ht="13.9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7</v>
      </c>
      <c r="B2">
        <v>6</v>
      </c>
      <c r="C2" t="s">
        <v>8</v>
      </c>
      <c r="D2">
        <v>50</v>
      </c>
      <c r="E2" t="s">
        <v>9</v>
      </c>
      <c r="F2">
        <v>0.99</v>
      </c>
      <c r="G2">
        <v>16</v>
      </c>
    </row>
    <row r="3" spans="1:7" x14ac:dyDescent="0.3">
      <c r="A3" t="s">
        <v>7</v>
      </c>
      <c r="B3">
        <v>6</v>
      </c>
      <c r="C3" t="s">
        <v>8</v>
      </c>
      <c r="D3">
        <v>100</v>
      </c>
      <c r="E3" t="s">
        <v>9</v>
      </c>
      <c r="F3">
        <f>4.2/5</f>
        <v>0.84000000000000008</v>
      </c>
      <c r="G3">
        <v>16</v>
      </c>
    </row>
    <row r="4" spans="1:7" x14ac:dyDescent="0.3">
      <c r="A4" t="s">
        <v>7</v>
      </c>
      <c r="B4">
        <v>6</v>
      </c>
      <c r="C4" t="s">
        <v>8</v>
      </c>
      <c r="D4">
        <v>200</v>
      </c>
      <c r="E4" t="s">
        <v>9</v>
      </c>
      <c r="F4">
        <f>3.5/5</f>
        <v>0.7</v>
      </c>
      <c r="G4">
        <v>16</v>
      </c>
    </row>
    <row r="5" spans="1:7" x14ac:dyDescent="0.3">
      <c r="A5" t="s">
        <v>7</v>
      </c>
      <c r="B5">
        <v>6</v>
      </c>
      <c r="C5" t="s">
        <v>8</v>
      </c>
      <c r="D5">
        <v>400</v>
      </c>
      <c r="E5" t="s">
        <v>9</v>
      </c>
      <c r="F5">
        <f>2.9/5</f>
        <v>0.57999999999999996</v>
      </c>
      <c r="G5">
        <v>16</v>
      </c>
    </row>
    <row r="6" spans="1:7" x14ac:dyDescent="0.3">
      <c r="A6" t="s">
        <v>7</v>
      </c>
      <c r="B6">
        <v>6</v>
      </c>
      <c r="C6" t="s">
        <v>8</v>
      </c>
      <c r="D6">
        <v>800</v>
      </c>
      <c r="E6" t="s">
        <v>9</v>
      </c>
      <c r="F6">
        <f>2.2/5</f>
        <v>0.44000000000000006</v>
      </c>
      <c r="G6">
        <v>16</v>
      </c>
    </row>
    <row r="7" spans="1:7" x14ac:dyDescent="0.3">
      <c r="A7" t="s">
        <v>7</v>
      </c>
      <c r="B7">
        <v>6</v>
      </c>
      <c r="C7" t="s">
        <v>8</v>
      </c>
      <c r="D7">
        <v>50</v>
      </c>
      <c r="E7" t="s">
        <v>10</v>
      </c>
      <c r="F7">
        <f>9.7/8.7</f>
        <v>1.1149425287356323</v>
      </c>
      <c r="G7">
        <v>16</v>
      </c>
    </row>
    <row r="8" spans="1:7" x14ac:dyDescent="0.3">
      <c r="A8" t="s">
        <v>7</v>
      </c>
      <c r="B8">
        <v>6</v>
      </c>
      <c r="C8" t="s">
        <v>8</v>
      </c>
      <c r="D8">
        <v>100</v>
      </c>
      <c r="E8" t="s">
        <v>10</v>
      </c>
      <c r="F8">
        <f>11.5/8.7</f>
        <v>1.3218390804597702</v>
      </c>
      <c r="G8">
        <v>16</v>
      </c>
    </row>
    <row r="9" spans="1:7" x14ac:dyDescent="0.3">
      <c r="A9" t="s">
        <v>7</v>
      </c>
      <c r="B9">
        <v>6</v>
      </c>
      <c r="C9" t="s">
        <v>8</v>
      </c>
      <c r="D9">
        <v>200</v>
      </c>
      <c r="E9" t="s">
        <v>10</v>
      </c>
      <c r="F9">
        <f>11.7/8.7</f>
        <v>1.3448275862068966</v>
      </c>
      <c r="G9">
        <v>16</v>
      </c>
    </row>
    <row r="10" spans="1:7" x14ac:dyDescent="0.3">
      <c r="A10" t="s">
        <v>7</v>
      </c>
      <c r="B10">
        <v>6</v>
      </c>
      <c r="C10" t="s">
        <v>8</v>
      </c>
      <c r="D10">
        <v>400</v>
      </c>
      <c r="E10" t="s">
        <v>10</v>
      </c>
      <c r="F10">
        <f>12.2/8.7</f>
        <v>1.4022988505747127</v>
      </c>
      <c r="G10">
        <v>16</v>
      </c>
    </row>
    <row r="11" spans="1:7" x14ac:dyDescent="0.3">
      <c r="A11" t="s">
        <v>7</v>
      </c>
      <c r="B11">
        <v>6</v>
      </c>
      <c r="C11" t="s">
        <v>8</v>
      </c>
      <c r="D11">
        <v>800</v>
      </c>
      <c r="E11" t="s">
        <v>10</v>
      </c>
      <c r="F11">
        <f>11.55/8.7</f>
        <v>1.3275862068965518</v>
      </c>
      <c r="G11">
        <v>16</v>
      </c>
    </row>
    <row r="12" spans="1:7" x14ac:dyDescent="0.3">
      <c r="A12" t="s">
        <v>7</v>
      </c>
      <c r="B12">
        <v>6</v>
      </c>
      <c r="C12" t="s">
        <v>11</v>
      </c>
      <c r="D12">
        <v>50</v>
      </c>
      <c r="E12" t="s">
        <v>10</v>
      </c>
      <c r="F12">
        <f>1.9/1.7</f>
        <v>1.1176470588235294</v>
      </c>
      <c r="G12">
        <v>16</v>
      </c>
    </row>
    <row r="13" spans="1:7" x14ac:dyDescent="0.3">
      <c r="A13" t="s">
        <v>7</v>
      </c>
      <c r="B13">
        <v>6</v>
      </c>
      <c r="C13" t="s">
        <v>11</v>
      </c>
      <c r="D13">
        <v>100</v>
      </c>
      <c r="E13" t="s">
        <v>10</v>
      </c>
      <c r="F13">
        <f>2.4/1.7</f>
        <v>1.411764705882353</v>
      </c>
      <c r="G13">
        <v>16</v>
      </c>
    </row>
    <row r="14" spans="1:7" x14ac:dyDescent="0.3">
      <c r="A14" t="s">
        <v>7</v>
      </c>
      <c r="B14">
        <v>6</v>
      </c>
      <c r="C14" t="s">
        <v>11</v>
      </c>
      <c r="D14">
        <v>200</v>
      </c>
      <c r="E14" t="s">
        <v>10</v>
      </c>
      <c r="F14">
        <f>2.8/1.7</f>
        <v>1.6470588235294117</v>
      </c>
      <c r="G14">
        <v>16</v>
      </c>
    </row>
    <row r="15" spans="1:7" x14ac:dyDescent="0.3">
      <c r="A15" t="s">
        <v>7</v>
      </c>
      <c r="B15">
        <v>6</v>
      </c>
      <c r="C15" t="s">
        <v>11</v>
      </c>
      <c r="D15">
        <v>400</v>
      </c>
      <c r="E15" t="s">
        <v>10</v>
      </c>
      <c r="F15">
        <f>3.1/1.7</f>
        <v>1.8235294117647061</v>
      </c>
      <c r="G15">
        <v>16</v>
      </c>
    </row>
    <row r="16" spans="1:7" x14ac:dyDescent="0.3">
      <c r="A16" t="s">
        <v>7</v>
      </c>
      <c r="B16">
        <v>6</v>
      </c>
      <c r="C16" t="s">
        <v>11</v>
      </c>
      <c r="D16">
        <v>800</v>
      </c>
      <c r="E16" t="s">
        <v>10</v>
      </c>
      <c r="F16">
        <f>2.9/1.7</f>
        <v>1.7058823529411764</v>
      </c>
      <c r="G16">
        <v>16</v>
      </c>
    </row>
    <row r="17" spans="1:7" x14ac:dyDescent="0.3">
      <c r="A17" t="s">
        <v>7</v>
      </c>
      <c r="B17">
        <v>6</v>
      </c>
      <c r="C17" t="s">
        <v>11</v>
      </c>
      <c r="D17">
        <v>50</v>
      </c>
      <c r="E17" t="s">
        <v>10</v>
      </c>
      <c r="F17">
        <f>20/17.5</f>
        <v>1.1428571428571428</v>
      </c>
      <c r="G17">
        <v>16</v>
      </c>
    </row>
    <row r="18" spans="1:7" x14ac:dyDescent="0.3">
      <c r="A18" t="s">
        <v>7</v>
      </c>
      <c r="B18">
        <v>6</v>
      </c>
      <c r="C18" t="s">
        <v>11</v>
      </c>
      <c r="D18">
        <v>100</v>
      </c>
      <c r="E18" t="s">
        <v>10</v>
      </c>
      <c r="F18">
        <f>27/17.5</f>
        <v>1.5428571428571429</v>
      </c>
      <c r="G18">
        <v>16</v>
      </c>
    </row>
    <row r="19" spans="1:7" x14ac:dyDescent="0.3">
      <c r="A19" t="s">
        <v>7</v>
      </c>
      <c r="B19">
        <v>6</v>
      </c>
      <c r="C19" t="s">
        <v>11</v>
      </c>
      <c r="D19">
        <v>200</v>
      </c>
      <c r="E19" t="s">
        <v>10</v>
      </c>
      <c r="F19">
        <f>32/17.5</f>
        <v>1.8285714285714285</v>
      </c>
      <c r="G19">
        <v>16</v>
      </c>
    </row>
    <row r="20" spans="1:7" x14ac:dyDescent="0.3">
      <c r="A20" t="s">
        <v>7</v>
      </c>
      <c r="B20">
        <v>6</v>
      </c>
      <c r="C20" t="s">
        <v>11</v>
      </c>
      <c r="D20">
        <v>400</v>
      </c>
      <c r="E20" t="s">
        <v>10</v>
      </c>
      <c r="F20">
        <f>43/17.5</f>
        <v>2.4571428571428573</v>
      </c>
      <c r="G20">
        <v>16</v>
      </c>
    </row>
    <row r="21" spans="1:7" x14ac:dyDescent="0.3">
      <c r="A21" t="s">
        <v>7</v>
      </c>
      <c r="B21">
        <v>6</v>
      </c>
      <c r="C21" t="s">
        <v>11</v>
      </c>
      <c r="D21">
        <v>800</v>
      </c>
      <c r="E21" t="s">
        <v>10</v>
      </c>
      <c r="F21">
        <f>35/17.5</f>
        <v>2</v>
      </c>
      <c r="G21">
        <v>16</v>
      </c>
    </row>
    <row r="22" spans="1:7" x14ac:dyDescent="0.3">
      <c r="A22" t="s">
        <v>7</v>
      </c>
      <c r="B22">
        <v>6</v>
      </c>
      <c r="C22" t="s">
        <v>8</v>
      </c>
      <c r="D22">
        <v>50</v>
      </c>
      <c r="E22" t="s">
        <v>10</v>
      </c>
      <c r="F22">
        <f>5.1/4</f>
        <v>1.2749999999999999</v>
      </c>
      <c r="G22">
        <v>16</v>
      </c>
    </row>
    <row r="23" spans="1:7" x14ac:dyDescent="0.3">
      <c r="A23" t="s">
        <v>7</v>
      </c>
      <c r="B23">
        <v>6</v>
      </c>
      <c r="C23" t="s">
        <v>8</v>
      </c>
      <c r="D23">
        <v>100</v>
      </c>
      <c r="E23" t="s">
        <v>10</v>
      </c>
      <c r="F23">
        <f>6.3/4</f>
        <v>1.575</v>
      </c>
      <c r="G23">
        <v>16</v>
      </c>
    </row>
    <row r="24" spans="1:7" x14ac:dyDescent="0.3">
      <c r="A24" t="s">
        <v>7</v>
      </c>
      <c r="B24">
        <v>6</v>
      </c>
      <c r="C24" t="s">
        <v>8</v>
      </c>
      <c r="D24">
        <v>200</v>
      </c>
      <c r="E24" t="s">
        <v>10</v>
      </c>
      <c r="F24">
        <f>8.4/4</f>
        <v>2.1</v>
      </c>
      <c r="G24">
        <v>16</v>
      </c>
    </row>
    <row r="25" spans="1:7" x14ac:dyDescent="0.3">
      <c r="A25" t="s">
        <v>7</v>
      </c>
      <c r="B25">
        <v>6</v>
      </c>
      <c r="C25" t="s">
        <v>8</v>
      </c>
      <c r="D25">
        <v>400</v>
      </c>
      <c r="E25" t="s">
        <v>10</v>
      </c>
      <c r="F25">
        <f>15.8/4</f>
        <v>3.95</v>
      </c>
      <c r="G25">
        <v>16</v>
      </c>
    </row>
    <row r="26" spans="1:7" x14ac:dyDescent="0.3">
      <c r="A26" t="s">
        <v>7</v>
      </c>
      <c r="B26">
        <v>6</v>
      </c>
      <c r="C26" t="s">
        <v>8</v>
      </c>
      <c r="D26">
        <v>800</v>
      </c>
      <c r="E26" t="s">
        <v>10</v>
      </c>
      <c r="F26">
        <f>24/4</f>
        <v>6</v>
      </c>
      <c r="G26">
        <v>16</v>
      </c>
    </row>
    <row r="27" spans="1:7" x14ac:dyDescent="0.3">
      <c r="A27" t="s">
        <v>7</v>
      </c>
      <c r="B27">
        <v>6</v>
      </c>
      <c r="C27" t="s">
        <v>8</v>
      </c>
      <c r="D27">
        <v>50</v>
      </c>
      <c r="E27" t="s">
        <v>10</v>
      </c>
      <c r="F27">
        <f>0.32/0.185</f>
        <v>1.7297297297297298</v>
      </c>
      <c r="G27">
        <v>16</v>
      </c>
    </row>
    <row r="28" spans="1:7" x14ac:dyDescent="0.3">
      <c r="A28" t="s">
        <v>7</v>
      </c>
      <c r="B28">
        <v>6</v>
      </c>
      <c r="C28" t="s">
        <v>8</v>
      </c>
      <c r="D28">
        <v>100</v>
      </c>
      <c r="E28" t="s">
        <v>10</v>
      </c>
      <c r="F28">
        <f>0.4/0.185</f>
        <v>2.1621621621621623</v>
      </c>
      <c r="G28">
        <v>16</v>
      </c>
    </row>
    <row r="29" spans="1:7" x14ac:dyDescent="0.3">
      <c r="A29" t="s">
        <v>7</v>
      </c>
      <c r="B29">
        <v>6</v>
      </c>
      <c r="C29" t="s">
        <v>8</v>
      </c>
      <c r="D29">
        <v>200</v>
      </c>
      <c r="E29" t="s">
        <v>10</v>
      </c>
      <c r="F29">
        <f>0.45/0.185</f>
        <v>2.4324324324324325</v>
      </c>
      <c r="G29">
        <v>16</v>
      </c>
    </row>
    <row r="30" spans="1:7" x14ac:dyDescent="0.3">
      <c r="A30" t="s">
        <v>7</v>
      </c>
      <c r="B30">
        <v>6</v>
      </c>
      <c r="C30" t="s">
        <v>8</v>
      </c>
      <c r="D30">
        <v>400</v>
      </c>
      <c r="E30" t="s">
        <v>10</v>
      </c>
      <c r="F30">
        <f>0.53/0.185</f>
        <v>2.8648648648648649</v>
      </c>
      <c r="G30">
        <v>16</v>
      </c>
    </row>
    <row r="31" spans="1:7" x14ac:dyDescent="0.3">
      <c r="A31" t="s">
        <v>7</v>
      </c>
      <c r="B31">
        <v>6</v>
      </c>
      <c r="C31" t="s">
        <v>8</v>
      </c>
      <c r="D31">
        <v>800</v>
      </c>
      <c r="E31" t="s">
        <v>10</v>
      </c>
      <c r="F31">
        <f>0.67/0.185</f>
        <v>3.6216216216216219</v>
      </c>
      <c r="G31">
        <v>16</v>
      </c>
    </row>
    <row r="32" spans="1:7" x14ac:dyDescent="0.3">
      <c r="A32" t="s">
        <v>7</v>
      </c>
      <c r="B32">
        <v>6</v>
      </c>
      <c r="C32" t="s">
        <v>11</v>
      </c>
      <c r="D32">
        <v>50</v>
      </c>
      <c r="E32" t="s">
        <v>10</v>
      </c>
      <c r="F32">
        <f>0.39/0.37</f>
        <v>1.0540540540540542</v>
      </c>
      <c r="G32">
        <v>16</v>
      </c>
    </row>
    <row r="33" spans="1:7" x14ac:dyDescent="0.3">
      <c r="A33" t="s">
        <v>7</v>
      </c>
      <c r="B33">
        <v>6</v>
      </c>
      <c r="C33" t="s">
        <v>11</v>
      </c>
      <c r="D33">
        <v>100</v>
      </c>
      <c r="E33" t="s">
        <v>10</v>
      </c>
      <c r="F33">
        <f>0.47/0.37</f>
        <v>1.2702702702702702</v>
      </c>
      <c r="G33">
        <v>16</v>
      </c>
    </row>
    <row r="34" spans="1:7" x14ac:dyDescent="0.3">
      <c r="A34" t="s">
        <v>7</v>
      </c>
      <c r="B34">
        <v>6</v>
      </c>
      <c r="C34" t="s">
        <v>11</v>
      </c>
      <c r="D34">
        <v>200</v>
      </c>
      <c r="E34" t="s">
        <v>10</v>
      </c>
      <c r="F34">
        <f>0.51/0.37</f>
        <v>1.3783783783783785</v>
      </c>
      <c r="G34">
        <v>16</v>
      </c>
    </row>
    <row r="35" spans="1:7" x14ac:dyDescent="0.3">
      <c r="A35" t="s">
        <v>7</v>
      </c>
      <c r="B35">
        <v>6</v>
      </c>
      <c r="C35" t="s">
        <v>11</v>
      </c>
      <c r="D35">
        <v>400</v>
      </c>
      <c r="E35" t="s">
        <v>10</v>
      </c>
      <c r="F35">
        <f>0.519/0.37</f>
        <v>1.4027027027027028</v>
      </c>
      <c r="G35">
        <v>16</v>
      </c>
    </row>
    <row r="36" spans="1:7" x14ac:dyDescent="0.3">
      <c r="A36" t="s">
        <v>7</v>
      </c>
      <c r="B36">
        <v>6</v>
      </c>
      <c r="C36" t="s">
        <v>11</v>
      </c>
      <c r="D36">
        <v>800</v>
      </c>
      <c r="E36" t="s">
        <v>10</v>
      </c>
      <c r="F36">
        <f>0.35/0.37</f>
        <v>0.94594594594594594</v>
      </c>
      <c r="G36">
        <v>16</v>
      </c>
    </row>
    <row r="37" spans="1:7" x14ac:dyDescent="0.3">
      <c r="A37" t="s">
        <v>7</v>
      </c>
      <c r="B37">
        <v>6</v>
      </c>
      <c r="C37" t="s">
        <v>11</v>
      </c>
      <c r="D37">
        <v>50</v>
      </c>
      <c r="E37" t="s">
        <v>10</v>
      </c>
      <c r="F37">
        <f>4.5/3.8</f>
        <v>1.1842105263157896</v>
      </c>
      <c r="G37">
        <v>16</v>
      </c>
    </row>
    <row r="38" spans="1:7" x14ac:dyDescent="0.3">
      <c r="A38" t="s">
        <v>7</v>
      </c>
      <c r="B38">
        <v>6</v>
      </c>
      <c r="C38" t="s">
        <v>11</v>
      </c>
      <c r="D38">
        <v>100</v>
      </c>
      <c r="E38" t="s">
        <v>10</v>
      </c>
      <c r="F38">
        <f>4.7/3.8</f>
        <v>1.236842105263158</v>
      </c>
      <c r="G38">
        <v>16</v>
      </c>
    </row>
    <row r="39" spans="1:7" x14ac:dyDescent="0.3">
      <c r="A39" t="s">
        <v>7</v>
      </c>
      <c r="B39">
        <v>6</v>
      </c>
      <c r="C39" t="s">
        <v>11</v>
      </c>
      <c r="D39">
        <v>200</v>
      </c>
      <c r="E39" t="s">
        <v>10</v>
      </c>
      <c r="F39">
        <f>6.7/3.8</f>
        <v>1.7631578947368423</v>
      </c>
      <c r="G39">
        <v>16</v>
      </c>
    </row>
    <row r="40" spans="1:7" x14ac:dyDescent="0.3">
      <c r="A40" t="s">
        <v>7</v>
      </c>
      <c r="B40">
        <v>6</v>
      </c>
      <c r="C40" t="s">
        <v>11</v>
      </c>
      <c r="D40">
        <v>400</v>
      </c>
      <c r="E40" t="s">
        <v>10</v>
      </c>
      <c r="F40">
        <f>7.7/3.8</f>
        <v>2.0263157894736845</v>
      </c>
      <c r="G40">
        <v>16</v>
      </c>
    </row>
    <row r="41" spans="1:7" x14ac:dyDescent="0.3">
      <c r="A41" t="s">
        <v>7</v>
      </c>
      <c r="B41">
        <v>6</v>
      </c>
      <c r="C41" t="s">
        <v>11</v>
      </c>
      <c r="D41">
        <v>800</v>
      </c>
      <c r="E41" t="s">
        <v>10</v>
      </c>
      <c r="F41">
        <f>9/3.8</f>
        <v>2.3684210526315792</v>
      </c>
      <c r="G41">
        <v>16</v>
      </c>
    </row>
    <row r="42" spans="1:7" x14ac:dyDescent="0.3">
      <c r="A42" t="s">
        <v>7</v>
      </c>
      <c r="B42">
        <v>6</v>
      </c>
      <c r="C42" t="s">
        <v>8</v>
      </c>
      <c r="D42">
        <v>50</v>
      </c>
      <c r="E42" t="s">
        <v>10</v>
      </c>
      <c r="F42">
        <f>0.06/0.04</f>
        <v>1.5</v>
      </c>
      <c r="G42">
        <v>16</v>
      </c>
    </row>
    <row r="43" spans="1:7" x14ac:dyDescent="0.3">
      <c r="A43" t="s">
        <v>7</v>
      </c>
      <c r="B43">
        <v>6</v>
      </c>
      <c r="C43" t="s">
        <v>8</v>
      </c>
      <c r="D43">
        <v>100</v>
      </c>
      <c r="E43" t="s">
        <v>10</v>
      </c>
      <c r="F43">
        <f>0.075/0.04</f>
        <v>1.875</v>
      </c>
      <c r="G43">
        <v>16</v>
      </c>
    </row>
    <row r="44" spans="1:7" x14ac:dyDescent="0.3">
      <c r="A44" t="s">
        <v>7</v>
      </c>
      <c r="B44">
        <v>6</v>
      </c>
      <c r="C44" t="s">
        <v>8</v>
      </c>
      <c r="D44">
        <v>200</v>
      </c>
      <c r="E44" t="s">
        <v>10</v>
      </c>
      <c r="F44">
        <f>0.085/0.04</f>
        <v>2.125</v>
      </c>
      <c r="G44">
        <v>16</v>
      </c>
    </row>
    <row r="45" spans="1:7" x14ac:dyDescent="0.3">
      <c r="A45" t="s">
        <v>7</v>
      </c>
      <c r="B45">
        <v>6</v>
      </c>
      <c r="C45" t="s">
        <v>8</v>
      </c>
      <c r="D45">
        <v>400</v>
      </c>
      <c r="E45" t="s">
        <v>10</v>
      </c>
      <c r="F45">
        <f>0.25/0.04</f>
        <v>6.25</v>
      </c>
      <c r="G45">
        <v>16</v>
      </c>
    </row>
    <row r="46" spans="1:7" x14ac:dyDescent="0.3">
      <c r="A46" t="s">
        <v>7</v>
      </c>
      <c r="B46">
        <v>6</v>
      </c>
      <c r="C46" t="s">
        <v>8</v>
      </c>
      <c r="D46">
        <v>800</v>
      </c>
      <c r="E46" t="s">
        <v>10</v>
      </c>
      <c r="F46">
        <f>0.33/0.04</f>
        <v>8.25</v>
      </c>
      <c r="G46">
        <v>16</v>
      </c>
    </row>
    <row r="47" spans="1:7" x14ac:dyDescent="0.3">
      <c r="A47" t="s">
        <v>7</v>
      </c>
      <c r="B47">
        <v>6</v>
      </c>
      <c r="C47" t="s">
        <v>8</v>
      </c>
      <c r="D47">
        <v>50</v>
      </c>
      <c r="E47" t="s">
        <v>10</v>
      </c>
      <c r="F47">
        <f>0.26/0.26</f>
        <v>1</v>
      </c>
      <c r="G47">
        <v>16</v>
      </c>
    </row>
    <row r="48" spans="1:7" x14ac:dyDescent="0.3">
      <c r="A48" t="s">
        <v>7</v>
      </c>
      <c r="B48">
        <v>6</v>
      </c>
      <c r="C48" t="s">
        <v>8</v>
      </c>
      <c r="D48">
        <v>100</v>
      </c>
      <c r="E48" t="s">
        <v>10</v>
      </c>
      <c r="F48">
        <f>0.29/0.26</f>
        <v>1.1153846153846152</v>
      </c>
      <c r="G48">
        <v>16</v>
      </c>
    </row>
    <row r="49" spans="1:7" x14ac:dyDescent="0.3">
      <c r="A49" t="s">
        <v>7</v>
      </c>
      <c r="B49">
        <v>6</v>
      </c>
      <c r="C49" t="s">
        <v>8</v>
      </c>
      <c r="D49">
        <v>200</v>
      </c>
      <c r="E49" t="s">
        <v>10</v>
      </c>
      <c r="F49">
        <f>0.36/0.26</f>
        <v>1.3846153846153846</v>
      </c>
      <c r="G49">
        <v>16</v>
      </c>
    </row>
    <row r="50" spans="1:7" x14ac:dyDescent="0.3">
      <c r="A50" t="s">
        <v>7</v>
      </c>
      <c r="B50">
        <v>6</v>
      </c>
      <c r="C50" t="s">
        <v>8</v>
      </c>
      <c r="D50">
        <v>400</v>
      </c>
      <c r="E50" t="s">
        <v>10</v>
      </c>
      <c r="F50">
        <f>0.37/0.26</f>
        <v>1.4230769230769229</v>
      </c>
      <c r="G50">
        <v>16</v>
      </c>
    </row>
    <row r="51" spans="1:7" x14ac:dyDescent="0.3">
      <c r="A51" t="s">
        <v>7</v>
      </c>
      <c r="B51">
        <v>6</v>
      </c>
      <c r="C51" t="s">
        <v>8</v>
      </c>
      <c r="D51">
        <v>800</v>
      </c>
      <c r="E51" t="s">
        <v>10</v>
      </c>
      <c r="F51">
        <f>0.349/0.26</f>
        <v>1.3423076923076922</v>
      </c>
      <c r="G51">
        <v>16</v>
      </c>
    </row>
    <row r="52" spans="1:7" x14ac:dyDescent="0.3">
      <c r="A52" t="s">
        <v>7</v>
      </c>
      <c r="B52">
        <v>6</v>
      </c>
      <c r="C52" t="s">
        <v>11</v>
      </c>
      <c r="D52">
        <v>50</v>
      </c>
      <c r="E52" t="s">
        <v>10</v>
      </c>
      <c r="F52">
        <f>0.23/0.21</f>
        <v>1.0952380952380953</v>
      </c>
      <c r="G52">
        <v>16</v>
      </c>
    </row>
    <row r="53" spans="1:7" x14ac:dyDescent="0.3">
      <c r="A53" t="s">
        <v>7</v>
      </c>
      <c r="B53">
        <v>6</v>
      </c>
      <c r="C53" t="s">
        <v>11</v>
      </c>
      <c r="D53">
        <v>100</v>
      </c>
      <c r="E53" t="s">
        <v>10</v>
      </c>
      <c r="F53">
        <f>0.26/0.21</f>
        <v>1.2380952380952381</v>
      </c>
      <c r="G53">
        <v>16</v>
      </c>
    </row>
    <row r="54" spans="1:7" x14ac:dyDescent="0.3">
      <c r="A54" t="s">
        <v>7</v>
      </c>
      <c r="B54">
        <v>6</v>
      </c>
      <c r="C54" t="s">
        <v>11</v>
      </c>
      <c r="D54">
        <v>200</v>
      </c>
      <c r="E54" t="s">
        <v>10</v>
      </c>
      <c r="F54">
        <f>0.345/0.21</f>
        <v>1.6428571428571428</v>
      </c>
      <c r="G54">
        <v>16</v>
      </c>
    </row>
    <row r="55" spans="1:7" x14ac:dyDescent="0.3">
      <c r="A55" t="s">
        <v>7</v>
      </c>
      <c r="B55">
        <v>6</v>
      </c>
      <c r="C55" t="s">
        <v>11</v>
      </c>
      <c r="D55">
        <v>400</v>
      </c>
      <c r="E55" t="s">
        <v>10</v>
      </c>
      <c r="F55">
        <f>0.35/0.21</f>
        <v>1.6666666666666665</v>
      </c>
      <c r="G55">
        <v>16</v>
      </c>
    </row>
    <row r="56" spans="1:7" x14ac:dyDescent="0.3">
      <c r="A56" t="s">
        <v>7</v>
      </c>
      <c r="B56">
        <v>6</v>
      </c>
      <c r="C56" t="s">
        <v>11</v>
      </c>
      <c r="D56">
        <v>800</v>
      </c>
      <c r="E56" t="s">
        <v>10</v>
      </c>
      <c r="F56">
        <f>0.268/0.21</f>
        <v>1.2761904761904763</v>
      </c>
      <c r="G56">
        <v>16</v>
      </c>
    </row>
    <row r="57" spans="1:7" x14ac:dyDescent="0.3">
      <c r="A57" t="s">
        <v>7</v>
      </c>
      <c r="B57">
        <v>6</v>
      </c>
      <c r="C57" t="s">
        <v>11</v>
      </c>
      <c r="D57">
        <v>50</v>
      </c>
      <c r="E57" t="s">
        <v>12</v>
      </c>
      <c r="F57">
        <f>15/16.8</f>
        <v>0.89285714285714279</v>
      </c>
      <c r="G57">
        <v>16</v>
      </c>
    </row>
    <row r="58" spans="1:7" x14ac:dyDescent="0.3">
      <c r="A58" t="s">
        <v>7</v>
      </c>
      <c r="B58">
        <v>6</v>
      </c>
      <c r="C58" t="s">
        <v>11</v>
      </c>
      <c r="D58">
        <v>100</v>
      </c>
      <c r="E58" t="s">
        <v>12</v>
      </c>
      <c r="F58">
        <f>14.5/16.8</f>
        <v>0.86309523809523803</v>
      </c>
      <c r="G58">
        <v>16</v>
      </c>
    </row>
    <row r="59" spans="1:7" x14ac:dyDescent="0.3">
      <c r="A59" t="s">
        <v>7</v>
      </c>
      <c r="B59">
        <v>6</v>
      </c>
      <c r="C59" t="s">
        <v>11</v>
      </c>
      <c r="D59">
        <v>200</v>
      </c>
      <c r="E59" t="s">
        <v>12</v>
      </c>
      <c r="F59">
        <f>14.2/16.8</f>
        <v>0.84523809523809512</v>
      </c>
      <c r="G59">
        <v>16</v>
      </c>
    </row>
    <row r="60" spans="1:7" x14ac:dyDescent="0.3">
      <c r="A60" t="s">
        <v>7</v>
      </c>
      <c r="B60">
        <v>6</v>
      </c>
      <c r="C60" t="s">
        <v>11</v>
      </c>
      <c r="D60">
        <v>400</v>
      </c>
      <c r="E60" t="s">
        <v>12</v>
      </c>
      <c r="F60">
        <f>14.3/16.8</f>
        <v>0.85119047619047616</v>
      </c>
      <c r="G60">
        <v>16</v>
      </c>
    </row>
    <row r="61" spans="1:7" x14ac:dyDescent="0.3">
      <c r="A61" t="s">
        <v>7</v>
      </c>
      <c r="B61">
        <v>6</v>
      </c>
      <c r="C61" t="s">
        <v>11</v>
      </c>
      <c r="D61">
        <v>800</v>
      </c>
      <c r="E61" t="s">
        <v>12</v>
      </c>
      <c r="F61">
        <f>14.35/16.8</f>
        <v>0.85416666666666663</v>
      </c>
      <c r="G61">
        <v>16</v>
      </c>
    </row>
    <row r="62" spans="1:7" x14ac:dyDescent="0.3">
      <c r="A62" t="s">
        <v>7</v>
      </c>
      <c r="B62">
        <v>6</v>
      </c>
      <c r="C62" t="s">
        <v>11</v>
      </c>
      <c r="D62">
        <v>50</v>
      </c>
      <c r="E62" t="s">
        <v>12</v>
      </c>
      <c r="F62">
        <f>3.4/3.5</f>
        <v>0.97142857142857142</v>
      </c>
      <c r="G62">
        <v>16</v>
      </c>
    </row>
    <row r="63" spans="1:7" x14ac:dyDescent="0.3">
      <c r="A63" t="s">
        <v>7</v>
      </c>
      <c r="B63">
        <v>6</v>
      </c>
      <c r="C63" t="s">
        <v>11</v>
      </c>
      <c r="D63">
        <v>100</v>
      </c>
      <c r="E63" t="s">
        <v>12</v>
      </c>
      <c r="F63">
        <f>2.9/3.5</f>
        <v>0.82857142857142851</v>
      </c>
      <c r="G63">
        <v>16</v>
      </c>
    </row>
    <row r="64" spans="1:7" x14ac:dyDescent="0.3">
      <c r="A64" t="s">
        <v>7</v>
      </c>
      <c r="B64">
        <v>6</v>
      </c>
      <c r="C64" t="s">
        <v>11</v>
      </c>
      <c r="D64">
        <v>200</v>
      </c>
      <c r="E64" t="s">
        <v>12</v>
      </c>
      <c r="F64">
        <f>3/3.5</f>
        <v>0.8571428571428571</v>
      </c>
      <c r="G64">
        <v>16</v>
      </c>
    </row>
    <row r="65" spans="1:7" x14ac:dyDescent="0.3">
      <c r="A65" t="s">
        <v>7</v>
      </c>
      <c r="B65">
        <v>6</v>
      </c>
      <c r="C65" t="s">
        <v>11</v>
      </c>
      <c r="D65">
        <v>400</v>
      </c>
      <c r="E65" t="s">
        <v>12</v>
      </c>
      <c r="F65">
        <f>2.89/3.5</f>
        <v>0.82571428571428573</v>
      </c>
      <c r="G65">
        <v>16</v>
      </c>
    </row>
    <row r="66" spans="1:7" x14ac:dyDescent="0.3">
      <c r="A66" t="s">
        <v>7</v>
      </c>
      <c r="B66">
        <v>6</v>
      </c>
      <c r="C66" t="s">
        <v>11</v>
      </c>
      <c r="D66">
        <v>800</v>
      </c>
      <c r="E66" t="s">
        <v>12</v>
      </c>
      <c r="F66">
        <f>2.889/3.5</f>
        <v>0.8254285714285714</v>
      </c>
      <c r="G66">
        <v>16</v>
      </c>
    </row>
    <row r="67" spans="1:7" x14ac:dyDescent="0.3">
      <c r="A67" t="s">
        <v>7</v>
      </c>
      <c r="B67">
        <v>6</v>
      </c>
      <c r="C67" t="s">
        <v>8</v>
      </c>
      <c r="D67">
        <v>50</v>
      </c>
      <c r="E67" t="s">
        <v>12</v>
      </c>
      <c r="F67">
        <f>20/21.5</f>
        <v>0.93023255813953487</v>
      </c>
      <c r="G67">
        <v>16</v>
      </c>
    </row>
    <row r="68" spans="1:7" x14ac:dyDescent="0.3">
      <c r="A68" t="s">
        <v>7</v>
      </c>
      <c r="B68">
        <v>6</v>
      </c>
      <c r="C68" t="s">
        <v>8</v>
      </c>
      <c r="D68">
        <v>100</v>
      </c>
      <c r="E68" t="s">
        <v>12</v>
      </c>
      <c r="F68">
        <f>17.8/21.5</f>
        <v>0.82790697674418612</v>
      </c>
      <c r="G68">
        <v>16</v>
      </c>
    </row>
    <row r="69" spans="1:7" x14ac:dyDescent="0.3">
      <c r="A69" t="s">
        <v>7</v>
      </c>
      <c r="B69">
        <v>6</v>
      </c>
      <c r="C69" t="s">
        <v>8</v>
      </c>
      <c r="D69">
        <v>200</v>
      </c>
      <c r="E69" t="s">
        <v>12</v>
      </c>
      <c r="F69">
        <f>17/21.5</f>
        <v>0.79069767441860461</v>
      </c>
      <c r="G69">
        <v>16</v>
      </c>
    </row>
    <row r="70" spans="1:7" x14ac:dyDescent="0.3">
      <c r="A70" t="s">
        <v>7</v>
      </c>
      <c r="B70">
        <v>6</v>
      </c>
      <c r="C70" t="s">
        <v>8</v>
      </c>
      <c r="D70">
        <v>400</v>
      </c>
      <c r="E70" t="s">
        <v>12</v>
      </c>
      <c r="F70">
        <f>14.3/21.5</f>
        <v>0.66511627906976745</v>
      </c>
      <c r="G70">
        <v>16</v>
      </c>
    </row>
    <row r="71" spans="1:7" x14ac:dyDescent="0.3">
      <c r="A71" t="s">
        <v>7</v>
      </c>
      <c r="B71">
        <v>6</v>
      </c>
      <c r="C71" t="s">
        <v>8</v>
      </c>
      <c r="D71">
        <v>800</v>
      </c>
      <c r="E71" t="s">
        <v>12</v>
      </c>
      <c r="F71">
        <f>14/21.5</f>
        <v>0.65116279069767447</v>
      </c>
      <c r="G71">
        <v>16</v>
      </c>
    </row>
    <row r="72" spans="1:7" x14ac:dyDescent="0.3">
      <c r="A72" t="s">
        <v>7</v>
      </c>
      <c r="B72">
        <v>6</v>
      </c>
      <c r="C72" t="s">
        <v>8</v>
      </c>
      <c r="D72">
        <v>50</v>
      </c>
      <c r="E72" t="s">
        <v>12</v>
      </c>
      <c r="F72">
        <f>11.1/14</f>
        <v>0.79285714285714282</v>
      </c>
      <c r="G72">
        <v>16</v>
      </c>
    </row>
    <row r="73" spans="1:7" x14ac:dyDescent="0.3">
      <c r="A73" t="s">
        <v>7</v>
      </c>
      <c r="B73">
        <v>6</v>
      </c>
      <c r="C73" t="s">
        <v>8</v>
      </c>
      <c r="D73">
        <v>100</v>
      </c>
      <c r="E73" t="s">
        <v>12</v>
      </c>
      <c r="F73">
        <f>9/14</f>
        <v>0.6428571428571429</v>
      </c>
      <c r="G73">
        <v>16</v>
      </c>
    </row>
    <row r="74" spans="1:7" x14ac:dyDescent="0.3">
      <c r="A74" t="s">
        <v>7</v>
      </c>
      <c r="B74">
        <v>6</v>
      </c>
      <c r="C74" t="s">
        <v>8</v>
      </c>
      <c r="D74">
        <v>200</v>
      </c>
      <c r="E74" t="s">
        <v>12</v>
      </c>
      <c r="F74">
        <f>8.5/14</f>
        <v>0.6071428571428571</v>
      </c>
      <c r="G74">
        <v>16</v>
      </c>
    </row>
    <row r="75" spans="1:7" x14ac:dyDescent="0.3">
      <c r="A75" t="s">
        <v>7</v>
      </c>
      <c r="B75">
        <v>6</v>
      </c>
      <c r="C75" t="s">
        <v>8</v>
      </c>
      <c r="D75">
        <v>400</v>
      </c>
      <c r="E75" t="s">
        <v>12</v>
      </c>
      <c r="F75">
        <f>7/14</f>
        <v>0.5</v>
      </c>
      <c r="G75">
        <v>16</v>
      </c>
    </row>
    <row r="76" spans="1:7" s="1" customFormat="1" ht="13.9" thickBot="1" x14ac:dyDescent="0.35">
      <c r="A76" s="1" t="s">
        <v>7</v>
      </c>
      <c r="B76" s="1">
        <v>6</v>
      </c>
      <c r="C76" s="1" t="s">
        <v>8</v>
      </c>
      <c r="D76" s="1">
        <v>800</v>
      </c>
      <c r="E76" s="1" t="s">
        <v>12</v>
      </c>
      <c r="F76" s="1">
        <f>6.9/14</f>
        <v>0.49285714285714288</v>
      </c>
      <c r="G76" s="1">
        <v>16</v>
      </c>
    </row>
    <row r="77" spans="1:7" x14ac:dyDescent="0.3">
      <c r="A77" t="s">
        <v>7</v>
      </c>
      <c r="B77">
        <v>2</v>
      </c>
      <c r="C77" t="s">
        <v>8</v>
      </c>
      <c r="D77">
        <v>2000</v>
      </c>
      <c r="E77" t="s">
        <v>12</v>
      </c>
      <c r="F77">
        <f>5.78/8.52</f>
        <v>0.67840375586854462</v>
      </c>
      <c r="G77">
        <v>17</v>
      </c>
    </row>
    <row r="78" spans="1:7" x14ac:dyDescent="0.3">
      <c r="A78" t="s">
        <v>7</v>
      </c>
      <c r="B78">
        <v>2</v>
      </c>
      <c r="C78" t="s">
        <v>8</v>
      </c>
      <c r="D78">
        <v>4000</v>
      </c>
      <c r="E78" t="s">
        <v>12</v>
      </c>
      <c r="F78">
        <f>5.05/8.52</f>
        <v>0.59272300469483574</v>
      </c>
      <c r="G78">
        <v>17</v>
      </c>
    </row>
    <row r="79" spans="1:7" x14ac:dyDescent="0.3">
      <c r="A79" t="s">
        <v>7</v>
      </c>
      <c r="B79">
        <v>2</v>
      </c>
      <c r="C79" t="s">
        <v>8</v>
      </c>
      <c r="D79">
        <v>6000</v>
      </c>
      <c r="E79" t="s">
        <v>12</v>
      </c>
      <c r="F79">
        <f>4.68/8.52</f>
        <v>0.54929577464788737</v>
      </c>
      <c r="G79">
        <v>17</v>
      </c>
    </row>
    <row r="80" spans="1:7" x14ac:dyDescent="0.3">
      <c r="A80" t="s">
        <v>7</v>
      </c>
      <c r="B80">
        <v>2</v>
      </c>
      <c r="C80" t="s">
        <v>11</v>
      </c>
      <c r="D80">
        <v>2000</v>
      </c>
      <c r="E80" t="s">
        <v>12</v>
      </c>
      <c r="F80">
        <f>3.01/4.06</f>
        <v>0.74137931034482762</v>
      </c>
      <c r="G80">
        <v>17</v>
      </c>
    </row>
    <row r="81" spans="1:7" x14ac:dyDescent="0.3">
      <c r="A81" t="s">
        <v>7</v>
      </c>
      <c r="B81">
        <v>2</v>
      </c>
      <c r="C81" t="s">
        <v>11</v>
      </c>
      <c r="D81">
        <v>4000</v>
      </c>
      <c r="E81" t="s">
        <v>12</v>
      </c>
      <c r="F81">
        <f>2.76/4.06</f>
        <v>0.67980295566502469</v>
      </c>
      <c r="G81">
        <v>17</v>
      </c>
    </row>
    <row r="82" spans="1:7" x14ac:dyDescent="0.3">
      <c r="A82" t="s">
        <v>7</v>
      </c>
      <c r="B82">
        <v>2</v>
      </c>
      <c r="C82" t="s">
        <v>11</v>
      </c>
      <c r="D82">
        <v>6000</v>
      </c>
      <c r="E82" t="s">
        <v>12</v>
      </c>
      <c r="F82">
        <f>2.58/4.06</f>
        <v>0.63546798029556661</v>
      </c>
      <c r="G82">
        <v>17</v>
      </c>
    </row>
    <row r="83" spans="1:7" x14ac:dyDescent="0.3">
      <c r="A83" t="s">
        <v>7</v>
      </c>
      <c r="B83">
        <v>2</v>
      </c>
      <c r="C83" t="s">
        <v>11</v>
      </c>
      <c r="D83">
        <v>2000</v>
      </c>
      <c r="E83" t="s">
        <v>10</v>
      </c>
      <c r="F83">
        <f>32.3/23.1</f>
        <v>1.3982683982683981</v>
      </c>
      <c r="G83">
        <v>17</v>
      </c>
    </row>
    <row r="84" spans="1:7" x14ac:dyDescent="0.3">
      <c r="A84" t="s">
        <v>7</v>
      </c>
      <c r="B84">
        <v>2</v>
      </c>
      <c r="C84" t="s">
        <v>11</v>
      </c>
      <c r="D84">
        <v>4000</v>
      </c>
      <c r="E84" t="s">
        <v>10</v>
      </c>
      <c r="F84">
        <f>31.7/23.1</f>
        <v>1.3722943722943721</v>
      </c>
      <c r="G84">
        <v>17</v>
      </c>
    </row>
    <row r="85" spans="1:7" x14ac:dyDescent="0.3">
      <c r="A85" t="s">
        <v>7</v>
      </c>
      <c r="B85">
        <v>2</v>
      </c>
      <c r="C85" t="s">
        <v>11</v>
      </c>
      <c r="D85">
        <v>6000</v>
      </c>
      <c r="E85" t="s">
        <v>10</v>
      </c>
      <c r="F85">
        <f>19.4/23.1</f>
        <v>0.8398268398268397</v>
      </c>
      <c r="G85">
        <v>17</v>
      </c>
    </row>
    <row r="86" spans="1:7" x14ac:dyDescent="0.3">
      <c r="A86" t="s">
        <v>7</v>
      </c>
      <c r="B86">
        <v>2</v>
      </c>
      <c r="C86" t="s">
        <v>8</v>
      </c>
      <c r="D86">
        <v>2000</v>
      </c>
      <c r="E86" t="s">
        <v>10</v>
      </c>
      <c r="F86">
        <f>29.5/66.4</f>
        <v>0.44427710843373491</v>
      </c>
      <c r="G86">
        <v>17</v>
      </c>
    </row>
    <row r="87" spans="1:7" x14ac:dyDescent="0.3">
      <c r="A87" t="s">
        <v>7</v>
      </c>
      <c r="B87">
        <v>2</v>
      </c>
      <c r="C87" t="s">
        <v>8</v>
      </c>
      <c r="D87">
        <v>4000</v>
      </c>
      <c r="E87" t="s">
        <v>10</v>
      </c>
      <c r="F87">
        <f>50.4/66.4</f>
        <v>0.75903614457831314</v>
      </c>
      <c r="G87">
        <v>17</v>
      </c>
    </row>
    <row r="88" spans="1:7" s="1" customFormat="1" ht="13.9" thickBot="1" x14ac:dyDescent="0.35">
      <c r="A88" s="1" t="s">
        <v>7</v>
      </c>
      <c r="B88" s="1">
        <v>2</v>
      </c>
      <c r="C88" s="1" t="s">
        <v>8</v>
      </c>
      <c r="D88" s="1">
        <v>6000</v>
      </c>
      <c r="E88" s="1" t="s">
        <v>10</v>
      </c>
      <c r="F88" s="1">
        <f>51.7/66.4</f>
        <v>0.77861445783132532</v>
      </c>
      <c r="G88" s="1">
        <v>17</v>
      </c>
    </row>
    <row r="89" spans="1:7" x14ac:dyDescent="0.3">
      <c r="A89" s="2" t="s">
        <v>13</v>
      </c>
      <c r="B89" s="2">
        <v>7</v>
      </c>
      <c r="C89" s="2" t="s">
        <v>8</v>
      </c>
      <c r="D89" s="2">
        <v>1247</v>
      </c>
      <c r="E89" s="2" t="s">
        <v>12</v>
      </c>
      <c r="F89">
        <f>0.14/0.172</f>
        <v>0.81395348837209314</v>
      </c>
      <c r="G89" s="2">
        <v>18</v>
      </c>
    </row>
    <row r="90" spans="1:7" x14ac:dyDescent="0.3">
      <c r="A90" s="2" t="s">
        <v>13</v>
      </c>
      <c r="B90" s="2">
        <v>7</v>
      </c>
      <c r="C90" s="2" t="s">
        <v>11</v>
      </c>
      <c r="D90" s="2">
        <v>1247</v>
      </c>
      <c r="E90" s="2" t="s">
        <v>12</v>
      </c>
      <c r="F90">
        <f>0.061/0.082</f>
        <v>0.74390243902439024</v>
      </c>
      <c r="G90" s="2">
        <v>18</v>
      </c>
    </row>
    <row r="91" spans="1:7" x14ac:dyDescent="0.3">
      <c r="A91" s="2" t="s">
        <v>13</v>
      </c>
      <c r="B91" s="2">
        <v>7</v>
      </c>
      <c r="C91" s="2" t="s">
        <v>8</v>
      </c>
      <c r="D91" s="2">
        <v>1247</v>
      </c>
      <c r="E91" s="2" t="s">
        <v>12</v>
      </c>
      <c r="F91">
        <f>0.022/0.027</f>
        <v>0.81481481481481477</v>
      </c>
      <c r="G91" s="2">
        <v>18</v>
      </c>
    </row>
    <row r="92" spans="1:7" x14ac:dyDescent="0.3">
      <c r="A92" s="2" t="s">
        <v>13</v>
      </c>
      <c r="B92" s="2">
        <v>7</v>
      </c>
      <c r="C92" s="2" t="s">
        <v>11</v>
      </c>
      <c r="D92" s="2">
        <v>1247</v>
      </c>
      <c r="E92" s="2" t="s">
        <v>12</v>
      </c>
      <c r="F92">
        <f>0.007/0.009</f>
        <v>0.7777777777777779</v>
      </c>
      <c r="G92" s="2">
        <v>18</v>
      </c>
    </row>
    <row r="93" spans="1:7" x14ac:dyDescent="0.3">
      <c r="A93" s="2" t="s">
        <v>13</v>
      </c>
      <c r="B93" s="2">
        <v>7</v>
      </c>
      <c r="C93" s="2" t="s">
        <v>8</v>
      </c>
      <c r="D93" s="2">
        <v>1247</v>
      </c>
      <c r="E93" s="2" t="s">
        <v>12</v>
      </c>
      <c r="F93">
        <f>14.1/16.2</f>
        <v>0.87037037037037035</v>
      </c>
      <c r="G93" s="2">
        <v>18</v>
      </c>
    </row>
    <row r="94" spans="1:7" x14ac:dyDescent="0.3">
      <c r="A94" s="2" t="s">
        <v>13</v>
      </c>
      <c r="B94" s="2">
        <v>7</v>
      </c>
      <c r="C94" s="2" t="s">
        <v>11</v>
      </c>
      <c r="D94" s="2">
        <v>1247</v>
      </c>
      <c r="E94" s="2" t="s">
        <v>12</v>
      </c>
      <c r="F94">
        <f>4/5</f>
        <v>0.8</v>
      </c>
      <c r="G94" s="2">
        <v>18</v>
      </c>
    </row>
    <row r="95" spans="1:7" x14ac:dyDescent="0.3">
      <c r="A95" s="2" t="s">
        <v>13</v>
      </c>
      <c r="B95" s="2">
        <v>7</v>
      </c>
      <c r="C95" s="2" t="s">
        <v>8</v>
      </c>
      <c r="D95" s="2">
        <v>1247</v>
      </c>
      <c r="E95" s="2" t="s">
        <v>12</v>
      </c>
      <c r="F95">
        <f>12.3/15.6</f>
        <v>0.78846153846153855</v>
      </c>
      <c r="G95" s="2">
        <v>18</v>
      </c>
    </row>
    <row r="96" spans="1:7" x14ac:dyDescent="0.3">
      <c r="A96" s="2" t="s">
        <v>13</v>
      </c>
      <c r="B96" s="2">
        <v>7</v>
      </c>
      <c r="C96" s="2" t="s">
        <v>11</v>
      </c>
      <c r="D96" s="2">
        <v>1247</v>
      </c>
      <c r="E96" s="2" t="s">
        <v>12</v>
      </c>
      <c r="F96">
        <f>9.1/10.4</f>
        <v>0.87499999999999989</v>
      </c>
      <c r="G96" s="2">
        <v>18</v>
      </c>
    </row>
    <row r="97" spans="1:7" x14ac:dyDescent="0.3">
      <c r="A97" s="2" t="s">
        <v>13</v>
      </c>
      <c r="B97" s="2">
        <v>7</v>
      </c>
      <c r="C97" s="2" t="s">
        <v>8</v>
      </c>
      <c r="D97" s="2">
        <v>1247</v>
      </c>
      <c r="E97" s="2" t="s">
        <v>12</v>
      </c>
      <c r="F97">
        <f>1.38/1.74</f>
        <v>0.79310344827586199</v>
      </c>
      <c r="G97" s="2">
        <v>18</v>
      </c>
    </row>
    <row r="98" spans="1:7" x14ac:dyDescent="0.3">
      <c r="A98" s="2" t="s">
        <v>13</v>
      </c>
      <c r="B98" s="2">
        <v>7</v>
      </c>
      <c r="C98" s="2" t="s">
        <v>11</v>
      </c>
      <c r="D98" s="2">
        <v>1247</v>
      </c>
      <c r="E98" s="2" t="s">
        <v>12</v>
      </c>
      <c r="F98">
        <f>0.37/0.41</f>
        <v>0.90243902439024393</v>
      </c>
      <c r="G98" s="2">
        <v>18</v>
      </c>
    </row>
    <row r="99" spans="1:7" x14ac:dyDescent="0.3">
      <c r="A99" s="2" t="s">
        <v>13</v>
      </c>
      <c r="B99" s="2">
        <v>7</v>
      </c>
      <c r="C99" s="2" t="s">
        <v>8</v>
      </c>
      <c r="D99" s="2">
        <v>1247</v>
      </c>
      <c r="E99" s="2" t="s">
        <v>10</v>
      </c>
      <c r="F99">
        <f>200/79</f>
        <v>2.5316455696202533</v>
      </c>
      <c r="G99" s="2">
        <v>18</v>
      </c>
    </row>
    <row r="100" spans="1:7" x14ac:dyDescent="0.3">
      <c r="A100" s="2" t="s">
        <v>13</v>
      </c>
      <c r="B100" s="2">
        <v>7</v>
      </c>
      <c r="C100" s="2" t="s">
        <v>11</v>
      </c>
      <c r="D100" s="2">
        <v>1247</v>
      </c>
      <c r="E100" s="2" t="s">
        <v>10</v>
      </c>
      <c r="F100">
        <f>2.75</f>
        <v>2.75</v>
      </c>
      <c r="G100" s="2">
        <v>18</v>
      </c>
    </row>
    <row r="101" spans="1:7" x14ac:dyDescent="0.3">
      <c r="A101" s="2" t="s">
        <v>13</v>
      </c>
      <c r="B101" s="2">
        <v>7</v>
      </c>
      <c r="C101" s="2" t="s">
        <v>8</v>
      </c>
      <c r="D101" s="2">
        <v>1247</v>
      </c>
      <c r="E101" s="2" t="s">
        <v>10</v>
      </c>
      <c r="F101">
        <f>690/300</f>
        <v>2.2999999999999998</v>
      </c>
      <c r="G101" s="2">
        <v>18</v>
      </c>
    </row>
    <row r="102" spans="1:7" x14ac:dyDescent="0.3">
      <c r="A102" s="2" t="s">
        <v>13</v>
      </c>
      <c r="B102" s="2">
        <v>7</v>
      </c>
      <c r="C102" s="2" t="s">
        <v>11</v>
      </c>
      <c r="D102" s="2">
        <v>1247</v>
      </c>
      <c r="E102" s="2" t="s">
        <v>10</v>
      </c>
      <c r="F102">
        <f>880/340</f>
        <v>2.5882352941176472</v>
      </c>
      <c r="G102" s="2">
        <v>18</v>
      </c>
    </row>
    <row r="103" spans="1:7" x14ac:dyDescent="0.3">
      <c r="A103" s="2" t="s">
        <v>13</v>
      </c>
      <c r="B103" s="2">
        <v>7</v>
      </c>
      <c r="C103" s="2" t="s">
        <v>8</v>
      </c>
      <c r="D103" s="2">
        <v>1247</v>
      </c>
      <c r="E103" s="2" t="s">
        <v>10</v>
      </c>
      <c r="F103">
        <f>37.5/23</f>
        <v>1.6304347826086956</v>
      </c>
      <c r="G103" s="2">
        <v>18</v>
      </c>
    </row>
    <row r="104" spans="1:7" s="1" customFormat="1" ht="13.9" thickBot="1" x14ac:dyDescent="0.35">
      <c r="A104" s="3" t="s">
        <v>13</v>
      </c>
      <c r="B104" s="3">
        <v>7</v>
      </c>
      <c r="C104" s="3" t="s">
        <v>11</v>
      </c>
      <c r="D104" s="2">
        <v>1247</v>
      </c>
      <c r="E104" s="3" t="s">
        <v>10</v>
      </c>
      <c r="F104" s="1">
        <f>46.5/29</f>
        <v>1.603448275862069</v>
      </c>
      <c r="G104" s="3">
        <v>18</v>
      </c>
    </row>
    <row r="105" spans="1:7" x14ac:dyDescent="0.3">
      <c r="A105" s="2" t="s">
        <v>13</v>
      </c>
      <c r="B105" s="2">
        <v>18</v>
      </c>
      <c r="C105" s="2" t="s">
        <v>8</v>
      </c>
      <c r="D105" s="2">
        <v>250</v>
      </c>
      <c r="E105" s="2" t="s">
        <v>9</v>
      </c>
      <c r="F105">
        <f>1/1.89</f>
        <v>0.52910052910052918</v>
      </c>
      <c r="G105" s="2">
        <v>19</v>
      </c>
    </row>
    <row r="106" spans="1:7" x14ac:dyDescent="0.3">
      <c r="A106" s="2" t="s">
        <v>13</v>
      </c>
      <c r="B106" s="2">
        <v>18</v>
      </c>
      <c r="C106" s="2" t="s">
        <v>8</v>
      </c>
      <c r="D106" s="2">
        <v>500</v>
      </c>
      <c r="E106" s="2" t="s">
        <v>9</v>
      </c>
      <c r="F106">
        <f>0.68/1.89</f>
        <v>0.35978835978835982</v>
      </c>
      <c r="G106" s="2">
        <v>19</v>
      </c>
    </row>
    <row r="107" spans="1:7" x14ac:dyDescent="0.3">
      <c r="A107" s="2" t="s">
        <v>13</v>
      </c>
      <c r="B107" s="2">
        <v>18</v>
      </c>
      <c r="C107" s="2" t="s">
        <v>8</v>
      </c>
      <c r="D107" s="2">
        <v>750</v>
      </c>
      <c r="E107" s="2" t="s">
        <v>9</v>
      </c>
      <c r="F107">
        <f>0.52/1.89</f>
        <v>0.27513227513227517</v>
      </c>
      <c r="G107" s="2">
        <v>19</v>
      </c>
    </row>
    <row r="108" spans="1:7" x14ac:dyDescent="0.3">
      <c r="A108" s="2" t="s">
        <v>13</v>
      </c>
      <c r="B108" s="2">
        <v>18</v>
      </c>
      <c r="C108" s="2" t="s">
        <v>8</v>
      </c>
      <c r="D108" s="2">
        <v>250</v>
      </c>
      <c r="E108" s="2" t="s">
        <v>9</v>
      </c>
      <c r="F108">
        <f>1.43/2.05</f>
        <v>0.69756097560975616</v>
      </c>
      <c r="G108" s="2">
        <v>19</v>
      </c>
    </row>
    <row r="109" spans="1:7" x14ac:dyDescent="0.3">
      <c r="A109" s="2" t="s">
        <v>13</v>
      </c>
      <c r="B109" s="2">
        <v>18</v>
      </c>
      <c r="C109" s="2" t="s">
        <v>8</v>
      </c>
      <c r="D109" s="2">
        <v>500</v>
      </c>
      <c r="E109" s="2" t="s">
        <v>9</v>
      </c>
      <c r="F109">
        <f>1.29/2.05</f>
        <v>0.62926829268292694</v>
      </c>
      <c r="G109" s="2">
        <v>19</v>
      </c>
    </row>
    <row r="110" spans="1:7" x14ac:dyDescent="0.3">
      <c r="A110" s="2" t="s">
        <v>13</v>
      </c>
      <c r="B110" s="2">
        <v>18</v>
      </c>
      <c r="C110" s="2" t="s">
        <v>8</v>
      </c>
      <c r="D110" s="2">
        <v>750</v>
      </c>
      <c r="E110" s="2" t="s">
        <v>9</v>
      </c>
      <c r="F110">
        <f>1.07/2.05</f>
        <v>0.52195121951219525</v>
      </c>
      <c r="G110" s="2">
        <v>19</v>
      </c>
    </row>
    <row r="111" spans="1:7" x14ac:dyDescent="0.3">
      <c r="A111" s="2" t="s">
        <v>13</v>
      </c>
      <c r="B111" s="2">
        <v>18</v>
      </c>
      <c r="C111" s="2" t="s">
        <v>8</v>
      </c>
      <c r="D111" s="2">
        <v>250</v>
      </c>
      <c r="E111" s="2" t="s">
        <v>9</v>
      </c>
      <c r="F111">
        <f>0.71/0.86</f>
        <v>0.82558139534883723</v>
      </c>
      <c r="G111" s="2">
        <v>19</v>
      </c>
    </row>
    <row r="112" spans="1:7" x14ac:dyDescent="0.3">
      <c r="A112" s="2" t="s">
        <v>13</v>
      </c>
      <c r="B112" s="2">
        <v>18</v>
      </c>
      <c r="C112" s="2" t="s">
        <v>8</v>
      </c>
      <c r="D112" s="2">
        <v>500</v>
      </c>
      <c r="E112" s="2" t="s">
        <v>9</v>
      </c>
      <c r="F112">
        <f>0.42/0.86</f>
        <v>0.48837209302325579</v>
      </c>
      <c r="G112" s="2">
        <v>19</v>
      </c>
    </row>
    <row r="113" spans="1:7" x14ac:dyDescent="0.3">
      <c r="A113" s="2" t="s">
        <v>13</v>
      </c>
      <c r="B113" s="2">
        <v>18</v>
      </c>
      <c r="C113" s="2" t="s">
        <v>8</v>
      </c>
      <c r="D113" s="2">
        <v>750</v>
      </c>
      <c r="E113" s="2" t="s">
        <v>9</v>
      </c>
      <c r="F113">
        <f>0.3/0.86</f>
        <v>0.34883720930232559</v>
      </c>
      <c r="G113" s="2">
        <v>19</v>
      </c>
    </row>
    <row r="114" spans="1:7" x14ac:dyDescent="0.3">
      <c r="A114" s="2" t="s">
        <v>13</v>
      </c>
      <c r="B114" s="2">
        <v>18</v>
      </c>
      <c r="C114" s="2" t="s">
        <v>8</v>
      </c>
      <c r="D114" s="2">
        <v>250</v>
      </c>
      <c r="E114" s="2" t="s">
        <v>9</v>
      </c>
      <c r="F114">
        <f>0.75/0.9</f>
        <v>0.83333333333333326</v>
      </c>
      <c r="G114" s="2">
        <v>19</v>
      </c>
    </row>
    <row r="115" spans="1:7" x14ac:dyDescent="0.3">
      <c r="A115" s="2" t="s">
        <v>13</v>
      </c>
      <c r="B115" s="2">
        <v>18</v>
      </c>
      <c r="C115" s="2" t="s">
        <v>8</v>
      </c>
      <c r="D115" s="2">
        <v>500</v>
      </c>
      <c r="E115" s="2" t="s">
        <v>9</v>
      </c>
      <c r="F115">
        <f>0.51/0.9</f>
        <v>0.56666666666666665</v>
      </c>
      <c r="G115" s="2">
        <v>19</v>
      </c>
    </row>
    <row r="116" spans="1:7" x14ac:dyDescent="0.3">
      <c r="A116" s="2" t="s">
        <v>13</v>
      </c>
      <c r="B116" s="2">
        <v>18</v>
      </c>
      <c r="C116" s="2" t="s">
        <v>8</v>
      </c>
      <c r="D116" s="2">
        <v>750</v>
      </c>
      <c r="E116" s="2" t="s">
        <v>9</v>
      </c>
      <c r="F116">
        <f>0.4/0.9</f>
        <v>0.44444444444444448</v>
      </c>
      <c r="G116" s="2">
        <v>19</v>
      </c>
    </row>
    <row r="117" spans="1:7" x14ac:dyDescent="0.3">
      <c r="A117" s="2" t="s">
        <v>13</v>
      </c>
      <c r="B117" s="2">
        <v>18</v>
      </c>
      <c r="C117" s="2" t="s">
        <v>8</v>
      </c>
      <c r="D117" s="2">
        <v>250</v>
      </c>
      <c r="E117" s="2" t="s">
        <v>12</v>
      </c>
      <c r="F117">
        <f>68.33/116.67</f>
        <v>0.5856689808862604</v>
      </c>
      <c r="G117" s="2">
        <v>19</v>
      </c>
    </row>
    <row r="118" spans="1:7" x14ac:dyDescent="0.3">
      <c r="A118" s="2" t="s">
        <v>13</v>
      </c>
      <c r="B118" s="2">
        <v>18</v>
      </c>
      <c r="C118" s="2" t="s">
        <v>8</v>
      </c>
      <c r="D118" s="2">
        <v>500</v>
      </c>
      <c r="E118" s="2" t="s">
        <v>12</v>
      </c>
      <c r="F118">
        <f>50/116.67</f>
        <v>0.42855918402331361</v>
      </c>
      <c r="G118" s="2">
        <v>19</v>
      </c>
    </row>
    <row r="119" spans="1:7" x14ac:dyDescent="0.3">
      <c r="A119" s="2" t="s">
        <v>13</v>
      </c>
      <c r="B119" s="2">
        <v>18</v>
      </c>
      <c r="C119" s="2" t="s">
        <v>8</v>
      </c>
      <c r="D119" s="2">
        <v>750</v>
      </c>
      <c r="E119" s="2" t="s">
        <v>12</v>
      </c>
      <c r="F119">
        <f>31.93/116.67</f>
        <v>0.27367789491728806</v>
      </c>
      <c r="G119" s="2">
        <v>19</v>
      </c>
    </row>
    <row r="120" spans="1:7" x14ac:dyDescent="0.3">
      <c r="A120" s="2" t="s">
        <v>13</v>
      </c>
      <c r="B120" s="2">
        <v>18</v>
      </c>
      <c r="C120" s="2" t="s">
        <v>8</v>
      </c>
      <c r="D120" s="2">
        <v>250</v>
      </c>
      <c r="E120" s="2" t="s">
        <v>12</v>
      </c>
      <c r="F120">
        <f>69.86/91.1</f>
        <v>0.76684961580680577</v>
      </c>
      <c r="G120" s="2">
        <v>19</v>
      </c>
    </row>
    <row r="121" spans="1:7" x14ac:dyDescent="0.3">
      <c r="A121" s="2" t="s">
        <v>13</v>
      </c>
      <c r="B121" s="2">
        <v>18</v>
      </c>
      <c r="C121" s="2" t="s">
        <v>8</v>
      </c>
      <c r="D121" s="2">
        <v>500</v>
      </c>
      <c r="E121" s="2" t="s">
        <v>12</v>
      </c>
      <c r="F121">
        <f>41.33/91.1</f>
        <v>0.45367727771679472</v>
      </c>
      <c r="G121" s="2">
        <v>19</v>
      </c>
    </row>
    <row r="122" spans="1:7" x14ac:dyDescent="0.3">
      <c r="A122" s="2" t="s">
        <v>13</v>
      </c>
      <c r="B122" s="2">
        <v>18</v>
      </c>
      <c r="C122" s="2" t="s">
        <v>8</v>
      </c>
      <c r="D122" s="2">
        <v>750</v>
      </c>
      <c r="E122" s="2" t="s">
        <v>12</v>
      </c>
      <c r="F122">
        <f>30.17/91.1</f>
        <v>0.33117453347969267</v>
      </c>
      <c r="G122" s="2">
        <v>19</v>
      </c>
    </row>
    <row r="123" spans="1:7" x14ac:dyDescent="0.3">
      <c r="A123" s="2" t="s">
        <v>13</v>
      </c>
      <c r="B123" s="2">
        <v>18</v>
      </c>
      <c r="C123" s="2" t="s">
        <v>8</v>
      </c>
      <c r="D123" s="2">
        <v>250</v>
      </c>
      <c r="E123" s="2" t="s">
        <v>12</v>
      </c>
      <c r="F123">
        <f>1.79/4.46</f>
        <v>0.40134529147982062</v>
      </c>
      <c r="G123" s="2">
        <v>19</v>
      </c>
    </row>
    <row r="124" spans="1:7" x14ac:dyDescent="0.3">
      <c r="A124" s="2" t="s">
        <v>13</v>
      </c>
      <c r="B124" s="2">
        <v>18</v>
      </c>
      <c r="C124" s="2" t="s">
        <v>8</v>
      </c>
      <c r="D124" s="2">
        <v>500</v>
      </c>
      <c r="E124" s="2" t="s">
        <v>12</v>
      </c>
      <c r="F124">
        <f>1.05/4.46</f>
        <v>0.23542600896860988</v>
      </c>
      <c r="G124" s="2">
        <v>19</v>
      </c>
    </row>
    <row r="125" spans="1:7" x14ac:dyDescent="0.3">
      <c r="A125" s="2" t="s">
        <v>13</v>
      </c>
      <c r="B125" s="2">
        <v>18</v>
      </c>
      <c r="C125" s="2" t="s">
        <v>8</v>
      </c>
      <c r="D125" s="2">
        <v>750</v>
      </c>
      <c r="E125" s="2" t="s">
        <v>12</v>
      </c>
      <c r="F125">
        <f>1.01/4.46</f>
        <v>0.22645739910313903</v>
      </c>
      <c r="G125" s="2">
        <v>19</v>
      </c>
    </row>
    <row r="126" spans="1:7" x14ac:dyDescent="0.3">
      <c r="A126" s="2" t="s">
        <v>13</v>
      </c>
      <c r="B126" s="2">
        <v>18</v>
      </c>
      <c r="C126" s="2" t="s">
        <v>8</v>
      </c>
      <c r="D126" s="2">
        <v>250</v>
      </c>
      <c r="E126" s="2" t="s">
        <v>12</v>
      </c>
      <c r="F126">
        <f>1.6/3.27</f>
        <v>0.48929663608562696</v>
      </c>
      <c r="G126" s="2">
        <v>19</v>
      </c>
    </row>
    <row r="127" spans="1:7" x14ac:dyDescent="0.3">
      <c r="A127" s="2" t="s">
        <v>13</v>
      </c>
      <c r="B127" s="2">
        <v>18</v>
      </c>
      <c r="C127" s="2" t="s">
        <v>8</v>
      </c>
      <c r="D127" s="2">
        <v>500</v>
      </c>
      <c r="E127" s="2" t="s">
        <v>12</v>
      </c>
      <c r="F127">
        <f>1.52/3.27</f>
        <v>0.46483180428134557</v>
      </c>
      <c r="G127" s="2">
        <v>19</v>
      </c>
    </row>
    <row r="128" spans="1:7" x14ac:dyDescent="0.3">
      <c r="A128" s="2" t="s">
        <v>13</v>
      </c>
      <c r="B128" s="2">
        <v>18</v>
      </c>
      <c r="C128" s="2" t="s">
        <v>8</v>
      </c>
      <c r="D128" s="2">
        <v>750</v>
      </c>
      <c r="E128" s="2" t="s">
        <v>12</v>
      </c>
      <c r="F128">
        <f>0.9/3.27</f>
        <v>0.27522935779816515</v>
      </c>
      <c r="G128" s="2">
        <v>19</v>
      </c>
    </row>
    <row r="129" spans="1:7" x14ac:dyDescent="0.3">
      <c r="A129" s="2" t="s">
        <v>13</v>
      </c>
      <c r="B129" s="2">
        <v>18</v>
      </c>
      <c r="C129" s="2" t="s">
        <v>8</v>
      </c>
      <c r="D129" s="2">
        <v>250</v>
      </c>
      <c r="E129" s="2" t="s">
        <v>12</v>
      </c>
      <c r="F129">
        <f>29.69/45.01</f>
        <v>0.65963119306820717</v>
      </c>
      <c r="G129" s="2">
        <v>19</v>
      </c>
    </row>
    <row r="130" spans="1:7" x14ac:dyDescent="0.3">
      <c r="A130" s="2" t="s">
        <v>13</v>
      </c>
      <c r="B130" s="2">
        <v>18</v>
      </c>
      <c r="C130" s="2" t="s">
        <v>8</v>
      </c>
      <c r="D130" s="2">
        <v>500</v>
      </c>
      <c r="E130" s="2" t="s">
        <v>12</v>
      </c>
      <c r="F130">
        <f>23.09/45.01</f>
        <v>0.51299711175294382</v>
      </c>
      <c r="G130" s="2">
        <v>19</v>
      </c>
    </row>
    <row r="131" spans="1:7" x14ac:dyDescent="0.3">
      <c r="A131" s="2" t="s">
        <v>13</v>
      </c>
      <c r="B131" s="2">
        <v>18</v>
      </c>
      <c r="C131" s="2" t="s">
        <v>8</v>
      </c>
      <c r="D131" s="2">
        <v>750</v>
      </c>
      <c r="E131" s="2" t="s">
        <v>12</v>
      </c>
      <c r="F131">
        <f>21.71/45.01</f>
        <v>0.48233725838702513</v>
      </c>
      <c r="G131" s="2">
        <v>19</v>
      </c>
    </row>
    <row r="132" spans="1:7" x14ac:dyDescent="0.3">
      <c r="A132" s="2" t="s">
        <v>13</v>
      </c>
      <c r="B132" s="2">
        <v>18</v>
      </c>
      <c r="C132" s="2" t="s">
        <v>8</v>
      </c>
      <c r="D132" s="2">
        <v>250</v>
      </c>
      <c r="E132" s="2" t="s">
        <v>12</v>
      </c>
      <c r="F132">
        <f>32.41/42.04</f>
        <v>0.77093244529019977</v>
      </c>
      <c r="G132" s="2">
        <v>19</v>
      </c>
    </row>
    <row r="133" spans="1:7" x14ac:dyDescent="0.3">
      <c r="A133" s="2" t="s">
        <v>13</v>
      </c>
      <c r="B133" s="2">
        <v>18</v>
      </c>
      <c r="C133" s="2" t="s">
        <v>8</v>
      </c>
      <c r="D133" s="2">
        <v>500</v>
      </c>
      <c r="E133" s="2" t="s">
        <v>12</v>
      </c>
      <c r="F133">
        <f>27.61/42.04</f>
        <v>0.65675547098001907</v>
      </c>
      <c r="G133" s="2">
        <v>19</v>
      </c>
    </row>
    <row r="134" spans="1:7" x14ac:dyDescent="0.3">
      <c r="A134" s="2" t="s">
        <v>13</v>
      </c>
      <c r="B134" s="2">
        <v>18</v>
      </c>
      <c r="C134" s="2" t="s">
        <v>8</v>
      </c>
      <c r="D134" s="2">
        <v>750</v>
      </c>
      <c r="E134" s="2" t="s">
        <v>12</v>
      </c>
      <c r="F134">
        <f>25.47/42.04</f>
        <v>0.60585156993339673</v>
      </c>
      <c r="G134" s="2">
        <v>19</v>
      </c>
    </row>
    <row r="135" spans="1:7" x14ac:dyDescent="0.3">
      <c r="A135" s="2" t="s">
        <v>13</v>
      </c>
      <c r="B135" s="2">
        <v>18</v>
      </c>
      <c r="C135" s="2" t="s">
        <v>8</v>
      </c>
      <c r="D135" s="2">
        <v>250</v>
      </c>
      <c r="E135" s="2" t="s">
        <v>12</v>
      </c>
      <c r="F135">
        <f>20.8/29.66</f>
        <v>0.70128118678354689</v>
      </c>
      <c r="G135" s="2">
        <v>19</v>
      </c>
    </row>
    <row r="136" spans="1:7" x14ac:dyDescent="0.3">
      <c r="A136" s="2" t="s">
        <v>13</v>
      </c>
      <c r="B136" s="2">
        <v>18</v>
      </c>
      <c r="C136" s="2" t="s">
        <v>8</v>
      </c>
      <c r="D136" s="2">
        <v>500</v>
      </c>
      <c r="E136" s="2" t="s">
        <v>12</v>
      </c>
      <c r="F136">
        <f>15.31/29.66</f>
        <v>0.51618341200269724</v>
      </c>
      <c r="G136" s="2">
        <v>19</v>
      </c>
    </row>
    <row r="137" spans="1:7" x14ac:dyDescent="0.3">
      <c r="A137" s="2" t="s">
        <v>13</v>
      </c>
      <c r="B137" s="2">
        <v>18</v>
      </c>
      <c r="C137" s="2" t="s">
        <v>8</v>
      </c>
      <c r="D137" s="2">
        <v>750</v>
      </c>
      <c r="E137" s="2" t="s">
        <v>12</v>
      </c>
      <c r="F137">
        <f>11/29.66</f>
        <v>0.37086985839514497</v>
      </c>
      <c r="G137" s="2">
        <v>19</v>
      </c>
    </row>
    <row r="138" spans="1:7" x14ac:dyDescent="0.3">
      <c r="A138" s="2" t="s">
        <v>13</v>
      </c>
      <c r="B138" s="2">
        <v>18</v>
      </c>
      <c r="C138" s="2" t="s">
        <v>8</v>
      </c>
      <c r="D138" s="2">
        <v>250</v>
      </c>
      <c r="E138" s="2" t="s">
        <v>12</v>
      </c>
      <c r="F138">
        <f>27.37/31.86</f>
        <v>0.85907093534212187</v>
      </c>
      <c r="G138" s="2">
        <v>19</v>
      </c>
    </row>
    <row r="139" spans="1:7" x14ac:dyDescent="0.3">
      <c r="A139" s="2" t="s">
        <v>13</v>
      </c>
      <c r="B139" s="2">
        <v>18</v>
      </c>
      <c r="C139" s="2" t="s">
        <v>8</v>
      </c>
      <c r="D139" s="2">
        <v>500</v>
      </c>
      <c r="E139" s="2" t="s">
        <v>12</v>
      </c>
      <c r="F139">
        <f>23.07/31.86</f>
        <v>0.72410546139359699</v>
      </c>
      <c r="G139" s="2">
        <v>19</v>
      </c>
    </row>
    <row r="140" spans="1:7" x14ac:dyDescent="0.3">
      <c r="A140" s="2" t="s">
        <v>13</v>
      </c>
      <c r="B140" s="2">
        <v>18</v>
      </c>
      <c r="C140" s="2" t="s">
        <v>8</v>
      </c>
      <c r="D140" s="2">
        <v>750</v>
      </c>
      <c r="E140" s="2" t="s">
        <v>12</v>
      </c>
      <c r="F140">
        <f>20.93/31.86</f>
        <v>0.65693659761456369</v>
      </c>
      <c r="G140" s="2">
        <v>19</v>
      </c>
    </row>
    <row r="141" spans="1:7" x14ac:dyDescent="0.3">
      <c r="A141" s="2" t="s">
        <v>13</v>
      </c>
      <c r="B141" s="2">
        <v>18</v>
      </c>
      <c r="C141" s="2" t="s">
        <v>8</v>
      </c>
      <c r="D141" s="2">
        <v>250</v>
      </c>
      <c r="E141" s="2" t="s">
        <v>9</v>
      </c>
      <c r="F141">
        <f>0.18/0.26</f>
        <v>0.69230769230769229</v>
      </c>
      <c r="G141" s="2">
        <v>19</v>
      </c>
    </row>
    <row r="142" spans="1:7" x14ac:dyDescent="0.3">
      <c r="A142" s="2" t="s">
        <v>13</v>
      </c>
      <c r="B142" s="2">
        <v>18</v>
      </c>
      <c r="C142" s="2" t="s">
        <v>8</v>
      </c>
      <c r="D142" s="2">
        <v>500</v>
      </c>
      <c r="E142" s="2" t="s">
        <v>9</v>
      </c>
      <c r="F142">
        <f>0.12/0.26</f>
        <v>0.46153846153846151</v>
      </c>
      <c r="G142" s="2">
        <v>19</v>
      </c>
    </row>
    <row r="143" spans="1:7" x14ac:dyDescent="0.3">
      <c r="A143" s="2" t="s">
        <v>13</v>
      </c>
      <c r="B143" s="2">
        <v>18</v>
      </c>
      <c r="C143" s="2" t="s">
        <v>8</v>
      </c>
      <c r="D143" s="2">
        <v>750</v>
      </c>
      <c r="E143" s="2" t="s">
        <v>9</v>
      </c>
      <c r="F143">
        <f>0.07/0.26</f>
        <v>0.26923076923076927</v>
      </c>
      <c r="G143" s="2">
        <v>19</v>
      </c>
    </row>
    <row r="144" spans="1:7" x14ac:dyDescent="0.3">
      <c r="A144" s="2" t="s">
        <v>13</v>
      </c>
      <c r="B144" s="2">
        <v>18</v>
      </c>
      <c r="C144" s="2" t="s">
        <v>8</v>
      </c>
      <c r="D144" s="2">
        <v>250</v>
      </c>
      <c r="E144" s="2" t="s">
        <v>9</v>
      </c>
      <c r="F144">
        <f>0.32/0.38</f>
        <v>0.84210526315789469</v>
      </c>
      <c r="G144" s="2">
        <v>19</v>
      </c>
    </row>
    <row r="145" spans="1:7" x14ac:dyDescent="0.3">
      <c r="A145" s="2" t="s">
        <v>13</v>
      </c>
      <c r="B145" s="2">
        <v>18</v>
      </c>
      <c r="C145" s="2" t="s">
        <v>8</v>
      </c>
      <c r="D145" s="2">
        <v>500</v>
      </c>
      <c r="E145" s="2" t="s">
        <v>9</v>
      </c>
      <c r="F145">
        <f>0.23/0.38</f>
        <v>0.60526315789473684</v>
      </c>
      <c r="G145" s="2">
        <v>19</v>
      </c>
    </row>
    <row r="146" spans="1:7" x14ac:dyDescent="0.3">
      <c r="A146" s="2" t="s">
        <v>13</v>
      </c>
      <c r="B146" s="2">
        <v>18</v>
      </c>
      <c r="C146" s="2" t="s">
        <v>8</v>
      </c>
      <c r="D146" s="2">
        <v>750</v>
      </c>
      <c r="E146" s="2" t="s">
        <v>9</v>
      </c>
      <c r="F146">
        <f>0.13/0.38</f>
        <v>0.34210526315789475</v>
      </c>
      <c r="G146" s="2">
        <v>19</v>
      </c>
    </row>
    <row r="147" spans="1:7" x14ac:dyDescent="0.3">
      <c r="A147" s="2" t="s">
        <v>13</v>
      </c>
      <c r="B147" s="2">
        <v>18</v>
      </c>
      <c r="C147" s="2" t="s">
        <v>11</v>
      </c>
      <c r="D147" s="2">
        <v>250</v>
      </c>
      <c r="E147" s="2" t="s">
        <v>12</v>
      </c>
      <c r="F147">
        <f>1.17/1.7</f>
        <v>0.68823529411764706</v>
      </c>
      <c r="G147" s="2">
        <v>19</v>
      </c>
    </row>
    <row r="148" spans="1:7" x14ac:dyDescent="0.3">
      <c r="A148" s="2" t="s">
        <v>13</v>
      </c>
      <c r="B148" s="2">
        <v>18</v>
      </c>
      <c r="C148" s="2" t="s">
        <v>11</v>
      </c>
      <c r="D148" s="2">
        <v>500</v>
      </c>
      <c r="E148" s="2" t="s">
        <v>12</v>
      </c>
      <c r="F148">
        <f>0.97/1.7</f>
        <v>0.57058823529411762</v>
      </c>
      <c r="G148" s="2">
        <v>19</v>
      </c>
    </row>
    <row r="149" spans="1:7" x14ac:dyDescent="0.3">
      <c r="A149" s="2" t="s">
        <v>13</v>
      </c>
      <c r="B149" s="2">
        <v>18</v>
      </c>
      <c r="C149" s="2" t="s">
        <v>11</v>
      </c>
      <c r="D149" s="2">
        <v>750</v>
      </c>
      <c r="E149" s="2" t="s">
        <v>12</v>
      </c>
      <c r="F149">
        <f>0.9/1.7</f>
        <v>0.52941176470588236</v>
      </c>
      <c r="G149" s="2">
        <v>19</v>
      </c>
    </row>
    <row r="150" spans="1:7" x14ac:dyDescent="0.3">
      <c r="A150" s="2" t="s">
        <v>13</v>
      </c>
      <c r="B150" s="2">
        <v>18</v>
      </c>
      <c r="C150" s="2" t="s">
        <v>11</v>
      </c>
      <c r="D150" s="2">
        <v>250</v>
      </c>
      <c r="E150" s="2" t="s">
        <v>12</v>
      </c>
      <c r="F150">
        <f>1.2/1.3</f>
        <v>0.92307692307692302</v>
      </c>
      <c r="G150" s="2">
        <v>19</v>
      </c>
    </row>
    <row r="151" spans="1:7" x14ac:dyDescent="0.3">
      <c r="A151" s="2" t="s">
        <v>13</v>
      </c>
      <c r="B151" s="2">
        <v>18</v>
      </c>
      <c r="C151" s="2" t="s">
        <v>11</v>
      </c>
      <c r="D151" s="2">
        <v>500</v>
      </c>
      <c r="E151" s="2" t="s">
        <v>12</v>
      </c>
      <c r="F151">
        <f>0.93/1.3</f>
        <v>0.7153846153846154</v>
      </c>
      <c r="G151" s="2">
        <v>19</v>
      </c>
    </row>
    <row r="152" spans="1:7" x14ac:dyDescent="0.3">
      <c r="A152" s="2" t="s">
        <v>13</v>
      </c>
      <c r="B152" s="2">
        <v>18</v>
      </c>
      <c r="C152" s="2" t="s">
        <v>11</v>
      </c>
      <c r="D152" s="2">
        <v>750</v>
      </c>
      <c r="E152" s="2" t="s">
        <v>12</v>
      </c>
      <c r="F152">
        <f>0.82/1.3</f>
        <v>0.63076923076923075</v>
      </c>
      <c r="G152" s="2">
        <v>19</v>
      </c>
    </row>
    <row r="153" spans="1:7" x14ac:dyDescent="0.3">
      <c r="A153" s="2" t="s">
        <v>13</v>
      </c>
      <c r="B153" s="2">
        <v>18</v>
      </c>
      <c r="C153" s="2" t="s">
        <v>11</v>
      </c>
      <c r="D153" s="2">
        <v>250</v>
      </c>
      <c r="E153" s="2" t="s">
        <v>12</v>
      </c>
      <c r="F153">
        <f>18.05/25.1</f>
        <v>0.71912350597609564</v>
      </c>
      <c r="G153" s="2">
        <v>19</v>
      </c>
    </row>
    <row r="154" spans="1:7" x14ac:dyDescent="0.3">
      <c r="A154" s="2" t="s">
        <v>13</v>
      </c>
      <c r="B154" s="2">
        <v>18</v>
      </c>
      <c r="C154" s="2" t="s">
        <v>11</v>
      </c>
      <c r="D154" s="2">
        <v>500</v>
      </c>
      <c r="E154" s="2" t="s">
        <v>12</v>
      </c>
      <c r="F154">
        <f>12.21/25.1</f>
        <v>0.48645418326693229</v>
      </c>
      <c r="G154" s="2">
        <v>19</v>
      </c>
    </row>
    <row r="155" spans="1:7" x14ac:dyDescent="0.3">
      <c r="A155" s="2" t="s">
        <v>13</v>
      </c>
      <c r="B155" s="2">
        <v>18</v>
      </c>
      <c r="C155" s="2" t="s">
        <v>11</v>
      </c>
      <c r="D155" s="2">
        <v>750</v>
      </c>
      <c r="E155" s="2" t="s">
        <v>12</v>
      </c>
      <c r="F155">
        <f>6.9/25.1</f>
        <v>0.27490039840637448</v>
      </c>
      <c r="G155" s="2">
        <v>19</v>
      </c>
    </row>
    <row r="156" spans="1:7" x14ac:dyDescent="0.3">
      <c r="A156" s="2" t="s">
        <v>13</v>
      </c>
      <c r="B156" s="2">
        <v>18</v>
      </c>
      <c r="C156" s="2" t="s">
        <v>11</v>
      </c>
      <c r="D156" s="2">
        <v>250</v>
      </c>
      <c r="E156" s="2" t="s">
        <v>12</v>
      </c>
      <c r="F156">
        <f>20.98/27.84</f>
        <v>0.75359195402298851</v>
      </c>
      <c r="G156" s="2">
        <v>19</v>
      </c>
    </row>
    <row r="157" spans="1:7" x14ac:dyDescent="0.3">
      <c r="A157" s="2" t="s">
        <v>13</v>
      </c>
      <c r="B157" s="2">
        <v>18</v>
      </c>
      <c r="C157" s="2" t="s">
        <v>11</v>
      </c>
      <c r="D157" s="2">
        <v>500</v>
      </c>
      <c r="E157" s="2" t="s">
        <v>12</v>
      </c>
      <c r="F157">
        <f>15.61/27.84</f>
        <v>0.56070402298850575</v>
      </c>
      <c r="G157" s="2">
        <v>19</v>
      </c>
    </row>
    <row r="158" spans="1:7" x14ac:dyDescent="0.3">
      <c r="A158" s="2" t="s">
        <v>13</v>
      </c>
      <c r="B158" s="2">
        <v>18</v>
      </c>
      <c r="C158" s="2" t="s">
        <v>11</v>
      </c>
      <c r="D158" s="2">
        <v>750</v>
      </c>
      <c r="E158" s="2" t="s">
        <v>12</v>
      </c>
      <c r="F158">
        <f>13.4/27.84</f>
        <v>0.48132183908045978</v>
      </c>
      <c r="G158" s="2">
        <v>19</v>
      </c>
    </row>
    <row r="159" spans="1:7" x14ac:dyDescent="0.3">
      <c r="A159" s="2" t="s">
        <v>13</v>
      </c>
      <c r="B159" s="2">
        <v>18</v>
      </c>
      <c r="C159" s="2" t="s">
        <v>11</v>
      </c>
      <c r="D159" s="2">
        <v>250</v>
      </c>
      <c r="E159" s="2" t="s">
        <v>12</v>
      </c>
      <c r="F159">
        <f>22.87/30.33</f>
        <v>0.75403890537421703</v>
      </c>
      <c r="G159" s="2">
        <v>19</v>
      </c>
    </row>
    <row r="160" spans="1:7" x14ac:dyDescent="0.3">
      <c r="A160" s="2" t="s">
        <v>13</v>
      </c>
      <c r="B160" s="2">
        <v>18</v>
      </c>
      <c r="C160" s="2" t="s">
        <v>11</v>
      </c>
      <c r="D160" s="2">
        <v>500</v>
      </c>
      <c r="E160" s="2" t="s">
        <v>12</v>
      </c>
      <c r="F160">
        <f>17.38/30.33</f>
        <v>0.57303000329706566</v>
      </c>
      <c r="G160" s="2">
        <v>19</v>
      </c>
    </row>
    <row r="161" spans="1:7" x14ac:dyDescent="0.3">
      <c r="A161" s="2" t="s">
        <v>13</v>
      </c>
      <c r="B161" s="2">
        <v>18</v>
      </c>
      <c r="C161" s="2" t="s">
        <v>11</v>
      </c>
      <c r="D161" s="2">
        <v>750</v>
      </c>
      <c r="E161" s="2" t="s">
        <v>12</v>
      </c>
      <c r="F161">
        <f>10.84/30.33</f>
        <v>0.35740191229805474</v>
      </c>
      <c r="G161" s="2">
        <v>19</v>
      </c>
    </row>
    <row r="162" spans="1:7" x14ac:dyDescent="0.3">
      <c r="A162" s="2" t="s">
        <v>13</v>
      </c>
      <c r="B162" s="2">
        <v>18</v>
      </c>
      <c r="C162" s="2" t="s">
        <v>11</v>
      </c>
      <c r="D162" s="2">
        <v>250</v>
      </c>
      <c r="E162" s="2" t="s">
        <v>12</v>
      </c>
      <c r="F162">
        <f>23.73/28.34</f>
        <v>0.83733239237826396</v>
      </c>
      <c r="G162" s="2">
        <v>19</v>
      </c>
    </row>
    <row r="163" spans="1:7" x14ac:dyDescent="0.3">
      <c r="A163" s="2" t="s">
        <v>13</v>
      </c>
      <c r="B163" s="2">
        <v>18</v>
      </c>
      <c r="C163" s="2" t="s">
        <v>11</v>
      </c>
      <c r="D163" s="2">
        <v>500</v>
      </c>
      <c r="E163" s="2" t="s">
        <v>12</v>
      </c>
      <c r="F163">
        <f>19.73/28.34</f>
        <v>0.69618913196894849</v>
      </c>
      <c r="G163" s="2">
        <v>19</v>
      </c>
    </row>
    <row r="164" spans="1:7" x14ac:dyDescent="0.3">
      <c r="A164" s="2" t="s">
        <v>13</v>
      </c>
      <c r="B164" s="2">
        <v>18</v>
      </c>
      <c r="C164" s="2" t="s">
        <v>11</v>
      </c>
      <c r="D164" s="2">
        <v>750</v>
      </c>
      <c r="E164" s="2" t="s">
        <v>12</v>
      </c>
      <c r="F164">
        <f>15.08/28.34</f>
        <v>0.5321100917431193</v>
      </c>
      <c r="G164" s="2">
        <v>19</v>
      </c>
    </row>
    <row r="165" spans="1:7" x14ac:dyDescent="0.3">
      <c r="A165" s="2" t="s">
        <v>13</v>
      </c>
      <c r="B165" s="2">
        <v>18</v>
      </c>
      <c r="C165" s="2" t="s">
        <v>8</v>
      </c>
      <c r="D165" s="2">
        <v>250</v>
      </c>
      <c r="E165" s="2" t="s">
        <v>10</v>
      </c>
      <c r="F165">
        <f>11.42/7.45</f>
        <v>1.5328859060402684</v>
      </c>
      <c r="G165" s="2">
        <v>19</v>
      </c>
    </row>
    <row r="166" spans="1:7" x14ac:dyDescent="0.3">
      <c r="A166" s="2" t="s">
        <v>13</v>
      </c>
      <c r="B166" s="2">
        <v>18</v>
      </c>
      <c r="C166" s="2" t="s">
        <v>8</v>
      </c>
      <c r="D166" s="2">
        <v>500</v>
      </c>
      <c r="E166" s="2" t="s">
        <v>10</v>
      </c>
      <c r="F166">
        <f>16.48/7.45</f>
        <v>2.2120805369127519</v>
      </c>
      <c r="G166" s="2">
        <v>19</v>
      </c>
    </row>
    <row r="167" spans="1:7" x14ac:dyDescent="0.3">
      <c r="A167" s="2" t="s">
        <v>13</v>
      </c>
      <c r="B167" s="2">
        <v>18</v>
      </c>
      <c r="C167" s="2" t="s">
        <v>8</v>
      </c>
      <c r="D167" s="2">
        <v>750</v>
      </c>
      <c r="E167" s="2" t="s">
        <v>10</v>
      </c>
      <c r="F167">
        <f>21.45/7.45</f>
        <v>2.8791946308724832</v>
      </c>
      <c r="G167" s="2">
        <v>19</v>
      </c>
    </row>
    <row r="168" spans="1:7" x14ac:dyDescent="0.3">
      <c r="A168" s="2" t="s">
        <v>13</v>
      </c>
      <c r="B168" s="2">
        <v>18</v>
      </c>
      <c r="C168" s="2" t="s">
        <v>8</v>
      </c>
      <c r="D168" s="2">
        <v>250</v>
      </c>
      <c r="E168" s="2" t="s">
        <v>10</v>
      </c>
      <c r="F168">
        <f>11.23/8.24</f>
        <v>1.362864077669903</v>
      </c>
      <c r="G168" s="2">
        <v>19</v>
      </c>
    </row>
    <row r="169" spans="1:7" x14ac:dyDescent="0.3">
      <c r="A169" s="2" t="s">
        <v>13</v>
      </c>
      <c r="B169" s="2">
        <v>18</v>
      </c>
      <c r="C169" s="2" t="s">
        <v>8</v>
      </c>
      <c r="D169" s="2">
        <v>500</v>
      </c>
      <c r="E169" s="2" t="s">
        <v>10</v>
      </c>
      <c r="F169">
        <f>15.24/8.24</f>
        <v>1.8495145631067962</v>
      </c>
      <c r="G169" s="2">
        <v>19</v>
      </c>
    </row>
    <row r="170" spans="1:7" x14ac:dyDescent="0.3">
      <c r="A170" s="2" t="s">
        <v>13</v>
      </c>
      <c r="B170" s="2">
        <v>18</v>
      </c>
      <c r="C170" s="2" t="s">
        <v>8</v>
      </c>
      <c r="D170" s="2">
        <v>750</v>
      </c>
      <c r="E170" s="2" t="s">
        <v>10</v>
      </c>
      <c r="F170">
        <f>20.19/8.24</f>
        <v>2.450242718446602</v>
      </c>
      <c r="G170" s="2">
        <v>19</v>
      </c>
    </row>
    <row r="171" spans="1:7" x14ac:dyDescent="0.3">
      <c r="A171" s="2" t="s">
        <v>13</v>
      </c>
      <c r="B171" s="2">
        <v>18</v>
      </c>
      <c r="C171" s="2" t="s">
        <v>8</v>
      </c>
      <c r="D171" s="2">
        <v>250</v>
      </c>
      <c r="E171" s="2" t="s">
        <v>10</v>
      </c>
      <c r="F171">
        <f>60/44.6</f>
        <v>1.3452914798206277</v>
      </c>
      <c r="G171" s="2">
        <v>19</v>
      </c>
    </row>
    <row r="172" spans="1:7" x14ac:dyDescent="0.3">
      <c r="A172" s="2" t="s">
        <v>13</v>
      </c>
      <c r="B172" s="2">
        <v>18</v>
      </c>
      <c r="C172" s="2" t="s">
        <v>8</v>
      </c>
      <c r="D172" s="2">
        <v>500</v>
      </c>
      <c r="E172" s="2" t="s">
        <v>10</v>
      </c>
      <c r="F172">
        <f>73.7/44.6</f>
        <v>1.6524663677130045</v>
      </c>
      <c r="G172" s="2">
        <v>19</v>
      </c>
    </row>
    <row r="173" spans="1:7" x14ac:dyDescent="0.3">
      <c r="A173" s="2" t="s">
        <v>13</v>
      </c>
      <c r="B173" s="2">
        <v>18</v>
      </c>
      <c r="C173" s="2" t="s">
        <v>8</v>
      </c>
      <c r="D173" s="2">
        <v>750</v>
      </c>
      <c r="E173" s="2" t="s">
        <v>10</v>
      </c>
      <c r="F173">
        <f>86.4/44.6</f>
        <v>1.9372197309417041</v>
      </c>
      <c r="G173" s="2">
        <v>19</v>
      </c>
    </row>
    <row r="174" spans="1:7" x14ac:dyDescent="0.3">
      <c r="A174" s="2" t="s">
        <v>13</v>
      </c>
      <c r="B174" s="2">
        <v>18</v>
      </c>
      <c r="C174" s="2" t="s">
        <v>8</v>
      </c>
      <c r="D174" s="2">
        <v>250</v>
      </c>
      <c r="E174" s="2" t="s">
        <v>10</v>
      </c>
      <c r="F174">
        <f>48.01/36.38</f>
        <v>1.3196811434854314</v>
      </c>
      <c r="G174" s="2">
        <v>19</v>
      </c>
    </row>
    <row r="175" spans="1:7" x14ac:dyDescent="0.3">
      <c r="A175" s="2" t="s">
        <v>13</v>
      </c>
      <c r="B175" s="2">
        <v>18</v>
      </c>
      <c r="C175" s="2" t="s">
        <v>8</v>
      </c>
      <c r="D175" s="2">
        <v>500</v>
      </c>
      <c r="E175" s="2" t="s">
        <v>10</v>
      </c>
      <c r="F175">
        <f>59.37/36.38</f>
        <v>1.6319406267179768</v>
      </c>
      <c r="G175" s="2">
        <v>19</v>
      </c>
    </row>
    <row r="176" spans="1:7" x14ac:dyDescent="0.3">
      <c r="A176" s="2" t="s">
        <v>13</v>
      </c>
      <c r="B176" s="2">
        <v>18</v>
      </c>
      <c r="C176" s="2" t="s">
        <v>8</v>
      </c>
      <c r="D176" s="2">
        <v>750</v>
      </c>
      <c r="E176" s="2" t="s">
        <v>10</v>
      </c>
      <c r="F176">
        <f>72.48/36.38</f>
        <v>1.9923034634414514</v>
      </c>
      <c r="G176" s="2">
        <v>19</v>
      </c>
    </row>
    <row r="177" spans="1:7" x14ac:dyDescent="0.3">
      <c r="A177" s="2" t="s">
        <v>13</v>
      </c>
      <c r="B177" s="2">
        <v>18</v>
      </c>
      <c r="C177" s="2" t="s">
        <v>8</v>
      </c>
      <c r="D177" s="2">
        <v>250</v>
      </c>
      <c r="E177" s="2" t="s">
        <v>10</v>
      </c>
      <c r="F177">
        <f>7.66/5.35</f>
        <v>1.4317757009345795</v>
      </c>
      <c r="G177" s="2">
        <v>19</v>
      </c>
    </row>
    <row r="178" spans="1:7" x14ac:dyDescent="0.3">
      <c r="A178" s="2" t="s">
        <v>13</v>
      </c>
      <c r="B178" s="2">
        <v>18</v>
      </c>
      <c r="C178" s="2" t="s">
        <v>8</v>
      </c>
      <c r="D178" s="2">
        <v>500</v>
      </c>
      <c r="E178" s="2" t="s">
        <v>10</v>
      </c>
      <c r="F178">
        <f>12.41/5.35</f>
        <v>2.3196261682242993</v>
      </c>
      <c r="G178" s="2">
        <v>19</v>
      </c>
    </row>
    <row r="179" spans="1:7" x14ac:dyDescent="0.3">
      <c r="A179" s="2" t="s">
        <v>13</v>
      </c>
      <c r="B179" s="2">
        <v>18</v>
      </c>
      <c r="C179" s="2" t="s">
        <v>8</v>
      </c>
      <c r="D179" s="2">
        <v>750</v>
      </c>
      <c r="E179" s="2" t="s">
        <v>10</v>
      </c>
      <c r="F179">
        <f>15.3/5.35</f>
        <v>2.8598130841121501</v>
      </c>
      <c r="G179" s="2">
        <v>19</v>
      </c>
    </row>
    <row r="180" spans="1:7" x14ac:dyDescent="0.3">
      <c r="A180" s="2" t="s">
        <v>13</v>
      </c>
      <c r="B180" s="2">
        <v>18</v>
      </c>
      <c r="C180" s="2" t="s">
        <v>8</v>
      </c>
      <c r="D180" s="2">
        <v>250</v>
      </c>
      <c r="E180" s="2" t="s">
        <v>10</v>
      </c>
      <c r="F180">
        <f>6.43/4.83</f>
        <v>1.331262939958592</v>
      </c>
      <c r="G180" s="2">
        <v>19</v>
      </c>
    </row>
    <row r="181" spans="1:7" x14ac:dyDescent="0.3">
      <c r="A181" s="2" t="s">
        <v>13</v>
      </c>
      <c r="B181" s="2">
        <v>18</v>
      </c>
      <c r="C181" s="2" t="s">
        <v>8</v>
      </c>
      <c r="D181" s="2">
        <v>500</v>
      </c>
      <c r="E181" s="2" t="s">
        <v>10</v>
      </c>
      <c r="F181">
        <f>7.24/4.83</f>
        <v>1.4989648033126295</v>
      </c>
      <c r="G181" s="2">
        <v>19</v>
      </c>
    </row>
    <row r="182" spans="1:7" x14ac:dyDescent="0.3">
      <c r="A182" s="2" t="s">
        <v>13</v>
      </c>
      <c r="B182" s="2">
        <v>18</v>
      </c>
      <c r="C182" s="2" t="s">
        <v>8</v>
      </c>
      <c r="D182" s="2">
        <v>750</v>
      </c>
      <c r="E182" s="2" t="s">
        <v>10</v>
      </c>
      <c r="F182">
        <f>8.57/4.82</f>
        <v>1.7780082987551866</v>
      </c>
      <c r="G182" s="2">
        <v>19</v>
      </c>
    </row>
    <row r="183" spans="1:7" x14ac:dyDescent="0.3">
      <c r="A183" s="2" t="s">
        <v>13</v>
      </c>
      <c r="B183" s="2">
        <v>18</v>
      </c>
      <c r="C183" s="2" t="s">
        <v>11</v>
      </c>
      <c r="D183" s="2">
        <v>250</v>
      </c>
      <c r="E183" s="2" t="s">
        <v>10</v>
      </c>
      <c r="F183">
        <f>14.37/8.34</f>
        <v>1.7230215827338129</v>
      </c>
      <c r="G183" s="2">
        <v>19</v>
      </c>
    </row>
    <row r="184" spans="1:7" x14ac:dyDescent="0.3">
      <c r="A184" s="2" t="s">
        <v>13</v>
      </c>
      <c r="B184" s="2">
        <v>18</v>
      </c>
      <c r="C184" s="2" t="s">
        <v>11</v>
      </c>
      <c r="D184" s="2">
        <v>500</v>
      </c>
      <c r="E184" s="2" t="s">
        <v>10</v>
      </c>
      <c r="F184">
        <f>19.43/8.34</f>
        <v>2.3297362110311752</v>
      </c>
      <c r="G184" s="2">
        <v>19</v>
      </c>
    </row>
    <row r="185" spans="1:7" x14ac:dyDescent="0.3">
      <c r="A185" s="2" t="s">
        <v>13</v>
      </c>
      <c r="B185" s="2">
        <v>18</v>
      </c>
      <c r="C185" s="2" t="s">
        <v>11</v>
      </c>
      <c r="D185" s="2">
        <v>750</v>
      </c>
      <c r="E185" s="2" t="s">
        <v>10</v>
      </c>
      <c r="F185">
        <f>25.46/8.34</f>
        <v>3.0527577937649881</v>
      </c>
      <c r="G185" s="2">
        <v>19</v>
      </c>
    </row>
    <row r="186" spans="1:7" x14ac:dyDescent="0.3">
      <c r="A186" s="2" t="s">
        <v>13</v>
      </c>
      <c r="B186" s="2">
        <v>18</v>
      </c>
      <c r="C186" s="2" t="s">
        <v>11</v>
      </c>
      <c r="D186" s="2">
        <v>250</v>
      </c>
      <c r="E186" s="2" t="s">
        <v>10</v>
      </c>
      <c r="F186">
        <f>8.34/5.33</f>
        <v>1.5647279549718573</v>
      </c>
      <c r="G186" s="2">
        <v>19</v>
      </c>
    </row>
    <row r="187" spans="1:7" x14ac:dyDescent="0.3">
      <c r="A187" s="2" t="s">
        <v>13</v>
      </c>
      <c r="B187" s="2">
        <v>18</v>
      </c>
      <c r="C187" s="2" t="s">
        <v>11</v>
      </c>
      <c r="D187" s="2">
        <v>500</v>
      </c>
      <c r="E187" s="2" t="s">
        <v>10</v>
      </c>
      <c r="F187">
        <f>10.25/5.33</f>
        <v>1.9230769230769231</v>
      </c>
      <c r="G187" s="2">
        <v>19</v>
      </c>
    </row>
    <row r="188" spans="1:7" x14ac:dyDescent="0.3">
      <c r="A188" s="2" t="s">
        <v>13</v>
      </c>
      <c r="B188" s="2">
        <v>18</v>
      </c>
      <c r="C188" s="2" t="s">
        <v>11</v>
      </c>
      <c r="D188" s="2">
        <v>750</v>
      </c>
      <c r="E188" s="2" t="s">
        <v>10</v>
      </c>
      <c r="F188">
        <f>14.43/5.33</f>
        <v>2.7073170731707314</v>
      </c>
      <c r="G188" s="2">
        <v>19</v>
      </c>
    </row>
    <row r="189" spans="1:7" x14ac:dyDescent="0.3">
      <c r="A189" s="2" t="s">
        <v>13</v>
      </c>
      <c r="B189" s="2">
        <v>18</v>
      </c>
      <c r="C189" s="2" t="s">
        <v>11</v>
      </c>
      <c r="D189" s="2">
        <v>250</v>
      </c>
      <c r="E189" s="2" t="s">
        <v>10</v>
      </c>
      <c r="F189">
        <f>65.85/45.41</f>
        <v>1.4501211186963223</v>
      </c>
      <c r="G189" s="2">
        <v>19</v>
      </c>
    </row>
    <row r="190" spans="1:7" x14ac:dyDescent="0.3">
      <c r="A190" s="2" t="s">
        <v>13</v>
      </c>
      <c r="B190" s="2">
        <v>18</v>
      </c>
      <c r="C190" s="2" t="s">
        <v>11</v>
      </c>
      <c r="D190" s="2">
        <v>500</v>
      </c>
      <c r="E190" s="2" t="s">
        <v>10</v>
      </c>
      <c r="F190">
        <f>79.55/45.41</f>
        <v>1.7518167804448359</v>
      </c>
      <c r="G190" s="2">
        <v>19</v>
      </c>
    </row>
    <row r="191" spans="1:7" x14ac:dyDescent="0.3">
      <c r="A191" s="2" t="s">
        <v>13</v>
      </c>
      <c r="B191" s="2">
        <v>18</v>
      </c>
      <c r="C191" s="2" t="s">
        <v>11</v>
      </c>
      <c r="D191" s="2">
        <v>750</v>
      </c>
      <c r="E191" s="2" t="s">
        <v>10</v>
      </c>
      <c r="F191">
        <f>93.38/45.41</f>
        <v>2.0563752477427881</v>
      </c>
      <c r="G191" s="2">
        <v>19</v>
      </c>
    </row>
    <row r="192" spans="1:7" x14ac:dyDescent="0.3">
      <c r="A192" s="2" t="s">
        <v>13</v>
      </c>
      <c r="B192" s="2">
        <v>18</v>
      </c>
      <c r="C192" s="2" t="s">
        <v>11</v>
      </c>
      <c r="D192" s="2">
        <v>250</v>
      </c>
      <c r="E192" s="2" t="s">
        <v>10</v>
      </c>
      <c r="F192">
        <f>50.38/30.54</f>
        <v>1.6496398166339228</v>
      </c>
      <c r="G192" s="2">
        <v>19</v>
      </c>
    </row>
    <row r="193" spans="1:7" x14ac:dyDescent="0.3">
      <c r="A193" s="2" t="s">
        <v>13</v>
      </c>
      <c r="B193" s="2">
        <v>18</v>
      </c>
      <c r="C193" s="2" t="s">
        <v>11</v>
      </c>
      <c r="D193" s="2">
        <v>500</v>
      </c>
      <c r="E193" s="2" t="s">
        <v>10</v>
      </c>
      <c r="F193">
        <f>62.34/30.54</f>
        <v>2.0412573673870336</v>
      </c>
      <c r="G193" s="2">
        <v>19</v>
      </c>
    </row>
    <row r="194" spans="1:7" x14ac:dyDescent="0.3">
      <c r="A194" s="2" t="s">
        <v>13</v>
      </c>
      <c r="B194" s="2">
        <v>18</v>
      </c>
      <c r="C194" s="2" t="s">
        <v>11</v>
      </c>
      <c r="D194" s="2">
        <v>750</v>
      </c>
      <c r="E194" s="2" t="s">
        <v>10</v>
      </c>
      <c r="F194">
        <f>70.26/30.54</f>
        <v>2.300589390962672</v>
      </c>
      <c r="G194" s="2">
        <v>19</v>
      </c>
    </row>
    <row r="195" spans="1:7" x14ac:dyDescent="0.3">
      <c r="A195" s="2" t="s">
        <v>13</v>
      </c>
      <c r="B195" s="2">
        <v>18</v>
      </c>
      <c r="C195" s="2" t="s">
        <v>11</v>
      </c>
      <c r="D195" s="2">
        <v>250</v>
      </c>
      <c r="E195" s="2" t="s">
        <v>10</v>
      </c>
      <c r="F195">
        <f>932/650</f>
        <v>1.4338461538461538</v>
      </c>
      <c r="G195" s="2">
        <v>19</v>
      </c>
    </row>
    <row r="196" spans="1:7" x14ac:dyDescent="0.3">
      <c r="A196" s="2" t="s">
        <v>13</v>
      </c>
      <c r="B196" s="2">
        <v>18</v>
      </c>
      <c r="C196" s="2" t="s">
        <v>11</v>
      </c>
      <c r="D196" s="2">
        <v>500</v>
      </c>
      <c r="E196" s="2" t="s">
        <v>10</v>
      </c>
      <c r="F196">
        <f>1342/650</f>
        <v>2.0646153846153847</v>
      </c>
      <c r="G196" s="2">
        <v>19</v>
      </c>
    </row>
    <row r="197" spans="1:7" x14ac:dyDescent="0.3">
      <c r="A197" s="2" t="s">
        <v>13</v>
      </c>
      <c r="B197" s="2">
        <v>18</v>
      </c>
      <c r="C197" s="2" t="s">
        <v>11</v>
      </c>
      <c r="D197" s="2">
        <v>750</v>
      </c>
      <c r="E197" s="2" t="s">
        <v>10</v>
      </c>
      <c r="F197">
        <f>1873/650</f>
        <v>2.8815384615384616</v>
      </c>
      <c r="G197" s="2">
        <v>19</v>
      </c>
    </row>
    <row r="198" spans="1:7" x14ac:dyDescent="0.3">
      <c r="A198" s="2" t="s">
        <v>13</v>
      </c>
      <c r="B198" s="2">
        <v>18</v>
      </c>
      <c r="C198" s="2" t="s">
        <v>11</v>
      </c>
      <c r="D198" s="2">
        <v>250</v>
      </c>
      <c r="E198" s="2" t="s">
        <v>10</v>
      </c>
      <c r="F198">
        <f>757/560</f>
        <v>1.3517857142857144</v>
      </c>
      <c r="G198" s="2">
        <v>19</v>
      </c>
    </row>
    <row r="199" spans="1:7" x14ac:dyDescent="0.3">
      <c r="A199" s="2" t="s">
        <v>13</v>
      </c>
      <c r="B199" s="2">
        <v>18</v>
      </c>
      <c r="C199" s="2" t="s">
        <v>11</v>
      </c>
      <c r="D199" s="2">
        <v>500</v>
      </c>
      <c r="E199" s="2" t="s">
        <v>10</v>
      </c>
      <c r="F199">
        <f>933/560</f>
        <v>1.6660714285714286</v>
      </c>
      <c r="G199" s="2">
        <v>19</v>
      </c>
    </row>
    <row r="200" spans="1:7" x14ac:dyDescent="0.3">
      <c r="A200" s="2" t="s">
        <v>13</v>
      </c>
      <c r="B200" s="2">
        <v>18</v>
      </c>
      <c r="C200" s="2" t="s">
        <v>11</v>
      </c>
      <c r="D200" s="2">
        <v>750</v>
      </c>
      <c r="E200" s="2" t="s">
        <v>10</v>
      </c>
      <c r="F200">
        <f>1149/560</f>
        <v>2.0517857142857143</v>
      </c>
      <c r="G200" s="2">
        <v>19</v>
      </c>
    </row>
    <row r="201" spans="1:7" x14ac:dyDescent="0.3">
      <c r="A201" s="2" t="s">
        <v>13</v>
      </c>
      <c r="B201" s="2">
        <v>18</v>
      </c>
      <c r="C201" s="2" t="s">
        <v>8</v>
      </c>
      <c r="D201" s="2">
        <v>250</v>
      </c>
      <c r="E201" s="2" t="s">
        <v>10</v>
      </c>
      <c r="F201">
        <f>116.1/85.65</f>
        <v>1.3555166374781085</v>
      </c>
      <c r="G201" s="2">
        <v>19</v>
      </c>
    </row>
    <row r="202" spans="1:7" x14ac:dyDescent="0.3">
      <c r="A202" s="2" t="s">
        <v>13</v>
      </c>
      <c r="B202" s="2">
        <v>18</v>
      </c>
      <c r="C202" s="2" t="s">
        <v>8</v>
      </c>
      <c r="D202" s="2">
        <v>500</v>
      </c>
      <c r="E202" s="2" t="s">
        <v>10</v>
      </c>
      <c r="F202">
        <f>13311/8565</f>
        <v>1.5541155866900176</v>
      </c>
      <c r="G202" s="2">
        <v>19</v>
      </c>
    </row>
    <row r="203" spans="1:7" x14ac:dyDescent="0.3">
      <c r="A203" s="2" t="s">
        <v>13</v>
      </c>
      <c r="B203" s="2">
        <v>18</v>
      </c>
      <c r="C203" s="2" t="s">
        <v>8</v>
      </c>
      <c r="D203" s="2">
        <v>750</v>
      </c>
      <c r="E203" s="2" t="s">
        <v>10</v>
      </c>
      <c r="F203">
        <f>16010/8565</f>
        <v>1.869235259778167</v>
      </c>
      <c r="G203" s="2">
        <v>19</v>
      </c>
    </row>
    <row r="204" spans="1:7" x14ac:dyDescent="0.3">
      <c r="A204" s="2" t="s">
        <v>13</v>
      </c>
      <c r="B204" s="2">
        <v>18</v>
      </c>
      <c r="C204" s="2" t="s">
        <v>8</v>
      </c>
      <c r="D204" s="2">
        <v>250</v>
      </c>
      <c r="E204" s="2" t="s">
        <v>10</v>
      </c>
      <c r="F204">
        <f>7415/5570</f>
        <v>1.3312387791741471</v>
      </c>
      <c r="G204" s="2">
        <v>19</v>
      </c>
    </row>
    <row r="205" spans="1:7" x14ac:dyDescent="0.3">
      <c r="A205" s="2" t="s">
        <v>13</v>
      </c>
      <c r="B205" s="2">
        <v>18</v>
      </c>
      <c r="C205" s="2" t="s">
        <v>8</v>
      </c>
      <c r="D205" s="2">
        <v>500</v>
      </c>
      <c r="E205" s="2" t="s">
        <v>10</v>
      </c>
      <c r="F205">
        <f>9593/5570</f>
        <v>1.7222621184919209</v>
      </c>
      <c r="G205" s="2">
        <v>19</v>
      </c>
    </row>
    <row r="206" spans="1:7" x14ac:dyDescent="0.3">
      <c r="A206" s="2" t="s">
        <v>13</v>
      </c>
      <c r="B206" s="2">
        <v>18</v>
      </c>
      <c r="C206" s="2" t="s">
        <v>8</v>
      </c>
      <c r="D206" s="2">
        <v>750</v>
      </c>
      <c r="E206" s="2" t="s">
        <v>10</v>
      </c>
      <c r="F206">
        <f>11171/5570</f>
        <v>2.0055655296229804</v>
      </c>
      <c r="G206" s="2">
        <v>19</v>
      </c>
    </row>
    <row r="207" spans="1:7" x14ac:dyDescent="0.3">
      <c r="A207" s="2" t="s">
        <v>13</v>
      </c>
      <c r="B207" s="2">
        <v>18</v>
      </c>
      <c r="C207" s="2" t="s">
        <v>8</v>
      </c>
      <c r="D207" s="2">
        <v>250</v>
      </c>
      <c r="E207" s="2" t="s">
        <v>10</v>
      </c>
      <c r="F207">
        <f>5119/4710</f>
        <v>1.0868365180467092</v>
      </c>
      <c r="G207" s="2">
        <v>19</v>
      </c>
    </row>
    <row r="208" spans="1:7" x14ac:dyDescent="0.3">
      <c r="A208" s="2" t="s">
        <v>13</v>
      </c>
      <c r="B208" s="2">
        <v>18</v>
      </c>
      <c r="C208" s="2" t="s">
        <v>8</v>
      </c>
      <c r="D208" s="2">
        <v>500</v>
      </c>
      <c r="E208" s="2" t="s">
        <v>10</v>
      </c>
      <c r="F208">
        <f>5208/4710</f>
        <v>1.1057324840764331</v>
      </c>
      <c r="G208" s="2">
        <v>19</v>
      </c>
    </row>
    <row r="209" spans="1:7" x14ac:dyDescent="0.3">
      <c r="A209" s="2" t="s">
        <v>13</v>
      </c>
      <c r="B209" s="2">
        <v>18</v>
      </c>
      <c r="C209" s="2" t="s">
        <v>8</v>
      </c>
      <c r="D209" s="2">
        <v>750</v>
      </c>
      <c r="E209" s="2" t="s">
        <v>10</v>
      </c>
      <c r="F209">
        <f>5519/4710</f>
        <v>1.1717622080679406</v>
      </c>
      <c r="G209" s="2">
        <v>19</v>
      </c>
    </row>
    <row r="210" spans="1:7" x14ac:dyDescent="0.3">
      <c r="A210" s="2" t="s">
        <v>13</v>
      </c>
      <c r="B210" s="2">
        <v>18</v>
      </c>
      <c r="C210" s="2" t="s">
        <v>8</v>
      </c>
      <c r="D210" s="2">
        <v>250</v>
      </c>
      <c r="E210" s="2" t="s">
        <v>10</v>
      </c>
      <c r="F210">
        <f>4856/4015</f>
        <v>1.2094645080946451</v>
      </c>
      <c r="G210" s="2">
        <v>19</v>
      </c>
    </row>
    <row r="211" spans="1:7" x14ac:dyDescent="0.3">
      <c r="A211" s="2" t="s">
        <v>13</v>
      </c>
      <c r="B211" s="2">
        <v>18</v>
      </c>
      <c r="C211" s="2" t="s">
        <v>8</v>
      </c>
      <c r="D211" s="2">
        <v>500</v>
      </c>
      <c r="E211" s="2" t="s">
        <v>10</v>
      </c>
      <c r="F211">
        <f>5317/4015</f>
        <v>1.3242839352428393</v>
      </c>
      <c r="G211" s="2">
        <v>19</v>
      </c>
    </row>
    <row r="212" spans="1:7" s="1" customFormat="1" ht="13.9" thickBot="1" x14ac:dyDescent="0.35">
      <c r="A212" s="3" t="s">
        <v>13</v>
      </c>
      <c r="B212" s="3">
        <v>18</v>
      </c>
      <c r="C212" s="3" t="s">
        <v>8</v>
      </c>
      <c r="D212" s="3">
        <v>750</v>
      </c>
      <c r="E212" s="3" t="s">
        <v>10</v>
      </c>
      <c r="F212" s="1">
        <f>6097/4015</f>
        <v>1.5185554171855542</v>
      </c>
      <c r="G212" s="3">
        <v>19</v>
      </c>
    </row>
    <row r="213" spans="1:7" x14ac:dyDescent="0.3">
      <c r="A213" t="s">
        <v>14</v>
      </c>
      <c r="B213" s="2">
        <v>12</v>
      </c>
      <c r="C213" s="2" t="s">
        <v>8</v>
      </c>
      <c r="D213" s="2">
        <v>1000</v>
      </c>
      <c r="E213" s="2" t="s">
        <v>12</v>
      </c>
      <c r="F213" s="2">
        <f>643/1325</f>
        <v>0.48528301886792452</v>
      </c>
      <c r="G213" s="2">
        <v>20</v>
      </c>
    </row>
    <row r="214" spans="1:7" x14ac:dyDescent="0.3">
      <c r="A214" t="s">
        <v>15</v>
      </c>
      <c r="B214" s="2">
        <v>12</v>
      </c>
      <c r="C214" s="2" t="s">
        <v>8</v>
      </c>
      <c r="D214" s="2">
        <v>1000</v>
      </c>
      <c r="E214" s="2" t="s">
        <v>12</v>
      </c>
      <c r="F214">
        <f>779/1325</f>
        <v>0.5879245283018868</v>
      </c>
      <c r="G214" s="2">
        <v>20</v>
      </c>
    </row>
    <row r="215" spans="1:7" x14ac:dyDescent="0.3">
      <c r="A215" t="s">
        <v>14</v>
      </c>
      <c r="B215" s="2">
        <v>12</v>
      </c>
      <c r="C215" s="2" t="s">
        <v>11</v>
      </c>
      <c r="D215" s="2">
        <v>1000</v>
      </c>
      <c r="E215" s="2" t="s">
        <v>12</v>
      </c>
      <c r="F215" s="2">
        <f>392/705</f>
        <v>0.55602836879432627</v>
      </c>
      <c r="G215" s="2">
        <v>20</v>
      </c>
    </row>
    <row r="216" spans="1:7" x14ac:dyDescent="0.3">
      <c r="A216" t="s">
        <v>15</v>
      </c>
      <c r="B216" s="2">
        <v>12</v>
      </c>
      <c r="C216" s="2" t="s">
        <v>11</v>
      </c>
      <c r="D216" s="2">
        <v>1000</v>
      </c>
      <c r="E216" s="2" t="s">
        <v>12</v>
      </c>
      <c r="F216">
        <f>467/705</f>
        <v>0.66241134751773045</v>
      </c>
      <c r="G216" s="2">
        <v>20</v>
      </c>
    </row>
    <row r="217" spans="1:7" x14ac:dyDescent="0.3">
      <c r="A217" t="s">
        <v>14</v>
      </c>
      <c r="B217" s="2">
        <v>12</v>
      </c>
      <c r="C217" s="2" t="s">
        <v>11</v>
      </c>
      <c r="D217" s="2">
        <v>1000</v>
      </c>
      <c r="E217" s="2" t="s">
        <v>12</v>
      </c>
      <c r="F217">
        <f>27/41</f>
        <v>0.65853658536585369</v>
      </c>
      <c r="G217" s="2">
        <v>20</v>
      </c>
    </row>
    <row r="218" spans="1:7" x14ac:dyDescent="0.3">
      <c r="A218" t="s">
        <v>15</v>
      </c>
      <c r="B218" s="2">
        <v>12</v>
      </c>
      <c r="C218" s="2" t="s">
        <v>11</v>
      </c>
      <c r="D218" s="2">
        <v>1000</v>
      </c>
      <c r="E218" s="2" t="s">
        <v>12</v>
      </c>
      <c r="F218">
        <f>30/41</f>
        <v>0.73170731707317072</v>
      </c>
      <c r="G218" s="2">
        <v>20</v>
      </c>
    </row>
    <row r="219" spans="1:7" x14ac:dyDescent="0.3">
      <c r="A219" t="s">
        <v>14</v>
      </c>
      <c r="B219" s="2">
        <v>12</v>
      </c>
      <c r="C219" s="2" t="s">
        <v>8</v>
      </c>
      <c r="D219" s="2">
        <v>1000</v>
      </c>
      <c r="E219" s="2" t="s">
        <v>12</v>
      </c>
      <c r="F219">
        <f>47/69</f>
        <v>0.6811594202898551</v>
      </c>
      <c r="G219" s="2">
        <v>20</v>
      </c>
    </row>
    <row r="220" spans="1:7" x14ac:dyDescent="0.3">
      <c r="A220" t="s">
        <v>15</v>
      </c>
      <c r="B220" s="2">
        <v>12</v>
      </c>
      <c r="C220" s="2" t="s">
        <v>8</v>
      </c>
      <c r="D220" s="2">
        <v>1000</v>
      </c>
      <c r="E220" s="2" t="s">
        <v>12</v>
      </c>
      <c r="F220">
        <f>42/69</f>
        <v>0.60869565217391308</v>
      </c>
      <c r="G220" s="2">
        <v>20</v>
      </c>
    </row>
    <row r="221" spans="1:7" x14ac:dyDescent="0.3">
      <c r="A221" t="s">
        <v>14</v>
      </c>
      <c r="B221" s="2">
        <v>12</v>
      </c>
      <c r="C221" s="2" t="s">
        <v>8</v>
      </c>
      <c r="D221" s="2">
        <v>1000</v>
      </c>
      <c r="E221" s="2" t="s">
        <v>9</v>
      </c>
      <c r="F221">
        <f>134/164</f>
        <v>0.81707317073170727</v>
      </c>
      <c r="G221" s="2">
        <v>20</v>
      </c>
    </row>
    <row r="222" spans="1:7" x14ac:dyDescent="0.3">
      <c r="A222" t="s">
        <v>15</v>
      </c>
      <c r="B222" s="2">
        <v>12</v>
      </c>
      <c r="C222" s="2" t="s">
        <v>8</v>
      </c>
      <c r="D222" s="2">
        <v>1000</v>
      </c>
      <c r="E222" s="2" t="s">
        <v>9</v>
      </c>
      <c r="F222">
        <f>139/164</f>
        <v>0.84756097560975607</v>
      </c>
      <c r="G222" s="2">
        <v>20</v>
      </c>
    </row>
    <row r="223" spans="1:7" x14ac:dyDescent="0.3">
      <c r="A223" t="s">
        <v>14</v>
      </c>
      <c r="B223" s="2">
        <v>12</v>
      </c>
      <c r="C223" s="2" t="s">
        <v>8</v>
      </c>
      <c r="D223" s="2">
        <v>1000</v>
      </c>
      <c r="E223" s="2" t="s">
        <v>9</v>
      </c>
      <c r="F223">
        <f>52/70</f>
        <v>0.74285714285714288</v>
      </c>
      <c r="G223" s="2">
        <v>20</v>
      </c>
    </row>
    <row r="224" spans="1:7" x14ac:dyDescent="0.3">
      <c r="A224" t="s">
        <v>15</v>
      </c>
      <c r="B224" s="2">
        <v>12</v>
      </c>
      <c r="C224" s="2" t="s">
        <v>8</v>
      </c>
      <c r="D224" s="2">
        <v>1000</v>
      </c>
      <c r="E224" s="2" t="s">
        <v>9</v>
      </c>
      <c r="F224">
        <f>63/70</f>
        <v>0.9</v>
      </c>
      <c r="G224" s="2">
        <v>20</v>
      </c>
    </row>
    <row r="225" spans="1:7" x14ac:dyDescent="0.3">
      <c r="A225" t="s">
        <v>14</v>
      </c>
      <c r="B225" s="2">
        <v>12</v>
      </c>
      <c r="C225" s="2" t="s">
        <v>8</v>
      </c>
      <c r="D225" s="2">
        <v>1000</v>
      </c>
      <c r="E225" s="2" t="s">
        <v>12</v>
      </c>
      <c r="F225">
        <f>2191/3174</f>
        <v>0.69029615626969121</v>
      </c>
      <c r="G225" s="2">
        <v>20</v>
      </c>
    </row>
    <row r="226" spans="1:7" x14ac:dyDescent="0.3">
      <c r="A226" t="s">
        <v>15</v>
      </c>
      <c r="B226" s="2">
        <v>12</v>
      </c>
      <c r="C226" s="2" t="s">
        <v>8</v>
      </c>
      <c r="D226" s="2">
        <v>1000</v>
      </c>
      <c r="E226" s="2" t="s">
        <v>12</v>
      </c>
      <c r="F226">
        <f>1811/3174</f>
        <v>0.57057340894770003</v>
      </c>
      <c r="G226" s="2">
        <v>20</v>
      </c>
    </row>
    <row r="227" spans="1:7" x14ac:dyDescent="0.3">
      <c r="A227" t="s">
        <v>14</v>
      </c>
      <c r="B227" s="2">
        <v>12</v>
      </c>
      <c r="C227" s="2" t="s">
        <v>8</v>
      </c>
      <c r="D227" s="2">
        <v>1000</v>
      </c>
      <c r="E227" s="2" t="s">
        <v>10</v>
      </c>
      <c r="F227">
        <f>68/24</f>
        <v>2.8333333333333335</v>
      </c>
      <c r="G227" s="2">
        <v>20</v>
      </c>
    </row>
    <row r="228" spans="1:7" x14ac:dyDescent="0.3">
      <c r="A228" t="s">
        <v>15</v>
      </c>
      <c r="B228" s="2">
        <v>12</v>
      </c>
      <c r="C228" s="2" t="s">
        <v>8</v>
      </c>
      <c r="D228" s="2">
        <v>1000</v>
      </c>
      <c r="E228" s="2" t="s">
        <v>10</v>
      </c>
      <c r="F228">
        <f>79/24</f>
        <v>3.2916666666666665</v>
      </c>
      <c r="G228" s="2">
        <v>20</v>
      </c>
    </row>
    <row r="229" spans="1:7" x14ac:dyDescent="0.3">
      <c r="A229" t="s">
        <v>14</v>
      </c>
      <c r="B229" s="2">
        <v>12</v>
      </c>
      <c r="C229" s="2" t="s">
        <v>8</v>
      </c>
      <c r="D229" s="2">
        <v>1000</v>
      </c>
      <c r="E229" s="2" t="s">
        <v>10</v>
      </c>
      <c r="F229">
        <f>417/276</f>
        <v>1.5108695652173914</v>
      </c>
      <c r="G229" s="2">
        <v>20</v>
      </c>
    </row>
    <row r="230" spans="1:7" x14ac:dyDescent="0.3">
      <c r="A230" t="s">
        <v>15</v>
      </c>
      <c r="B230" s="2">
        <v>12</v>
      </c>
      <c r="C230" s="2" t="s">
        <v>8</v>
      </c>
      <c r="D230" s="2">
        <v>1000</v>
      </c>
      <c r="E230" s="2" t="s">
        <v>10</v>
      </c>
      <c r="F230">
        <f>377/276</f>
        <v>1.3659420289855073</v>
      </c>
      <c r="G230" s="2">
        <v>20</v>
      </c>
    </row>
    <row r="231" spans="1:7" x14ac:dyDescent="0.3">
      <c r="A231" t="s">
        <v>14</v>
      </c>
      <c r="B231" s="2">
        <v>12</v>
      </c>
      <c r="C231" s="2" t="s">
        <v>8</v>
      </c>
      <c r="D231" s="2">
        <v>1000</v>
      </c>
      <c r="E231" s="2" t="s">
        <v>10</v>
      </c>
      <c r="F231">
        <f>120/78</f>
        <v>1.5384615384615385</v>
      </c>
      <c r="G231" s="2">
        <v>20</v>
      </c>
    </row>
    <row r="232" spans="1:7" x14ac:dyDescent="0.3">
      <c r="A232" t="s">
        <v>15</v>
      </c>
      <c r="B232" s="2">
        <v>12</v>
      </c>
      <c r="C232" s="2" t="s">
        <v>8</v>
      </c>
      <c r="D232" s="2">
        <v>1000</v>
      </c>
      <c r="E232" s="2" t="s">
        <v>10</v>
      </c>
      <c r="F232">
        <f>79/78</f>
        <v>1.0128205128205128</v>
      </c>
      <c r="G232" s="2">
        <v>20</v>
      </c>
    </row>
    <row r="233" spans="1:7" x14ac:dyDescent="0.3">
      <c r="A233" t="s">
        <v>14</v>
      </c>
      <c r="B233" s="2">
        <v>12</v>
      </c>
      <c r="C233" s="2" t="s">
        <v>8</v>
      </c>
      <c r="D233" s="2">
        <v>1000</v>
      </c>
      <c r="E233" s="2" t="s">
        <v>10</v>
      </c>
      <c r="F233">
        <f>436/158.6</f>
        <v>2.7490542244640608</v>
      </c>
      <c r="G233" s="2">
        <v>20</v>
      </c>
    </row>
    <row r="234" spans="1:7" s="1" customFormat="1" ht="13.9" thickBot="1" x14ac:dyDescent="0.35">
      <c r="A234" s="1" t="s">
        <v>15</v>
      </c>
      <c r="B234" s="3">
        <v>12</v>
      </c>
      <c r="C234" s="3" t="s">
        <v>8</v>
      </c>
      <c r="D234" s="2">
        <v>1000</v>
      </c>
      <c r="E234" s="3" t="s">
        <v>10</v>
      </c>
      <c r="F234" s="1">
        <f>289/158.6</f>
        <v>1.8221941992433797</v>
      </c>
      <c r="G234" s="3">
        <v>20</v>
      </c>
    </row>
    <row r="235" spans="1:7" x14ac:dyDescent="0.3">
      <c r="A235" t="s">
        <v>16</v>
      </c>
      <c r="B235" s="2">
        <v>14</v>
      </c>
      <c r="C235" s="2" t="s">
        <v>11</v>
      </c>
      <c r="D235" s="2">
        <v>25</v>
      </c>
      <c r="E235" s="2" t="s">
        <v>12</v>
      </c>
      <c r="F235">
        <f>428/600</f>
        <v>0.71333333333333337</v>
      </c>
      <c r="G235" s="2">
        <v>21</v>
      </c>
    </row>
    <row r="236" spans="1:7" x14ac:dyDescent="0.3">
      <c r="A236" t="s">
        <v>17</v>
      </c>
      <c r="B236" s="2">
        <v>14</v>
      </c>
      <c r="C236" s="2" t="s">
        <v>11</v>
      </c>
      <c r="D236" s="2">
        <v>25</v>
      </c>
      <c r="E236" s="2" t="s">
        <v>12</v>
      </c>
      <c r="F236">
        <f>492/600</f>
        <v>0.82</v>
      </c>
      <c r="G236" s="2">
        <v>21</v>
      </c>
    </row>
    <row r="237" spans="1:7" x14ac:dyDescent="0.3">
      <c r="A237" t="s">
        <v>18</v>
      </c>
      <c r="B237" s="2">
        <v>14</v>
      </c>
      <c r="C237" s="2" t="s">
        <v>11</v>
      </c>
      <c r="D237" s="2">
        <v>25</v>
      </c>
      <c r="E237" s="2" t="s">
        <v>12</v>
      </c>
      <c r="F237">
        <f>498/600</f>
        <v>0.83</v>
      </c>
      <c r="G237" s="2">
        <v>21</v>
      </c>
    </row>
    <row r="238" spans="1:7" x14ac:dyDescent="0.3">
      <c r="A238" t="s">
        <v>16</v>
      </c>
      <c r="B238" s="2">
        <v>21</v>
      </c>
      <c r="C238" s="2" t="s">
        <v>11</v>
      </c>
      <c r="D238" s="2">
        <v>25</v>
      </c>
      <c r="E238" s="2" t="s">
        <v>12</v>
      </c>
      <c r="F238">
        <f>516/690</f>
        <v>0.74782608695652175</v>
      </c>
      <c r="G238" s="2">
        <v>21</v>
      </c>
    </row>
    <row r="239" spans="1:7" x14ac:dyDescent="0.3">
      <c r="A239" t="s">
        <v>17</v>
      </c>
      <c r="B239" s="2">
        <v>21</v>
      </c>
      <c r="C239" s="2" t="s">
        <v>11</v>
      </c>
      <c r="D239" s="2">
        <v>25</v>
      </c>
      <c r="E239" s="2" t="s">
        <v>12</v>
      </c>
      <c r="F239">
        <f>612/690</f>
        <v>0.88695652173913042</v>
      </c>
      <c r="G239" s="2">
        <v>21</v>
      </c>
    </row>
    <row r="240" spans="1:7" x14ac:dyDescent="0.3">
      <c r="A240" t="s">
        <v>18</v>
      </c>
      <c r="B240" s="2">
        <v>21</v>
      </c>
      <c r="C240" s="2" t="s">
        <v>11</v>
      </c>
      <c r="D240" s="2">
        <v>25</v>
      </c>
      <c r="E240" s="2" t="s">
        <v>12</v>
      </c>
      <c r="F240">
        <f>578/690</f>
        <v>0.83768115942028987</v>
      </c>
      <c r="G240" s="2">
        <v>21</v>
      </c>
    </row>
    <row r="241" spans="1:7" x14ac:dyDescent="0.3">
      <c r="A241" t="s">
        <v>16</v>
      </c>
      <c r="B241" s="2">
        <v>14</v>
      </c>
      <c r="C241" s="2" t="s">
        <v>11</v>
      </c>
      <c r="D241" s="2">
        <v>50</v>
      </c>
      <c r="E241" s="2" t="s">
        <v>12</v>
      </c>
      <c r="F241">
        <f>326/600</f>
        <v>0.54333333333333333</v>
      </c>
      <c r="G241" s="2">
        <v>21</v>
      </c>
    </row>
    <row r="242" spans="1:7" x14ac:dyDescent="0.3">
      <c r="A242" t="s">
        <v>17</v>
      </c>
      <c r="B242" s="2">
        <v>14</v>
      </c>
      <c r="C242" s="2" t="s">
        <v>11</v>
      </c>
      <c r="D242" s="2">
        <v>50</v>
      </c>
      <c r="E242" s="2" t="s">
        <v>12</v>
      </c>
      <c r="F242">
        <f>438/600</f>
        <v>0.73</v>
      </c>
      <c r="G242" s="2">
        <v>21</v>
      </c>
    </row>
    <row r="243" spans="1:7" x14ac:dyDescent="0.3">
      <c r="A243" t="s">
        <v>18</v>
      </c>
      <c r="B243" s="2">
        <v>14</v>
      </c>
      <c r="C243" s="2" t="s">
        <v>11</v>
      </c>
      <c r="D243" s="2">
        <v>50</v>
      </c>
      <c r="E243" s="2" t="s">
        <v>12</v>
      </c>
      <c r="F243">
        <f>462/600</f>
        <v>0.77</v>
      </c>
      <c r="G243" s="2">
        <v>21</v>
      </c>
    </row>
    <row r="244" spans="1:7" x14ac:dyDescent="0.3">
      <c r="A244" t="s">
        <v>16</v>
      </c>
      <c r="B244" s="2">
        <v>21</v>
      </c>
      <c r="C244" s="2" t="s">
        <v>11</v>
      </c>
      <c r="D244" s="2">
        <v>50</v>
      </c>
      <c r="E244" s="2" t="s">
        <v>12</v>
      </c>
      <c r="F244">
        <f>410/690</f>
        <v>0.59420289855072461</v>
      </c>
      <c r="G244" s="2">
        <v>21</v>
      </c>
    </row>
    <row r="245" spans="1:7" x14ac:dyDescent="0.3">
      <c r="A245" t="s">
        <v>17</v>
      </c>
      <c r="B245" s="2">
        <v>21</v>
      </c>
      <c r="C245" s="2" t="s">
        <v>11</v>
      </c>
      <c r="D245" s="2">
        <v>50</v>
      </c>
      <c r="E245" s="2" t="s">
        <v>12</v>
      </c>
      <c r="F245">
        <f>502/690</f>
        <v>0.72753623188405792</v>
      </c>
      <c r="G245" s="2">
        <v>21</v>
      </c>
    </row>
    <row r="246" spans="1:7" x14ac:dyDescent="0.3">
      <c r="A246" t="s">
        <v>18</v>
      </c>
      <c r="B246" s="2">
        <v>21</v>
      </c>
      <c r="C246" s="2" t="s">
        <v>11</v>
      </c>
      <c r="D246" s="2">
        <v>50</v>
      </c>
      <c r="E246" s="2" t="s">
        <v>12</v>
      </c>
      <c r="F246">
        <f>540/690</f>
        <v>0.78260869565217395</v>
      </c>
      <c r="G246" s="2">
        <v>21</v>
      </c>
    </row>
    <row r="247" spans="1:7" x14ac:dyDescent="0.3">
      <c r="A247" t="s">
        <v>16</v>
      </c>
      <c r="B247" s="2">
        <v>14</v>
      </c>
      <c r="C247" s="2" t="s">
        <v>11</v>
      </c>
      <c r="D247" s="2">
        <v>100</v>
      </c>
      <c r="E247" s="2" t="s">
        <v>12</v>
      </c>
      <c r="F247">
        <f>202/600</f>
        <v>0.33666666666666667</v>
      </c>
      <c r="G247" s="2">
        <v>21</v>
      </c>
    </row>
    <row r="248" spans="1:7" x14ac:dyDescent="0.3">
      <c r="A248" t="s">
        <v>17</v>
      </c>
      <c r="B248" s="2">
        <v>14</v>
      </c>
      <c r="C248" s="2" t="s">
        <v>11</v>
      </c>
      <c r="D248" s="2">
        <v>100</v>
      </c>
      <c r="E248" s="2" t="s">
        <v>12</v>
      </c>
      <c r="F248">
        <f>320/600</f>
        <v>0.53333333333333333</v>
      </c>
      <c r="G248" s="2">
        <v>21</v>
      </c>
    </row>
    <row r="249" spans="1:7" x14ac:dyDescent="0.3">
      <c r="A249" t="s">
        <v>18</v>
      </c>
      <c r="B249" s="2">
        <v>14</v>
      </c>
      <c r="C249" s="2" t="s">
        <v>11</v>
      </c>
      <c r="D249" s="2">
        <v>100</v>
      </c>
      <c r="E249" s="2" t="s">
        <v>12</v>
      </c>
      <c r="F249">
        <f>344/600</f>
        <v>0.57333333333333336</v>
      </c>
      <c r="G249" s="2">
        <v>21</v>
      </c>
    </row>
    <row r="250" spans="1:7" x14ac:dyDescent="0.3">
      <c r="A250" t="s">
        <v>16</v>
      </c>
      <c r="B250" s="2">
        <v>21</v>
      </c>
      <c r="C250" s="2" t="s">
        <v>11</v>
      </c>
      <c r="D250" s="2">
        <v>100</v>
      </c>
      <c r="E250" s="2" t="s">
        <v>12</v>
      </c>
      <c r="F250">
        <f>262/690</f>
        <v>0.37971014492753624</v>
      </c>
      <c r="G250" s="2">
        <v>21</v>
      </c>
    </row>
    <row r="251" spans="1:7" x14ac:dyDescent="0.3">
      <c r="A251" t="s">
        <v>17</v>
      </c>
      <c r="B251" s="2">
        <v>21</v>
      </c>
      <c r="C251" s="2" t="s">
        <v>11</v>
      </c>
      <c r="D251" s="2">
        <v>100</v>
      </c>
      <c r="E251" s="2" t="s">
        <v>12</v>
      </c>
      <c r="F251">
        <f>406/690</f>
        <v>0.58840579710144925</v>
      </c>
      <c r="G251" s="2">
        <v>21</v>
      </c>
    </row>
    <row r="252" spans="1:7" x14ac:dyDescent="0.3">
      <c r="A252" t="s">
        <v>18</v>
      </c>
      <c r="B252" s="2">
        <v>21</v>
      </c>
      <c r="C252" s="2" t="s">
        <v>11</v>
      </c>
      <c r="D252" s="2">
        <v>100</v>
      </c>
      <c r="E252" s="2" t="s">
        <v>12</v>
      </c>
      <c r="F252">
        <f>402/690</f>
        <v>0.58260869565217388</v>
      </c>
      <c r="G252" s="2">
        <v>21</v>
      </c>
    </row>
    <row r="253" spans="1:7" x14ac:dyDescent="0.3">
      <c r="A253" t="s">
        <v>16</v>
      </c>
      <c r="B253" s="2">
        <v>14</v>
      </c>
      <c r="C253" s="2" t="s">
        <v>11</v>
      </c>
      <c r="D253" s="2">
        <v>100</v>
      </c>
      <c r="E253" s="2" t="s">
        <v>12</v>
      </c>
      <c r="F253">
        <f>25/41</f>
        <v>0.6097560975609756</v>
      </c>
      <c r="G253" s="2">
        <v>21</v>
      </c>
    </row>
    <row r="254" spans="1:7" x14ac:dyDescent="0.3">
      <c r="A254" t="s">
        <v>17</v>
      </c>
      <c r="B254" s="2">
        <v>14</v>
      </c>
      <c r="C254" s="2" t="s">
        <v>11</v>
      </c>
      <c r="D254" s="2">
        <v>100</v>
      </c>
      <c r="E254" s="2" t="s">
        <v>12</v>
      </c>
      <c r="F254">
        <f>22/41</f>
        <v>0.53658536585365857</v>
      </c>
      <c r="G254" s="2">
        <v>21</v>
      </c>
    </row>
    <row r="255" spans="1:7" x14ac:dyDescent="0.3">
      <c r="A255" t="s">
        <v>18</v>
      </c>
      <c r="B255" s="2">
        <v>14</v>
      </c>
      <c r="C255" s="2" t="s">
        <v>11</v>
      </c>
      <c r="D255" s="2">
        <v>100</v>
      </c>
      <c r="E255" s="2" t="s">
        <v>12</v>
      </c>
      <c r="F255">
        <f>31/41</f>
        <v>0.75609756097560976</v>
      </c>
      <c r="G255" s="2">
        <v>21</v>
      </c>
    </row>
    <row r="256" spans="1:7" x14ac:dyDescent="0.3">
      <c r="A256" t="s">
        <v>16</v>
      </c>
      <c r="B256" s="2">
        <v>21</v>
      </c>
      <c r="C256" s="2" t="s">
        <v>11</v>
      </c>
      <c r="D256" s="2">
        <v>100</v>
      </c>
      <c r="E256" s="2" t="s">
        <v>12</v>
      </c>
      <c r="F256">
        <f>25/41</f>
        <v>0.6097560975609756</v>
      </c>
      <c r="G256" s="2">
        <v>21</v>
      </c>
    </row>
    <row r="257" spans="1:7" x14ac:dyDescent="0.3">
      <c r="A257" t="s">
        <v>17</v>
      </c>
      <c r="B257" s="2">
        <v>21</v>
      </c>
      <c r="C257" s="2" t="s">
        <v>11</v>
      </c>
      <c r="D257" s="2">
        <v>100</v>
      </c>
      <c r="E257" s="2" t="s">
        <v>12</v>
      </c>
      <c r="F257">
        <f>40/41</f>
        <v>0.97560975609756095</v>
      </c>
      <c r="G257" s="2">
        <v>21</v>
      </c>
    </row>
    <row r="258" spans="1:7" x14ac:dyDescent="0.3">
      <c r="A258" t="s">
        <v>18</v>
      </c>
      <c r="B258" s="2">
        <v>21</v>
      </c>
      <c r="C258" s="2" t="s">
        <v>11</v>
      </c>
      <c r="D258" s="2">
        <v>100</v>
      </c>
      <c r="E258" s="2" t="s">
        <v>12</v>
      </c>
      <c r="F258">
        <f>40/41</f>
        <v>0.97560975609756095</v>
      </c>
      <c r="G258" s="2">
        <v>21</v>
      </c>
    </row>
    <row r="259" spans="1:7" x14ac:dyDescent="0.3">
      <c r="A259" t="s">
        <v>16</v>
      </c>
      <c r="B259" s="2">
        <v>14</v>
      </c>
      <c r="C259" s="2" t="s">
        <v>8</v>
      </c>
      <c r="D259" s="2">
        <v>100</v>
      </c>
      <c r="E259" s="2" t="s">
        <v>9</v>
      </c>
      <c r="F259">
        <f>0.61/0.7</f>
        <v>0.87142857142857144</v>
      </c>
      <c r="G259" s="2">
        <v>21</v>
      </c>
    </row>
    <row r="260" spans="1:7" x14ac:dyDescent="0.3">
      <c r="A260" t="s">
        <v>17</v>
      </c>
      <c r="B260" s="2">
        <v>14</v>
      </c>
      <c r="C260" s="2" t="s">
        <v>8</v>
      </c>
      <c r="D260" s="2">
        <v>100</v>
      </c>
      <c r="E260" s="2" t="s">
        <v>9</v>
      </c>
      <c r="F260">
        <f>0.65/0.7</f>
        <v>0.92857142857142871</v>
      </c>
      <c r="G260" s="2">
        <v>21</v>
      </c>
    </row>
    <row r="261" spans="1:7" x14ac:dyDescent="0.3">
      <c r="A261" t="s">
        <v>18</v>
      </c>
      <c r="B261" s="2">
        <v>14</v>
      </c>
      <c r="C261" s="2" t="s">
        <v>8</v>
      </c>
      <c r="D261" s="2">
        <v>100</v>
      </c>
      <c r="E261" s="2" t="s">
        <v>9</v>
      </c>
      <c r="F261">
        <f>0.66/0.7</f>
        <v>0.94285714285714295</v>
      </c>
      <c r="G261" s="2">
        <v>21</v>
      </c>
    </row>
    <row r="262" spans="1:7" x14ac:dyDescent="0.3">
      <c r="A262" t="s">
        <v>16</v>
      </c>
      <c r="B262" s="2">
        <v>21</v>
      </c>
      <c r="C262" s="2" t="s">
        <v>8</v>
      </c>
      <c r="D262" s="2">
        <v>100</v>
      </c>
      <c r="E262" s="2" t="s">
        <v>9</v>
      </c>
      <c r="F262">
        <f>0.63/0.72</f>
        <v>0.875</v>
      </c>
      <c r="G262" s="2">
        <v>21</v>
      </c>
    </row>
    <row r="263" spans="1:7" x14ac:dyDescent="0.3">
      <c r="A263" t="s">
        <v>17</v>
      </c>
      <c r="B263" s="2">
        <v>21</v>
      </c>
      <c r="C263" s="2" t="s">
        <v>8</v>
      </c>
      <c r="D263" s="2">
        <v>100</v>
      </c>
      <c r="E263" s="2" t="s">
        <v>9</v>
      </c>
      <c r="F263">
        <f>0.65/0.72</f>
        <v>0.90277777777777779</v>
      </c>
      <c r="G263" s="2">
        <v>21</v>
      </c>
    </row>
    <row r="264" spans="1:7" x14ac:dyDescent="0.3">
      <c r="A264" t="s">
        <v>18</v>
      </c>
      <c r="B264" s="2">
        <v>21</v>
      </c>
      <c r="C264" s="2" t="s">
        <v>8</v>
      </c>
      <c r="D264" s="2">
        <v>100</v>
      </c>
      <c r="E264" s="2" t="s">
        <v>9</v>
      </c>
      <c r="F264">
        <f>0.67/0.72</f>
        <v>0.93055555555555569</v>
      </c>
      <c r="G264" s="2">
        <v>21</v>
      </c>
    </row>
    <row r="265" spans="1:7" x14ac:dyDescent="0.3">
      <c r="A265" t="s">
        <v>16</v>
      </c>
      <c r="B265" s="2">
        <v>14</v>
      </c>
      <c r="C265" s="2" t="s">
        <v>8</v>
      </c>
      <c r="D265" s="2">
        <v>100</v>
      </c>
      <c r="E265" s="2" t="s">
        <v>9</v>
      </c>
      <c r="F265">
        <f>0.87/0.88</f>
        <v>0.98863636363636365</v>
      </c>
      <c r="G265" s="2">
        <v>21</v>
      </c>
    </row>
    <row r="266" spans="1:7" x14ac:dyDescent="0.3">
      <c r="A266" t="s">
        <v>17</v>
      </c>
      <c r="B266" s="2">
        <v>14</v>
      </c>
      <c r="C266" s="2" t="s">
        <v>8</v>
      </c>
      <c r="D266" s="2">
        <v>100</v>
      </c>
      <c r="E266" s="2" t="s">
        <v>9</v>
      </c>
      <c r="F266">
        <f>0.882/0.88</f>
        <v>1.0022727272727272</v>
      </c>
      <c r="G266" s="2">
        <v>21</v>
      </c>
    </row>
    <row r="267" spans="1:7" x14ac:dyDescent="0.3">
      <c r="A267" t="s">
        <v>18</v>
      </c>
      <c r="B267" s="2">
        <v>14</v>
      </c>
      <c r="C267" s="2" t="s">
        <v>8</v>
      </c>
      <c r="D267" s="2">
        <v>100</v>
      </c>
      <c r="E267" s="2" t="s">
        <v>9</v>
      </c>
      <c r="F267">
        <f>0.862/0.88</f>
        <v>0.9795454545454545</v>
      </c>
      <c r="G267" s="2">
        <v>21</v>
      </c>
    </row>
    <row r="268" spans="1:7" x14ac:dyDescent="0.3">
      <c r="A268" t="s">
        <v>16</v>
      </c>
      <c r="B268" s="2">
        <v>21</v>
      </c>
      <c r="C268" s="2" t="s">
        <v>8</v>
      </c>
      <c r="D268" s="2">
        <v>100</v>
      </c>
      <c r="E268" s="2" t="s">
        <v>9</v>
      </c>
      <c r="F268">
        <f>0.65/0.86</f>
        <v>0.7558139534883721</v>
      </c>
      <c r="G268" s="2">
        <v>21</v>
      </c>
    </row>
    <row r="269" spans="1:7" x14ac:dyDescent="0.3">
      <c r="A269" t="s">
        <v>17</v>
      </c>
      <c r="B269" s="2">
        <v>21</v>
      </c>
      <c r="C269" s="2" t="s">
        <v>8</v>
      </c>
      <c r="D269" s="2">
        <v>100</v>
      </c>
      <c r="E269" s="2" t="s">
        <v>9</v>
      </c>
      <c r="F269">
        <f>0.79/0.86</f>
        <v>0.91860465116279078</v>
      </c>
      <c r="G269" s="2">
        <v>21</v>
      </c>
    </row>
    <row r="270" spans="1:7" x14ac:dyDescent="0.3">
      <c r="A270" t="s">
        <v>18</v>
      </c>
      <c r="B270" s="2">
        <v>21</v>
      </c>
      <c r="C270" s="2" t="s">
        <v>8</v>
      </c>
      <c r="D270" s="2">
        <v>100</v>
      </c>
      <c r="E270" s="2" t="s">
        <v>9</v>
      </c>
      <c r="F270">
        <f>0.78/0.86</f>
        <v>0.90697674418604657</v>
      </c>
      <c r="G270" s="2">
        <v>21</v>
      </c>
    </row>
    <row r="271" spans="1:7" x14ac:dyDescent="0.3">
      <c r="A271" t="s">
        <v>16</v>
      </c>
      <c r="B271" s="2">
        <v>14</v>
      </c>
      <c r="C271" s="2" t="s">
        <v>8</v>
      </c>
      <c r="D271" s="2">
        <v>100</v>
      </c>
      <c r="E271" s="2" t="s">
        <v>9</v>
      </c>
      <c r="F271">
        <f>0.575/0.63</f>
        <v>0.91269841269841268</v>
      </c>
      <c r="G271" s="2">
        <v>21</v>
      </c>
    </row>
    <row r="272" spans="1:7" x14ac:dyDescent="0.3">
      <c r="A272" t="s">
        <v>17</v>
      </c>
      <c r="B272" s="2">
        <v>14</v>
      </c>
      <c r="C272" s="2" t="s">
        <v>8</v>
      </c>
      <c r="D272" s="2">
        <v>100</v>
      </c>
      <c r="E272" s="2" t="s">
        <v>9</v>
      </c>
      <c r="F272">
        <f>0.585/0.63</f>
        <v>0.92857142857142849</v>
      </c>
      <c r="G272" s="2">
        <v>21</v>
      </c>
    </row>
    <row r="273" spans="1:7" x14ac:dyDescent="0.3">
      <c r="A273" t="s">
        <v>18</v>
      </c>
      <c r="B273" s="2">
        <v>14</v>
      </c>
      <c r="C273" s="2" t="s">
        <v>8</v>
      </c>
      <c r="D273" s="2">
        <v>100</v>
      </c>
      <c r="E273" s="2" t="s">
        <v>9</v>
      </c>
      <c r="F273">
        <f>0.58/0.63</f>
        <v>0.92063492063492058</v>
      </c>
      <c r="G273" s="2">
        <v>21</v>
      </c>
    </row>
    <row r="274" spans="1:7" x14ac:dyDescent="0.3">
      <c r="A274" t="s">
        <v>16</v>
      </c>
      <c r="B274" s="2">
        <v>21</v>
      </c>
      <c r="C274" s="2" t="s">
        <v>8</v>
      </c>
      <c r="D274" s="2">
        <v>100</v>
      </c>
      <c r="E274" s="2" t="s">
        <v>9</v>
      </c>
      <c r="F274">
        <f>0.4/0.6</f>
        <v>0.66666666666666674</v>
      </c>
      <c r="G274" s="2">
        <v>21</v>
      </c>
    </row>
    <row r="275" spans="1:7" x14ac:dyDescent="0.3">
      <c r="A275" t="s">
        <v>17</v>
      </c>
      <c r="B275" s="2">
        <v>21</v>
      </c>
      <c r="C275" s="2" t="s">
        <v>8</v>
      </c>
      <c r="D275" s="2">
        <v>100</v>
      </c>
      <c r="E275" s="2" t="s">
        <v>9</v>
      </c>
      <c r="F275">
        <f>0.52/0.6</f>
        <v>0.8666666666666667</v>
      </c>
      <c r="G275" s="2">
        <v>21</v>
      </c>
    </row>
    <row r="276" spans="1:7" x14ac:dyDescent="0.3">
      <c r="A276" t="s">
        <v>18</v>
      </c>
      <c r="B276" s="2">
        <v>21</v>
      </c>
      <c r="C276" s="2" t="s">
        <v>8</v>
      </c>
      <c r="D276" s="2">
        <v>100</v>
      </c>
      <c r="E276" s="2" t="s">
        <v>9</v>
      </c>
      <c r="F276">
        <f>0.54/0.6</f>
        <v>0.90000000000000013</v>
      </c>
      <c r="G276" s="2">
        <v>21</v>
      </c>
    </row>
    <row r="277" spans="1:7" x14ac:dyDescent="0.3">
      <c r="A277" t="s">
        <v>16</v>
      </c>
      <c r="B277" s="2">
        <v>14</v>
      </c>
      <c r="C277" s="2" t="s">
        <v>8</v>
      </c>
      <c r="D277" s="2">
        <v>100</v>
      </c>
      <c r="E277" s="2" t="s">
        <v>10</v>
      </c>
      <c r="F277" s="2">
        <f>3.5/1.2</f>
        <v>2.916666666666667</v>
      </c>
      <c r="G277" s="2">
        <v>21</v>
      </c>
    </row>
    <row r="278" spans="1:7" x14ac:dyDescent="0.3">
      <c r="A278" t="s">
        <v>17</v>
      </c>
      <c r="B278" s="2">
        <v>14</v>
      </c>
      <c r="C278" s="2" t="s">
        <v>8</v>
      </c>
      <c r="D278" s="2">
        <v>100</v>
      </c>
      <c r="E278" s="2" t="s">
        <v>10</v>
      </c>
      <c r="F278">
        <f>1.5/1.2</f>
        <v>1.25</v>
      </c>
      <c r="G278" s="2">
        <v>21</v>
      </c>
    </row>
    <row r="279" spans="1:7" x14ac:dyDescent="0.3">
      <c r="A279" t="s">
        <v>18</v>
      </c>
      <c r="B279" s="2">
        <v>14</v>
      </c>
      <c r="C279" s="2" t="s">
        <v>8</v>
      </c>
      <c r="D279" s="2">
        <v>100</v>
      </c>
      <c r="E279" s="2" t="s">
        <v>10</v>
      </c>
      <c r="F279">
        <f>1.65/1.2</f>
        <v>1.375</v>
      </c>
      <c r="G279" s="2">
        <v>21</v>
      </c>
    </row>
    <row r="280" spans="1:7" x14ac:dyDescent="0.3">
      <c r="A280" t="s">
        <v>16</v>
      </c>
      <c r="B280" s="2">
        <v>14</v>
      </c>
      <c r="C280" s="2" t="s">
        <v>8</v>
      </c>
      <c r="D280" s="2">
        <v>100</v>
      </c>
      <c r="E280" s="2" t="s">
        <v>10</v>
      </c>
      <c r="F280">
        <f>3.5/1.56</f>
        <v>2.2435897435897436</v>
      </c>
      <c r="G280" s="2">
        <v>21</v>
      </c>
    </row>
    <row r="281" spans="1:7" x14ac:dyDescent="0.3">
      <c r="A281" t="s">
        <v>17</v>
      </c>
      <c r="B281" s="2">
        <v>14</v>
      </c>
      <c r="C281" s="2" t="s">
        <v>8</v>
      </c>
      <c r="D281" s="2">
        <v>100</v>
      </c>
      <c r="E281" s="2" t="s">
        <v>10</v>
      </c>
      <c r="F281">
        <f>1.12/1.56</f>
        <v>0.71794871794871795</v>
      </c>
      <c r="G281" s="2">
        <v>21</v>
      </c>
    </row>
    <row r="282" spans="1:7" x14ac:dyDescent="0.3">
      <c r="A282" t="s">
        <v>18</v>
      </c>
      <c r="B282" s="2">
        <v>14</v>
      </c>
      <c r="C282" s="2" t="s">
        <v>8</v>
      </c>
      <c r="D282" s="2">
        <v>100</v>
      </c>
      <c r="E282" s="2" t="s">
        <v>10</v>
      </c>
      <c r="F282">
        <f>3/1.56</f>
        <v>1.9230769230769229</v>
      </c>
      <c r="G282" s="2">
        <v>21</v>
      </c>
    </row>
    <row r="283" spans="1:7" x14ac:dyDescent="0.3">
      <c r="A283" t="s">
        <v>16</v>
      </c>
      <c r="B283" s="2">
        <v>14</v>
      </c>
      <c r="C283" s="2" t="s">
        <v>8</v>
      </c>
      <c r="D283" s="2">
        <v>100</v>
      </c>
      <c r="E283" s="2" t="s">
        <v>10</v>
      </c>
      <c r="F283">
        <f>5/0.7</f>
        <v>7.1428571428571432</v>
      </c>
      <c r="G283" s="2">
        <v>21</v>
      </c>
    </row>
    <row r="284" spans="1:7" x14ac:dyDescent="0.3">
      <c r="A284" t="s">
        <v>17</v>
      </c>
      <c r="B284" s="2">
        <v>14</v>
      </c>
      <c r="C284" s="2" t="s">
        <v>8</v>
      </c>
      <c r="D284" s="2">
        <v>100</v>
      </c>
      <c r="E284" s="2" t="s">
        <v>10</v>
      </c>
      <c r="F284">
        <f>2.2/0.7</f>
        <v>3.1428571428571432</v>
      </c>
      <c r="G284" s="2">
        <v>21</v>
      </c>
    </row>
    <row r="285" spans="1:7" x14ac:dyDescent="0.3">
      <c r="A285" t="s">
        <v>18</v>
      </c>
      <c r="B285" s="2">
        <v>14</v>
      </c>
      <c r="C285" s="2" t="s">
        <v>8</v>
      </c>
      <c r="D285" s="2">
        <v>100</v>
      </c>
      <c r="E285" s="2" t="s">
        <v>10</v>
      </c>
      <c r="F285">
        <f>5.8/0.7</f>
        <v>8.2857142857142865</v>
      </c>
      <c r="G285" s="2">
        <v>21</v>
      </c>
    </row>
    <row r="286" spans="1:7" x14ac:dyDescent="0.3">
      <c r="A286" t="s">
        <v>16</v>
      </c>
      <c r="B286" s="2">
        <v>14</v>
      </c>
      <c r="C286" s="2" t="s">
        <v>8</v>
      </c>
      <c r="D286" s="2">
        <v>100</v>
      </c>
      <c r="E286" s="2" t="s">
        <v>10</v>
      </c>
      <c r="F286">
        <f>3/1</f>
        <v>3</v>
      </c>
      <c r="G286" s="2">
        <v>21</v>
      </c>
    </row>
    <row r="287" spans="1:7" x14ac:dyDescent="0.3">
      <c r="A287" t="s">
        <v>17</v>
      </c>
      <c r="B287" s="2">
        <v>14</v>
      </c>
      <c r="C287" s="2" t="s">
        <v>8</v>
      </c>
      <c r="D287" s="2">
        <v>100</v>
      </c>
      <c r="E287" s="2" t="s">
        <v>10</v>
      </c>
      <c r="F287">
        <f>0.99/1</f>
        <v>0.99</v>
      </c>
      <c r="G287" s="2">
        <v>21</v>
      </c>
    </row>
    <row r="288" spans="1:7" x14ac:dyDescent="0.3">
      <c r="A288" t="s">
        <v>18</v>
      </c>
      <c r="B288" s="2">
        <v>14</v>
      </c>
      <c r="C288" s="2" t="s">
        <v>8</v>
      </c>
      <c r="D288" s="2">
        <v>100</v>
      </c>
      <c r="E288" s="2" t="s">
        <v>10</v>
      </c>
      <c r="F288">
        <f>2/1</f>
        <v>2</v>
      </c>
      <c r="G288" s="2">
        <v>21</v>
      </c>
    </row>
    <row r="289" spans="1:7" x14ac:dyDescent="0.3">
      <c r="A289" t="s">
        <v>16</v>
      </c>
      <c r="B289" s="2">
        <v>21</v>
      </c>
      <c r="C289" s="2" t="s">
        <v>8</v>
      </c>
      <c r="D289" s="2">
        <v>100</v>
      </c>
      <c r="E289" s="2" t="s">
        <v>10</v>
      </c>
      <c r="F289">
        <f>3.7/0.7</f>
        <v>5.2857142857142865</v>
      </c>
      <c r="G289" s="2">
        <v>21</v>
      </c>
    </row>
    <row r="290" spans="1:7" x14ac:dyDescent="0.3">
      <c r="A290" t="s">
        <v>17</v>
      </c>
      <c r="B290" s="2">
        <v>21</v>
      </c>
      <c r="C290" s="2" t="s">
        <v>8</v>
      </c>
      <c r="D290" s="2">
        <v>100</v>
      </c>
      <c r="E290" s="2" t="s">
        <v>10</v>
      </c>
      <c r="F290">
        <f>2.3/0.7</f>
        <v>3.2857142857142856</v>
      </c>
      <c r="G290" s="2">
        <v>21</v>
      </c>
    </row>
    <row r="291" spans="1:7" x14ac:dyDescent="0.3">
      <c r="A291" t="s">
        <v>18</v>
      </c>
      <c r="B291" s="2">
        <v>21</v>
      </c>
      <c r="C291" s="2" t="s">
        <v>8</v>
      </c>
      <c r="D291" s="2">
        <v>100</v>
      </c>
      <c r="E291" s="2" t="s">
        <v>10</v>
      </c>
      <c r="F291">
        <f>3/0.7</f>
        <v>4.2857142857142856</v>
      </c>
      <c r="G291" s="2">
        <v>21</v>
      </c>
    </row>
    <row r="292" spans="1:7" x14ac:dyDescent="0.3">
      <c r="A292" t="s">
        <v>16</v>
      </c>
      <c r="B292" s="2">
        <v>21</v>
      </c>
      <c r="C292" s="2" t="s">
        <v>8</v>
      </c>
      <c r="D292" s="2">
        <v>100</v>
      </c>
      <c r="E292" s="2" t="s">
        <v>10</v>
      </c>
      <c r="F292">
        <f>4.4/0.8</f>
        <v>5.5</v>
      </c>
      <c r="G292" s="2">
        <v>21</v>
      </c>
    </row>
    <row r="293" spans="1:7" x14ac:dyDescent="0.3">
      <c r="A293" t="s">
        <v>17</v>
      </c>
      <c r="B293" s="2">
        <v>21</v>
      </c>
      <c r="C293" s="2" t="s">
        <v>8</v>
      </c>
      <c r="D293" s="2">
        <v>100</v>
      </c>
      <c r="E293" s="2" t="s">
        <v>10</v>
      </c>
      <c r="F293">
        <f>1.8/0.8</f>
        <v>2.25</v>
      </c>
      <c r="G293" s="2">
        <v>21</v>
      </c>
    </row>
    <row r="294" spans="1:7" x14ac:dyDescent="0.3">
      <c r="A294" t="s">
        <v>18</v>
      </c>
      <c r="B294" s="2">
        <v>21</v>
      </c>
      <c r="C294" s="2" t="s">
        <v>8</v>
      </c>
      <c r="D294" s="2">
        <v>100</v>
      </c>
      <c r="E294" s="2" t="s">
        <v>10</v>
      </c>
      <c r="F294">
        <f>2.2/0.8</f>
        <v>2.75</v>
      </c>
      <c r="G294" s="2">
        <v>21</v>
      </c>
    </row>
    <row r="295" spans="1:7" x14ac:dyDescent="0.3">
      <c r="A295" t="s">
        <v>16</v>
      </c>
      <c r="B295" s="2">
        <v>21</v>
      </c>
      <c r="C295" s="2" t="s">
        <v>8</v>
      </c>
      <c r="D295" s="2">
        <v>100</v>
      </c>
      <c r="E295" s="2" t="s">
        <v>10</v>
      </c>
      <c r="F295">
        <f>1.3/0.8</f>
        <v>1.625</v>
      </c>
      <c r="G295" s="2">
        <v>21</v>
      </c>
    </row>
    <row r="296" spans="1:7" x14ac:dyDescent="0.3">
      <c r="A296" t="s">
        <v>17</v>
      </c>
      <c r="B296" s="2">
        <v>21</v>
      </c>
      <c r="C296" s="2" t="s">
        <v>8</v>
      </c>
      <c r="D296" s="2">
        <v>100</v>
      </c>
      <c r="E296" s="2" t="s">
        <v>10</v>
      </c>
      <c r="F296">
        <f>1.8/0.8</f>
        <v>2.25</v>
      </c>
      <c r="G296" s="2">
        <v>21</v>
      </c>
    </row>
    <row r="297" spans="1:7" x14ac:dyDescent="0.3">
      <c r="A297" t="s">
        <v>18</v>
      </c>
      <c r="B297" s="2">
        <v>21</v>
      </c>
      <c r="C297" s="2" t="s">
        <v>8</v>
      </c>
      <c r="D297" s="2">
        <v>100</v>
      </c>
      <c r="E297" s="2" t="s">
        <v>10</v>
      </c>
      <c r="F297">
        <f>0.9/0.8</f>
        <v>1.125</v>
      </c>
      <c r="G297" s="2">
        <v>21</v>
      </c>
    </row>
    <row r="298" spans="1:7" x14ac:dyDescent="0.3">
      <c r="A298" t="s">
        <v>16</v>
      </c>
      <c r="B298" s="2">
        <v>21</v>
      </c>
      <c r="C298" s="2" t="s">
        <v>8</v>
      </c>
      <c r="D298" s="2">
        <v>100</v>
      </c>
      <c r="E298" s="2" t="s">
        <v>10</v>
      </c>
      <c r="F298">
        <f>5.8/1.2</f>
        <v>4.833333333333333</v>
      </c>
      <c r="G298" s="2">
        <v>21</v>
      </c>
    </row>
    <row r="299" spans="1:7" x14ac:dyDescent="0.3">
      <c r="A299" t="s">
        <v>17</v>
      </c>
      <c r="B299" s="2">
        <v>21</v>
      </c>
      <c r="C299" s="2" t="s">
        <v>8</v>
      </c>
      <c r="D299" s="2">
        <v>100</v>
      </c>
      <c r="E299" s="2" t="s">
        <v>10</v>
      </c>
      <c r="F299">
        <f>2.8/1.2</f>
        <v>2.3333333333333335</v>
      </c>
      <c r="G299" s="2">
        <v>21</v>
      </c>
    </row>
    <row r="300" spans="1:7" s="1" customFormat="1" ht="13.9" thickBot="1" x14ac:dyDescent="0.35">
      <c r="A300" s="1" t="s">
        <v>18</v>
      </c>
      <c r="B300" s="3">
        <v>21</v>
      </c>
      <c r="C300" s="3" t="s">
        <v>8</v>
      </c>
      <c r="D300" s="3">
        <v>100</v>
      </c>
      <c r="E300" s="3" t="s">
        <v>10</v>
      </c>
      <c r="F300" s="1">
        <f>5/1.2</f>
        <v>4.166666666666667</v>
      </c>
      <c r="G300" s="3">
        <v>21</v>
      </c>
    </row>
    <row r="301" spans="1:7" x14ac:dyDescent="0.3">
      <c r="A301" s="2" t="s">
        <v>20</v>
      </c>
      <c r="B301" s="2">
        <v>5</v>
      </c>
      <c r="C301" s="2" t="s">
        <v>8</v>
      </c>
      <c r="D301" s="2">
        <v>2250</v>
      </c>
      <c r="E301" s="2" t="s">
        <v>9</v>
      </c>
      <c r="F301">
        <f>6.75/6.78</f>
        <v>0.99557522123893805</v>
      </c>
      <c r="G301" s="2">
        <v>22</v>
      </c>
    </row>
    <row r="302" spans="1:7" x14ac:dyDescent="0.3">
      <c r="A302" t="s">
        <v>19</v>
      </c>
      <c r="B302" s="2">
        <v>5</v>
      </c>
      <c r="C302" s="2" t="s">
        <v>8</v>
      </c>
      <c r="D302" s="2">
        <v>3118</v>
      </c>
      <c r="E302" s="2" t="s">
        <v>9</v>
      </c>
      <c r="F302" s="2">
        <f>6.45/6.78</f>
        <v>0.95132743362831862</v>
      </c>
      <c r="G302" s="2">
        <v>22</v>
      </c>
    </row>
    <row r="303" spans="1:7" x14ac:dyDescent="0.3">
      <c r="A303" t="s">
        <v>19</v>
      </c>
      <c r="B303" s="2">
        <v>5</v>
      </c>
      <c r="C303" s="2" t="s">
        <v>8</v>
      </c>
      <c r="D303" s="2">
        <v>3118</v>
      </c>
      <c r="E303" s="2" t="s">
        <v>12</v>
      </c>
      <c r="F303">
        <v>0.45300000000000001</v>
      </c>
      <c r="G303" s="2">
        <v>22</v>
      </c>
    </row>
    <row r="304" spans="1:7" x14ac:dyDescent="0.3">
      <c r="A304" s="2" t="s">
        <v>20</v>
      </c>
      <c r="B304" s="2">
        <v>5</v>
      </c>
      <c r="C304" s="2" t="s">
        <v>8</v>
      </c>
      <c r="D304" s="2">
        <v>2250</v>
      </c>
      <c r="E304" s="2" t="s">
        <v>12</v>
      </c>
      <c r="F304">
        <v>0.83399999999999996</v>
      </c>
      <c r="G304" s="2">
        <v>22</v>
      </c>
    </row>
    <row r="305" spans="1:7" x14ac:dyDescent="0.3">
      <c r="A305" t="s">
        <v>19</v>
      </c>
      <c r="B305" s="2">
        <v>5</v>
      </c>
      <c r="C305" s="2" t="s">
        <v>8</v>
      </c>
      <c r="D305" s="2">
        <v>3118</v>
      </c>
      <c r="E305" s="2" t="s">
        <v>10</v>
      </c>
      <c r="F305">
        <f>0.53/0.41</f>
        <v>1.2926829268292683</v>
      </c>
      <c r="G305" s="2">
        <v>22</v>
      </c>
    </row>
    <row r="306" spans="1:7" x14ac:dyDescent="0.3">
      <c r="A306" s="2" t="s">
        <v>20</v>
      </c>
      <c r="B306" s="2">
        <v>5</v>
      </c>
      <c r="C306" s="2" t="s">
        <v>8</v>
      </c>
      <c r="D306" s="2">
        <v>2250</v>
      </c>
      <c r="E306" s="2" t="s">
        <v>10</v>
      </c>
      <c r="F306">
        <f>0.43/0.41</f>
        <v>1.0487804878048781</v>
      </c>
      <c r="G306" s="2">
        <v>22</v>
      </c>
    </row>
    <row r="307" spans="1:7" x14ac:dyDescent="0.3">
      <c r="A307" t="s">
        <v>19</v>
      </c>
      <c r="B307" s="2">
        <v>5</v>
      </c>
      <c r="C307" s="2" t="s">
        <v>11</v>
      </c>
      <c r="D307" s="2">
        <v>3118</v>
      </c>
      <c r="E307" s="2" t="s">
        <v>10</v>
      </c>
      <c r="F307">
        <f>0.63/0.48</f>
        <v>1.3125</v>
      </c>
      <c r="G307" s="2">
        <v>22</v>
      </c>
    </row>
    <row r="308" spans="1:7" x14ac:dyDescent="0.3">
      <c r="A308" s="2" t="s">
        <v>20</v>
      </c>
      <c r="B308" s="2">
        <v>5</v>
      </c>
      <c r="C308" s="2" t="s">
        <v>11</v>
      </c>
      <c r="D308" s="2">
        <v>2250</v>
      </c>
      <c r="E308" s="2" t="s">
        <v>10</v>
      </c>
      <c r="F308">
        <f>0.505/0.48</f>
        <v>1.0520833333333335</v>
      </c>
      <c r="G308" s="2">
        <v>22</v>
      </c>
    </row>
    <row r="309" spans="1:7" x14ac:dyDescent="0.3">
      <c r="A309" t="s">
        <v>19</v>
      </c>
      <c r="B309" s="2">
        <v>5</v>
      </c>
      <c r="C309" s="2" t="s">
        <v>8</v>
      </c>
      <c r="D309" s="2">
        <v>3118</v>
      </c>
      <c r="E309" s="2" t="s">
        <v>10</v>
      </c>
      <c r="F309">
        <f>65/48</f>
        <v>1.3541666666666667</v>
      </c>
      <c r="G309" s="2">
        <v>22</v>
      </c>
    </row>
    <row r="310" spans="1:7" x14ac:dyDescent="0.3">
      <c r="A310" s="2" t="s">
        <v>20</v>
      </c>
      <c r="B310" s="2">
        <v>5</v>
      </c>
      <c r="C310" s="2" t="s">
        <v>8</v>
      </c>
      <c r="D310" s="2">
        <v>2250</v>
      </c>
      <c r="E310" s="2" t="s">
        <v>10</v>
      </c>
      <c r="F310">
        <f>55/48</f>
        <v>1.1458333333333333</v>
      </c>
      <c r="G310" s="2">
        <v>22</v>
      </c>
    </row>
    <row r="311" spans="1:7" x14ac:dyDescent="0.3">
      <c r="A311" t="s">
        <v>19</v>
      </c>
      <c r="B311" s="2">
        <v>5</v>
      </c>
      <c r="C311" s="2" t="s">
        <v>8</v>
      </c>
      <c r="D311" s="2">
        <v>3118</v>
      </c>
      <c r="E311" s="2" t="s">
        <v>10</v>
      </c>
      <c r="F311">
        <f>50/37</f>
        <v>1.3513513513513513</v>
      </c>
      <c r="G311" s="2">
        <v>22</v>
      </c>
    </row>
    <row r="312" spans="1:7" x14ac:dyDescent="0.3">
      <c r="A312" s="2" t="s">
        <v>20</v>
      </c>
      <c r="B312" s="2">
        <v>5</v>
      </c>
      <c r="C312" s="2" t="s">
        <v>8</v>
      </c>
      <c r="D312" s="2">
        <v>2250</v>
      </c>
      <c r="E312" s="2" t="s">
        <v>10</v>
      </c>
      <c r="F312">
        <f>37.1/37</f>
        <v>1.0027027027027027</v>
      </c>
      <c r="G312" s="2">
        <v>22</v>
      </c>
    </row>
    <row r="313" spans="1:7" x14ac:dyDescent="0.3">
      <c r="A313" t="s">
        <v>19</v>
      </c>
      <c r="B313" s="2">
        <v>5</v>
      </c>
      <c r="C313" s="2" t="s">
        <v>8</v>
      </c>
      <c r="D313" s="2">
        <v>3118</v>
      </c>
      <c r="E313" s="2" t="s">
        <v>10</v>
      </c>
      <c r="F313">
        <f>42/31</f>
        <v>1.3548387096774193</v>
      </c>
      <c r="G313" s="2">
        <v>22</v>
      </c>
    </row>
    <row r="314" spans="1:7" s="1" customFormat="1" ht="13.9" thickBot="1" x14ac:dyDescent="0.35">
      <c r="A314" s="3" t="s">
        <v>20</v>
      </c>
      <c r="B314" s="3">
        <v>5</v>
      </c>
      <c r="C314" s="3" t="s">
        <v>8</v>
      </c>
      <c r="D314" s="2">
        <v>2250</v>
      </c>
      <c r="E314" s="3" t="s">
        <v>10</v>
      </c>
      <c r="F314" s="1">
        <f>30/31</f>
        <v>0.967741935483871</v>
      </c>
      <c r="G314" s="3">
        <v>22</v>
      </c>
    </row>
    <row r="315" spans="1:7" x14ac:dyDescent="0.3">
      <c r="A315" t="s">
        <v>21</v>
      </c>
      <c r="B315" s="2">
        <v>12</v>
      </c>
      <c r="C315" s="2" t="s">
        <v>8</v>
      </c>
      <c r="D315" s="2">
        <v>1000</v>
      </c>
      <c r="E315" s="2" t="s">
        <v>12</v>
      </c>
      <c r="F315">
        <f>1260/1495</f>
        <v>0.84280936454849498</v>
      </c>
      <c r="G315" s="2">
        <v>23</v>
      </c>
    </row>
    <row r="316" spans="1:7" x14ac:dyDescent="0.3">
      <c r="A316" t="s">
        <v>21</v>
      </c>
      <c r="B316" s="2">
        <v>12</v>
      </c>
      <c r="C316" s="2" t="s">
        <v>8</v>
      </c>
      <c r="D316" s="2">
        <v>1500</v>
      </c>
      <c r="E316" s="2" t="s">
        <v>12</v>
      </c>
      <c r="F316">
        <f>944/1495</f>
        <v>0.631438127090301</v>
      </c>
      <c r="G316" s="2">
        <v>23</v>
      </c>
    </row>
    <row r="317" spans="1:7" x14ac:dyDescent="0.3">
      <c r="A317" t="s">
        <v>21</v>
      </c>
      <c r="B317" s="2">
        <v>12</v>
      </c>
      <c r="C317" s="2" t="s">
        <v>8</v>
      </c>
      <c r="D317" s="2">
        <v>2000</v>
      </c>
      <c r="E317" s="2" t="s">
        <v>12</v>
      </c>
      <c r="F317">
        <f>591/1495</f>
        <v>0.39531772575250834</v>
      </c>
      <c r="G317" s="2">
        <v>23</v>
      </c>
    </row>
    <row r="318" spans="1:7" x14ac:dyDescent="0.3">
      <c r="A318" t="s">
        <v>21</v>
      </c>
      <c r="B318" s="2">
        <v>12</v>
      </c>
      <c r="C318" s="2" t="s">
        <v>8</v>
      </c>
      <c r="D318" s="2">
        <v>1000</v>
      </c>
      <c r="E318" s="2" t="s">
        <v>12</v>
      </c>
      <c r="F318">
        <f>70/81</f>
        <v>0.86419753086419748</v>
      </c>
      <c r="G318" s="2">
        <v>23</v>
      </c>
    </row>
    <row r="319" spans="1:7" x14ac:dyDescent="0.3">
      <c r="A319" t="s">
        <v>21</v>
      </c>
      <c r="B319" s="2">
        <v>12</v>
      </c>
      <c r="C319" s="2" t="s">
        <v>8</v>
      </c>
      <c r="D319" s="2">
        <v>1500</v>
      </c>
      <c r="E319" s="2" t="s">
        <v>12</v>
      </c>
      <c r="F319">
        <f>53/81</f>
        <v>0.65432098765432101</v>
      </c>
      <c r="G319" s="2">
        <v>23</v>
      </c>
    </row>
    <row r="320" spans="1:7" x14ac:dyDescent="0.3">
      <c r="A320" t="s">
        <v>21</v>
      </c>
      <c r="B320" s="2">
        <v>12</v>
      </c>
      <c r="C320" s="2" t="s">
        <v>8</v>
      </c>
      <c r="D320" s="2">
        <v>2000</v>
      </c>
      <c r="E320" s="2" t="s">
        <v>12</v>
      </c>
      <c r="F320">
        <f>46/81</f>
        <v>0.5679012345679012</v>
      </c>
      <c r="G320" s="2">
        <v>23</v>
      </c>
    </row>
    <row r="321" spans="1:7" x14ac:dyDescent="0.3">
      <c r="A321" t="s">
        <v>21</v>
      </c>
      <c r="B321" s="2">
        <v>12</v>
      </c>
      <c r="C321" s="2" t="s">
        <v>11</v>
      </c>
      <c r="D321" s="2">
        <v>1000</v>
      </c>
      <c r="E321" s="2" t="s">
        <v>12</v>
      </c>
      <c r="F321">
        <f>7.51/9.28</f>
        <v>0.80926724137931039</v>
      </c>
      <c r="G321" s="2">
        <v>23</v>
      </c>
    </row>
    <row r="322" spans="1:7" x14ac:dyDescent="0.3">
      <c r="A322" t="s">
        <v>21</v>
      </c>
      <c r="B322" s="2">
        <v>12</v>
      </c>
      <c r="C322" s="2" t="s">
        <v>11</v>
      </c>
      <c r="D322" s="2">
        <v>1500</v>
      </c>
      <c r="E322" s="2" t="s">
        <v>12</v>
      </c>
      <c r="F322">
        <f>499/928</f>
        <v>0.53771551724137934</v>
      </c>
      <c r="G322" s="2">
        <v>23</v>
      </c>
    </row>
    <row r="323" spans="1:7" x14ac:dyDescent="0.3">
      <c r="A323" t="s">
        <v>21</v>
      </c>
      <c r="B323" s="2">
        <v>12</v>
      </c>
      <c r="C323" s="2" t="s">
        <v>11</v>
      </c>
      <c r="D323" s="2">
        <v>2000</v>
      </c>
      <c r="E323" s="2" t="s">
        <v>12</v>
      </c>
      <c r="F323">
        <f>416/928</f>
        <v>0.44827586206896552</v>
      </c>
      <c r="G323" s="2">
        <v>23</v>
      </c>
    </row>
    <row r="324" spans="1:7" x14ac:dyDescent="0.3">
      <c r="A324" t="s">
        <v>21</v>
      </c>
      <c r="B324" s="2">
        <v>12</v>
      </c>
      <c r="C324" s="2" t="s">
        <v>11</v>
      </c>
      <c r="D324" s="2">
        <v>1000</v>
      </c>
      <c r="E324" s="2" t="s">
        <v>12</v>
      </c>
      <c r="F324">
        <f>493/513</f>
        <v>0.96101364522417154</v>
      </c>
      <c r="G324" s="2">
        <v>23</v>
      </c>
    </row>
    <row r="325" spans="1:7" x14ac:dyDescent="0.3">
      <c r="A325" t="s">
        <v>21</v>
      </c>
      <c r="B325" s="2">
        <v>12</v>
      </c>
      <c r="C325" s="2" t="s">
        <v>11</v>
      </c>
      <c r="D325" s="2">
        <v>1500</v>
      </c>
      <c r="E325" s="2" t="s">
        <v>12</v>
      </c>
      <c r="F325">
        <f>313/513</f>
        <v>0.61013645224171542</v>
      </c>
      <c r="G325" s="2">
        <v>23</v>
      </c>
    </row>
    <row r="326" spans="1:7" x14ac:dyDescent="0.3">
      <c r="A326" t="s">
        <v>21</v>
      </c>
      <c r="B326" s="2">
        <v>12</v>
      </c>
      <c r="C326" s="2" t="s">
        <v>11</v>
      </c>
      <c r="D326" s="2">
        <v>2000</v>
      </c>
      <c r="E326" s="2" t="s">
        <v>12</v>
      </c>
      <c r="F326">
        <f>233/513</f>
        <v>0.45419103313840153</v>
      </c>
      <c r="G326" s="2">
        <v>23</v>
      </c>
    </row>
    <row r="327" spans="1:7" x14ac:dyDescent="0.3">
      <c r="A327" t="s">
        <v>21</v>
      </c>
      <c r="B327" s="2">
        <v>12</v>
      </c>
      <c r="C327" s="2" t="s">
        <v>8</v>
      </c>
      <c r="D327" s="2">
        <v>1000</v>
      </c>
      <c r="E327" s="2" t="s">
        <v>9</v>
      </c>
      <c r="F327">
        <f>333/376</f>
        <v>0.88563829787234039</v>
      </c>
      <c r="G327" s="2">
        <v>23</v>
      </c>
    </row>
    <row r="328" spans="1:7" x14ac:dyDescent="0.3">
      <c r="A328" t="s">
        <v>21</v>
      </c>
      <c r="B328" s="2">
        <v>12</v>
      </c>
      <c r="C328" s="2" t="s">
        <v>8</v>
      </c>
      <c r="D328" s="2">
        <v>1500</v>
      </c>
      <c r="E328" s="2" t="s">
        <v>9</v>
      </c>
      <c r="F328">
        <f>287/376</f>
        <v>0.76329787234042556</v>
      </c>
      <c r="G328" s="2">
        <v>23</v>
      </c>
    </row>
    <row r="329" spans="1:7" x14ac:dyDescent="0.3">
      <c r="A329" t="s">
        <v>21</v>
      </c>
      <c r="B329" s="2">
        <v>12</v>
      </c>
      <c r="C329" s="2" t="s">
        <v>8</v>
      </c>
      <c r="D329" s="2">
        <v>2000</v>
      </c>
      <c r="E329" s="2" t="s">
        <v>9</v>
      </c>
      <c r="F329">
        <f>237/376</f>
        <v>0.63031914893617025</v>
      </c>
      <c r="G329" s="2">
        <v>23</v>
      </c>
    </row>
    <row r="330" spans="1:7" x14ac:dyDescent="0.3">
      <c r="A330" t="s">
        <v>21</v>
      </c>
      <c r="B330" s="2">
        <v>12</v>
      </c>
      <c r="C330" s="2" t="s">
        <v>8</v>
      </c>
      <c r="D330" s="2">
        <v>1000</v>
      </c>
      <c r="E330" s="2" t="s">
        <v>9</v>
      </c>
      <c r="F330">
        <f>74/82</f>
        <v>0.90243902439024393</v>
      </c>
      <c r="G330" s="2">
        <v>23</v>
      </c>
    </row>
    <row r="331" spans="1:7" x14ac:dyDescent="0.3">
      <c r="A331" t="s">
        <v>21</v>
      </c>
      <c r="B331" s="2">
        <v>12</v>
      </c>
      <c r="C331" s="2" t="s">
        <v>8</v>
      </c>
      <c r="D331" s="2">
        <v>1500</v>
      </c>
      <c r="E331" s="2" t="s">
        <v>9</v>
      </c>
      <c r="F331">
        <f>68/82</f>
        <v>0.82926829268292679</v>
      </c>
      <c r="G331" s="2">
        <v>23</v>
      </c>
    </row>
    <row r="332" spans="1:7" x14ac:dyDescent="0.3">
      <c r="A332" t="s">
        <v>21</v>
      </c>
      <c r="B332" s="2">
        <v>12</v>
      </c>
      <c r="C332" s="2" t="s">
        <v>8</v>
      </c>
      <c r="D332" s="2">
        <v>2000</v>
      </c>
      <c r="E332" s="2" t="s">
        <v>9</v>
      </c>
      <c r="F332">
        <f>54/82</f>
        <v>0.65853658536585369</v>
      </c>
      <c r="G332" s="2">
        <v>23</v>
      </c>
    </row>
    <row r="333" spans="1:7" x14ac:dyDescent="0.3">
      <c r="A333" t="s">
        <v>21</v>
      </c>
      <c r="B333" s="2">
        <v>12</v>
      </c>
      <c r="C333" s="2" t="s">
        <v>8</v>
      </c>
      <c r="D333" s="2">
        <v>1000</v>
      </c>
      <c r="E333" s="2" t="s">
        <v>10</v>
      </c>
      <c r="F333">
        <f>314/278</f>
        <v>1.1294964028776979</v>
      </c>
      <c r="G333" s="2">
        <v>23</v>
      </c>
    </row>
    <row r="334" spans="1:7" x14ac:dyDescent="0.3">
      <c r="A334" t="s">
        <v>21</v>
      </c>
      <c r="B334" s="2">
        <v>12</v>
      </c>
      <c r="C334" s="2" t="s">
        <v>8</v>
      </c>
      <c r="D334" s="2">
        <v>1500</v>
      </c>
      <c r="E334" s="2" t="s">
        <v>10</v>
      </c>
      <c r="F334">
        <f>381/278</f>
        <v>1.3705035971223021</v>
      </c>
      <c r="G334" s="2">
        <v>23</v>
      </c>
    </row>
    <row r="335" spans="1:7" x14ac:dyDescent="0.3">
      <c r="A335" t="s">
        <v>21</v>
      </c>
      <c r="B335" s="2">
        <v>12</v>
      </c>
      <c r="C335" s="2" t="s">
        <v>8</v>
      </c>
      <c r="D335" s="2">
        <v>2000</v>
      </c>
      <c r="E335" s="2" t="s">
        <v>10</v>
      </c>
      <c r="F335">
        <f>261/278</f>
        <v>0.9388489208633094</v>
      </c>
      <c r="G335" s="2">
        <v>23</v>
      </c>
    </row>
    <row r="336" spans="1:7" x14ac:dyDescent="0.3">
      <c r="A336" t="s">
        <v>21</v>
      </c>
      <c r="B336" s="2">
        <v>12</v>
      </c>
      <c r="C336" s="2" t="s">
        <v>8</v>
      </c>
      <c r="D336" s="2">
        <v>1000</v>
      </c>
      <c r="E336" s="2" t="s">
        <v>10</v>
      </c>
      <c r="F336">
        <f>499/406</f>
        <v>1.229064039408867</v>
      </c>
      <c r="G336" s="2">
        <v>23</v>
      </c>
    </row>
    <row r="337" spans="1:7" x14ac:dyDescent="0.3">
      <c r="A337" t="s">
        <v>21</v>
      </c>
      <c r="B337" s="2">
        <v>12</v>
      </c>
      <c r="C337" s="2" t="s">
        <v>8</v>
      </c>
      <c r="D337" s="2">
        <v>1500</v>
      </c>
      <c r="E337" s="2" t="s">
        <v>10</v>
      </c>
      <c r="F337">
        <f>542/406</f>
        <v>1.3349753694581281</v>
      </c>
      <c r="G337" s="2">
        <v>23</v>
      </c>
    </row>
    <row r="338" spans="1:7" x14ac:dyDescent="0.3">
      <c r="A338" t="s">
        <v>21</v>
      </c>
      <c r="B338" s="2">
        <v>12</v>
      </c>
      <c r="C338" s="2" t="s">
        <v>8</v>
      </c>
      <c r="D338" s="2">
        <v>2000</v>
      </c>
      <c r="E338" s="2" t="s">
        <v>10</v>
      </c>
      <c r="F338">
        <f>303/406</f>
        <v>0.74630541871921185</v>
      </c>
      <c r="G338" s="2">
        <v>23</v>
      </c>
    </row>
    <row r="339" spans="1:7" x14ac:dyDescent="0.3">
      <c r="A339" t="s">
        <v>21</v>
      </c>
      <c r="B339" s="2">
        <v>12</v>
      </c>
      <c r="C339" s="2" t="s">
        <v>8</v>
      </c>
      <c r="D339" s="2">
        <v>1000</v>
      </c>
      <c r="E339" s="2" t="s">
        <v>9</v>
      </c>
      <c r="F339">
        <f>333/355</f>
        <v>0.93802816901408448</v>
      </c>
      <c r="G339" s="2">
        <v>23</v>
      </c>
    </row>
    <row r="340" spans="1:7" x14ac:dyDescent="0.3">
      <c r="A340" t="s">
        <v>21</v>
      </c>
      <c r="B340" s="2">
        <v>12</v>
      </c>
      <c r="C340" s="2" t="s">
        <v>8</v>
      </c>
      <c r="D340" s="2">
        <v>1500</v>
      </c>
      <c r="E340" s="2" t="s">
        <v>9</v>
      </c>
      <c r="F340">
        <f>223/355</f>
        <v>0.62816901408450709</v>
      </c>
      <c r="G340" s="2">
        <v>23</v>
      </c>
    </row>
    <row r="341" spans="1:7" x14ac:dyDescent="0.3">
      <c r="A341" t="s">
        <v>21</v>
      </c>
      <c r="B341" s="2">
        <v>12</v>
      </c>
      <c r="C341" s="2" t="s">
        <v>8</v>
      </c>
      <c r="D341" s="2">
        <v>2000</v>
      </c>
      <c r="E341" s="2" t="s">
        <v>9</v>
      </c>
      <c r="F341">
        <f>215/355</f>
        <v>0.60563380281690138</v>
      </c>
      <c r="G341" s="2">
        <v>23</v>
      </c>
    </row>
    <row r="342" spans="1:7" x14ac:dyDescent="0.3">
      <c r="A342" t="s">
        <v>21</v>
      </c>
      <c r="B342" s="2">
        <v>12</v>
      </c>
      <c r="C342" s="2" t="s">
        <v>8</v>
      </c>
      <c r="D342" s="2">
        <v>1000</v>
      </c>
      <c r="E342" s="2" t="s">
        <v>10</v>
      </c>
      <c r="F342">
        <f>95/67</f>
        <v>1.4179104477611941</v>
      </c>
      <c r="G342" s="2">
        <v>23</v>
      </c>
    </row>
    <row r="343" spans="1:7" x14ac:dyDescent="0.3">
      <c r="A343" t="s">
        <v>21</v>
      </c>
      <c r="B343" s="2">
        <v>12</v>
      </c>
      <c r="C343" s="2" t="s">
        <v>8</v>
      </c>
      <c r="D343" s="2">
        <v>1500</v>
      </c>
      <c r="E343" s="2" t="s">
        <v>10</v>
      </c>
      <c r="F343">
        <f>119/67</f>
        <v>1.7761194029850746</v>
      </c>
      <c r="G343" s="2">
        <v>23</v>
      </c>
    </row>
    <row r="344" spans="1:7" s="1" customFormat="1" ht="13.9" thickBot="1" x14ac:dyDescent="0.35">
      <c r="A344" s="1" t="s">
        <v>21</v>
      </c>
      <c r="B344" s="3">
        <v>12</v>
      </c>
      <c r="C344" s="3" t="s">
        <v>8</v>
      </c>
      <c r="D344" s="2">
        <v>2000</v>
      </c>
      <c r="E344" s="3" t="s">
        <v>10</v>
      </c>
      <c r="F344" s="1">
        <f>122/67</f>
        <v>1.8208955223880596</v>
      </c>
      <c r="G344" s="3">
        <v>23</v>
      </c>
    </row>
    <row r="345" spans="1:7" x14ac:dyDescent="0.3">
      <c r="A345" t="s">
        <v>22</v>
      </c>
      <c r="B345" s="2">
        <v>7</v>
      </c>
      <c r="C345" s="2" t="s">
        <v>8</v>
      </c>
      <c r="D345" s="2">
        <v>15000</v>
      </c>
      <c r="E345" s="2" t="s">
        <v>12</v>
      </c>
      <c r="F345">
        <f>182/193</f>
        <v>0.94300518134715028</v>
      </c>
      <c r="G345" s="2">
        <v>24</v>
      </c>
    </row>
    <row r="346" spans="1:7" x14ac:dyDescent="0.3">
      <c r="A346" t="s">
        <v>22</v>
      </c>
      <c r="B346" s="2">
        <v>8</v>
      </c>
      <c r="C346" s="2" t="s">
        <v>8</v>
      </c>
      <c r="D346" s="2">
        <v>15000</v>
      </c>
      <c r="E346" s="2" t="s">
        <v>12</v>
      </c>
      <c r="F346">
        <f>1884/1984</f>
        <v>0.94959677419354838</v>
      </c>
      <c r="G346" s="2">
        <v>24</v>
      </c>
    </row>
    <row r="347" spans="1:7" x14ac:dyDescent="0.3">
      <c r="A347" t="s">
        <v>22</v>
      </c>
      <c r="B347" s="2">
        <v>10</v>
      </c>
      <c r="C347" s="2" t="s">
        <v>8</v>
      </c>
      <c r="D347" s="2">
        <v>15000</v>
      </c>
      <c r="E347" s="2" t="s">
        <v>12</v>
      </c>
      <c r="F347">
        <f>2192/2250</f>
        <v>0.97422222222222221</v>
      </c>
      <c r="G347" s="2">
        <v>24</v>
      </c>
    </row>
    <row r="348" spans="1:7" x14ac:dyDescent="0.3">
      <c r="A348" t="s">
        <v>22</v>
      </c>
      <c r="B348" s="2">
        <v>12</v>
      </c>
      <c r="C348" s="2" t="s">
        <v>8</v>
      </c>
      <c r="D348" s="2">
        <v>15000</v>
      </c>
      <c r="E348" s="2" t="s">
        <v>12</v>
      </c>
      <c r="F348">
        <f>2572/2768</f>
        <v>0.92919075144508667</v>
      </c>
      <c r="G348" s="2">
        <v>24</v>
      </c>
    </row>
    <row r="349" spans="1:7" x14ac:dyDescent="0.3">
      <c r="A349" t="s">
        <v>22</v>
      </c>
      <c r="B349" s="2">
        <v>14</v>
      </c>
      <c r="C349" s="2" t="s">
        <v>8</v>
      </c>
      <c r="D349" s="2">
        <v>15000</v>
      </c>
      <c r="E349" s="2" t="s">
        <v>12</v>
      </c>
      <c r="F349">
        <f>2766/3152</f>
        <v>0.8775380710659898</v>
      </c>
      <c r="G349" s="2">
        <v>24</v>
      </c>
    </row>
    <row r="350" spans="1:7" x14ac:dyDescent="0.3">
      <c r="A350" t="s">
        <v>22</v>
      </c>
      <c r="B350" s="2">
        <v>16</v>
      </c>
      <c r="C350" s="2" t="s">
        <v>8</v>
      </c>
      <c r="D350" s="2">
        <v>15000</v>
      </c>
      <c r="E350" s="2" t="s">
        <v>12</v>
      </c>
      <c r="F350">
        <f>3024/3342</f>
        <v>0.9048473967684022</v>
      </c>
      <c r="G350" s="2">
        <v>24</v>
      </c>
    </row>
    <row r="351" spans="1:7" x14ac:dyDescent="0.3">
      <c r="A351" t="s">
        <v>22</v>
      </c>
      <c r="B351" s="2">
        <v>19</v>
      </c>
      <c r="C351" s="2" t="s">
        <v>8</v>
      </c>
      <c r="D351" s="2">
        <v>15000</v>
      </c>
      <c r="E351" s="2" t="s">
        <v>12</v>
      </c>
      <c r="F351">
        <f>3212/3422</f>
        <v>0.93863237872589134</v>
      </c>
      <c r="G351" s="2">
        <v>24</v>
      </c>
    </row>
    <row r="352" spans="1:7" x14ac:dyDescent="0.3">
      <c r="A352" t="s">
        <v>22</v>
      </c>
      <c r="B352" s="2">
        <v>7</v>
      </c>
      <c r="C352" s="2" t="s">
        <v>11</v>
      </c>
      <c r="D352" s="2">
        <v>15000</v>
      </c>
      <c r="E352" s="2" t="s">
        <v>12</v>
      </c>
      <c r="F352">
        <f>1422/1194</f>
        <v>1.1909547738693467</v>
      </c>
      <c r="G352" s="2">
        <v>24</v>
      </c>
    </row>
    <row r="353" spans="1:7" x14ac:dyDescent="0.3">
      <c r="A353" t="s">
        <v>22</v>
      </c>
      <c r="B353" s="2">
        <v>8</v>
      </c>
      <c r="C353" s="2" t="s">
        <v>11</v>
      </c>
      <c r="D353" s="2">
        <v>15000</v>
      </c>
      <c r="E353" s="2" t="s">
        <v>12</v>
      </c>
      <c r="F353">
        <f>1492/1202</f>
        <v>1.2412645590682196</v>
      </c>
      <c r="G353" s="2">
        <v>24</v>
      </c>
    </row>
    <row r="354" spans="1:7" x14ac:dyDescent="0.3">
      <c r="A354" t="s">
        <v>22</v>
      </c>
      <c r="B354" s="2">
        <v>10</v>
      </c>
      <c r="C354" s="2" t="s">
        <v>11</v>
      </c>
      <c r="D354" s="2">
        <v>15000</v>
      </c>
      <c r="E354" s="2" t="s">
        <v>12</v>
      </c>
      <c r="F354">
        <f>1682/1410</f>
        <v>1.1929078014184398</v>
      </c>
      <c r="G354" s="2">
        <v>24</v>
      </c>
    </row>
    <row r="355" spans="1:7" x14ac:dyDescent="0.3">
      <c r="A355" t="s">
        <v>22</v>
      </c>
      <c r="B355" s="2">
        <v>12</v>
      </c>
      <c r="C355" s="2" t="s">
        <v>11</v>
      </c>
      <c r="D355" s="2">
        <v>15000</v>
      </c>
      <c r="E355" s="2" t="s">
        <v>12</v>
      </c>
      <c r="F355">
        <f>1980/1824</f>
        <v>1.0855263157894737</v>
      </c>
      <c r="G355" s="2">
        <v>24</v>
      </c>
    </row>
    <row r="356" spans="1:7" x14ac:dyDescent="0.3">
      <c r="A356" t="s">
        <v>22</v>
      </c>
      <c r="B356" s="2">
        <v>14</v>
      </c>
      <c r="C356" s="2" t="s">
        <v>11</v>
      </c>
      <c r="D356" s="2">
        <v>15000</v>
      </c>
      <c r="E356" s="2" t="s">
        <v>12</v>
      </c>
      <c r="F356">
        <f>2342/2124</f>
        <v>1.1026365348399247</v>
      </c>
      <c r="G356" s="2">
        <v>24</v>
      </c>
    </row>
    <row r="357" spans="1:7" x14ac:dyDescent="0.3">
      <c r="A357" t="s">
        <v>22</v>
      </c>
      <c r="B357" s="2">
        <v>16</v>
      </c>
      <c r="C357" s="2" t="s">
        <v>11</v>
      </c>
      <c r="D357" s="2">
        <v>15000</v>
      </c>
      <c r="E357" s="2" t="s">
        <v>12</v>
      </c>
      <c r="F357">
        <f>252/234</f>
        <v>1.0769230769230769</v>
      </c>
      <c r="G357" s="2">
        <v>24</v>
      </c>
    </row>
    <row r="358" spans="1:7" x14ac:dyDescent="0.3">
      <c r="A358" t="s">
        <v>22</v>
      </c>
      <c r="B358" s="2">
        <v>19</v>
      </c>
      <c r="C358" s="2" t="s">
        <v>11</v>
      </c>
      <c r="D358" s="2">
        <v>15000</v>
      </c>
      <c r="E358" s="2" t="s">
        <v>12</v>
      </c>
      <c r="F358">
        <f>2678/2496</f>
        <v>1.0729166666666667</v>
      </c>
      <c r="G358" s="2">
        <v>24</v>
      </c>
    </row>
    <row r="359" spans="1:7" x14ac:dyDescent="0.3">
      <c r="A359" t="s">
        <v>22</v>
      </c>
      <c r="B359" s="2">
        <v>7</v>
      </c>
      <c r="C359" s="2" t="s">
        <v>8</v>
      </c>
      <c r="D359" s="2">
        <v>15000</v>
      </c>
      <c r="E359" s="2" t="s">
        <v>12</v>
      </c>
      <c r="F359">
        <f>2199/2367</f>
        <v>0.92902408111533585</v>
      </c>
      <c r="G359" s="2">
        <v>24</v>
      </c>
    </row>
    <row r="360" spans="1:7" x14ac:dyDescent="0.3">
      <c r="A360" t="s">
        <v>22</v>
      </c>
      <c r="B360" s="2">
        <v>8</v>
      </c>
      <c r="C360" s="2" t="s">
        <v>8</v>
      </c>
      <c r="D360" s="2">
        <v>15000</v>
      </c>
      <c r="E360" s="2" t="s">
        <v>12</v>
      </c>
      <c r="F360">
        <f>2332/2507</f>
        <v>0.93019545273234938</v>
      </c>
      <c r="G360" s="2">
        <v>24</v>
      </c>
    </row>
    <row r="361" spans="1:7" x14ac:dyDescent="0.3">
      <c r="A361" t="s">
        <v>22</v>
      </c>
      <c r="B361" s="2">
        <v>10</v>
      </c>
      <c r="C361" s="2" t="s">
        <v>8</v>
      </c>
      <c r="D361" s="2">
        <v>15000</v>
      </c>
      <c r="E361" s="2" t="s">
        <v>12</v>
      </c>
      <c r="F361">
        <f>3442/3770</f>
        <v>0.91299734748010608</v>
      </c>
      <c r="G361" s="2">
        <v>24</v>
      </c>
    </row>
    <row r="362" spans="1:7" x14ac:dyDescent="0.3">
      <c r="A362" t="s">
        <v>22</v>
      </c>
      <c r="B362" s="2">
        <v>12</v>
      </c>
      <c r="C362" s="2" t="s">
        <v>8</v>
      </c>
      <c r="D362" s="2">
        <v>15000</v>
      </c>
      <c r="E362" s="2" t="s">
        <v>12</v>
      </c>
      <c r="F362">
        <f>5587/6027</f>
        <v>0.92699518831923011</v>
      </c>
      <c r="G362" s="2">
        <v>24</v>
      </c>
    </row>
    <row r="363" spans="1:7" x14ac:dyDescent="0.3">
      <c r="A363" t="s">
        <v>22</v>
      </c>
      <c r="B363" s="2">
        <v>14</v>
      </c>
      <c r="C363" s="2" t="s">
        <v>8</v>
      </c>
      <c r="D363" s="2">
        <v>15000</v>
      </c>
      <c r="E363" s="2" t="s">
        <v>12</v>
      </c>
      <c r="F363">
        <f>8691/9638</f>
        <v>0.90174310022826309</v>
      </c>
      <c r="G363" s="2">
        <v>24</v>
      </c>
    </row>
    <row r="364" spans="1:7" x14ac:dyDescent="0.3">
      <c r="A364" t="s">
        <v>22</v>
      </c>
      <c r="B364" s="2">
        <v>16</v>
      </c>
      <c r="C364" s="2" t="s">
        <v>8</v>
      </c>
      <c r="D364" s="2">
        <v>15000</v>
      </c>
      <c r="E364" s="2" t="s">
        <v>12</v>
      </c>
      <c r="F364">
        <f>1211/1325</f>
        <v>0.91396226415094339</v>
      </c>
      <c r="G364" s="2">
        <v>24</v>
      </c>
    </row>
    <row r="365" spans="1:7" x14ac:dyDescent="0.3">
      <c r="A365" t="s">
        <v>22</v>
      </c>
      <c r="B365" s="2">
        <v>19</v>
      </c>
      <c r="C365" s="2" t="s">
        <v>8</v>
      </c>
      <c r="D365" s="2">
        <v>15000</v>
      </c>
      <c r="E365" s="2" t="s">
        <v>12</v>
      </c>
      <c r="F365">
        <f>1621/1801</f>
        <v>0.90005552470849526</v>
      </c>
      <c r="G365" s="2">
        <v>24</v>
      </c>
    </row>
    <row r="366" spans="1:7" x14ac:dyDescent="0.3">
      <c r="A366" t="s">
        <v>22</v>
      </c>
      <c r="B366" s="2">
        <v>7</v>
      </c>
      <c r="C366" s="2" t="s">
        <v>11</v>
      </c>
      <c r="D366" s="2">
        <v>15000</v>
      </c>
      <c r="E366" s="2" t="s">
        <v>12</v>
      </c>
      <c r="F366">
        <f>2237/2004</f>
        <v>1.1162674650698603</v>
      </c>
      <c r="G366" s="2">
        <v>24</v>
      </c>
    </row>
    <row r="367" spans="1:7" x14ac:dyDescent="0.3">
      <c r="A367" t="s">
        <v>22</v>
      </c>
      <c r="B367" s="2">
        <v>8</v>
      </c>
      <c r="C367" s="2" t="s">
        <v>11</v>
      </c>
      <c r="D367" s="2">
        <v>15000</v>
      </c>
      <c r="E367" s="2" t="s">
        <v>12</v>
      </c>
      <c r="F367">
        <f>2393/2126</f>
        <v>1.125587958607714</v>
      </c>
      <c r="G367" s="2">
        <v>24</v>
      </c>
    </row>
    <row r="368" spans="1:7" x14ac:dyDescent="0.3">
      <c r="A368" t="s">
        <v>22</v>
      </c>
      <c r="B368" s="2">
        <v>10</v>
      </c>
      <c r="C368" s="2" t="s">
        <v>11</v>
      </c>
      <c r="D368" s="2">
        <v>15000</v>
      </c>
      <c r="E368" s="2" t="s">
        <v>12</v>
      </c>
      <c r="F368">
        <f>3561/3201</f>
        <v>1.1124648547328959</v>
      </c>
      <c r="G368" s="2">
        <v>24</v>
      </c>
    </row>
    <row r="369" spans="1:7" x14ac:dyDescent="0.3">
      <c r="A369" t="s">
        <v>22</v>
      </c>
      <c r="B369" s="2">
        <v>12</v>
      </c>
      <c r="C369" s="2" t="s">
        <v>11</v>
      </c>
      <c r="D369" s="2">
        <v>15000</v>
      </c>
      <c r="E369" s="2" t="s">
        <v>12</v>
      </c>
      <c r="F369">
        <f>580/519</f>
        <v>1.117533718689788</v>
      </c>
      <c r="G369" s="2">
        <v>24</v>
      </c>
    </row>
    <row r="370" spans="1:7" x14ac:dyDescent="0.3">
      <c r="A370" t="s">
        <v>22</v>
      </c>
      <c r="B370" s="2">
        <v>14</v>
      </c>
      <c r="C370" s="2" t="s">
        <v>11</v>
      </c>
      <c r="D370" s="2">
        <v>15000</v>
      </c>
      <c r="E370" s="2" t="s">
        <v>12</v>
      </c>
      <c r="F370">
        <f>906/800</f>
        <v>1.1325000000000001</v>
      </c>
      <c r="G370" s="2">
        <v>24</v>
      </c>
    </row>
    <row r="371" spans="1:7" x14ac:dyDescent="0.3">
      <c r="A371" t="s">
        <v>22</v>
      </c>
      <c r="B371" s="2">
        <v>16</v>
      </c>
      <c r="C371" s="2" t="s">
        <v>11</v>
      </c>
      <c r="D371" s="2">
        <v>15000</v>
      </c>
      <c r="E371" s="2" t="s">
        <v>12</v>
      </c>
      <c r="F371">
        <f>1252/1134</f>
        <v>1.1040564373897708</v>
      </c>
      <c r="G371" s="2">
        <v>24</v>
      </c>
    </row>
    <row r="372" spans="1:7" x14ac:dyDescent="0.3">
      <c r="A372" t="s">
        <v>22</v>
      </c>
      <c r="B372" s="2">
        <v>19</v>
      </c>
      <c r="C372" s="2" t="s">
        <v>11</v>
      </c>
      <c r="D372" s="2">
        <v>15000</v>
      </c>
      <c r="E372" s="2" t="s">
        <v>12</v>
      </c>
      <c r="F372">
        <f>1688/1487</f>
        <v>1.1351714862138533</v>
      </c>
      <c r="G372" s="2">
        <v>24</v>
      </c>
    </row>
    <row r="373" spans="1:7" x14ac:dyDescent="0.3">
      <c r="A373" t="s">
        <v>22</v>
      </c>
      <c r="B373" s="2">
        <v>7</v>
      </c>
      <c r="C373" s="2" t="s">
        <v>8</v>
      </c>
      <c r="D373" s="2">
        <v>15000</v>
      </c>
      <c r="E373" s="2" t="s">
        <v>9</v>
      </c>
      <c r="F373">
        <f>229/203</f>
        <v>1.1280788177339902</v>
      </c>
      <c r="G373" s="2">
        <v>24</v>
      </c>
    </row>
    <row r="374" spans="1:7" x14ac:dyDescent="0.3">
      <c r="A374" t="s">
        <v>22</v>
      </c>
      <c r="B374" s="2">
        <v>8</v>
      </c>
      <c r="C374" s="2" t="s">
        <v>8</v>
      </c>
      <c r="D374" s="2">
        <v>15000</v>
      </c>
      <c r="E374" s="2" t="s">
        <v>9</v>
      </c>
      <c r="F374">
        <f>233/210</f>
        <v>1.1095238095238096</v>
      </c>
      <c r="G374" s="2">
        <v>24</v>
      </c>
    </row>
    <row r="375" spans="1:7" x14ac:dyDescent="0.3">
      <c r="A375" t="s">
        <v>22</v>
      </c>
      <c r="B375" s="2">
        <v>10</v>
      </c>
      <c r="C375" s="2" t="s">
        <v>8</v>
      </c>
      <c r="D375" s="2">
        <v>15000</v>
      </c>
      <c r="E375" s="2" t="s">
        <v>9</v>
      </c>
      <c r="F375">
        <f>225/208</f>
        <v>1.0817307692307692</v>
      </c>
      <c r="G375" s="2">
        <v>24</v>
      </c>
    </row>
    <row r="376" spans="1:7" x14ac:dyDescent="0.3">
      <c r="A376" t="s">
        <v>22</v>
      </c>
      <c r="B376" s="2">
        <v>12</v>
      </c>
      <c r="C376" s="2" t="s">
        <v>8</v>
      </c>
      <c r="D376" s="2">
        <v>15000</v>
      </c>
      <c r="E376" s="2" t="s">
        <v>9</v>
      </c>
      <c r="F376">
        <f>232/203</f>
        <v>1.1428571428571428</v>
      </c>
      <c r="G376" s="2">
        <v>24</v>
      </c>
    </row>
    <row r="377" spans="1:7" x14ac:dyDescent="0.3">
      <c r="A377" t="s">
        <v>22</v>
      </c>
      <c r="B377" s="2">
        <v>14</v>
      </c>
      <c r="C377" s="2" t="s">
        <v>8</v>
      </c>
      <c r="D377" s="2">
        <v>15000</v>
      </c>
      <c r="E377" s="2" t="s">
        <v>9</v>
      </c>
      <c r="F377">
        <f>228/200</f>
        <v>1.1399999999999999</v>
      </c>
      <c r="G377" s="2">
        <v>24</v>
      </c>
    </row>
    <row r="378" spans="1:7" x14ac:dyDescent="0.3">
      <c r="A378" t="s">
        <v>22</v>
      </c>
      <c r="B378" s="2">
        <v>16</v>
      </c>
      <c r="C378" s="2" t="s">
        <v>8</v>
      </c>
      <c r="D378" s="2">
        <v>15000</v>
      </c>
      <c r="E378" s="2" t="s">
        <v>9</v>
      </c>
      <c r="F378">
        <f>226/209</f>
        <v>1.0813397129186604</v>
      </c>
      <c r="G378" s="2">
        <v>24</v>
      </c>
    </row>
    <row r="379" spans="1:7" x14ac:dyDescent="0.3">
      <c r="A379" t="s">
        <v>22</v>
      </c>
      <c r="B379" s="2">
        <v>19</v>
      </c>
      <c r="C379" s="2" t="s">
        <v>8</v>
      </c>
      <c r="D379" s="2">
        <v>15000</v>
      </c>
      <c r="E379" s="2" t="s">
        <v>9</v>
      </c>
      <c r="F379">
        <f>227/212</f>
        <v>1.070754716981132</v>
      </c>
      <c r="G379" s="2">
        <v>24</v>
      </c>
    </row>
    <row r="380" spans="1:7" x14ac:dyDescent="0.3">
      <c r="A380" t="s">
        <v>22</v>
      </c>
      <c r="B380" s="2">
        <v>7</v>
      </c>
      <c r="C380" s="2" t="s">
        <v>8</v>
      </c>
      <c r="D380" s="2">
        <v>15000</v>
      </c>
      <c r="E380" s="2" t="s">
        <v>9</v>
      </c>
      <c r="F380">
        <f>81/63</f>
        <v>1.2857142857142858</v>
      </c>
      <c r="G380" s="2">
        <v>24</v>
      </c>
    </row>
    <row r="381" spans="1:7" x14ac:dyDescent="0.3">
      <c r="A381" t="s">
        <v>22</v>
      </c>
      <c r="B381" s="2">
        <v>8</v>
      </c>
      <c r="C381" s="2" t="s">
        <v>8</v>
      </c>
      <c r="D381" s="2">
        <v>15000</v>
      </c>
      <c r="E381" s="2" t="s">
        <v>9</v>
      </c>
      <c r="F381">
        <f>84/64</f>
        <v>1.3125</v>
      </c>
      <c r="G381" s="2">
        <v>24</v>
      </c>
    </row>
    <row r="382" spans="1:7" x14ac:dyDescent="0.3">
      <c r="A382" t="s">
        <v>22</v>
      </c>
      <c r="B382" s="2">
        <v>10</v>
      </c>
      <c r="C382" s="2" t="s">
        <v>8</v>
      </c>
      <c r="D382" s="2">
        <v>15000</v>
      </c>
      <c r="E382" s="2" t="s">
        <v>9</v>
      </c>
      <c r="F382">
        <f>83/60</f>
        <v>1.3833333333333333</v>
      </c>
      <c r="G382" s="2">
        <v>24</v>
      </c>
    </row>
    <row r="383" spans="1:7" x14ac:dyDescent="0.3">
      <c r="A383" t="s">
        <v>22</v>
      </c>
      <c r="B383" s="2">
        <v>12</v>
      </c>
      <c r="C383" s="2" t="s">
        <v>8</v>
      </c>
      <c r="D383" s="2">
        <v>15000</v>
      </c>
      <c r="E383" s="2" t="s">
        <v>9</v>
      </c>
      <c r="F383">
        <f>80/62</f>
        <v>1.2903225806451613</v>
      </c>
      <c r="G383" s="2">
        <v>24</v>
      </c>
    </row>
    <row r="384" spans="1:7" x14ac:dyDescent="0.3">
      <c r="A384" t="s">
        <v>22</v>
      </c>
      <c r="B384" s="2">
        <v>14</v>
      </c>
      <c r="C384" s="2" t="s">
        <v>8</v>
      </c>
      <c r="D384" s="2">
        <v>15000</v>
      </c>
      <c r="E384" s="2" t="s">
        <v>9</v>
      </c>
      <c r="F384">
        <f>78/66</f>
        <v>1.1818181818181819</v>
      </c>
      <c r="G384" s="2">
        <v>24</v>
      </c>
    </row>
    <row r="385" spans="1:7" x14ac:dyDescent="0.3">
      <c r="A385" t="s">
        <v>22</v>
      </c>
      <c r="B385" s="2">
        <v>16</v>
      </c>
      <c r="C385" s="2" t="s">
        <v>8</v>
      </c>
      <c r="D385" s="2">
        <v>15000</v>
      </c>
      <c r="E385" s="2" t="s">
        <v>9</v>
      </c>
      <c r="F385">
        <f>84/64</f>
        <v>1.3125</v>
      </c>
      <c r="G385" s="2">
        <v>24</v>
      </c>
    </row>
    <row r="386" spans="1:7" x14ac:dyDescent="0.3">
      <c r="A386" t="s">
        <v>22</v>
      </c>
      <c r="B386" s="2">
        <v>19</v>
      </c>
      <c r="C386" s="2" t="s">
        <v>8</v>
      </c>
      <c r="D386" s="2">
        <v>15000</v>
      </c>
      <c r="E386" s="2" t="s">
        <v>9</v>
      </c>
      <c r="F386">
        <f>83/64</f>
        <v>1.296875</v>
      </c>
      <c r="G386" s="2">
        <v>24</v>
      </c>
    </row>
    <row r="387" spans="1:7" x14ac:dyDescent="0.3">
      <c r="A387" t="s">
        <v>22</v>
      </c>
      <c r="B387" s="2">
        <v>7</v>
      </c>
      <c r="C387" s="2" t="s">
        <v>8</v>
      </c>
      <c r="D387" s="2">
        <v>15000</v>
      </c>
      <c r="E387" s="2" t="s">
        <v>10</v>
      </c>
      <c r="F387">
        <f>17.5/16</f>
        <v>1.09375</v>
      </c>
      <c r="G387" s="2">
        <v>24</v>
      </c>
    </row>
    <row r="388" spans="1:7" x14ac:dyDescent="0.3">
      <c r="A388" t="s">
        <v>22</v>
      </c>
      <c r="B388" s="2">
        <v>8</v>
      </c>
      <c r="C388" s="2" t="s">
        <v>8</v>
      </c>
      <c r="D388" s="2">
        <v>15000</v>
      </c>
      <c r="E388" s="2" t="s">
        <v>10</v>
      </c>
      <c r="F388">
        <f>17.7/16</f>
        <v>1.10625</v>
      </c>
      <c r="G388" s="2">
        <v>24</v>
      </c>
    </row>
    <row r="389" spans="1:7" x14ac:dyDescent="0.3">
      <c r="A389" t="s">
        <v>22</v>
      </c>
      <c r="B389" s="2">
        <v>10</v>
      </c>
      <c r="C389" s="2" t="s">
        <v>8</v>
      </c>
      <c r="D389" s="2">
        <v>15000</v>
      </c>
      <c r="E389" s="2" t="s">
        <v>10</v>
      </c>
      <c r="F389">
        <f>17.6/16.56</f>
        <v>1.06280193236715</v>
      </c>
      <c r="G389" s="2">
        <v>24</v>
      </c>
    </row>
    <row r="390" spans="1:7" x14ac:dyDescent="0.3">
      <c r="A390" t="s">
        <v>22</v>
      </c>
      <c r="B390" s="2">
        <v>12</v>
      </c>
      <c r="C390" s="2" t="s">
        <v>8</v>
      </c>
      <c r="D390" s="2">
        <v>15000</v>
      </c>
      <c r="E390" s="2" t="s">
        <v>10</v>
      </c>
      <c r="F390">
        <f>17.4/16.7</f>
        <v>1.0419161676646707</v>
      </c>
      <c r="G390" s="2">
        <v>24</v>
      </c>
    </row>
    <row r="391" spans="1:7" x14ac:dyDescent="0.3">
      <c r="A391" t="s">
        <v>22</v>
      </c>
      <c r="B391" s="2">
        <v>14</v>
      </c>
      <c r="C391" s="2" t="s">
        <v>8</v>
      </c>
      <c r="D391" s="2">
        <v>15000</v>
      </c>
      <c r="E391" s="2" t="s">
        <v>10</v>
      </c>
      <c r="F391">
        <f>17.36/16.8</f>
        <v>1.0333333333333332</v>
      </c>
      <c r="G391" s="2">
        <v>24</v>
      </c>
    </row>
    <row r="392" spans="1:7" x14ac:dyDescent="0.3">
      <c r="A392" t="s">
        <v>22</v>
      </c>
      <c r="B392" s="2">
        <v>16</v>
      </c>
      <c r="C392" s="2" t="s">
        <v>8</v>
      </c>
      <c r="D392" s="2">
        <v>15000</v>
      </c>
      <c r="E392" s="2" t="s">
        <v>10</v>
      </c>
      <c r="F392">
        <f>17/16.8</f>
        <v>1.0119047619047619</v>
      </c>
      <c r="G392" s="2">
        <v>24</v>
      </c>
    </row>
    <row r="393" spans="1:7" x14ac:dyDescent="0.3">
      <c r="A393" t="s">
        <v>22</v>
      </c>
      <c r="B393" s="2">
        <v>19</v>
      </c>
      <c r="C393" s="2" t="s">
        <v>8</v>
      </c>
      <c r="D393" s="2">
        <v>15000</v>
      </c>
      <c r="E393" s="2" t="s">
        <v>10</v>
      </c>
      <c r="F393">
        <f>1.02</f>
        <v>1.02</v>
      </c>
      <c r="G393" s="2">
        <v>24</v>
      </c>
    </row>
    <row r="394" spans="1:7" x14ac:dyDescent="0.3">
      <c r="A394" t="s">
        <v>22</v>
      </c>
      <c r="B394" s="2">
        <v>7</v>
      </c>
      <c r="C394" s="2" t="s">
        <v>11</v>
      </c>
      <c r="D394" s="2">
        <v>15000</v>
      </c>
      <c r="E394" s="2" t="s">
        <v>10</v>
      </c>
      <c r="F394">
        <f>18.5/17.7</f>
        <v>1.0451977401129944</v>
      </c>
      <c r="G394" s="2">
        <v>24</v>
      </c>
    </row>
    <row r="395" spans="1:7" x14ac:dyDescent="0.3">
      <c r="A395" t="s">
        <v>22</v>
      </c>
      <c r="B395" s="2">
        <v>8</v>
      </c>
      <c r="C395" s="2" t="s">
        <v>11</v>
      </c>
      <c r="D395" s="2">
        <v>15000</v>
      </c>
      <c r="E395" s="2" t="s">
        <v>10</v>
      </c>
      <c r="F395">
        <f>18.2/17.5</f>
        <v>1.04</v>
      </c>
      <c r="G395" s="2">
        <v>24</v>
      </c>
    </row>
    <row r="396" spans="1:7" x14ac:dyDescent="0.3">
      <c r="A396" t="s">
        <v>22</v>
      </c>
      <c r="B396" s="2">
        <v>10</v>
      </c>
      <c r="C396" s="2" t="s">
        <v>11</v>
      </c>
      <c r="D396" s="2">
        <v>15000</v>
      </c>
      <c r="E396" s="2" t="s">
        <v>10</v>
      </c>
      <c r="F396">
        <f>18.21/17.78</f>
        <v>1.0241844769403825</v>
      </c>
      <c r="G396" s="2">
        <v>24</v>
      </c>
    </row>
    <row r="397" spans="1:7" x14ac:dyDescent="0.3">
      <c r="A397" t="s">
        <v>22</v>
      </c>
      <c r="B397" s="2">
        <v>12</v>
      </c>
      <c r="C397" s="2" t="s">
        <v>11</v>
      </c>
      <c r="D397" s="2">
        <v>15000</v>
      </c>
      <c r="E397" s="2" t="s">
        <v>10</v>
      </c>
      <c r="F397">
        <f>18.22/17.8</f>
        <v>1.0235955056179775</v>
      </c>
      <c r="G397" s="2">
        <v>24</v>
      </c>
    </row>
    <row r="398" spans="1:7" x14ac:dyDescent="0.3">
      <c r="A398" t="s">
        <v>22</v>
      </c>
      <c r="B398" s="2">
        <v>14</v>
      </c>
      <c r="C398" s="2" t="s">
        <v>11</v>
      </c>
      <c r="D398" s="2">
        <v>15000</v>
      </c>
      <c r="E398" s="2" t="s">
        <v>10</v>
      </c>
      <c r="F398">
        <f>18.21/17.9</f>
        <v>1.01731843575419</v>
      </c>
      <c r="G398" s="2">
        <v>24</v>
      </c>
    </row>
    <row r="399" spans="1:7" x14ac:dyDescent="0.3">
      <c r="A399" t="s">
        <v>22</v>
      </c>
      <c r="B399" s="2">
        <v>16</v>
      </c>
      <c r="C399" s="2" t="s">
        <v>11</v>
      </c>
      <c r="D399" s="2">
        <v>15000</v>
      </c>
      <c r="E399" s="2" t="s">
        <v>10</v>
      </c>
      <c r="F399">
        <f>1.015</f>
        <v>1.0149999999999999</v>
      </c>
      <c r="G399" s="2">
        <v>24</v>
      </c>
    </row>
    <row r="400" spans="1:7" s="1" customFormat="1" ht="13.9" thickBot="1" x14ac:dyDescent="0.35">
      <c r="A400" s="1" t="s">
        <v>22</v>
      </c>
      <c r="B400" s="3">
        <v>19</v>
      </c>
      <c r="C400" s="3" t="s">
        <v>11</v>
      </c>
      <c r="D400" s="2">
        <v>15000</v>
      </c>
      <c r="E400" s="3" t="s">
        <v>10</v>
      </c>
      <c r="F400" s="1">
        <f>1.013</f>
        <v>1.0129999999999999</v>
      </c>
      <c r="G400" s="3">
        <v>24</v>
      </c>
    </row>
    <row r="401" spans="1:7" x14ac:dyDescent="0.3">
      <c r="A401" t="s">
        <v>19</v>
      </c>
      <c r="B401" s="2">
        <v>5</v>
      </c>
      <c r="C401" s="2" t="s">
        <v>8</v>
      </c>
      <c r="D401" s="2">
        <v>3118</v>
      </c>
      <c r="E401" s="2" t="s">
        <v>9</v>
      </c>
      <c r="F401">
        <v>0.44400000000000001</v>
      </c>
      <c r="G401" s="2">
        <v>25</v>
      </c>
    </row>
    <row r="402" spans="1:7" x14ac:dyDescent="0.3">
      <c r="A402" t="s">
        <v>23</v>
      </c>
      <c r="B402" s="2">
        <v>5</v>
      </c>
      <c r="C402" s="2" t="s">
        <v>8</v>
      </c>
      <c r="D402" s="2">
        <v>2250</v>
      </c>
      <c r="E402" s="2" t="s">
        <v>9</v>
      </c>
      <c r="F402">
        <v>0.95</v>
      </c>
      <c r="G402" s="2">
        <v>25</v>
      </c>
    </row>
    <row r="403" spans="1:7" x14ac:dyDescent="0.3">
      <c r="A403" t="s">
        <v>19</v>
      </c>
      <c r="B403" s="2">
        <v>5</v>
      </c>
      <c r="C403" s="2" t="s">
        <v>8</v>
      </c>
      <c r="D403" s="2">
        <v>3118</v>
      </c>
      <c r="E403" s="2" t="s">
        <v>10</v>
      </c>
      <c r="F403">
        <v>2.5</v>
      </c>
      <c r="G403" s="2">
        <v>25</v>
      </c>
    </row>
    <row r="404" spans="1:7" x14ac:dyDescent="0.3">
      <c r="A404" t="s">
        <v>23</v>
      </c>
      <c r="B404" s="2">
        <v>5</v>
      </c>
      <c r="C404" s="2" t="s">
        <v>8</v>
      </c>
      <c r="D404" s="2">
        <v>2250</v>
      </c>
      <c r="E404" s="2" t="s">
        <v>10</v>
      </c>
      <c r="F404">
        <v>0.9</v>
      </c>
      <c r="G404" s="2">
        <v>25</v>
      </c>
    </row>
    <row r="405" spans="1:7" x14ac:dyDescent="0.3">
      <c r="A405" t="s">
        <v>19</v>
      </c>
      <c r="B405" s="2">
        <v>5</v>
      </c>
      <c r="C405" s="2" t="s">
        <v>11</v>
      </c>
      <c r="D405" s="2">
        <v>3118</v>
      </c>
      <c r="E405" s="2" t="s">
        <v>10</v>
      </c>
      <c r="F405">
        <v>1.0900000000000001</v>
      </c>
      <c r="G405" s="2">
        <v>25</v>
      </c>
    </row>
    <row r="406" spans="1:7" x14ac:dyDescent="0.3">
      <c r="A406" t="s">
        <v>23</v>
      </c>
      <c r="B406" s="2">
        <v>5</v>
      </c>
      <c r="C406" s="2" t="s">
        <v>11</v>
      </c>
      <c r="D406" s="2">
        <v>2250</v>
      </c>
      <c r="E406" s="2" t="s">
        <v>10</v>
      </c>
      <c r="F406">
        <v>1.01</v>
      </c>
      <c r="G406" s="2">
        <v>25</v>
      </c>
    </row>
    <row r="407" spans="1:7" x14ac:dyDescent="0.3">
      <c r="A407" t="s">
        <v>19</v>
      </c>
      <c r="B407" s="2">
        <v>5</v>
      </c>
      <c r="C407" s="2" t="s">
        <v>8</v>
      </c>
      <c r="D407" s="2">
        <v>3118</v>
      </c>
      <c r="E407" s="2" t="s">
        <v>10</v>
      </c>
      <c r="F407">
        <f>125/95</f>
        <v>1.3157894736842106</v>
      </c>
      <c r="G407" s="2">
        <v>25</v>
      </c>
    </row>
    <row r="408" spans="1:7" x14ac:dyDescent="0.3">
      <c r="A408" t="s">
        <v>23</v>
      </c>
      <c r="B408" s="2">
        <v>5</v>
      </c>
      <c r="C408" s="2" t="s">
        <v>8</v>
      </c>
      <c r="D408" s="2">
        <v>2250</v>
      </c>
      <c r="E408" s="2" t="s">
        <v>10</v>
      </c>
      <c r="F408">
        <f>98/95</f>
        <v>1.0315789473684212</v>
      </c>
      <c r="G408" s="2">
        <v>25</v>
      </c>
    </row>
    <row r="409" spans="1:7" x14ac:dyDescent="0.3">
      <c r="A409" t="s">
        <v>19</v>
      </c>
      <c r="B409" s="2">
        <v>5</v>
      </c>
      <c r="C409" s="2" t="s">
        <v>11</v>
      </c>
      <c r="D409" s="2">
        <v>3118</v>
      </c>
      <c r="E409" s="2" t="s">
        <v>10</v>
      </c>
      <c r="F409">
        <f>145/125</f>
        <v>1.1599999999999999</v>
      </c>
      <c r="G409" s="2">
        <v>25</v>
      </c>
    </row>
    <row r="410" spans="1:7" x14ac:dyDescent="0.3">
      <c r="A410" t="s">
        <v>23</v>
      </c>
      <c r="B410" s="2">
        <v>5</v>
      </c>
      <c r="C410" s="2" t="s">
        <v>11</v>
      </c>
      <c r="D410" s="2">
        <v>2250</v>
      </c>
      <c r="E410" s="2" t="s">
        <v>10</v>
      </c>
      <c r="F410">
        <f>130/125</f>
        <v>1.04</v>
      </c>
      <c r="G410" s="2">
        <v>25</v>
      </c>
    </row>
    <row r="411" spans="1:7" x14ac:dyDescent="0.3">
      <c r="A411" t="s">
        <v>19</v>
      </c>
      <c r="B411" s="2">
        <v>5</v>
      </c>
      <c r="C411" s="2" t="s">
        <v>8</v>
      </c>
      <c r="D411" s="2">
        <v>3118</v>
      </c>
      <c r="E411" s="2" t="s">
        <v>10</v>
      </c>
      <c r="F411">
        <f>2/1.3</f>
        <v>1.5384615384615383</v>
      </c>
      <c r="G411" s="2">
        <v>25</v>
      </c>
    </row>
    <row r="412" spans="1:7" x14ac:dyDescent="0.3">
      <c r="A412" t="s">
        <v>23</v>
      </c>
      <c r="B412" s="2">
        <v>5</v>
      </c>
      <c r="C412" s="2" t="s">
        <v>8</v>
      </c>
      <c r="D412" s="2">
        <v>2250</v>
      </c>
      <c r="E412" s="2" t="s">
        <v>10</v>
      </c>
      <c r="F412">
        <f>0.9/1.3</f>
        <v>0.69230769230769229</v>
      </c>
      <c r="G412" s="2">
        <v>25</v>
      </c>
    </row>
    <row r="413" spans="1:7" x14ac:dyDescent="0.3">
      <c r="A413" t="s">
        <v>19</v>
      </c>
      <c r="B413" s="2">
        <v>5</v>
      </c>
      <c r="C413" s="2" t="s">
        <v>11</v>
      </c>
      <c r="D413" s="2">
        <v>3118</v>
      </c>
      <c r="E413" s="2" t="s">
        <v>10</v>
      </c>
      <c r="F413">
        <f>5.4/3.9</f>
        <v>1.3846153846153848</v>
      </c>
      <c r="G413" s="2">
        <v>25</v>
      </c>
    </row>
    <row r="414" spans="1:7" x14ac:dyDescent="0.3">
      <c r="A414" t="s">
        <v>23</v>
      </c>
      <c r="B414" s="2">
        <v>5</v>
      </c>
      <c r="C414" s="2" t="s">
        <v>11</v>
      </c>
      <c r="D414" s="2">
        <v>2250</v>
      </c>
      <c r="E414" s="2" t="s">
        <v>10</v>
      </c>
      <c r="F414">
        <f>2.7/3.9</f>
        <v>0.6923076923076924</v>
      </c>
      <c r="G414" s="2">
        <v>25</v>
      </c>
    </row>
    <row r="415" spans="1:7" x14ac:dyDescent="0.3">
      <c r="A415" t="s">
        <v>19</v>
      </c>
      <c r="B415" s="2">
        <v>5</v>
      </c>
      <c r="C415" s="2" t="s">
        <v>8</v>
      </c>
      <c r="D415" s="2">
        <v>1</v>
      </c>
      <c r="E415" s="2" t="s">
        <v>10</v>
      </c>
      <c r="F415">
        <f>70/52</f>
        <v>1.3461538461538463</v>
      </c>
      <c r="G415" s="2">
        <v>25</v>
      </c>
    </row>
    <row r="416" spans="1:7" x14ac:dyDescent="0.3">
      <c r="A416" t="s">
        <v>23</v>
      </c>
      <c r="B416" s="2">
        <v>5</v>
      </c>
      <c r="C416" s="2" t="s">
        <v>8</v>
      </c>
      <c r="D416" s="2">
        <v>1</v>
      </c>
      <c r="E416" s="2" t="s">
        <v>10</v>
      </c>
      <c r="F416">
        <f>54/52</f>
        <v>1.0384615384615385</v>
      </c>
      <c r="G416" s="2">
        <v>25</v>
      </c>
    </row>
    <row r="417" spans="1:7" x14ac:dyDescent="0.3">
      <c r="A417" t="s">
        <v>19</v>
      </c>
      <c r="B417" s="2">
        <v>5</v>
      </c>
      <c r="C417" s="2" t="s">
        <v>11</v>
      </c>
      <c r="D417" s="2">
        <v>1</v>
      </c>
      <c r="E417" s="2" t="s">
        <v>10</v>
      </c>
      <c r="F417">
        <f>128/94</f>
        <v>1.3617021276595744</v>
      </c>
      <c r="G417" s="2">
        <v>25</v>
      </c>
    </row>
    <row r="418" spans="1:7" s="1" customFormat="1" ht="13.9" thickBot="1" x14ac:dyDescent="0.35">
      <c r="A418" s="1" t="s">
        <v>23</v>
      </c>
      <c r="B418" s="3">
        <v>5</v>
      </c>
      <c r="C418" s="3" t="s">
        <v>11</v>
      </c>
      <c r="D418" s="3">
        <v>1</v>
      </c>
      <c r="E418" s="3" t="s">
        <v>10</v>
      </c>
      <c r="F418" s="1">
        <f>102/94</f>
        <v>1.0851063829787233</v>
      </c>
      <c r="G418" s="3">
        <v>25</v>
      </c>
    </row>
    <row r="419" spans="1:7" x14ac:dyDescent="0.3">
      <c r="A419" t="s">
        <v>24</v>
      </c>
      <c r="B419" s="2">
        <v>10</v>
      </c>
      <c r="C419" s="2" t="s">
        <v>8</v>
      </c>
      <c r="D419" s="2">
        <v>1000</v>
      </c>
      <c r="E419" s="2" t="s">
        <v>12</v>
      </c>
      <c r="F419">
        <f>3813/4041</f>
        <v>0.94357832219747584</v>
      </c>
      <c r="G419" s="2">
        <v>26</v>
      </c>
    </row>
    <row r="420" spans="1:7" x14ac:dyDescent="0.3">
      <c r="A420" t="s">
        <v>24</v>
      </c>
      <c r="B420" s="2">
        <v>10</v>
      </c>
      <c r="C420" s="2" t="s">
        <v>8</v>
      </c>
      <c r="D420" s="2">
        <v>5000</v>
      </c>
      <c r="E420" s="2" t="s">
        <v>12</v>
      </c>
      <c r="F420">
        <f>2641/4041</f>
        <v>0.6535511012125711</v>
      </c>
      <c r="G420" s="2">
        <v>26</v>
      </c>
    </row>
    <row r="421" spans="1:7" x14ac:dyDescent="0.3">
      <c r="A421" t="s">
        <v>24</v>
      </c>
      <c r="B421" s="2">
        <v>10</v>
      </c>
      <c r="C421" s="2" t="s">
        <v>11</v>
      </c>
      <c r="D421" s="2">
        <v>1000</v>
      </c>
      <c r="E421" s="2" t="s">
        <v>12</v>
      </c>
      <c r="F421">
        <f>1716/1867</f>
        <v>0.91912158543117295</v>
      </c>
      <c r="G421" s="2">
        <v>26</v>
      </c>
    </row>
    <row r="422" spans="1:7" x14ac:dyDescent="0.3">
      <c r="A422" t="s">
        <v>24</v>
      </c>
      <c r="B422" s="2">
        <v>10</v>
      </c>
      <c r="C422" s="2" t="s">
        <v>11</v>
      </c>
      <c r="D422" s="2">
        <v>5000</v>
      </c>
      <c r="E422" s="2" t="s">
        <v>12</v>
      </c>
      <c r="F422">
        <f>1290/1867</f>
        <v>0.69094804499196572</v>
      </c>
      <c r="G422" s="2">
        <v>26</v>
      </c>
    </row>
    <row r="423" spans="1:7" x14ac:dyDescent="0.3">
      <c r="A423" t="s">
        <v>24</v>
      </c>
      <c r="B423" s="2">
        <v>10</v>
      </c>
      <c r="C423" s="2" t="s">
        <v>8</v>
      </c>
      <c r="D423" s="2">
        <v>1000</v>
      </c>
      <c r="E423" s="2" t="s">
        <v>12</v>
      </c>
      <c r="F423">
        <f>345/356</f>
        <v>0.9691011235955056</v>
      </c>
      <c r="G423" s="2">
        <v>26</v>
      </c>
    </row>
    <row r="424" spans="1:7" x14ac:dyDescent="0.3">
      <c r="A424" t="s">
        <v>24</v>
      </c>
      <c r="B424" s="2">
        <v>10</v>
      </c>
      <c r="C424" s="2" t="s">
        <v>8</v>
      </c>
      <c r="D424" s="2">
        <v>5000</v>
      </c>
      <c r="E424" s="2" t="s">
        <v>12</v>
      </c>
      <c r="F424">
        <f>278/356</f>
        <v>0.7808988764044944</v>
      </c>
      <c r="G424" s="2">
        <v>26</v>
      </c>
    </row>
    <row r="425" spans="1:7" x14ac:dyDescent="0.3">
      <c r="A425" t="s">
        <v>24</v>
      </c>
      <c r="B425" s="2">
        <v>10</v>
      </c>
      <c r="C425" s="2" t="s">
        <v>11</v>
      </c>
      <c r="D425" s="2">
        <v>1000</v>
      </c>
      <c r="E425" s="2" t="s">
        <v>12</v>
      </c>
      <c r="F425">
        <f>142/150</f>
        <v>0.94666666666666666</v>
      </c>
      <c r="G425" s="2">
        <v>26</v>
      </c>
    </row>
    <row r="426" spans="1:7" x14ac:dyDescent="0.3">
      <c r="A426" t="s">
        <v>24</v>
      </c>
      <c r="B426" s="2">
        <v>10</v>
      </c>
      <c r="C426" s="2" t="s">
        <v>11</v>
      </c>
      <c r="D426" s="2">
        <v>5000</v>
      </c>
      <c r="E426" s="2" t="s">
        <v>12</v>
      </c>
      <c r="F426">
        <f>89/150</f>
        <v>0.59333333333333338</v>
      </c>
      <c r="G426" s="2">
        <v>26</v>
      </c>
    </row>
    <row r="427" spans="1:7" x14ac:dyDescent="0.3">
      <c r="A427" t="s">
        <v>24</v>
      </c>
      <c r="B427" s="2">
        <v>10</v>
      </c>
      <c r="C427" s="2" t="s">
        <v>8</v>
      </c>
      <c r="D427" s="2">
        <v>1000</v>
      </c>
      <c r="E427" s="2" t="s">
        <v>9</v>
      </c>
      <c r="F427">
        <f>183/194</f>
        <v>0.94329896907216493</v>
      </c>
      <c r="G427" s="2">
        <v>26</v>
      </c>
    </row>
    <row r="428" spans="1:7" x14ac:dyDescent="0.3">
      <c r="A428" t="s">
        <v>24</v>
      </c>
      <c r="B428" s="2">
        <v>10</v>
      </c>
      <c r="C428" s="2" t="s">
        <v>8</v>
      </c>
      <c r="D428" s="2">
        <v>5000</v>
      </c>
      <c r="E428" s="2" t="s">
        <v>9</v>
      </c>
      <c r="F428">
        <f>107/194</f>
        <v>0.55154639175257736</v>
      </c>
      <c r="G428" s="2">
        <v>26</v>
      </c>
    </row>
    <row r="429" spans="1:7" x14ac:dyDescent="0.3">
      <c r="A429" t="s">
        <v>24</v>
      </c>
      <c r="B429" s="2">
        <v>10</v>
      </c>
      <c r="C429" s="2" t="s">
        <v>8</v>
      </c>
      <c r="D429" s="2">
        <v>1000</v>
      </c>
      <c r="E429" s="2" t="s">
        <v>10</v>
      </c>
      <c r="F429">
        <f>1439/1317</f>
        <v>1.0926347760060744</v>
      </c>
      <c r="G429" s="2">
        <v>26</v>
      </c>
    </row>
    <row r="430" spans="1:7" x14ac:dyDescent="0.3">
      <c r="A430" t="s">
        <v>24</v>
      </c>
      <c r="B430" s="2">
        <v>10</v>
      </c>
      <c r="C430" s="2" t="s">
        <v>8</v>
      </c>
      <c r="D430" s="2">
        <v>5000</v>
      </c>
      <c r="E430" s="2" t="s">
        <v>10</v>
      </c>
      <c r="F430">
        <f>2641/1317</f>
        <v>2.0053151100987092</v>
      </c>
      <c r="G430" s="2">
        <v>26</v>
      </c>
    </row>
    <row r="431" spans="1:7" x14ac:dyDescent="0.3">
      <c r="A431" t="s">
        <v>24</v>
      </c>
      <c r="B431" s="2">
        <v>10</v>
      </c>
      <c r="C431" s="2" t="s">
        <v>8</v>
      </c>
      <c r="D431" s="2">
        <v>1000</v>
      </c>
      <c r="E431" s="2" t="s">
        <v>10</v>
      </c>
      <c r="F431">
        <f>2830/2422</f>
        <v>1.1684558216350125</v>
      </c>
      <c r="G431" s="2">
        <v>26</v>
      </c>
    </row>
    <row r="432" spans="1:7" x14ac:dyDescent="0.3">
      <c r="A432" t="s">
        <v>24</v>
      </c>
      <c r="B432" s="2">
        <v>10</v>
      </c>
      <c r="C432" s="2" t="s">
        <v>8</v>
      </c>
      <c r="D432" s="2">
        <v>5000</v>
      </c>
      <c r="E432" s="2" t="s">
        <v>10</v>
      </c>
      <c r="F432">
        <f>6524/2422</f>
        <v>2.6936416184971099</v>
      </c>
      <c r="G432" s="2">
        <v>26</v>
      </c>
    </row>
    <row r="433" spans="1:7" x14ac:dyDescent="0.3">
      <c r="A433" t="s">
        <v>24</v>
      </c>
      <c r="B433" s="2">
        <v>10</v>
      </c>
      <c r="C433" s="2" t="s">
        <v>11</v>
      </c>
      <c r="D433" s="2">
        <v>1000</v>
      </c>
      <c r="E433" s="2" t="s">
        <v>10</v>
      </c>
      <c r="F433">
        <f>2458/2280</f>
        <v>1.0780701754385964</v>
      </c>
      <c r="G433" s="2">
        <v>26</v>
      </c>
    </row>
    <row r="434" spans="1:7" x14ac:dyDescent="0.3">
      <c r="A434" t="s">
        <v>24</v>
      </c>
      <c r="B434" s="2">
        <v>10</v>
      </c>
      <c r="C434" s="2" t="s">
        <v>11</v>
      </c>
      <c r="D434" s="2">
        <v>5000</v>
      </c>
      <c r="E434" s="2" t="s">
        <v>10</v>
      </c>
      <c r="F434">
        <f>3111/2280</f>
        <v>1.3644736842105263</v>
      </c>
      <c r="G434" s="2">
        <v>26</v>
      </c>
    </row>
    <row r="435" spans="1:7" x14ac:dyDescent="0.3">
      <c r="A435" t="s">
        <v>24</v>
      </c>
      <c r="B435" s="2">
        <v>10</v>
      </c>
      <c r="C435" s="2" t="s">
        <v>11</v>
      </c>
      <c r="D435" s="2">
        <v>1000</v>
      </c>
      <c r="E435" s="2" t="s">
        <v>10</v>
      </c>
      <c r="F435">
        <f>1045/865</f>
        <v>1.2080924855491328</v>
      </c>
      <c r="G435" s="2">
        <v>26</v>
      </c>
    </row>
    <row r="436" spans="1:7" s="1" customFormat="1" ht="13.9" thickBot="1" x14ac:dyDescent="0.35">
      <c r="A436" s="1" t="s">
        <v>24</v>
      </c>
      <c r="B436" s="3">
        <v>10</v>
      </c>
      <c r="C436" s="3" t="s">
        <v>11</v>
      </c>
      <c r="D436" s="2">
        <v>5000</v>
      </c>
      <c r="E436" s="3" t="s">
        <v>10</v>
      </c>
      <c r="F436" s="1">
        <f>1616/865</f>
        <v>1.8682080924855491</v>
      </c>
      <c r="G436" s="3">
        <v>26</v>
      </c>
    </row>
    <row r="437" spans="1:7" x14ac:dyDescent="0.3">
      <c r="A437" t="s">
        <v>40</v>
      </c>
      <c r="B437" s="2">
        <v>5</v>
      </c>
      <c r="C437" s="2" t="s">
        <v>8</v>
      </c>
      <c r="D437" s="2">
        <v>75</v>
      </c>
      <c r="E437" s="2" t="s">
        <v>10</v>
      </c>
      <c r="F437">
        <f>0.479/0.47</f>
        <v>1.0191489361702128</v>
      </c>
      <c r="G437" s="2">
        <v>38</v>
      </c>
    </row>
    <row r="438" spans="1:7" x14ac:dyDescent="0.3">
      <c r="A438" t="s">
        <v>40</v>
      </c>
      <c r="B438" s="2">
        <v>5</v>
      </c>
      <c r="C438" s="2" t="s">
        <v>8</v>
      </c>
      <c r="D438" s="2">
        <v>150</v>
      </c>
      <c r="E438" s="2" t="s">
        <v>10</v>
      </c>
      <c r="F438">
        <f>0.5/0.47</f>
        <v>1.0638297872340425</v>
      </c>
      <c r="G438" s="2">
        <v>38</v>
      </c>
    </row>
    <row r="439" spans="1:7" x14ac:dyDescent="0.3">
      <c r="A439" t="s">
        <v>40</v>
      </c>
      <c r="B439" s="2">
        <v>5</v>
      </c>
      <c r="C439" s="2" t="s">
        <v>8</v>
      </c>
      <c r="D439" s="2">
        <v>225</v>
      </c>
      <c r="E439" s="2" t="s">
        <v>10</v>
      </c>
      <c r="F439">
        <f>0.525/0.47</f>
        <v>1.1170212765957448</v>
      </c>
      <c r="G439" s="2">
        <v>38</v>
      </c>
    </row>
    <row r="440" spans="1:7" x14ac:dyDescent="0.3">
      <c r="A440" t="s">
        <v>40</v>
      </c>
      <c r="B440" s="2">
        <v>5</v>
      </c>
      <c r="C440" s="2" t="s">
        <v>8</v>
      </c>
      <c r="D440" s="2">
        <v>300</v>
      </c>
      <c r="E440" s="2" t="s">
        <v>10</v>
      </c>
      <c r="F440">
        <f>0.557/0.47</f>
        <v>1.1851063829787236</v>
      </c>
      <c r="G440" s="2">
        <v>38</v>
      </c>
    </row>
    <row r="441" spans="1:7" x14ac:dyDescent="0.3">
      <c r="A441" t="s">
        <v>40</v>
      </c>
      <c r="B441" s="2">
        <v>10</v>
      </c>
      <c r="C441" s="2" t="s">
        <v>8</v>
      </c>
      <c r="D441" s="2">
        <v>75</v>
      </c>
      <c r="E441" s="2" t="s">
        <v>10</v>
      </c>
      <c r="F441">
        <f>0.513/0.481</f>
        <v>1.0665280665280665</v>
      </c>
      <c r="G441" s="2">
        <v>38</v>
      </c>
    </row>
    <row r="442" spans="1:7" x14ac:dyDescent="0.3">
      <c r="A442" t="s">
        <v>40</v>
      </c>
      <c r="B442" s="2">
        <v>10</v>
      </c>
      <c r="C442" s="2" t="s">
        <v>8</v>
      </c>
      <c r="D442" s="2">
        <v>150</v>
      </c>
      <c r="E442" s="2" t="s">
        <v>10</v>
      </c>
      <c r="F442">
        <f>0.521/0.481</f>
        <v>1.0831600831600832</v>
      </c>
      <c r="G442" s="2">
        <v>38</v>
      </c>
    </row>
    <row r="443" spans="1:7" x14ac:dyDescent="0.3">
      <c r="A443" t="s">
        <v>40</v>
      </c>
      <c r="B443" s="2">
        <v>10</v>
      </c>
      <c r="C443" s="2" t="s">
        <v>8</v>
      </c>
      <c r="D443" s="2">
        <v>225</v>
      </c>
      <c r="E443" s="2" t="s">
        <v>10</v>
      </c>
      <c r="F443">
        <f>0.547/0.481</f>
        <v>1.1372141372141373</v>
      </c>
      <c r="G443" s="2">
        <v>38</v>
      </c>
    </row>
    <row r="444" spans="1:7" x14ac:dyDescent="0.3">
      <c r="A444" t="s">
        <v>40</v>
      </c>
      <c r="B444" s="2">
        <v>10</v>
      </c>
      <c r="C444" s="2" t="s">
        <v>8</v>
      </c>
      <c r="D444" s="2">
        <v>300</v>
      </c>
      <c r="E444" s="2" t="s">
        <v>10</v>
      </c>
      <c r="F444">
        <f>0.58/0.481</f>
        <v>1.2058212058212059</v>
      </c>
      <c r="G444" s="2">
        <v>38</v>
      </c>
    </row>
    <row r="445" spans="1:7" x14ac:dyDescent="0.3">
      <c r="A445" t="s">
        <v>40</v>
      </c>
      <c r="B445" s="2">
        <v>15</v>
      </c>
      <c r="C445" s="2" t="s">
        <v>8</v>
      </c>
      <c r="D445" s="2">
        <v>75</v>
      </c>
      <c r="E445" s="2" t="s">
        <v>10</v>
      </c>
      <c r="F445">
        <f>631/592</f>
        <v>1.0658783783783783</v>
      </c>
      <c r="G445" s="2">
        <v>38</v>
      </c>
    </row>
    <row r="446" spans="1:7" x14ac:dyDescent="0.3">
      <c r="A446" t="s">
        <v>40</v>
      </c>
      <c r="B446" s="2">
        <v>15</v>
      </c>
      <c r="C446" s="2" t="s">
        <v>8</v>
      </c>
      <c r="D446" s="2">
        <v>150</v>
      </c>
      <c r="E446" s="2" t="s">
        <v>10</v>
      </c>
      <c r="F446">
        <f>641/592</f>
        <v>1.0827702702702702</v>
      </c>
      <c r="G446" s="2">
        <v>38</v>
      </c>
    </row>
    <row r="447" spans="1:7" x14ac:dyDescent="0.3">
      <c r="A447" t="s">
        <v>40</v>
      </c>
      <c r="B447" s="2">
        <v>15</v>
      </c>
      <c r="C447" s="2" t="s">
        <v>8</v>
      </c>
      <c r="D447" s="2">
        <v>225</v>
      </c>
      <c r="E447" s="2" t="s">
        <v>10</v>
      </c>
      <c r="F447">
        <f>673/592</f>
        <v>1.1368243243243243</v>
      </c>
      <c r="G447" s="2">
        <v>38</v>
      </c>
    </row>
    <row r="448" spans="1:7" x14ac:dyDescent="0.3">
      <c r="A448" t="s">
        <v>40</v>
      </c>
      <c r="B448" s="2">
        <v>15</v>
      </c>
      <c r="C448" s="2" t="s">
        <v>8</v>
      </c>
      <c r="D448" s="2">
        <v>300</v>
      </c>
      <c r="E448" s="2" t="s">
        <v>10</v>
      </c>
      <c r="F448">
        <f>714/592</f>
        <v>1.2060810810810811</v>
      </c>
      <c r="G448" s="2">
        <v>38</v>
      </c>
    </row>
    <row r="449" spans="1:7" x14ac:dyDescent="0.3">
      <c r="A449" t="s">
        <v>40</v>
      </c>
      <c r="B449" s="2">
        <v>20</v>
      </c>
      <c r="C449" s="2" t="s">
        <v>8</v>
      </c>
      <c r="D449" s="2">
        <v>75</v>
      </c>
      <c r="E449" s="2" t="s">
        <v>10</v>
      </c>
      <c r="F449">
        <f>624/618</f>
        <v>1.0097087378640777</v>
      </c>
      <c r="G449" s="2">
        <v>38</v>
      </c>
    </row>
    <row r="450" spans="1:7" x14ac:dyDescent="0.3">
      <c r="A450" t="s">
        <v>40</v>
      </c>
      <c r="B450" s="2">
        <v>20</v>
      </c>
      <c r="C450" s="2" t="s">
        <v>8</v>
      </c>
      <c r="D450" s="2">
        <v>150</v>
      </c>
      <c r="E450" s="2" t="s">
        <v>10</v>
      </c>
      <c r="F450">
        <f>627/618</f>
        <v>1.0145631067961165</v>
      </c>
      <c r="G450" s="2">
        <v>38</v>
      </c>
    </row>
    <row r="451" spans="1:7" x14ac:dyDescent="0.3">
      <c r="A451" t="s">
        <v>40</v>
      </c>
      <c r="B451" s="2">
        <v>20</v>
      </c>
      <c r="C451" s="2" t="s">
        <v>8</v>
      </c>
      <c r="D451" s="2">
        <v>225</v>
      </c>
      <c r="E451" s="2" t="s">
        <v>10</v>
      </c>
      <c r="F451">
        <f>648/618</f>
        <v>1.0485436893203883</v>
      </c>
      <c r="G451" s="2">
        <v>38</v>
      </c>
    </row>
    <row r="452" spans="1:7" x14ac:dyDescent="0.3">
      <c r="A452" t="s">
        <v>40</v>
      </c>
      <c r="B452" s="2">
        <v>20</v>
      </c>
      <c r="C452" s="2" t="s">
        <v>8</v>
      </c>
      <c r="D452" s="2">
        <v>300</v>
      </c>
      <c r="E452" s="2" t="s">
        <v>10</v>
      </c>
      <c r="F452">
        <f>658/618</f>
        <v>1.064724919093851</v>
      </c>
      <c r="G452" s="2">
        <v>38</v>
      </c>
    </row>
    <row r="453" spans="1:7" x14ac:dyDescent="0.3">
      <c r="A453" t="s">
        <v>41</v>
      </c>
      <c r="B453" s="2">
        <v>5</v>
      </c>
      <c r="C453" s="2" t="s">
        <v>8</v>
      </c>
      <c r="D453" s="2">
        <v>75</v>
      </c>
      <c r="E453" s="2" t="s">
        <v>10</v>
      </c>
      <c r="F453">
        <f>480/470</f>
        <v>1.0212765957446808</v>
      </c>
      <c r="G453" s="2">
        <v>38</v>
      </c>
    </row>
    <row r="454" spans="1:7" x14ac:dyDescent="0.3">
      <c r="A454" t="s">
        <v>41</v>
      </c>
      <c r="B454" s="2">
        <v>5</v>
      </c>
      <c r="C454" s="2" t="s">
        <v>8</v>
      </c>
      <c r="D454" s="2">
        <v>150</v>
      </c>
      <c r="E454" s="2" t="s">
        <v>10</v>
      </c>
      <c r="F454">
        <f>487/470</f>
        <v>1.0361702127659576</v>
      </c>
      <c r="G454" s="2">
        <v>38</v>
      </c>
    </row>
    <row r="455" spans="1:7" x14ac:dyDescent="0.3">
      <c r="A455" t="s">
        <v>41</v>
      </c>
      <c r="B455" s="2">
        <v>5</v>
      </c>
      <c r="C455" s="2" t="s">
        <v>8</v>
      </c>
      <c r="D455" s="2">
        <v>225</v>
      </c>
      <c r="E455" s="2" t="s">
        <v>10</v>
      </c>
      <c r="F455">
        <f>519/470</f>
        <v>1.1042553191489362</v>
      </c>
      <c r="G455" s="2">
        <v>38</v>
      </c>
    </row>
    <row r="456" spans="1:7" x14ac:dyDescent="0.3">
      <c r="A456" t="s">
        <v>41</v>
      </c>
      <c r="B456" s="2">
        <v>5</v>
      </c>
      <c r="C456" s="2" t="s">
        <v>8</v>
      </c>
      <c r="D456" s="2">
        <v>300</v>
      </c>
      <c r="E456" s="2" t="s">
        <v>10</v>
      </c>
      <c r="F456">
        <f>573/470</f>
        <v>1.2191489361702128</v>
      </c>
      <c r="G456" s="2">
        <v>38</v>
      </c>
    </row>
    <row r="457" spans="1:7" x14ac:dyDescent="0.3">
      <c r="A457" t="s">
        <v>41</v>
      </c>
      <c r="B457" s="2">
        <v>10</v>
      </c>
      <c r="C457" s="2" t="s">
        <v>8</v>
      </c>
      <c r="D457" s="2">
        <v>75</v>
      </c>
      <c r="E457" s="2" t="s">
        <v>10</v>
      </c>
      <c r="F457">
        <f>506/481</f>
        <v>1.0519750519750519</v>
      </c>
      <c r="G457" s="2">
        <v>38</v>
      </c>
    </row>
    <row r="458" spans="1:7" x14ac:dyDescent="0.3">
      <c r="A458" t="s">
        <v>41</v>
      </c>
      <c r="B458" s="2">
        <v>10</v>
      </c>
      <c r="C458" s="2" t="s">
        <v>8</v>
      </c>
      <c r="D458" s="2">
        <v>150</v>
      </c>
      <c r="E458" s="2" t="s">
        <v>10</v>
      </c>
      <c r="F458">
        <f>528/481</f>
        <v>1.0977130977130978</v>
      </c>
      <c r="G458" s="2">
        <v>38</v>
      </c>
    </row>
    <row r="459" spans="1:7" x14ac:dyDescent="0.3">
      <c r="A459" t="s">
        <v>41</v>
      </c>
      <c r="B459" s="2">
        <v>10</v>
      </c>
      <c r="C459" s="2" t="s">
        <v>8</v>
      </c>
      <c r="D459" s="2">
        <v>225</v>
      </c>
      <c r="E459" s="2" t="s">
        <v>10</v>
      </c>
      <c r="F459">
        <f>565/481</f>
        <v>1.1746361746361746</v>
      </c>
      <c r="G459" s="2">
        <v>38</v>
      </c>
    </row>
    <row r="460" spans="1:7" x14ac:dyDescent="0.3">
      <c r="A460" t="s">
        <v>41</v>
      </c>
      <c r="B460" s="2">
        <v>10</v>
      </c>
      <c r="C460" s="2" t="s">
        <v>8</v>
      </c>
      <c r="D460" s="2">
        <v>300</v>
      </c>
      <c r="E460" s="2" t="s">
        <v>10</v>
      </c>
      <c r="F460">
        <f>606/481</f>
        <v>1.2598752598752598</v>
      </c>
      <c r="G460" s="2">
        <v>38</v>
      </c>
    </row>
    <row r="461" spans="1:7" x14ac:dyDescent="0.3">
      <c r="A461" t="s">
        <v>41</v>
      </c>
      <c r="B461" s="2">
        <v>15</v>
      </c>
      <c r="C461" s="2" t="s">
        <v>8</v>
      </c>
      <c r="D461" s="2">
        <v>75</v>
      </c>
      <c r="E461" s="2" t="s">
        <v>10</v>
      </c>
      <c r="F461">
        <f>622/592</f>
        <v>1.0506756756756757</v>
      </c>
      <c r="G461" s="2">
        <v>38</v>
      </c>
    </row>
    <row r="462" spans="1:7" x14ac:dyDescent="0.3">
      <c r="A462" t="s">
        <v>41</v>
      </c>
      <c r="B462" s="2">
        <v>15</v>
      </c>
      <c r="C462" s="2" t="s">
        <v>8</v>
      </c>
      <c r="D462" s="2">
        <v>150</v>
      </c>
      <c r="E462" s="2" t="s">
        <v>10</v>
      </c>
      <c r="F462">
        <f>649/592</f>
        <v>1.0962837837837838</v>
      </c>
      <c r="G462" s="2">
        <v>38</v>
      </c>
    </row>
    <row r="463" spans="1:7" x14ac:dyDescent="0.3">
      <c r="A463" t="s">
        <v>41</v>
      </c>
      <c r="B463" s="2">
        <v>15</v>
      </c>
      <c r="C463" s="2" t="s">
        <v>8</v>
      </c>
      <c r="D463" s="2">
        <v>225</v>
      </c>
      <c r="E463" s="2" t="s">
        <v>10</v>
      </c>
      <c r="F463">
        <f>696/592</f>
        <v>1.1756756756756757</v>
      </c>
      <c r="G463" s="2">
        <v>38</v>
      </c>
    </row>
    <row r="464" spans="1:7" x14ac:dyDescent="0.3">
      <c r="A464" t="s">
        <v>41</v>
      </c>
      <c r="B464" s="2">
        <v>15</v>
      </c>
      <c r="C464" s="2" t="s">
        <v>8</v>
      </c>
      <c r="D464" s="2">
        <v>300</v>
      </c>
      <c r="E464" s="2" t="s">
        <v>10</v>
      </c>
      <c r="F464">
        <f>746/592</f>
        <v>1.2601351351351351</v>
      </c>
      <c r="G464" s="2">
        <v>38</v>
      </c>
    </row>
    <row r="465" spans="1:7" x14ac:dyDescent="0.3">
      <c r="A465" t="s">
        <v>41</v>
      </c>
      <c r="B465" s="2">
        <v>20</v>
      </c>
      <c r="C465" s="2" t="s">
        <v>8</v>
      </c>
      <c r="D465" s="2">
        <v>75</v>
      </c>
      <c r="E465" s="2" t="s">
        <v>10</v>
      </c>
      <c r="F465">
        <f>624/618</f>
        <v>1.0097087378640777</v>
      </c>
      <c r="G465" s="2">
        <v>38</v>
      </c>
    </row>
    <row r="466" spans="1:7" x14ac:dyDescent="0.3">
      <c r="A466" t="s">
        <v>41</v>
      </c>
      <c r="B466" s="2">
        <v>20</v>
      </c>
      <c r="C466" s="2" t="s">
        <v>8</v>
      </c>
      <c r="D466" s="2">
        <v>150</v>
      </c>
      <c r="E466" s="2" t="s">
        <v>10</v>
      </c>
      <c r="F466">
        <f>631/618</f>
        <v>1.0210355987055015</v>
      </c>
      <c r="G466" s="2">
        <v>38</v>
      </c>
    </row>
    <row r="467" spans="1:7" x14ac:dyDescent="0.3">
      <c r="A467" t="s">
        <v>41</v>
      </c>
      <c r="B467" s="2">
        <v>20</v>
      </c>
      <c r="C467" s="2" t="s">
        <v>8</v>
      </c>
      <c r="D467" s="2">
        <v>225</v>
      </c>
      <c r="E467" s="2" t="s">
        <v>10</v>
      </c>
      <c r="F467">
        <f>671/618</f>
        <v>1.0857605177993528</v>
      </c>
      <c r="G467" s="2">
        <v>38</v>
      </c>
    </row>
    <row r="468" spans="1:7" x14ac:dyDescent="0.3">
      <c r="A468" t="s">
        <v>41</v>
      </c>
      <c r="B468" s="2">
        <v>20</v>
      </c>
      <c r="C468" s="2" t="s">
        <v>8</v>
      </c>
      <c r="D468" s="2">
        <v>300</v>
      </c>
      <c r="E468" s="2" t="s">
        <v>10</v>
      </c>
      <c r="F468">
        <f>681/618</f>
        <v>1.1019417475728155</v>
      </c>
      <c r="G468" s="2">
        <v>38</v>
      </c>
    </row>
    <row r="469" spans="1:7" x14ac:dyDescent="0.3">
      <c r="A469" t="s">
        <v>40</v>
      </c>
      <c r="B469" s="2">
        <v>5</v>
      </c>
      <c r="C469" s="2" t="s">
        <v>8</v>
      </c>
      <c r="D469" s="2">
        <v>75</v>
      </c>
      <c r="E469" s="2" t="s">
        <v>9</v>
      </c>
      <c r="F469">
        <f>5647/5661</f>
        <v>0.99752693870340925</v>
      </c>
      <c r="G469" s="2">
        <v>38</v>
      </c>
    </row>
    <row r="470" spans="1:7" x14ac:dyDescent="0.3">
      <c r="A470" t="s">
        <v>40</v>
      </c>
      <c r="B470" s="2">
        <v>5</v>
      </c>
      <c r="C470" s="2" t="s">
        <v>8</v>
      </c>
      <c r="D470" s="2">
        <v>150</v>
      </c>
      <c r="E470" s="2" t="s">
        <v>9</v>
      </c>
      <c r="F470">
        <f>5381/5661</f>
        <v>0.95053877406818588</v>
      </c>
      <c r="G470" s="2">
        <v>38</v>
      </c>
    </row>
    <row r="471" spans="1:7" x14ac:dyDescent="0.3">
      <c r="A471" t="s">
        <v>40</v>
      </c>
      <c r="B471" s="2">
        <v>5</v>
      </c>
      <c r="C471" s="2" t="s">
        <v>8</v>
      </c>
      <c r="D471" s="2">
        <v>225</v>
      </c>
      <c r="E471" s="2" t="s">
        <v>9</v>
      </c>
      <c r="F471">
        <f>5207/5661</f>
        <v>0.91980215509627272</v>
      </c>
      <c r="G471" s="2">
        <v>38</v>
      </c>
    </row>
    <row r="472" spans="1:7" x14ac:dyDescent="0.3">
      <c r="A472" t="s">
        <v>40</v>
      </c>
      <c r="B472" s="2">
        <v>5</v>
      </c>
      <c r="C472" s="2" t="s">
        <v>8</v>
      </c>
      <c r="D472" s="2">
        <v>300</v>
      </c>
      <c r="E472" s="2" t="s">
        <v>9</v>
      </c>
      <c r="F472">
        <f>4967/5661</f>
        <v>0.87740681858328917</v>
      </c>
      <c r="G472" s="2">
        <v>38</v>
      </c>
    </row>
    <row r="473" spans="1:7" x14ac:dyDescent="0.3">
      <c r="A473" t="s">
        <v>40</v>
      </c>
      <c r="B473" s="2">
        <v>10</v>
      </c>
      <c r="C473" s="2" t="s">
        <v>8</v>
      </c>
      <c r="D473" s="2">
        <v>75</v>
      </c>
      <c r="E473" s="2" t="s">
        <v>9</v>
      </c>
      <c r="F473">
        <f>5802/6036</f>
        <v>0.96123260437375746</v>
      </c>
      <c r="G473" s="2">
        <v>38</v>
      </c>
    </row>
    <row r="474" spans="1:7" x14ac:dyDescent="0.3">
      <c r="A474" t="s">
        <v>40</v>
      </c>
      <c r="B474" s="2">
        <v>10</v>
      </c>
      <c r="C474" s="2" t="s">
        <v>8</v>
      </c>
      <c r="D474" s="2">
        <v>150</v>
      </c>
      <c r="E474" s="2" t="s">
        <v>9</v>
      </c>
      <c r="F474">
        <f>5455/6036</f>
        <v>0.90374420145791912</v>
      </c>
      <c r="G474" s="2">
        <v>38</v>
      </c>
    </row>
    <row r="475" spans="1:7" x14ac:dyDescent="0.3">
      <c r="A475" t="s">
        <v>40</v>
      </c>
      <c r="B475" s="2">
        <v>10</v>
      </c>
      <c r="C475" s="2" t="s">
        <v>8</v>
      </c>
      <c r="D475" s="2">
        <v>225</v>
      </c>
      <c r="E475" s="2" t="s">
        <v>9</v>
      </c>
      <c r="F475">
        <f>5166/6036</f>
        <v>0.85586481113320079</v>
      </c>
      <c r="G475" s="2">
        <v>38</v>
      </c>
    </row>
    <row r="476" spans="1:7" x14ac:dyDescent="0.3">
      <c r="A476" t="s">
        <v>40</v>
      </c>
      <c r="B476" s="2">
        <v>10</v>
      </c>
      <c r="C476" s="2" t="s">
        <v>8</v>
      </c>
      <c r="D476" s="2">
        <v>300</v>
      </c>
      <c r="E476" s="2" t="s">
        <v>9</v>
      </c>
      <c r="F476">
        <f>4840/6036</f>
        <v>0.80185553346587146</v>
      </c>
      <c r="G476" s="2">
        <v>38</v>
      </c>
    </row>
    <row r="477" spans="1:7" x14ac:dyDescent="0.3">
      <c r="A477" t="s">
        <v>40</v>
      </c>
      <c r="B477" s="2">
        <v>15</v>
      </c>
      <c r="C477" s="2" t="s">
        <v>8</v>
      </c>
      <c r="D477" s="2">
        <v>75</v>
      </c>
      <c r="E477" s="2" t="s">
        <v>9</v>
      </c>
      <c r="F477">
        <f>5018/5116</f>
        <v>0.98084440969507425</v>
      </c>
      <c r="G477" s="2">
        <v>38</v>
      </c>
    </row>
    <row r="478" spans="1:7" x14ac:dyDescent="0.3">
      <c r="A478" t="s">
        <v>40</v>
      </c>
      <c r="B478" s="2">
        <v>15</v>
      </c>
      <c r="C478" s="2" t="s">
        <v>8</v>
      </c>
      <c r="D478" s="2">
        <v>150</v>
      </c>
      <c r="E478" s="2" t="s">
        <v>9</v>
      </c>
      <c r="F478">
        <f>4804/5116</f>
        <v>0.93901485535574669</v>
      </c>
      <c r="G478" s="2">
        <v>38</v>
      </c>
    </row>
    <row r="479" spans="1:7" x14ac:dyDescent="0.3">
      <c r="A479" t="s">
        <v>40</v>
      </c>
      <c r="B479" s="2">
        <v>15</v>
      </c>
      <c r="C479" s="2" t="s">
        <v>8</v>
      </c>
      <c r="D479" s="2">
        <v>225</v>
      </c>
      <c r="E479" s="2" t="s">
        <v>9</v>
      </c>
      <c r="F479">
        <f>4640/5116</f>
        <v>0.90695856137607511</v>
      </c>
      <c r="G479" s="2">
        <v>38</v>
      </c>
    </row>
    <row r="480" spans="1:7" x14ac:dyDescent="0.3">
      <c r="A480" t="s">
        <v>40</v>
      </c>
      <c r="B480" s="2">
        <v>15</v>
      </c>
      <c r="C480" s="2" t="s">
        <v>8</v>
      </c>
      <c r="D480" s="2">
        <v>300</v>
      </c>
      <c r="E480" s="2" t="s">
        <v>9</v>
      </c>
      <c r="F480">
        <f>4381/5116</f>
        <v>0.85633307271305703</v>
      </c>
      <c r="G480" s="2">
        <v>38</v>
      </c>
    </row>
    <row r="481" spans="1:7" x14ac:dyDescent="0.3">
      <c r="A481" t="s">
        <v>40</v>
      </c>
      <c r="B481" s="2">
        <v>20</v>
      </c>
      <c r="C481" s="2" t="s">
        <v>8</v>
      </c>
      <c r="D481" s="2">
        <v>75</v>
      </c>
      <c r="E481" s="2" t="s">
        <v>9</v>
      </c>
      <c r="F481">
        <f>5467/5507</f>
        <v>0.99273651715997824</v>
      </c>
      <c r="G481" s="2">
        <v>38</v>
      </c>
    </row>
    <row r="482" spans="1:7" x14ac:dyDescent="0.3">
      <c r="A482" t="s">
        <v>40</v>
      </c>
      <c r="B482" s="2">
        <v>20</v>
      </c>
      <c r="C482" s="2" t="s">
        <v>8</v>
      </c>
      <c r="D482" s="2">
        <v>150</v>
      </c>
      <c r="E482" s="2" t="s">
        <v>9</v>
      </c>
      <c r="F482">
        <f>5417/5507</f>
        <v>0.98365716360995092</v>
      </c>
      <c r="G482" s="2">
        <v>38</v>
      </c>
    </row>
    <row r="483" spans="1:7" x14ac:dyDescent="0.3">
      <c r="A483" t="s">
        <v>40</v>
      </c>
      <c r="B483" s="2">
        <v>20</v>
      </c>
      <c r="C483" s="2" t="s">
        <v>8</v>
      </c>
      <c r="D483" s="2">
        <v>225</v>
      </c>
      <c r="E483" s="2" t="s">
        <v>9</v>
      </c>
      <c r="F483">
        <f>5208/5507</f>
        <v>0.94570546577083714</v>
      </c>
      <c r="G483" s="2">
        <v>38</v>
      </c>
    </row>
    <row r="484" spans="1:7" x14ac:dyDescent="0.3">
      <c r="A484" t="s">
        <v>40</v>
      </c>
      <c r="B484" s="2">
        <v>20</v>
      </c>
      <c r="C484" s="2" t="s">
        <v>8</v>
      </c>
      <c r="D484" s="2">
        <v>300</v>
      </c>
      <c r="E484" s="2" t="s">
        <v>9</v>
      </c>
      <c r="F484">
        <f>4990/5507</f>
        <v>0.90611948429271838</v>
      </c>
      <c r="G484" s="2">
        <v>38</v>
      </c>
    </row>
    <row r="485" spans="1:7" x14ac:dyDescent="0.3">
      <c r="A485" t="s">
        <v>41</v>
      </c>
      <c r="B485" s="2">
        <v>5</v>
      </c>
      <c r="C485" s="2" t="s">
        <v>8</v>
      </c>
      <c r="D485" s="2">
        <v>75</v>
      </c>
      <c r="E485" s="2" t="s">
        <v>9</v>
      </c>
      <c r="F485">
        <f>5554/5661</f>
        <v>0.98109874580462819</v>
      </c>
      <c r="G485" s="2">
        <v>38</v>
      </c>
    </row>
    <row r="486" spans="1:7" x14ac:dyDescent="0.3">
      <c r="A486" t="s">
        <v>41</v>
      </c>
      <c r="B486" s="2">
        <v>5</v>
      </c>
      <c r="C486" s="2" t="s">
        <v>8</v>
      </c>
      <c r="D486" s="2">
        <v>150</v>
      </c>
      <c r="E486" s="2" t="s">
        <v>9</v>
      </c>
      <c r="F486">
        <f>5399/5661</f>
        <v>0.95371842430665965</v>
      </c>
      <c r="G486" s="2">
        <v>38</v>
      </c>
    </row>
    <row r="487" spans="1:7" x14ac:dyDescent="0.3">
      <c r="A487" t="s">
        <v>41</v>
      </c>
      <c r="B487" s="2">
        <v>5</v>
      </c>
      <c r="C487" s="2" t="s">
        <v>8</v>
      </c>
      <c r="D487" s="2">
        <v>225</v>
      </c>
      <c r="E487" s="2" t="s">
        <v>9</v>
      </c>
      <c r="F487">
        <f>5036/5661</f>
        <v>0.88959547783077197</v>
      </c>
      <c r="G487" s="2">
        <v>38</v>
      </c>
    </row>
    <row r="488" spans="1:7" x14ac:dyDescent="0.3">
      <c r="A488" t="s">
        <v>41</v>
      </c>
      <c r="B488" s="2">
        <v>5</v>
      </c>
      <c r="C488" s="2" t="s">
        <v>8</v>
      </c>
      <c r="D488" s="2">
        <v>300</v>
      </c>
      <c r="E488" s="2" t="s">
        <v>9</v>
      </c>
      <c r="F488">
        <f>4567/5661</f>
        <v>0.80674792439498322</v>
      </c>
      <c r="G488" s="2">
        <v>38</v>
      </c>
    </row>
    <row r="489" spans="1:7" x14ac:dyDescent="0.3">
      <c r="A489" t="s">
        <v>41</v>
      </c>
      <c r="B489" s="2">
        <v>10</v>
      </c>
      <c r="C489" s="2" t="s">
        <v>8</v>
      </c>
      <c r="D489" s="2">
        <v>75</v>
      </c>
      <c r="E489" s="2" t="s">
        <v>9</v>
      </c>
      <c r="F489">
        <f>5741/6036</f>
        <v>0.95112657388999333</v>
      </c>
      <c r="G489" s="2">
        <v>38</v>
      </c>
    </row>
    <row r="490" spans="1:7" x14ac:dyDescent="0.3">
      <c r="A490" t="s">
        <v>41</v>
      </c>
      <c r="B490" s="2">
        <v>10</v>
      </c>
      <c r="C490" s="2" t="s">
        <v>8</v>
      </c>
      <c r="D490" s="2">
        <v>150</v>
      </c>
      <c r="E490" s="2" t="s">
        <v>9</v>
      </c>
      <c r="F490">
        <f>5428/6036</f>
        <v>0.89927104042412198</v>
      </c>
      <c r="G490" s="2">
        <v>38</v>
      </c>
    </row>
    <row r="491" spans="1:7" x14ac:dyDescent="0.3">
      <c r="A491" t="s">
        <v>41</v>
      </c>
      <c r="B491" s="2">
        <v>10</v>
      </c>
      <c r="C491" s="2" t="s">
        <v>8</v>
      </c>
      <c r="D491" s="2">
        <v>225</v>
      </c>
      <c r="E491" s="2" t="s">
        <v>9</v>
      </c>
      <c r="F491">
        <f>5089/6036</f>
        <v>0.84310801855533468</v>
      </c>
      <c r="G491" s="2">
        <v>38</v>
      </c>
    </row>
    <row r="492" spans="1:7" x14ac:dyDescent="0.3">
      <c r="A492" t="s">
        <v>41</v>
      </c>
      <c r="B492" s="2">
        <v>10</v>
      </c>
      <c r="C492" s="2" t="s">
        <v>8</v>
      </c>
      <c r="D492" s="2">
        <v>300</v>
      </c>
      <c r="E492" s="2" t="s">
        <v>9</v>
      </c>
      <c r="F492">
        <f>4764/6036</f>
        <v>0.78926441351888665</v>
      </c>
      <c r="G492" s="2">
        <v>38</v>
      </c>
    </row>
    <row r="493" spans="1:7" x14ac:dyDescent="0.3">
      <c r="A493" t="s">
        <v>41</v>
      </c>
      <c r="B493" s="2">
        <v>15</v>
      </c>
      <c r="C493" s="2" t="s">
        <v>8</v>
      </c>
      <c r="D493" s="2">
        <v>75</v>
      </c>
      <c r="E493" s="2" t="s">
        <v>9</v>
      </c>
      <c r="F493">
        <f>5008/5116</f>
        <v>0.97888975762314312</v>
      </c>
      <c r="G493" s="2">
        <v>38</v>
      </c>
    </row>
    <row r="494" spans="1:7" x14ac:dyDescent="0.3">
      <c r="A494" t="s">
        <v>41</v>
      </c>
      <c r="B494" s="2">
        <v>15</v>
      </c>
      <c r="C494" s="2" t="s">
        <v>8</v>
      </c>
      <c r="D494" s="2">
        <v>150</v>
      </c>
      <c r="E494" s="2" t="s">
        <v>9</v>
      </c>
      <c r="F494">
        <f>4810/5116</f>
        <v>0.94018764659890541</v>
      </c>
      <c r="G494" s="2">
        <v>38</v>
      </c>
    </row>
    <row r="495" spans="1:7" x14ac:dyDescent="0.3">
      <c r="A495" t="s">
        <v>41</v>
      </c>
      <c r="B495" s="2">
        <v>15</v>
      </c>
      <c r="C495" s="2" t="s">
        <v>8</v>
      </c>
      <c r="D495" s="2">
        <v>225</v>
      </c>
      <c r="E495" s="2" t="s">
        <v>9</v>
      </c>
      <c r="F495">
        <f>4485/5116</f>
        <v>0.8766614542611415</v>
      </c>
      <c r="G495" s="2">
        <v>38</v>
      </c>
    </row>
    <row r="496" spans="1:7" x14ac:dyDescent="0.3">
      <c r="A496" t="s">
        <v>41</v>
      </c>
      <c r="B496" s="2">
        <v>15</v>
      </c>
      <c r="C496" s="2" t="s">
        <v>8</v>
      </c>
      <c r="D496" s="2">
        <v>300</v>
      </c>
      <c r="E496" s="2" t="s">
        <v>9</v>
      </c>
      <c r="F496">
        <f>4230/5116</f>
        <v>0.82681782642689605</v>
      </c>
      <c r="G496" s="2">
        <v>38</v>
      </c>
    </row>
    <row r="497" spans="1:7" x14ac:dyDescent="0.3">
      <c r="A497" t="s">
        <v>41</v>
      </c>
      <c r="B497" s="2">
        <v>20</v>
      </c>
      <c r="C497" s="2" t="s">
        <v>8</v>
      </c>
      <c r="D497" s="2">
        <v>75</v>
      </c>
      <c r="E497" s="2" t="s">
        <v>9</v>
      </c>
      <c r="F497">
        <f>5496/5507</f>
        <v>0.99800254221899398</v>
      </c>
      <c r="G497" s="2">
        <v>38</v>
      </c>
    </row>
    <row r="498" spans="1:7" x14ac:dyDescent="0.3">
      <c r="A498" t="s">
        <v>41</v>
      </c>
      <c r="B498" s="2">
        <v>20</v>
      </c>
      <c r="C498" s="2" t="s">
        <v>8</v>
      </c>
      <c r="D498" s="2">
        <v>150</v>
      </c>
      <c r="E498" s="2" t="s">
        <v>9</v>
      </c>
      <c r="F498">
        <f>5296/5507</f>
        <v>0.96168512801888506</v>
      </c>
      <c r="G498" s="2">
        <v>38</v>
      </c>
    </row>
    <row r="499" spans="1:7" x14ac:dyDescent="0.3">
      <c r="A499" t="s">
        <v>41</v>
      </c>
      <c r="B499" s="2">
        <v>20</v>
      </c>
      <c r="C499" s="2" t="s">
        <v>8</v>
      </c>
      <c r="D499" s="2">
        <v>225</v>
      </c>
      <c r="E499" s="2" t="s">
        <v>9</v>
      </c>
      <c r="F499">
        <f>5043/5507</f>
        <v>0.9157435990557472</v>
      </c>
      <c r="G499" s="2">
        <v>38</v>
      </c>
    </row>
    <row r="500" spans="1:7" x14ac:dyDescent="0.3">
      <c r="A500" t="s">
        <v>41</v>
      </c>
      <c r="B500" s="2">
        <v>20</v>
      </c>
      <c r="C500" s="2" t="s">
        <v>8</v>
      </c>
      <c r="D500" s="2">
        <v>300</v>
      </c>
      <c r="E500" s="2" t="s">
        <v>9</v>
      </c>
      <c r="F500">
        <f>4992/5507</f>
        <v>0.90648265843471942</v>
      </c>
      <c r="G500" s="2">
        <v>38</v>
      </c>
    </row>
    <row r="501" spans="1:7" x14ac:dyDescent="0.3">
      <c r="A501" t="s">
        <v>41</v>
      </c>
      <c r="B501" s="2">
        <v>20</v>
      </c>
      <c r="C501" s="2" t="s">
        <v>8</v>
      </c>
      <c r="D501" s="2">
        <v>150</v>
      </c>
      <c r="E501" s="2" t="s">
        <v>12</v>
      </c>
      <c r="F501">
        <f>69/100</f>
        <v>0.69</v>
      </c>
      <c r="G501" s="2">
        <v>38</v>
      </c>
    </row>
    <row r="502" spans="1:7" x14ac:dyDescent="0.3">
      <c r="A502" t="s">
        <v>41</v>
      </c>
      <c r="B502" s="2">
        <v>20</v>
      </c>
      <c r="C502" s="2" t="s">
        <v>8</v>
      </c>
      <c r="D502" s="2">
        <v>225</v>
      </c>
      <c r="E502" s="2" t="s">
        <v>12</v>
      </c>
      <c r="F502">
        <f>0.6551</f>
        <v>0.65510000000000002</v>
      </c>
      <c r="G502" s="2">
        <v>38</v>
      </c>
    </row>
    <row r="503" spans="1:7" x14ac:dyDescent="0.3">
      <c r="A503" t="s">
        <v>41</v>
      </c>
      <c r="B503" s="2">
        <v>20</v>
      </c>
      <c r="C503" s="2" t="s">
        <v>8</v>
      </c>
      <c r="D503" s="2">
        <v>300</v>
      </c>
      <c r="E503" s="2" t="s">
        <v>12</v>
      </c>
      <c r="F503">
        <f>0.3882</f>
        <v>0.38819999999999999</v>
      </c>
      <c r="G503" s="2">
        <v>38</v>
      </c>
    </row>
    <row r="504" spans="1:7" x14ac:dyDescent="0.3">
      <c r="A504" t="s">
        <v>41</v>
      </c>
      <c r="B504" s="2">
        <v>20</v>
      </c>
      <c r="C504" s="2" t="s">
        <v>11</v>
      </c>
      <c r="D504" s="2">
        <v>150</v>
      </c>
      <c r="E504" s="2" t="s">
        <v>12</v>
      </c>
      <c r="F504">
        <f>0.6828</f>
        <v>0.68279999999999996</v>
      </c>
      <c r="G504" s="2">
        <v>38</v>
      </c>
    </row>
    <row r="505" spans="1:7" x14ac:dyDescent="0.3">
      <c r="A505" t="s">
        <v>41</v>
      </c>
      <c r="B505" s="2">
        <v>20</v>
      </c>
      <c r="C505" s="2" t="s">
        <v>11</v>
      </c>
      <c r="D505" s="2">
        <v>225</v>
      </c>
      <c r="E505" s="2" t="s">
        <v>12</v>
      </c>
      <c r="F505">
        <v>0.56630000000000003</v>
      </c>
      <c r="G505" s="2">
        <v>38</v>
      </c>
    </row>
    <row r="506" spans="1:7" s="1" customFormat="1" ht="13.9" thickBot="1" x14ac:dyDescent="0.35">
      <c r="A506" s="1" t="s">
        <v>41</v>
      </c>
      <c r="B506" s="3">
        <v>20</v>
      </c>
      <c r="C506" s="3" t="s">
        <v>11</v>
      </c>
      <c r="D506" s="3">
        <v>300</v>
      </c>
      <c r="E506" s="3" t="s">
        <v>12</v>
      </c>
      <c r="F506" s="1">
        <v>0.43020000000000003</v>
      </c>
      <c r="G506" s="3">
        <v>38</v>
      </c>
    </row>
    <row r="507" spans="1:7" x14ac:dyDescent="0.3">
      <c r="A507" s="2" t="s">
        <v>43</v>
      </c>
      <c r="B507" s="2">
        <v>5</v>
      </c>
      <c r="C507" s="2" t="s">
        <v>11</v>
      </c>
      <c r="D507" s="2">
        <v>10</v>
      </c>
      <c r="E507" s="2" t="s">
        <v>12</v>
      </c>
      <c r="F507">
        <f>53/84</f>
        <v>0.63095238095238093</v>
      </c>
      <c r="G507" s="2">
        <v>39</v>
      </c>
    </row>
    <row r="508" spans="1:7" x14ac:dyDescent="0.3">
      <c r="A508" s="2" t="s">
        <v>43</v>
      </c>
      <c r="B508" s="2">
        <v>5</v>
      </c>
      <c r="C508" s="2" t="s">
        <v>11</v>
      </c>
      <c r="D508" s="2">
        <v>50</v>
      </c>
      <c r="E508" s="2" t="s">
        <v>12</v>
      </c>
      <c r="F508">
        <f>43/84</f>
        <v>0.51190476190476186</v>
      </c>
      <c r="G508" s="2">
        <v>39</v>
      </c>
    </row>
    <row r="509" spans="1:7" x14ac:dyDescent="0.3">
      <c r="A509" s="2" t="s">
        <v>43</v>
      </c>
      <c r="B509" s="2">
        <v>5</v>
      </c>
      <c r="C509" s="2" t="s">
        <v>11</v>
      </c>
      <c r="D509" s="2">
        <v>250</v>
      </c>
      <c r="E509" s="2" t="s">
        <v>12</v>
      </c>
      <c r="F509">
        <f>36/84</f>
        <v>0.42857142857142855</v>
      </c>
      <c r="G509" s="2">
        <v>39</v>
      </c>
    </row>
    <row r="510" spans="1:7" x14ac:dyDescent="0.3">
      <c r="A510" s="2" t="s">
        <v>43</v>
      </c>
      <c r="B510" s="2">
        <v>5</v>
      </c>
      <c r="C510" s="2" t="s">
        <v>11</v>
      </c>
      <c r="D510" s="2">
        <v>1000</v>
      </c>
      <c r="E510" s="2" t="s">
        <v>12</v>
      </c>
      <c r="F510">
        <f>30/84</f>
        <v>0.35714285714285715</v>
      </c>
      <c r="G510" s="2">
        <v>39</v>
      </c>
    </row>
    <row r="511" spans="1:7" x14ac:dyDescent="0.3">
      <c r="A511" s="2" t="s">
        <v>43</v>
      </c>
      <c r="B511" s="2">
        <v>5</v>
      </c>
      <c r="C511" s="2" t="s">
        <v>11</v>
      </c>
      <c r="D511" s="2">
        <v>5000</v>
      </c>
      <c r="E511" s="2" t="s">
        <v>12</v>
      </c>
      <c r="F511">
        <f>35/84</f>
        <v>0.41666666666666669</v>
      </c>
      <c r="G511" s="2">
        <v>39</v>
      </c>
    </row>
    <row r="512" spans="1:7" x14ac:dyDescent="0.3">
      <c r="A512" s="2" t="s">
        <v>44</v>
      </c>
      <c r="B512" s="2">
        <v>5</v>
      </c>
      <c r="C512" s="2" t="s">
        <v>11</v>
      </c>
      <c r="D512" s="2">
        <v>10</v>
      </c>
      <c r="E512" s="2" t="s">
        <v>12</v>
      </c>
      <c r="F512">
        <f>77/84</f>
        <v>0.91666666666666663</v>
      </c>
      <c r="G512" s="2">
        <v>39</v>
      </c>
    </row>
    <row r="513" spans="1:7" x14ac:dyDescent="0.3">
      <c r="A513" s="2" t="s">
        <v>44</v>
      </c>
      <c r="B513" s="2">
        <v>5</v>
      </c>
      <c r="C513" s="2" t="s">
        <v>11</v>
      </c>
      <c r="D513" s="2">
        <v>50</v>
      </c>
      <c r="E513" s="2" t="s">
        <v>12</v>
      </c>
      <c r="F513">
        <f>51/84</f>
        <v>0.6071428571428571</v>
      </c>
      <c r="G513" s="2">
        <v>39</v>
      </c>
    </row>
    <row r="514" spans="1:7" x14ac:dyDescent="0.3">
      <c r="A514" s="2" t="s">
        <v>44</v>
      </c>
      <c r="B514" s="2">
        <v>5</v>
      </c>
      <c r="C514" s="2" t="s">
        <v>11</v>
      </c>
      <c r="D514" s="2">
        <v>250</v>
      </c>
      <c r="E514" s="2" t="s">
        <v>12</v>
      </c>
      <c r="F514">
        <f>45/84</f>
        <v>0.5357142857142857</v>
      </c>
      <c r="G514" s="2">
        <v>39</v>
      </c>
    </row>
    <row r="515" spans="1:7" x14ac:dyDescent="0.3">
      <c r="A515" s="2" t="s">
        <v>44</v>
      </c>
      <c r="B515" s="2">
        <v>5</v>
      </c>
      <c r="C515" s="2" t="s">
        <v>11</v>
      </c>
      <c r="D515" s="2">
        <v>1000</v>
      </c>
      <c r="E515" s="2" t="s">
        <v>12</v>
      </c>
      <c r="F515">
        <f>30/84</f>
        <v>0.35714285714285715</v>
      </c>
      <c r="G515" s="2">
        <v>39</v>
      </c>
    </row>
    <row r="516" spans="1:7" x14ac:dyDescent="0.3">
      <c r="A516" s="2" t="s">
        <v>44</v>
      </c>
      <c r="B516" s="2">
        <v>5</v>
      </c>
      <c r="C516" s="2" t="s">
        <v>11</v>
      </c>
      <c r="D516" s="2">
        <v>5000</v>
      </c>
      <c r="E516" s="2" t="s">
        <v>12</v>
      </c>
      <c r="F516">
        <f>32/84</f>
        <v>0.38095238095238093</v>
      </c>
      <c r="G516" s="2">
        <v>39</v>
      </c>
    </row>
    <row r="517" spans="1:7" x14ac:dyDescent="0.3">
      <c r="A517" s="2" t="s">
        <v>42</v>
      </c>
      <c r="B517" s="2">
        <v>5</v>
      </c>
      <c r="C517" s="2" t="s">
        <v>11</v>
      </c>
      <c r="D517" s="2">
        <v>10</v>
      </c>
      <c r="E517" s="2" t="s">
        <v>12</v>
      </c>
      <c r="F517">
        <f>56/84</f>
        <v>0.66666666666666663</v>
      </c>
      <c r="G517" s="2">
        <v>39</v>
      </c>
    </row>
    <row r="518" spans="1:7" x14ac:dyDescent="0.3">
      <c r="A518" s="2" t="s">
        <v>42</v>
      </c>
      <c r="B518" s="2">
        <v>5</v>
      </c>
      <c r="C518" s="2" t="s">
        <v>11</v>
      </c>
      <c r="D518" s="2">
        <v>50</v>
      </c>
      <c r="E518" s="2" t="s">
        <v>12</v>
      </c>
      <c r="F518">
        <f>37/84</f>
        <v>0.44047619047619047</v>
      </c>
      <c r="G518" s="2">
        <v>39</v>
      </c>
    </row>
    <row r="519" spans="1:7" x14ac:dyDescent="0.3">
      <c r="A519" s="2" t="s">
        <v>42</v>
      </c>
      <c r="B519" s="2">
        <v>5</v>
      </c>
      <c r="C519" s="2" t="s">
        <v>11</v>
      </c>
      <c r="D519" s="2">
        <v>250</v>
      </c>
      <c r="E519" s="2" t="s">
        <v>12</v>
      </c>
      <c r="F519">
        <f>22/84</f>
        <v>0.26190476190476192</v>
      </c>
      <c r="G519" s="2">
        <v>39</v>
      </c>
    </row>
    <row r="520" spans="1:7" x14ac:dyDescent="0.3">
      <c r="A520" s="2" t="s">
        <v>42</v>
      </c>
      <c r="B520" s="2">
        <v>5</v>
      </c>
      <c r="C520" s="2" t="s">
        <v>11</v>
      </c>
      <c r="D520" s="2">
        <v>1000</v>
      </c>
      <c r="E520" s="2" t="s">
        <v>12</v>
      </c>
      <c r="F520">
        <f>26/84</f>
        <v>0.30952380952380953</v>
      </c>
      <c r="G520" s="2">
        <v>39</v>
      </c>
    </row>
    <row r="521" spans="1:7" x14ac:dyDescent="0.3">
      <c r="A521" s="2" t="s">
        <v>42</v>
      </c>
      <c r="B521" s="2">
        <v>5</v>
      </c>
      <c r="C521" s="2" t="s">
        <v>11</v>
      </c>
      <c r="D521" s="2">
        <v>5000</v>
      </c>
      <c r="E521" s="2" t="s">
        <v>12</v>
      </c>
      <c r="F521">
        <f>23/84</f>
        <v>0.27380952380952384</v>
      </c>
      <c r="G521" s="2">
        <v>39</v>
      </c>
    </row>
    <row r="522" spans="1:7" x14ac:dyDescent="0.3">
      <c r="A522" s="2" t="s">
        <v>43</v>
      </c>
      <c r="B522" s="2">
        <v>5</v>
      </c>
      <c r="C522" s="2" t="s">
        <v>8</v>
      </c>
      <c r="D522" s="2">
        <v>10</v>
      </c>
      <c r="E522" s="2" t="s">
        <v>12</v>
      </c>
      <c r="F522">
        <f>93/168</f>
        <v>0.5535714285714286</v>
      </c>
      <c r="G522" s="2">
        <v>39</v>
      </c>
    </row>
    <row r="523" spans="1:7" x14ac:dyDescent="0.3">
      <c r="A523" s="2" t="s">
        <v>43</v>
      </c>
      <c r="B523" s="2">
        <v>5</v>
      </c>
      <c r="C523" s="2" t="s">
        <v>8</v>
      </c>
      <c r="D523" s="2">
        <v>50</v>
      </c>
      <c r="E523" s="2" t="s">
        <v>12</v>
      </c>
      <c r="F523">
        <f>57/168</f>
        <v>0.3392857142857143</v>
      </c>
      <c r="G523" s="2">
        <v>39</v>
      </c>
    </row>
    <row r="524" spans="1:7" x14ac:dyDescent="0.3">
      <c r="A524" s="2" t="s">
        <v>43</v>
      </c>
      <c r="B524" s="2">
        <v>5</v>
      </c>
      <c r="C524" s="2" t="s">
        <v>8</v>
      </c>
      <c r="D524" s="2">
        <v>250</v>
      </c>
      <c r="E524" s="2" t="s">
        <v>12</v>
      </c>
      <c r="F524">
        <f>58/168</f>
        <v>0.34523809523809523</v>
      </c>
      <c r="G524" s="2">
        <v>39</v>
      </c>
    </row>
    <row r="525" spans="1:7" x14ac:dyDescent="0.3">
      <c r="A525" s="2" t="s">
        <v>43</v>
      </c>
      <c r="B525" s="2">
        <v>5</v>
      </c>
      <c r="C525" s="2" t="s">
        <v>8</v>
      </c>
      <c r="D525" s="2">
        <v>1000</v>
      </c>
      <c r="E525" s="2" t="s">
        <v>12</v>
      </c>
      <c r="F525">
        <f>47/168</f>
        <v>0.27976190476190477</v>
      </c>
      <c r="G525" s="2">
        <v>39</v>
      </c>
    </row>
    <row r="526" spans="1:7" x14ac:dyDescent="0.3">
      <c r="A526" s="2" t="s">
        <v>43</v>
      </c>
      <c r="B526" s="2">
        <v>5</v>
      </c>
      <c r="C526" s="2" t="s">
        <v>8</v>
      </c>
      <c r="D526" s="2">
        <v>5000</v>
      </c>
      <c r="E526" s="2" t="s">
        <v>12</v>
      </c>
      <c r="F526">
        <f>47/168</f>
        <v>0.27976190476190477</v>
      </c>
      <c r="G526" s="2">
        <v>39</v>
      </c>
    </row>
    <row r="527" spans="1:7" x14ac:dyDescent="0.3">
      <c r="A527" s="2" t="s">
        <v>44</v>
      </c>
      <c r="B527" s="2">
        <v>5</v>
      </c>
      <c r="C527" s="2" t="s">
        <v>8</v>
      </c>
      <c r="D527" s="2">
        <v>10</v>
      </c>
      <c r="E527" s="2" t="s">
        <v>12</v>
      </c>
      <c r="F527">
        <f>174/168</f>
        <v>1.0357142857142858</v>
      </c>
      <c r="G527" s="2">
        <v>39</v>
      </c>
    </row>
    <row r="528" spans="1:7" x14ac:dyDescent="0.3">
      <c r="A528" s="2" t="s">
        <v>44</v>
      </c>
      <c r="B528" s="2">
        <v>5</v>
      </c>
      <c r="C528" s="2" t="s">
        <v>8</v>
      </c>
      <c r="D528" s="2">
        <v>50</v>
      </c>
      <c r="E528" s="2" t="s">
        <v>12</v>
      </c>
      <c r="F528">
        <f>89/168</f>
        <v>0.52976190476190477</v>
      </c>
      <c r="G528" s="2">
        <v>39</v>
      </c>
    </row>
    <row r="529" spans="1:7" x14ac:dyDescent="0.3">
      <c r="A529" s="2" t="s">
        <v>44</v>
      </c>
      <c r="B529" s="2">
        <v>5</v>
      </c>
      <c r="C529" s="2" t="s">
        <v>8</v>
      </c>
      <c r="D529" s="2">
        <v>250</v>
      </c>
      <c r="E529" s="2" t="s">
        <v>12</v>
      </c>
      <c r="F529">
        <f>43/168</f>
        <v>0.25595238095238093</v>
      </c>
      <c r="G529" s="2">
        <v>39</v>
      </c>
    </row>
    <row r="530" spans="1:7" x14ac:dyDescent="0.3">
      <c r="A530" s="2" t="s">
        <v>44</v>
      </c>
      <c r="B530" s="2">
        <v>5</v>
      </c>
      <c r="C530" s="2" t="s">
        <v>8</v>
      </c>
      <c r="D530" s="2">
        <v>1000</v>
      </c>
      <c r="E530" s="2" t="s">
        <v>12</v>
      </c>
      <c r="F530">
        <f>58/168</f>
        <v>0.34523809523809523</v>
      </c>
      <c r="G530" s="2">
        <v>39</v>
      </c>
    </row>
    <row r="531" spans="1:7" x14ac:dyDescent="0.3">
      <c r="A531" s="2" t="s">
        <v>44</v>
      </c>
      <c r="B531" s="2">
        <v>5</v>
      </c>
      <c r="C531" s="2" t="s">
        <v>8</v>
      </c>
      <c r="D531" s="2">
        <v>5000</v>
      </c>
      <c r="E531" s="2" t="s">
        <v>12</v>
      </c>
      <c r="F531">
        <f>52/168</f>
        <v>0.30952380952380953</v>
      </c>
      <c r="G531" s="2">
        <v>39</v>
      </c>
    </row>
    <row r="532" spans="1:7" x14ac:dyDescent="0.3">
      <c r="A532" s="2" t="s">
        <v>42</v>
      </c>
      <c r="B532" s="2">
        <v>5</v>
      </c>
      <c r="C532" s="2" t="s">
        <v>8</v>
      </c>
      <c r="D532" s="2">
        <v>10</v>
      </c>
      <c r="E532" s="2" t="s">
        <v>12</v>
      </c>
      <c r="F532">
        <f>78/168</f>
        <v>0.4642857142857143</v>
      </c>
      <c r="G532" s="2">
        <v>39</v>
      </c>
    </row>
    <row r="533" spans="1:7" x14ac:dyDescent="0.3">
      <c r="A533" s="2" t="s">
        <v>42</v>
      </c>
      <c r="B533" s="2">
        <v>5</v>
      </c>
      <c r="C533" s="2" t="s">
        <v>8</v>
      </c>
      <c r="D533" s="2">
        <v>50</v>
      </c>
      <c r="E533" s="2" t="s">
        <v>12</v>
      </c>
      <c r="F533">
        <f>53/168</f>
        <v>0.31547619047619047</v>
      </c>
      <c r="G533" s="2">
        <v>39</v>
      </c>
    </row>
    <row r="534" spans="1:7" x14ac:dyDescent="0.3">
      <c r="A534" s="2" t="s">
        <v>42</v>
      </c>
      <c r="B534" s="2">
        <v>5</v>
      </c>
      <c r="C534" s="2" t="s">
        <v>8</v>
      </c>
      <c r="D534" s="2">
        <v>250</v>
      </c>
      <c r="E534" s="2" t="s">
        <v>12</v>
      </c>
      <c r="F534">
        <f>64/168</f>
        <v>0.38095238095238093</v>
      </c>
      <c r="G534" s="2">
        <v>39</v>
      </c>
    </row>
    <row r="535" spans="1:7" x14ac:dyDescent="0.3">
      <c r="A535" s="2" t="s">
        <v>42</v>
      </c>
      <c r="B535" s="2">
        <v>5</v>
      </c>
      <c r="C535" s="2" t="s">
        <v>8</v>
      </c>
      <c r="D535" s="2">
        <v>1000</v>
      </c>
      <c r="E535" s="2" t="s">
        <v>12</v>
      </c>
      <c r="F535">
        <f>45/168</f>
        <v>0.26785714285714285</v>
      </c>
      <c r="G535" s="2">
        <v>39</v>
      </c>
    </row>
    <row r="536" spans="1:7" x14ac:dyDescent="0.3">
      <c r="A536" s="2" t="s">
        <v>42</v>
      </c>
      <c r="B536" s="2">
        <v>5</v>
      </c>
      <c r="C536" s="2" t="s">
        <v>8</v>
      </c>
      <c r="D536" s="2">
        <v>5000</v>
      </c>
      <c r="E536" s="2" t="s">
        <v>12</v>
      </c>
      <c r="F536">
        <f>57/168</f>
        <v>0.3392857142857143</v>
      </c>
      <c r="G536" s="2">
        <v>39</v>
      </c>
    </row>
    <row r="537" spans="1:7" x14ac:dyDescent="0.3">
      <c r="A537" s="2" t="s">
        <v>43</v>
      </c>
      <c r="B537" s="2">
        <v>5</v>
      </c>
      <c r="C537" s="2" t="s">
        <v>8</v>
      </c>
      <c r="D537" s="2">
        <v>2.5</v>
      </c>
      <c r="E537" s="2" t="s">
        <v>9</v>
      </c>
      <c r="F537">
        <v>0.90789473684210498</v>
      </c>
      <c r="G537" s="2">
        <v>39</v>
      </c>
    </row>
    <row r="538" spans="1:7" x14ac:dyDescent="0.3">
      <c r="A538" s="2" t="s">
        <v>43</v>
      </c>
      <c r="B538" s="2">
        <v>5</v>
      </c>
      <c r="C538" s="2" t="s">
        <v>8</v>
      </c>
      <c r="D538" s="2">
        <v>5</v>
      </c>
      <c r="E538" s="2" t="s">
        <v>9</v>
      </c>
      <c r="F538">
        <v>0.94078947368420995</v>
      </c>
      <c r="G538" s="2">
        <v>39</v>
      </c>
    </row>
    <row r="539" spans="1:7" x14ac:dyDescent="0.3">
      <c r="A539" s="2" t="s">
        <v>43</v>
      </c>
      <c r="B539" s="2">
        <v>5</v>
      </c>
      <c r="C539" s="2" t="s">
        <v>8</v>
      </c>
      <c r="D539" s="2">
        <v>10</v>
      </c>
      <c r="E539" s="2" t="s">
        <v>9</v>
      </c>
      <c r="F539">
        <v>0.88157894736842102</v>
      </c>
      <c r="G539" s="2">
        <v>39</v>
      </c>
    </row>
    <row r="540" spans="1:7" x14ac:dyDescent="0.3">
      <c r="A540" s="2" t="s">
        <v>43</v>
      </c>
      <c r="B540" s="2">
        <v>5</v>
      </c>
      <c r="C540" s="2" t="s">
        <v>8</v>
      </c>
      <c r="D540" s="2">
        <v>35</v>
      </c>
      <c r="E540" s="2" t="s">
        <v>9</v>
      </c>
      <c r="F540">
        <v>0.79605263157894701</v>
      </c>
      <c r="G540" s="2">
        <v>39</v>
      </c>
    </row>
    <row r="541" spans="1:7" x14ac:dyDescent="0.3">
      <c r="A541" s="2" t="s">
        <v>43</v>
      </c>
      <c r="B541" s="2">
        <v>5</v>
      </c>
      <c r="C541" s="2" t="s">
        <v>8</v>
      </c>
      <c r="D541" s="2">
        <v>50</v>
      </c>
      <c r="E541" s="2" t="s">
        <v>9</v>
      </c>
      <c r="F541">
        <v>0.58552631578947301</v>
      </c>
      <c r="G541" s="2">
        <v>39</v>
      </c>
    </row>
    <row r="542" spans="1:7" x14ac:dyDescent="0.3">
      <c r="A542" s="2" t="s">
        <v>44</v>
      </c>
      <c r="B542" s="2">
        <v>5</v>
      </c>
      <c r="C542" s="2" t="s">
        <v>8</v>
      </c>
      <c r="D542" s="2">
        <v>2.5</v>
      </c>
      <c r="E542" s="2" t="s">
        <v>9</v>
      </c>
      <c r="F542">
        <v>1.19333333333333</v>
      </c>
      <c r="G542" s="2">
        <v>39</v>
      </c>
    </row>
    <row r="543" spans="1:7" x14ac:dyDescent="0.3">
      <c r="A543" s="2" t="s">
        <v>44</v>
      </c>
      <c r="B543" s="2">
        <v>5</v>
      </c>
      <c r="C543" s="2" t="s">
        <v>8</v>
      </c>
      <c r="D543" s="2">
        <v>5</v>
      </c>
      <c r="E543" s="2" t="s">
        <v>9</v>
      </c>
      <c r="F543">
        <v>1.28666666666666</v>
      </c>
      <c r="G543" s="2">
        <v>39</v>
      </c>
    </row>
    <row r="544" spans="1:7" x14ac:dyDescent="0.3">
      <c r="A544" s="2" t="s">
        <v>44</v>
      </c>
      <c r="B544" s="2">
        <v>5</v>
      </c>
      <c r="C544" s="2" t="s">
        <v>8</v>
      </c>
      <c r="D544" s="2">
        <v>10</v>
      </c>
      <c r="E544" s="2" t="s">
        <v>9</v>
      </c>
      <c r="F544">
        <v>1.19333333333333</v>
      </c>
      <c r="G544" s="2">
        <v>39</v>
      </c>
    </row>
    <row r="545" spans="1:7" x14ac:dyDescent="0.3">
      <c r="A545" s="2" t="s">
        <v>44</v>
      </c>
      <c r="B545" s="2">
        <v>5</v>
      </c>
      <c r="C545" s="2" t="s">
        <v>8</v>
      </c>
      <c r="D545" s="2">
        <v>25</v>
      </c>
      <c r="E545" s="2" t="s">
        <v>9</v>
      </c>
      <c r="F545">
        <v>1.04666666666666</v>
      </c>
      <c r="G545" s="2">
        <v>39</v>
      </c>
    </row>
    <row r="546" spans="1:7" x14ac:dyDescent="0.3">
      <c r="A546" s="2" t="s">
        <v>44</v>
      </c>
      <c r="B546" s="2">
        <v>5</v>
      </c>
      <c r="C546" s="2" t="s">
        <v>8</v>
      </c>
      <c r="D546" s="2">
        <v>50</v>
      </c>
      <c r="E546" s="2" t="s">
        <v>9</v>
      </c>
      <c r="F546">
        <v>0.88666666666666605</v>
      </c>
      <c r="G546" s="2">
        <v>39</v>
      </c>
    </row>
    <row r="547" spans="1:7" x14ac:dyDescent="0.3">
      <c r="A547" s="2" t="s">
        <v>42</v>
      </c>
      <c r="B547" s="2">
        <v>5</v>
      </c>
      <c r="C547" s="2" t="s">
        <v>8</v>
      </c>
      <c r="D547" s="2">
        <v>2.5</v>
      </c>
      <c r="E547" s="2" t="s">
        <v>9</v>
      </c>
      <c r="F547">
        <v>0.927152317880794</v>
      </c>
      <c r="G547" s="2">
        <v>39</v>
      </c>
    </row>
    <row r="548" spans="1:7" x14ac:dyDescent="0.3">
      <c r="A548" s="2" t="s">
        <v>42</v>
      </c>
      <c r="B548" s="2">
        <v>5</v>
      </c>
      <c r="C548" s="2" t="s">
        <v>8</v>
      </c>
      <c r="D548" s="2">
        <v>5</v>
      </c>
      <c r="E548" s="2" t="s">
        <v>9</v>
      </c>
      <c r="F548">
        <v>1.0264900662251599</v>
      </c>
      <c r="G548" s="2">
        <v>39</v>
      </c>
    </row>
    <row r="549" spans="1:7" x14ac:dyDescent="0.3">
      <c r="A549" s="2" t="s">
        <v>42</v>
      </c>
      <c r="B549" s="2">
        <v>5</v>
      </c>
      <c r="C549" s="2" t="s">
        <v>8</v>
      </c>
      <c r="D549" s="2">
        <v>10</v>
      </c>
      <c r="E549" s="2" t="s">
        <v>9</v>
      </c>
      <c r="F549">
        <v>0.76158940397350905</v>
      </c>
      <c r="G549" s="2">
        <v>39</v>
      </c>
    </row>
    <row r="550" spans="1:7" x14ac:dyDescent="0.3">
      <c r="A550" s="2" t="s">
        <v>42</v>
      </c>
      <c r="B550" s="2">
        <v>5</v>
      </c>
      <c r="C550" s="2" t="s">
        <v>8</v>
      </c>
      <c r="D550" s="2">
        <v>25</v>
      </c>
      <c r="E550" s="2" t="s">
        <v>9</v>
      </c>
      <c r="F550">
        <v>0.556291390728476</v>
      </c>
      <c r="G550" s="2">
        <v>39</v>
      </c>
    </row>
    <row r="551" spans="1:7" x14ac:dyDescent="0.3">
      <c r="A551" s="2" t="s">
        <v>42</v>
      </c>
      <c r="B551" s="2">
        <v>5</v>
      </c>
      <c r="C551" s="2" t="s">
        <v>8</v>
      </c>
      <c r="D551" s="2">
        <v>50</v>
      </c>
      <c r="E551" s="2" t="s">
        <v>9</v>
      </c>
      <c r="F551">
        <v>0.47682119205298001</v>
      </c>
      <c r="G551" s="2">
        <v>39</v>
      </c>
    </row>
    <row r="552" spans="1:7" x14ac:dyDescent="0.3">
      <c r="A552" s="2" t="s">
        <v>43</v>
      </c>
      <c r="B552" s="2">
        <v>5</v>
      </c>
      <c r="C552" s="2" t="s">
        <v>8</v>
      </c>
      <c r="D552" s="2">
        <v>2.5</v>
      </c>
      <c r="E552" s="2" t="s">
        <v>10</v>
      </c>
      <c r="F552">
        <v>0.89054726368159198</v>
      </c>
      <c r="G552" s="2">
        <v>39</v>
      </c>
    </row>
    <row r="553" spans="1:7" x14ac:dyDescent="0.3">
      <c r="A553" s="2" t="s">
        <v>43</v>
      </c>
      <c r="B553" s="2">
        <v>5</v>
      </c>
      <c r="C553" s="2" t="s">
        <v>8</v>
      </c>
      <c r="D553" s="2">
        <v>5</v>
      </c>
      <c r="E553" s="2" t="s">
        <v>10</v>
      </c>
      <c r="F553">
        <v>0.82587064676616895</v>
      </c>
      <c r="G553" s="2">
        <v>39</v>
      </c>
    </row>
    <row r="554" spans="1:7" x14ac:dyDescent="0.3">
      <c r="A554" s="2" t="s">
        <v>43</v>
      </c>
      <c r="B554" s="2">
        <v>5</v>
      </c>
      <c r="C554" s="2" t="s">
        <v>8</v>
      </c>
      <c r="D554" s="2">
        <v>10</v>
      </c>
      <c r="E554" s="2" t="s">
        <v>10</v>
      </c>
      <c r="F554">
        <v>0.83582089552238803</v>
      </c>
      <c r="G554" s="2">
        <v>39</v>
      </c>
    </row>
    <row r="555" spans="1:7" x14ac:dyDescent="0.3">
      <c r="A555" s="2" t="s">
        <v>44</v>
      </c>
      <c r="B555" s="2">
        <v>5</v>
      </c>
      <c r="C555" s="2" t="s">
        <v>8</v>
      </c>
      <c r="D555" s="2">
        <v>25</v>
      </c>
      <c r="E555" s="2" t="s">
        <v>10</v>
      </c>
      <c r="F555">
        <v>0.68811881188118795</v>
      </c>
      <c r="G555" s="2">
        <v>39</v>
      </c>
    </row>
    <row r="556" spans="1:7" x14ac:dyDescent="0.3">
      <c r="A556" s="2" t="s">
        <v>44</v>
      </c>
      <c r="B556" s="2">
        <v>5</v>
      </c>
      <c r="C556" s="2" t="s">
        <v>8</v>
      </c>
      <c r="D556" s="2">
        <v>50</v>
      </c>
      <c r="E556" s="2" t="s">
        <v>10</v>
      </c>
      <c r="F556">
        <v>0.64851485148514798</v>
      </c>
      <c r="G556" s="2">
        <v>39</v>
      </c>
    </row>
    <row r="557" spans="1:7" x14ac:dyDescent="0.3">
      <c r="A557" s="2" t="s">
        <v>44</v>
      </c>
      <c r="B557" s="2">
        <v>5</v>
      </c>
      <c r="C557" s="2" t="s">
        <v>8</v>
      </c>
      <c r="D557" s="2">
        <v>10</v>
      </c>
      <c r="E557" s="2" t="s">
        <v>10</v>
      </c>
      <c r="F557">
        <v>0.57425742574257399</v>
      </c>
      <c r="G557" s="2">
        <v>39</v>
      </c>
    </row>
    <row r="558" spans="1:7" x14ac:dyDescent="0.3">
      <c r="A558" s="2" t="s">
        <v>42</v>
      </c>
      <c r="B558" s="2">
        <v>5</v>
      </c>
      <c r="C558" s="2" t="s">
        <v>8</v>
      </c>
      <c r="D558" s="2">
        <v>2.5</v>
      </c>
      <c r="E558" s="2" t="s">
        <v>10</v>
      </c>
      <c r="F558">
        <v>0.68627450980392102</v>
      </c>
      <c r="G558" s="2">
        <v>39</v>
      </c>
    </row>
    <row r="559" spans="1:7" x14ac:dyDescent="0.3">
      <c r="A559" s="2" t="s">
        <v>42</v>
      </c>
      <c r="B559" s="2">
        <v>5</v>
      </c>
      <c r="C559" s="2" t="s">
        <v>8</v>
      </c>
      <c r="D559" s="2">
        <v>5</v>
      </c>
      <c r="E559" s="2" t="s">
        <v>10</v>
      </c>
      <c r="F559">
        <v>0.49509803921568601</v>
      </c>
      <c r="G559" s="2">
        <v>39</v>
      </c>
    </row>
    <row r="560" spans="1:7" x14ac:dyDescent="0.3">
      <c r="A560" s="2" t="s">
        <v>42</v>
      </c>
      <c r="B560" s="2">
        <v>5</v>
      </c>
      <c r="C560" s="2" t="s">
        <v>8</v>
      </c>
      <c r="D560" s="2">
        <v>10</v>
      </c>
      <c r="E560" s="2" t="s">
        <v>10</v>
      </c>
      <c r="F560">
        <v>0.54901960784313697</v>
      </c>
      <c r="G560" s="2">
        <v>39</v>
      </c>
    </row>
    <row r="561" spans="1:7" x14ac:dyDescent="0.3">
      <c r="A561" s="2" t="s">
        <v>43</v>
      </c>
      <c r="B561" s="2">
        <v>5</v>
      </c>
      <c r="C561" s="2" t="s">
        <v>8</v>
      </c>
      <c r="D561" s="2">
        <v>2.5</v>
      </c>
      <c r="E561" s="2" t="s">
        <v>10</v>
      </c>
      <c r="F561">
        <v>0.97530864197530798</v>
      </c>
      <c r="G561" s="2">
        <v>39</v>
      </c>
    </row>
    <row r="562" spans="1:7" x14ac:dyDescent="0.3">
      <c r="A562" s="2" t="s">
        <v>43</v>
      </c>
      <c r="B562" s="2">
        <v>5</v>
      </c>
      <c r="C562" s="2" t="s">
        <v>8</v>
      </c>
      <c r="D562" s="2">
        <v>5</v>
      </c>
      <c r="E562" s="2" t="s">
        <v>10</v>
      </c>
      <c r="F562">
        <v>0.98765432098765404</v>
      </c>
      <c r="G562" s="2">
        <v>39</v>
      </c>
    </row>
    <row r="563" spans="1:7" x14ac:dyDescent="0.3">
      <c r="A563" s="2" t="s">
        <v>43</v>
      </c>
      <c r="B563" s="2">
        <v>5</v>
      </c>
      <c r="C563" s="2" t="s">
        <v>8</v>
      </c>
      <c r="D563" s="2">
        <v>10</v>
      </c>
      <c r="E563" s="2" t="s">
        <v>10</v>
      </c>
      <c r="F563">
        <v>1.4197530864197501</v>
      </c>
      <c r="G563" s="2">
        <v>39</v>
      </c>
    </row>
    <row r="564" spans="1:7" x14ac:dyDescent="0.3">
      <c r="A564" s="2" t="s">
        <v>44</v>
      </c>
      <c r="B564" s="2">
        <v>5</v>
      </c>
      <c r="C564" s="2" t="s">
        <v>8</v>
      </c>
      <c r="D564" s="2">
        <v>2.5</v>
      </c>
      <c r="E564" s="2" t="s">
        <v>10</v>
      </c>
      <c r="F564">
        <v>0.90123456790123402</v>
      </c>
      <c r="G564" s="2">
        <v>39</v>
      </c>
    </row>
    <row r="565" spans="1:7" x14ac:dyDescent="0.3">
      <c r="A565" s="2" t="s">
        <v>44</v>
      </c>
      <c r="B565" s="2">
        <v>5</v>
      </c>
      <c r="C565" s="2" t="s">
        <v>8</v>
      </c>
      <c r="D565" s="2">
        <v>5</v>
      </c>
      <c r="E565" s="2" t="s">
        <v>10</v>
      </c>
      <c r="F565">
        <v>0.87654320987654299</v>
      </c>
      <c r="G565" s="2">
        <v>39</v>
      </c>
    </row>
    <row r="566" spans="1:7" x14ac:dyDescent="0.3">
      <c r="A566" s="2" t="s">
        <v>44</v>
      </c>
      <c r="B566" s="2">
        <v>5</v>
      </c>
      <c r="C566" s="2" t="s">
        <v>8</v>
      </c>
      <c r="D566" s="2">
        <v>10</v>
      </c>
      <c r="E566" s="2" t="s">
        <v>10</v>
      </c>
      <c r="F566">
        <v>0.71604938271604901</v>
      </c>
      <c r="G566" s="2">
        <v>39</v>
      </c>
    </row>
    <row r="567" spans="1:7" x14ac:dyDescent="0.3">
      <c r="A567" s="2" t="s">
        <v>42</v>
      </c>
      <c r="B567" s="2">
        <v>5</v>
      </c>
      <c r="C567" s="2" t="s">
        <v>8</v>
      </c>
      <c r="D567" s="2">
        <v>2.5</v>
      </c>
      <c r="E567" s="2" t="s">
        <v>10</v>
      </c>
      <c r="F567">
        <v>0.92500000000000004</v>
      </c>
      <c r="G567" s="2">
        <v>39</v>
      </c>
    </row>
    <row r="568" spans="1:7" x14ac:dyDescent="0.3">
      <c r="A568" s="2" t="s">
        <v>42</v>
      </c>
      <c r="B568" s="2">
        <v>5</v>
      </c>
      <c r="C568" s="2" t="s">
        <v>8</v>
      </c>
      <c r="D568" s="2">
        <v>5</v>
      </c>
      <c r="E568" s="2" t="s">
        <v>10</v>
      </c>
      <c r="F568">
        <v>0.91249999999999998</v>
      </c>
      <c r="G568" s="2">
        <v>39</v>
      </c>
    </row>
    <row r="569" spans="1:7" x14ac:dyDescent="0.3">
      <c r="A569" s="2" t="s">
        <v>42</v>
      </c>
      <c r="B569" s="2">
        <v>5</v>
      </c>
      <c r="C569" s="2" t="s">
        <v>8</v>
      </c>
      <c r="D569" s="2">
        <v>10</v>
      </c>
      <c r="E569" s="2" t="s">
        <v>10</v>
      </c>
      <c r="F569">
        <v>1.05</v>
      </c>
      <c r="G569" s="2">
        <v>39</v>
      </c>
    </row>
    <row r="570" spans="1:7" x14ac:dyDescent="0.3">
      <c r="A570" s="2" t="s">
        <v>43</v>
      </c>
      <c r="B570" s="2">
        <v>5</v>
      </c>
      <c r="C570" s="2" t="s">
        <v>8</v>
      </c>
      <c r="D570" s="2">
        <v>2.5</v>
      </c>
      <c r="E570" s="2" t="s">
        <v>10</v>
      </c>
      <c r="F570">
        <v>0.97222222222222199</v>
      </c>
      <c r="G570" s="2">
        <v>39</v>
      </c>
    </row>
    <row r="571" spans="1:7" x14ac:dyDescent="0.3">
      <c r="A571" s="2" t="s">
        <v>43</v>
      </c>
      <c r="B571" s="2">
        <v>5</v>
      </c>
      <c r="C571" s="2" t="s">
        <v>8</v>
      </c>
      <c r="D571" s="2">
        <v>5</v>
      </c>
      <c r="E571" s="2" t="s">
        <v>10</v>
      </c>
      <c r="F571">
        <v>1.0347222222222201</v>
      </c>
      <c r="G571" s="2">
        <v>39</v>
      </c>
    </row>
    <row r="572" spans="1:7" x14ac:dyDescent="0.3">
      <c r="A572" s="2" t="s">
        <v>43</v>
      </c>
      <c r="B572" s="2">
        <v>5</v>
      </c>
      <c r="C572" s="2" t="s">
        <v>8</v>
      </c>
      <c r="D572" s="2">
        <v>10</v>
      </c>
      <c r="E572" s="2" t="s">
        <v>10</v>
      </c>
      <c r="F572">
        <v>1.06944444444444</v>
      </c>
      <c r="G572" s="2">
        <v>39</v>
      </c>
    </row>
    <row r="573" spans="1:7" x14ac:dyDescent="0.3">
      <c r="A573" s="2" t="s">
        <v>44</v>
      </c>
      <c r="B573" s="2">
        <v>5</v>
      </c>
      <c r="C573" s="2" t="s">
        <v>8</v>
      </c>
      <c r="D573" s="2">
        <v>2.5</v>
      </c>
      <c r="E573" s="2" t="s">
        <v>10</v>
      </c>
      <c r="F573">
        <v>1.0625</v>
      </c>
      <c r="G573" s="2">
        <v>39</v>
      </c>
    </row>
    <row r="574" spans="1:7" x14ac:dyDescent="0.3">
      <c r="A574" s="2" t="s">
        <v>44</v>
      </c>
      <c r="B574" s="2">
        <v>5</v>
      </c>
      <c r="C574" s="2" t="s">
        <v>8</v>
      </c>
      <c r="D574" s="2">
        <v>5</v>
      </c>
      <c r="E574" s="2" t="s">
        <v>10</v>
      </c>
      <c r="F574">
        <v>0.95138888888888795</v>
      </c>
      <c r="G574" s="2">
        <v>39</v>
      </c>
    </row>
    <row r="575" spans="1:7" x14ac:dyDescent="0.3">
      <c r="A575" s="2" t="s">
        <v>44</v>
      </c>
      <c r="B575" s="2">
        <v>5</v>
      </c>
      <c r="C575" s="2" t="s">
        <v>8</v>
      </c>
      <c r="D575" s="2">
        <v>10</v>
      </c>
      <c r="E575" s="2" t="s">
        <v>10</v>
      </c>
      <c r="F575">
        <v>1.1111111111111101</v>
      </c>
      <c r="G575" s="2">
        <v>39</v>
      </c>
    </row>
    <row r="576" spans="1:7" x14ac:dyDescent="0.3">
      <c r="A576" s="2" t="s">
        <v>42</v>
      </c>
      <c r="B576" s="2">
        <v>5</v>
      </c>
      <c r="C576" s="2" t="s">
        <v>8</v>
      </c>
      <c r="D576" s="2">
        <v>2.5</v>
      </c>
      <c r="E576" s="2" t="s">
        <v>10</v>
      </c>
      <c r="F576">
        <v>0.80555555555555503</v>
      </c>
      <c r="G576" s="2">
        <v>39</v>
      </c>
    </row>
    <row r="577" spans="1:7" x14ac:dyDescent="0.3">
      <c r="A577" s="2" t="s">
        <v>42</v>
      </c>
      <c r="B577" s="2">
        <v>5</v>
      </c>
      <c r="C577" s="2" t="s">
        <v>8</v>
      </c>
      <c r="D577" s="2">
        <v>5</v>
      </c>
      <c r="E577" s="2" t="s">
        <v>10</v>
      </c>
      <c r="F577">
        <v>0.90972222222222199</v>
      </c>
      <c r="G577" s="2">
        <v>39</v>
      </c>
    </row>
    <row r="578" spans="1:7" s="1" customFormat="1" ht="13.9" thickBot="1" x14ac:dyDescent="0.35">
      <c r="A578" s="3" t="s">
        <v>42</v>
      </c>
      <c r="B578" s="3">
        <v>5</v>
      </c>
      <c r="C578" s="3" t="s">
        <v>8</v>
      </c>
      <c r="D578" s="2">
        <v>10</v>
      </c>
      <c r="E578" s="3" t="s">
        <v>10</v>
      </c>
      <c r="F578" s="1">
        <v>1.1458333333333299</v>
      </c>
      <c r="G578" s="3">
        <v>39</v>
      </c>
    </row>
    <row r="579" spans="1:7" x14ac:dyDescent="0.3">
      <c r="A579" t="s">
        <v>45</v>
      </c>
      <c r="B579" s="2">
        <v>7</v>
      </c>
      <c r="C579" s="2" t="s">
        <v>11</v>
      </c>
      <c r="D579" s="2">
        <v>10</v>
      </c>
      <c r="E579" s="2" t="s">
        <v>12</v>
      </c>
      <c r="F579">
        <f>17/16</f>
        <v>1.0625</v>
      </c>
      <c r="G579" s="2">
        <v>40</v>
      </c>
    </row>
    <row r="580" spans="1:7" x14ac:dyDescent="0.3">
      <c r="A580" t="s">
        <v>45</v>
      </c>
      <c r="B580" s="2">
        <v>7</v>
      </c>
      <c r="C580" s="2" t="s">
        <v>11</v>
      </c>
      <c r="D580" s="2">
        <v>50</v>
      </c>
      <c r="E580" s="2" t="s">
        <v>12</v>
      </c>
      <c r="F580">
        <f>17/16</f>
        <v>1.0625</v>
      </c>
      <c r="G580" s="2">
        <v>40</v>
      </c>
    </row>
    <row r="581" spans="1:7" x14ac:dyDescent="0.3">
      <c r="A581" t="s">
        <v>45</v>
      </c>
      <c r="B581" s="2">
        <v>7</v>
      </c>
      <c r="C581" s="2" t="s">
        <v>11</v>
      </c>
      <c r="D581" s="2">
        <v>100</v>
      </c>
      <c r="E581" s="2" t="s">
        <v>12</v>
      </c>
      <c r="F581">
        <f>18/15</f>
        <v>1.2</v>
      </c>
      <c r="G581" s="2">
        <v>40</v>
      </c>
    </row>
    <row r="582" spans="1:7" x14ac:dyDescent="0.3">
      <c r="A582" t="s">
        <v>45</v>
      </c>
      <c r="B582" s="2">
        <v>7</v>
      </c>
      <c r="C582" s="2" t="s">
        <v>11</v>
      </c>
      <c r="D582" s="2">
        <v>200</v>
      </c>
      <c r="E582" s="2" t="s">
        <v>12</v>
      </c>
      <c r="F582">
        <f>15/16</f>
        <v>0.9375</v>
      </c>
      <c r="G582" s="2">
        <v>40</v>
      </c>
    </row>
    <row r="583" spans="1:7" x14ac:dyDescent="0.3">
      <c r="A583" t="s">
        <v>45</v>
      </c>
      <c r="B583" s="2">
        <v>7</v>
      </c>
      <c r="C583" s="2" t="s">
        <v>11</v>
      </c>
      <c r="D583" s="2">
        <v>400</v>
      </c>
      <c r="E583" s="2" t="s">
        <v>12</v>
      </c>
      <c r="F583">
        <f>14/16</f>
        <v>0.875</v>
      </c>
      <c r="G583" s="2">
        <v>40</v>
      </c>
    </row>
    <row r="584" spans="1:7" x14ac:dyDescent="0.3">
      <c r="A584" t="s">
        <v>45</v>
      </c>
      <c r="B584" s="2">
        <v>7</v>
      </c>
      <c r="C584" s="2" t="s">
        <v>8</v>
      </c>
      <c r="D584" s="2">
        <v>10</v>
      </c>
      <c r="E584" s="2" t="s">
        <v>12</v>
      </c>
      <c r="F584">
        <f>1</f>
        <v>1</v>
      </c>
      <c r="G584" s="2">
        <v>40</v>
      </c>
    </row>
    <row r="585" spans="1:7" x14ac:dyDescent="0.3">
      <c r="A585" t="s">
        <v>45</v>
      </c>
      <c r="B585" s="2">
        <v>7</v>
      </c>
      <c r="C585" s="2" t="s">
        <v>8</v>
      </c>
      <c r="D585" s="2">
        <v>50</v>
      </c>
      <c r="E585" s="2" t="s">
        <v>12</v>
      </c>
      <c r="F585">
        <f>49/48</f>
        <v>1.0208333333333333</v>
      </c>
      <c r="G585" s="2">
        <v>40</v>
      </c>
    </row>
    <row r="586" spans="1:7" x14ac:dyDescent="0.3">
      <c r="A586" t="s">
        <v>45</v>
      </c>
      <c r="B586" s="2">
        <v>7</v>
      </c>
      <c r="C586" s="2" t="s">
        <v>8</v>
      </c>
      <c r="D586" s="2">
        <v>100</v>
      </c>
      <c r="E586" s="2" t="s">
        <v>12</v>
      </c>
      <c r="F586">
        <f>50/48</f>
        <v>1.0416666666666667</v>
      </c>
      <c r="G586" s="2">
        <v>40</v>
      </c>
    </row>
    <row r="587" spans="1:7" x14ac:dyDescent="0.3">
      <c r="A587" t="s">
        <v>45</v>
      </c>
      <c r="B587" s="2">
        <v>7</v>
      </c>
      <c r="C587" s="2" t="s">
        <v>8</v>
      </c>
      <c r="D587" s="2">
        <v>200</v>
      </c>
      <c r="E587" s="2" t="s">
        <v>12</v>
      </c>
      <c r="F587">
        <f>46/48</f>
        <v>0.95833333333333337</v>
      </c>
      <c r="G587" s="2">
        <v>40</v>
      </c>
    </row>
    <row r="588" spans="1:7" x14ac:dyDescent="0.3">
      <c r="A588" t="s">
        <v>45</v>
      </c>
      <c r="B588" s="2">
        <v>7</v>
      </c>
      <c r="C588" s="2" t="s">
        <v>8</v>
      </c>
      <c r="D588" s="2">
        <v>400</v>
      </c>
      <c r="E588" s="2" t="s">
        <v>12</v>
      </c>
      <c r="F588">
        <f>44/48</f>
        <v>0.91666666666666663</v>
      </c>
      <c r="G588" s="2">
        <v>40</v>
      </c>
    </row>
    <row r="589" spans="1:7" x14ac:dyDescent="0.3">
      <c r="A589" t="s">
        <v>45</v>
      </c>
      <c r="B589" s="2">
        <v>14</v>
      </c>
      <c r="C589" s="2" t="s">
        <v>11</v>
      </c>
      <c r="D589" s="2">
        <v>10</v>
      </c>
      <c r="E589" s="2" t="s">
        <v>12</v>
      </c>
      <c r="F589">
        <f>23/22</f>
        <v>1.0454545454545454</v>
      </c>
      <c r="G589" s="2">
        <v>40</v>
      </c>
    </row>
    <row r="590" spans="1:7" x14ac:dyDescent="0.3">
      <c r="A590" t="s">
        <v>45</v>
      </c>
      <c r="B590" s="2">
        <v>14</v>
      </c>
      <c r="C590" s="2" t="s">
        <v>11</v>
      </c>
      <c r="D590" s="2">
        <v>50</v>
      </c>
      <c r="E590" s="2" t="s">
        <v>12</v>
      </c>
      <c r="F590">
        <f>25/22</f>
        <v>1.1363636363636365</v>
      </c>
      <c r="G590" s="2">
        <v>40</v>
      </c>
    </row>
    <row r="591" spans="1:7" x14ac:dyDescent="0.3">
      <c r="A591" t="s">
        <v>45</v>
      </c>
      <c r="B591" s="2">
        <v>14</v>
      </c>
      <c r="C591" s="2" t="s">
        <v>11</v>
      </c>
      <c r="D591" s="2">
        <v>100</v>
      </c>
      <c r="E591" s="2" t="s">
        <v>12</v>
      </c>
      <c r="F591">
        <f>26/22</f>
        <v>1.1818181818181819</v>
      </c>
      <c r="G591" s="2">
        <v>40</v>
      </c>
    </row>
    <row r="592" spans="1:7" x14ac:dyDescent="0.3">
      <c r="A592" t="s">
        <v>45</v>
      </c>
      <c r="B592" s="2">
        <v>14</v>
      </c>
      <c r="C592" s="2" t="s">
        <v>11</v>
      </c>
      <c r="D592" s="2">
        <v>200</v>
      </c>
      <c r="E592" s="2" t="s">
        <v>12</v>
      </c>
      <c r="F592">
        <f>20/22</f>
        <v>0.90909090909090906</v>
      </c>
      <c r="G592" s="2">
        <v>40</v>
      </c>
    </row>
    <row r="593" spans="1:7" x14ac:dyDescent="0.3">
      <c r="A593" t="s">
        <v>45</v>
      </c>
      <c r="B593" s="2">
        <v>14</v>
      </c>
      <c r="C593" s="2" t="s">
        <v>11</v>
      </c>
      <c r="D593" s="2">
        <v>400</v>
      </c>
      <c r="E593" s="2" t="s">
        <v>12</v>
      </c>
      <c r="F593">
        <f>19/22</f>
        <v>0.86363636363636365</v>
      </c>
      <c r="G593" s="2">
        <v>40</v>
      </c>
    </row>
    <row r="594" spans="1:7" x14ac:dyDescent="0.3">
      <c r="A594" t="s">
        <v>45</v>
      </c>
      <c r="B594" s="2">
        <v>14</v>
      </c>
      <c r="C594" s="2" t="s">
        <v>8</v>
      </c>
      <c r="D594" s="2">
        <v>10</v>
      </c>
      <c r="E594" s="2" t="s">
        <v>12</v>
      </c>
      <c r="F594">
        <f>83/82</f>
        <v>1.0121951219512195</v>
      </c>
      <c r="G594" s="2">
        <v>40</v>
      </c>
    </row>
    <row r="595" spans="1:7" x14ac:dyDescent="0.3">
      <c r="A595" t="s">
        <v>45</v>
      </c>
      <c r="B595" s="2">
        <v>14</v>
      </c>
      <c r="C595" s="2" t="s">
        <v>8</v>
      </c>
      <c r="D595" s="2">
        <v>50</v>
      </c>
      <c r="E595" s="2" t="s">
        <v>12</v>
      </c>
      <c r="F595">
        <f>84/82</f>
        <v>1.024390243902439</v>
      </c>
      <c r="G595" s="2">
        <v>40</v>
      </c>
    </row>
    <row r="596" spans="1:7" x14ac:dyDescent="0.3">
      <c r="A596" t="s">
        <v>45</v>
      </c>
      <c r="B596" s="2">
        <v>14</v>
      </c>
      <c r="C596" s="2" t="s">
        <v>8</v>
      </c>
      <c r="D596" s="2">
        <v>100</v>
      </c>
      <c r="E596" s="2" t="s">
        <v>12</v>
      </c>
      <c r="F596">
        <f>86/82</f>
        <v>1.0487804878048781</v>
      </c>
      <c r="G596" s="2">
        <v>40</v>
      </c>
    </row>
    <row r="597" spans="1:7" x14ac:dyDescent="0.3">
      <c r="A597" t="s">
        <v>45</v>
      </c>
      <c r="B597" s="2">
        <v>14</v>
      </c>
      <c r="C597" s="2" t="s">
        <v>8</v>
      </c>
      <c r="D597" s="2">
        <v>200</v>
      </c>
      <c r="E597" s="2" t="s">
        <v>12</v>
      </c>
      <c r="F597">
        <f>80/82</f>
        <v>0.97560975609756095</v>
      </c>
      <c r="G597" s="2">
        <v>40</v>
      </c>
    </row>
    <row r="598" spans="1:7" x14ac:dyDescent="0.3">
      <c r="A598" t="s">
        <v>45</v>
      </c>
      <c r="B598" s="2">
        <v>14</v>
      </c>
      <c r="C598" s="2" t="s">
        <v>8</v>
      </c>
      <c r="D598" s="2">
        <v>400</v>
      </c>
      <c r="E598" s="2" t="s">
        <v>12</v>
      </c>
      <c r="F598">
        <f>77/82</f>
        <v>0.93902439024390238</v>
      </c>
      <c r="G598" s="2">
        <v>40</v>
      </c>
    </row>
    <row r="599" spans="1:7" x14ac:dyDescent="0.3">
      <c r="A599" t="s">
        <v>45</v>
      </c>
      <c r="B599" s="2">
        <v>21</v>
      </c>
      <c r="C599" s="2" t="s">
        <v>11</v>
      </c>
      <c r="D599" s="2">
        <v>10</v>
      </c>
      <c r="E599" s="2" t="s">
        <v>12</v>
      </c>
      <c r="F599">
        <f>29/27</f>
        <v>1.0740740740740742</v>
      </c>
      <c r="G599" s="2">
        <v>40</v>
      </c>
    </row>
    <row r="600" spans="1:7" x14ac:dyDescent="0.3">
      <c r="A600" t="s">
        <v>45</v>
      </c>
      <c r="B600" s="2">
        <v>21</v>
      </c>
      <c r="C600" s="2" t="s">
        <v>11</v>
      </c>
      <c r="D600" s="2">
        <v>50</v>
      </c>
      <c r="E600" s="2" t="s">
        <v>12</v>
      </c>
      <c r="F600">
        <f>30/27</f>
        <v>1.1111111111111112</v>
      </c>
      <c r="G600" s="2">
        <v>40</v>
      </c>
    </row>
    <row r="601" spans="1:7" x14ac:dyDescent="0.3">
      <c r="A601" t="s">
        <v>45</v>
      </c>
      <c r="B601" s="2">
        <v>21</v>
      </c>
      <c r="C601" s="2" t="s">
        <v>11</v>
      </c>
      <c r="D601" s="2">
        <v>100</v>
      </c>
      <c r="E601" s="2" t="s">
        <v>12</v>
      </c>
      <c r="F601">
        <f>31/27</f>
        <v>1.1481481481481481</v>
      </c>
      <c r="G601" s="2">
        <v>40</v>
      </c>
    </row>
    <row r="602" spans="1:7" x14ac:dyDescent="0.3">
      <c r="A602" t="s">
        <v>45</v>
      </c>
      <c r="B602" s="2">
        <v>21</v>
      </c>
      <c r="C602" s="2" t="s">
        <v>11</v>
      </c>
      <c r="D602" s="2">
        <v>200</v>
      </c>
      <c r="E602" s="2" t="s">
        <v>12</v>
      </c>
      <c r="F602">
        <f>24/27</f>
        <v>0.88888888888888884</v>
      </c>
      <c r="G602" s="2">
        <v>40</v>
      </c>
    </row>
    <row r="603" spans="1:7" x14ac:dyDescent="0.3">
      <c r="A603" t="s">
        <v>45</v>
      </c>
      <c r="B603" s="2">
        <v>21</v>
      </c>
      <c r="C603" s="2" t="s">
        <v>11</v>
      </c>
      <c r="D603" s="2">
        <v>400</v>
      </c>
      <c r="E603" s="2" t="s">
        <v>12</v>
      </c>
      <c r="F603">
        <f>23/27</f>
        <v>0.85185185185185186</v>
      </c>
      <c r="G603" s="2">
        <v>40</v>
      </c>
    </row>
    <row r="604" spans="1:7" x14ac:dyDescent="0.3">
      <c r="A604" t="s">
        <v>45</v>
      </c>
      <c r="B604" s="2">
        <v>21</v>
      </c>
      <c r="C604" s="2" t="s">
        <v>8</v>
      </c>
      <c r="D604" s="2">
        <v>10</v>
      </c>
      <c r="E604" s="2" t="s">
        <v>12</v>
      </c>
      <c r="F604">
        <f>129/128</f>
        <v>1.0078125</v>
      </c>
      <c r="G604" s="2">
        <v>40</v>
      </c>
    </row>
    <row r="605" spans="1:7" x14ac:dyDescent="0.3">
      <c r="A605" t="s">
        <v>45</v>
      </c>
      <c r="B605" s="2">
        <v>21</v>
      </c>
      <c r="C605" s="2" t="s">
        <v>8</v>
      </c>
      <c r="D605" s="2">
        <v>50</v>
      </c>
      <c r="E605" s="2" t="s">
        <v>12</v>
      </c>
      <c r="F605">
        <f>132/128</f>
        <v>1.03125</v>
      </c>
      <c r="G605" s="2">
        <v>40</v>
      </c>
    </row>
    <row r="606" spans="1:7" x14ac:dyDescent="0.3">
      <c r="A606" t="s">
        <v>45</v>
      </c>
      <c r="B606" s="2">
        <v>21</v>
      </c>
      <c r="C606" s="2" t="s">
        <v>8</v>
      </c>
      <c r="D606" s="2">
        <v>100</v>
      </c>
      <c r="E606" s="2" t="s">
        <v>12</v>
      </c>
      <c r="F606">
        <f>132/128</f>
        <v>1.03125</v>
      </c>
      <c r="G606" s="2">
        <v>40</v>
      </c>
    </row>
    <row r="607" spans="1:7" x14ac:dyDescent="0.3">
      <c r="A607" t="s">
        <v>45</v>
      </c>
      <c r="B607" s="2">
        <v>21</v>
      </c>
      <c r="C607" s="2" t="s">
        <v>8</v>
      </c>
      <c r="D607" s="2">
        <v>200</v>
      </c>
      <c r="E607" s="2" t="s">
        <v>12</v>
      </c>
      <c r="F607">
        <f>125/128</f>
        <v>0.9765625</v>
      </c>
      <c r="G607" s="2">
        <v>40</v>
      </c>
    </row>
    <row r="608" spans="1:7" x14ac:dyDescent="0.3">
      <c r="A608" t="s">
        <v>45</v>
      </c>
      <c r="B608" s="2">
        <v>21</v>
      </c>
      <c r="C608" s="2" t="s">
        <v>8</v>
      </c>
      <c r="D608" s="2">
        <v>400</v>
      </c>
      <c r="E608" s="2" t="s">
        <v>12</v>
      </c>
      <c r="F608">
        <f>129/128</f>
        <v>1.0078125</v>
      </c>
      <c r="G608" s="2">
        <v>40</v>
      </c>
    </row>
    <row r="609" spans="1:7" x14ac:dyDescent="0.3">
      <c r="A609" t="s">
        <v>45</v>
      </c>
      <c r="B609" s="2">
        <v>21</v>
      </c>
      <c r="C609" s="2" t="s">
        <v>8</v>
      </c>
      <c r="D609" s="2">
        <v>10</v>
      </c>
      <c r="E609" s="2" t="s">
        <v>10</v>
      </c>
      <c r="F609">
        <v>1.3859649122807001</v>
      </c>
      <c r="G609" s="2">
        <v>40</v>
      </c>
    </row>
    <row r="610" spans="1:7" x14ac:dyDescent="0.3">
      <c r="A610" t="s">
        <v>45</v>
      </c>
      <c r="B610" s="2">
        <v>21</v>
      </c>
      <c r="C610" s="2" t="s">
        <v>8</v>
      </c>
      <c r="D610" s="2">
        <v>50</v>
      </c>
      <c r="E610" s="2" t="s">
        <v>10</v>
      </c>
      <c r="F610">
        <v>1.6491228070175401</v>
      </c>
      <c r="G610" s="2">
        <v>40</v>
      </c>
    </row>
    <row r="611" spans="1:7" x14ac:dyDescent="0.3">
      <c r="A611" t="s">
        <v>45</v>
      </c>
      <c r="B611" s="2">
        <v>21</v>
      </c>
      <c r="C611" s="2" t="s">
        <v>8</v>
      </c>
      <c r="D611" s="2">
        <v>100</v>
      </c>
      <c r="E611" s="2" t="s">
        <v>10</v>
      </c>
      <c r="F611">
        <v>2</v>
      </c>
      <c r="G611" s="2">
        <v>40</v>
      </c>
    </row>
    <row r="612" spans="1:7" x14ac:dyDescent="0.3">
      <c r="A612" t="s">
        <v>45</v>
      </c>
      <c r="B612" s="2">
        <v>21</v>
      </c>
      <c r="C612" s="2" t="s">
        <v>8</v>
      </c>
      <c r="D612" s="2">
        <v>200</v>
      </c>
      <c r="E612" s="2" t="s">
        <v>10</v>
      </c>
      <c r="F612">
        <v>3.2105263157894699</v>
      </c>
      <c r="G612" s="2">
        <v>40</v>
      </c>
    </row>
    <row r="613" spans="1:7" x14ac:dyDescent="0.3">
      <c r="A613" t="s">
        <v>45</v>
      </c>
      <c r="B613" s="2">
        <v>21</v>
      </c>
      <c r="C613" s="2" t="s">
        <v>8</v>
      </c>
      <c r="D613" s="2">
        <v>400</v>
      </c>
      <c r="E613" s="2" t="s">
        <v>10</v>
      </c>
      <c r="F613">
        <v>3.7192982456140302</v>
      </c>
      <c r="G613" s="2">
        <v>40</v>
      </c>
    </row>
    <row r="614" spans="1:7" x14ac:dyDescent="0.3">
      <c r="A614" t="s">
        <v>45</v>
      </c>
      <c r="B614" s="2">
        <v>21</v>
      </c>
      <c r="C614" s="2" t="s">
        <v>8</v>
      </c>
      <c r="D614" s="2">
        <v>10</v>
      </c>
      <c r="E614" s="2" t="s">
        <v>10</v>
      </c>
      <c r="F614">
        <v>1.5542857142857101</v>
      </c>
      <c r="G614" s="2">
        <v>40</v>
      </c>
    </row>
    <row r="615" spans="1:7" x14ac:dyDescent="0.3">
      <c r="A615" t="s">
        <v>45</v>
      </c>
      <c r="B615" s="2">
        <v>21</v>
      </c>
      <c r="C615" s="2" t="s">
        <v>8</v>
      </c>
      <c r="D615" s="2">
        <v>50</v>
      </c>
      <c r="E615" s="2" t="s">
        <v>10</v>
      </c>
      <c r="F615">
        <v>1.6628571428571399</v>
      </c>
      <c r="G615" s="2">
        <v>40</v>
      </c>
    </row>
    <row r="616" spans="1:7" x14ac:dyDescent="0.3">
      <c r="A616" t="s">
        <v>45</v>
      </c>
      <c r="B616" s="2">
        <v>21</v>
      </c>
      <c r="C616" s="2" t="s">
        <v>8</v>
      </c>
      <c r="D616" s="2">
        <v>100</v>
      </c>
      <c r="E616" s="2" t="s">
        <v>10</v>
      </c>
      <c r="F616">
        <v>1.8514285714285701</v>
      </c>
      <c r="G616" s="2">
        <v>40</v>
      </c>
    </row>
    <row r="617" spans="1:7" x14ac:dyDescent="0.3">
      <c r="A617" t="s">
        <v>45</v>
      </c>
      <c r="B617" s="2">
        <v>21</v>
      </c>
      <c r="C617" s="2" t="s">
        <v>8</v>
      </c>
      <c r="D617" s="2">
        <v>200</v>
      </c>
      <c r="E617" s="2" t="s">
        <v>10</v>
      </c>
      <c r="F617">
        <v>1.45142857142857</v>
      </c>
      <c r="G617" s="2">
        <v>40</v>
      </c>
    </row>
    <row r="618" spans="1:7" x14ac:dyDescent="0.3">
      <c r="A618" t="s">
        <v>45</v>
      </c>
      <c r="B618" s="2">
        <v>21</v>
      </c>
      <c r="C618" s="2" t="s">
        <v>8</v>
      </c>
      <c r="D618" s="2">
        <v>400</v>
      </c>
      <c r="E618" s="2" t="s">
        <v>10</v>
      </c>
      <c r="F618">
        <v>1.26857142857142</v>
      </c>
      <c r="G618" s="2">
        <v>40</v>
      </c>
    </row>
    <row r="619" spans="1:7" x14ac:dyDescent="0.3">
      <c r="A619" t="s">
        <v>45</v>
      </c>
      <c r="B619" s="2">
        <v>21</v>
      </c>
      <c r="C619" s="2" t="s">
        <v>8</v>
      </c>
      <c r="D619" s="2">
        <v>10</v>
      </c>
      <c r="E619" s="2" t="s">
        <v>10</v>
      </c>
      <c r="F619">
        <v>2.71428571428571</v>
      </c>
      <c r="G619" s="2">
        <v>40</v>
      </c>
    </row>
    <row r="620" spans="1:7" x14ac:dyDescent="0.3">
      <c r="A620" t="s">
        <v>45</v>
      </c>
      <c r="B620" s="2">
        <v>21</v>
      </c>
      <c r="C620" s="2" t="s">
        <v>8</v>
      </c>
      <c r="D620" s="2">
        <v>50</v>
      </c>
      <c r="E620" s="2" t="s">
        <v>10</v>
      </c>
      <c r="F620">
        <v>3.21428571428571</v>
      </c>
      <c r="G620" s="2">
        <v>40</v>
      </c>
    </row>
    <row r="621" spans="1:7" x14ac:dyDescent="0.3">
      <c r="A621" t="s">
        <v>45</v>
      </c>
      <c r="B621" s="2">
        <v>21</v>
      </c>
      <c r="C621" s="2" t="s">
        <v>8</v>
      </c>
      <c r="D621" s="2">
        <v>100</v>
      </c>
      <c r="E621" s="2" t="s">
        <v>10</v>
      </c>
      <c r="F621">
        <v>3.8214285714285698</v>
      </c>
      <c r="G621" s="2">
        <v>40</v>
      </c>
    </row>
    <row r="622" spans="1:7" x14ac:dyDescent="0.3">
      <c r="A622" t="s">
        <v>45</v>
      </c>
      <c r="B622" s="2">
        <v>21</v>
      </c>
      <c r="C622" s="2" t="s">
        <v>8</v>
      </c>
      <c r="D622" s="2">
        <v>200</v>
      </c>
      <c r="E622" s="2" t="s">
        <v>10</v>
      </c>
      <c r="F622">
        <v>6.8214285714285703</v>
      </c>
      <c r="G622" s="2">
        <v>40</v>
      </c>
    </row>
    <row r="623" spans="1:7" s="1" customFormat="1" ht="13.9" thickBot="1" x14ac:dyDescent="0.35">
      <c r="A623" s="1" t="s">
        <v>45</v>
      </c>
      <c r="B623" s="3">
        <v>21</v>
      </c>
      <c r="C623" s="3" t="s">
        <v>8</v>
      </c>
      <c r="D623" s="3">
        <v>400</v>
      </c>
      <c r="E623" s="3" t="s">
        <v>10</v>
      </c>
      <c r="F623" s="1">
        <v>7.8928571428571397</v>
      </c>
      <c r="G623" s="3">
        <v>40</v>
      </c>
    </row>
    <row r="624" spans="1:7" x14ac:dyDescent="0.3">
      <c r="A624" s="2" t="s">
        <v>46</v>
      </c>
      <c r="B624" s="2">
        <v>5</v>
      </c>
      <c r="C624" s="2" t="s">
        <v>11</v>
      </c>
      <c r="D624" s="2">
        <v>370</v>
      </c>
      <c r="E624" s="2" t="s">
        <v>12</v>
      </c>
      <c r="F624">
        <f>0.7</f>
        <v>0.7</v>
      </c>
      <c r="G624" s="2">
        <v>41</v>
      </c>
    </row>
    <row r="625" spans="1:7" x14ac:dyDescent="0.3">
      <c r="A625" s="2" t="s">
        <v>46</v>
      </c>
      <c r="B625" s="2">
        <v>5</v>
      </c>
      <c r="C625" s="2" t="s">
        <v>11</v>
      </c>
      <c r="D625" s="2">
        <v>880</v>
      </c>
      <c r="E625" s="2" t="s">
        <v>12</v>
      </c>
      <c r="F625">
        <f>1-0.404</f>
        <v>0.59599999999999997</v>
      </c>
      <c r="G625" s="2">
        <v>41</v>
      </c>
    </row>
    <row r="626" spans="1:7" x14ac:dyDescent="0.3">
      <c r="A626" s="2" t="s">
        <v>46</v>
      </c>
      <c r="B626" s="2">
        <v>5</v>
      </c>
      <c r="C626" s="2" t="s">
        <v>11</v>
      </c>
      <c r="D626" s="2">
        <v>1760</v>
      </c>
      <c r="E626" s="2" t="s">
        <v>12</v>
      </c>
      <c r="F626">
        <f>1-0.49</f>
        <v>0.51</v>
      </c>
      <c r="G626" s="2">
        <v>41</v>
      </c>
    </row>
    <row r="627" spans="1:7" x14ac:dyDescent="0.3">
      <c r="A627" s="2" t="s">
        <v>46</v>
      </c>
      <c r="B627" s="2">
        <v>5</v>
      </c>
      <c r="C627" s="2" t="s">
        <v>11</v>
      </c>
      <c r="D627" s="2">
        <v>3520</v>
      </c>
      <c r="E627" s="2" t="s">
        <v>12</v>
      </c>
      <c r="F627">
        <f>1-0.556</f>
        <v>0.44399999999999995</v>
      </c>
      <c r="G627" s="2">
        <v>41</v>
      </c>
    </row>
    <row r="628" spans="1:7" x14ac:dyDescent="0.3">
      <c r="A628" s="2" t="s">
        <v>46</v>
      </c>
      <c r="B628" s="2">
        <v>5</v>
      </c>
      <c r="C628" s="2" t="s">
        <v>11</v>
      </c>
      <c r="D628" s="2">
        <v>7040</v>
      </c>
      <c r="E628" s="2" t="s">
        <v>12</v>
      </c>
      <c r="F628">
        <f>1-0.634</f>
        <v>0.36599999999999999</v>
      </c>
      <c r="G628" s="2">
        <v>41</v>
      </c>
    </row>
    <row r="629" spans="1:7" x14ac:dyDescent="0.3">
      <c r="A629" s="2" t="s">
        <v>46</v>
      </c>
      <c r="B629" s="2">
        <v>5</v>
      </c>
      <c r="C629" s="2" t="s">
        <v>11</v>
      </c>
      <c r="D629" s="2">
        <v>8800</v>
      </c>
      <c r="E629" s="2" t="s">
        <v>12</v>
      </c>
      <c r="F629">
        <f>1-0.64</f>
        <v>0.36</v>
      </c>
      <c r="G629" s="2">
        <v>41</v>
      </c>
    </row>
    <row r="630" spans="1:7" x14ac:dyDescent="0.3">
      <c r="A630" s="2" t="s">
        <v>47</v>
      </c>
      <c r="B630" s="2">
        <v>5</v>
      </c>
      <c r="C630" s="2" t="s">
        <v>11</v>
      </c>
      <c r="D630" s="2">
        <v>370</v>
      </c>
      <c r="E630" s="2" t="s">
        <v>12</v>
      </c>
      <c r="F630">
        <f>1-0.355</f>
        <v>0.64500000000000002</v>
      </c>
      <c r="G630" s="2">
        <v>41</v>
      </c>
    </row>
    <row r="631" spans="1:7" x14ac:dyDescent="0.3">
      <c r="A631" s="2" t="s">
        <v>47</v>
      </c>
      <c r="B631" s="2">
        <v>5</v>
      </c>
      <c r="C631" s="2" t="s">
        <v>11</v>
      </c>
      <c r="D631" s="2">
        <v>880</v>
      </c>
      <c r="E631" s="2" t="s">
        <v>12</v>
      </c>
      <c r="F631">
        <f>1-0.43</f>
        <v>0.57000000000000006</v>
      </c>
      <c r="G631" s="2">
        <v>41</v>
      </c>
    </row>
    <row r="632" spans="1:7" x14ac:dyDescent="0.3">
      <c r="A632" s="2" t="s">
        <v>47</v>
      </c>
      <c r="B632" s="2">
        <v>5</v>
      </c>
      <c r="C632" s="2" t="s">
        <v>11</v>
      </c>
      <c r="D632" s="2">
        <v>1760</v>
      </c>
      <c r="E632" s="2" t="s">
        <v>12</v>
      </c>
      <c r="F632">
        <f>1-0.53</f>
        <v>0.47</v>
      </c>
      <c r="G632" s="2">
        <v>41</v>
      </c>
    </row>
    <row r="633" spans="1:7" x14ac:dyDescent="0.3">
      <c r="A633" s="2" t="s">
        <v>47</v>
      </c>
      <c r="B633" s="2">
        <v>5</v>
      </c>
      <c r="C633" s="2" t="s">
        <v>11</v>
      </c>
      <c r="D633" s="2">
        <v>3520</v>
      </c>
      <c r="E633" s="2" t="s">
        <v>12</v>
      </c>
      <c r="F633">
        <f>1-0.588</f>
        <v>0.41200000000000003</v>
      </c>
      <c r="G633" s="2">
        <v>41</v>
      </c>
    </row>
    <row r="634" spans="1:7" x14ac:dyDescent="0.3">
      <c r="A634" s="2" t="s">
        <v>47</v>
      </c>
      <c r="B634" s="2">
        <v>5</v>
      </c>
      <c r="C634" s="2" t="s">
        <v>11</v>
      </c>
      <c r="D634" s="2">
        <v>7040</v>
      </c>
      <c r="E634" s="2" t="s">
        <v>12</v>
      </c>
      <c r="F634">
        <f>1-0.71</f>
        <v>0.29000000000000004</v>
      </c>
      <c r="G634" s="2">
        <v>41</v>
      </c>
    </row>
    <row r="635" spans="1:7" x14ac:dyDescent="0.3">
      <c r="A635" s="2" t="s">
        <v>47</v>
      </c>
      <c r="B635" s="2">
        <v>5</v>
      </c>
      <c r="C635" s="2" t="s">
        <v>11</v>
      </c>
      <c r="D635" s="2">
        <v>8800</v>
      </c>
      <c r="E635" s="2" t="s">
        <v>12</v>
      </c>
      <c r="F635">
        <f>1-0.6999</f>
        <v>0.30010000000000003</v>
      </c>
      <c r="G635" s="2">
        <v>41</v>
      </c>
    </row>
    <row r="636" spans="1:7" x14ac:dyDescent="0.3">
      <c r="A636" s="2" t="s">
        <v>46</v>
      </c>
      <c r="B636" s="2">
        <v>5</v>
      </c>
      <c r="C636" s="2" t="s">
        <v>8</v>
      </c>
      <c r="D636" s="2">
        <v>370</v>
      </c>
      <c r="E636" s="2" t="s">
        <v>12</v>
      </c>
      <c r="F636">
        <f>1-0.21</f>
        <v>0.79</v>
      </c>
      <c r="G636" s="2">
        <v>41</v>
      </c>
    </row>
    <row r="637" spans="1:7" x14ac:dyDescent="0.3">
      <c r="A637" s="2" t="s">
        <v>46</v>
      </c>
      <c r="B637" s="2">
        <v>5</v>
      </c>
      <c r="C637" s="2" t="s">
        <v>8</v>
      </c>
      <c r="D637" s="2">
        <v>880</v>
      </c>
      <c r="E637" s="2" t="s">
        <v>12</v>
      </c>
      <c r="F637">
        <f>1-0.27</f>
        <v>0.73</v>
      </c>
      <c r="G637" s="2">
        <v>41</v>
      </c>
    </row>
    <row r="638" spans="1:7" x14ac:dyDescent="0.3">
      <c r="A638" s="2" t="s">
        <v>46</v>
      </c>
      <c r="B638" s="2">
        <v>5</v>
      </c>
      <c r="C638" s="2" t="s">
        <v>8</v>
      </c>
      <c r="D638" s="2">
        <v>1760</v>
      </c>
      <c r="E638" s="2" t="s">
        <v>12</v>
      </c>
      <c r="F638">
        <f>1-0.4</f>
        <v>0.6</v>
      </c>
      <c r="G638" s="2">
        <v>41</v>
      </c>
    </row>
    <row r="639" spans="1:7" x14ac:dyDescent="0.3">
      <c r="A639" s="2" t="s">
        <v>46</v>
      </c>
      <c r="B639" s="2">
        <v>5</v>
      </c>
      <c r="C639" s="2" t="s">
        <v>8</v>
      </c>
      <c r="D639" s="2">
        <v>3520</v>
      </c>
      <c r="E639" s="2" t="s">
        <v>12</v>
      </c>
      <c r="F639">
        <f>1-0.52</f>
        <v>0.48</v>
      </c>
      <c r="G639" s="2">
        <v>41</v>
      </c>
    </row>
    <row r="640" spans="1:7" x14ac:dyDescent="0.3">
      <c r="A640" s="2" t="s">
        <v>46</v>
      </c>
      <c r="B640" s="2">
        <v>5</v>
      </c>
      <c r="C640" s="2" t="s">
        <v>8</v>
      </c>
      <c r="D640" s="2">
        <v>7040</v>
      </c>
      <c r="E640" s="2" t="s">
        <v>12</v>
      </c>
      <c r="F640">
        <f>1-0.607</f>
        <v>0.39300000000000002</v>
      </c>
      <c r="G640" s="2">
        <v>41</v>
      </c>
    </row>
    <row r="641" spans="1:7" x14ac:dyDescent="0.3">
      <c r="A641" s="2" t="s">
        <v>46</v>
      </c>
      <c r="B641" s="2">
        <v>5</v>
      </c>
      <c r="C641" s="2" t="s">
        <v>8</v>
      </c>
      <c r="D641" s="2">
        <v>8800</v>
      </c>
      <c r="E641" s="2" t="s">
        <v>12</v>
      </c>
      <c r="F641">
        <f>1-0.6</f>
        <v>0.4</v>
      </c>
      <c r="G641" s="2">
        <v>41</v>
      </c>
    </row>
    <row r="642" spans="1:7" x14ac:dyDescent="0.3">
      <c r="A642" s="2" t="s">
        <v>47</v>
      </c>
      <c r="B642" s="2">
        <v>5</v>
      </c>
      <c r="C642" s="2" t="s">
        <v>8</v>
      </c>
      <c r="D642" s="2">
        <v>370</v>
      </c>
      <c r="E642" s="2" t="s">
        <v>12</v>
      </c>
      <c r="F642">
        <f>1-0.22</f>
        <v>0.78</v>
      </c>
      <c r="G642" s="2">
        <v>41</v>
      </c>
    </row>
    <row r="643" spans="1:7" x14ac:dyDescent="0.3">
      <c r="A643" s="2" t="s">
        <v>47</v>
      </c>
      <c r="B643" s="2">
        <v>5</v>
      </c>
      <c r="C643" s="2" t="s">
        <v>8</v>
      </c>
      <c r="D643" s="2">
        <v>880</v>
      </c>
      <c r="E643" s="2" t="s">
        <v>12</v>
      </c>
      <c r="F643">
        <f>1-0.31</f>
        <v>0.69</v>
      </c>
      <c r="G643" s="2">
        <v>41</v>
      </c>
    </row>
    <row r="644" spans="1:7" x14ac:dyDescent="0.3">
      <c r="A644" s="2" t="s">
        <v>47</v>
      </c>
      <c r="B644" s="2">
        <v>5</v>
      </c>
      <c r="C644" s="2" t="s">
        <v>8</v>
      </c>
      <c r="D644" s="2">
        <v>1760</v>
      </c>
      <c r="E644" s="2" t="s">
        <v>12</v>
      </c>
      <c r="F644">
        <f>1-0.455</f>
        <v>0.54499999999999993</v>
      </c>
      <c r="G644" s="2">
        <v>41</v>
      </c>
    </row>
    <row r="645" spans="1:7" x14ac:dyDescent="0.3">
      <c r="A645" s="2" t="s">
        <v>47</v>
      </c>
      <c r="B645" s="2">
        <v>5</v>
      </c>
      <c r="C645" s="2" t="s">
        <v>8</v>
      </c>
      <c r="D645" s="2">
        <v>3520</v>
      </c>
      <c r="E645" s="2" t="s">
        <v>12</v>
      </c>
      <c r="F645">
        <f>1-0.512</f>
        <v>0.48799999999999999</v>
      </c>
      <c r="G645" s="2">
        <v>41</v>
      </c>
    </row>
    <row r="646" spans="1:7" x14ac:dyDescent="0.3">
      <c r="A646" s="2" t="s">
        <v>47</v>
      </c>
      <c r="B646" s="2">
        <v>5</v>
      </c>
      <c r="C646" s="2" t="s">
        <v>8</v>
      </c>
      <c r="D646" s="2">
        <v>7040</v>
      </c>
      <c r="E646" s="2" t="s">
        <v>12</v>
      </c>
      <c r="F646">
        <f>1-0.629</f>
        <v>0.371</v>
      </c>
      <c r="G646" s="2">
        <v>41</v>
      </c>
    </row>
    <row r="647" spans="1:7" x14ac:dyDescent="0.3">
      <c r="A647" s="2" t="s">
        <v>47</v>
      </c>
      <c r="B647" s="2">
        <v>5</v>
      </c>
      <c r="C647" s="2" t="s">
        <v>8</v>
      </c>
      <c r="D647" s="2">
        <v>8800</v>
      </c>
      <c r="E647" s="2" t="s">
        <v>12</v>
      </c>
      <c r="F647">
        <f>1-0.634</f>
        <v>0.36599999999999999</v>
      </c>
      <c r="G647" s="2">
        <v>41</v>
      </c>
    </row>
    <row r="648" spans="1:7" x14ac:dyDescent="0.3">
      <c r="A648" s="2" t="s">
        <v>46</v>
      </c>
      <c r="B648" s="2">
        <v>5</v>
      </c>
      <c r="C648" s="2" t="s">
        <v>11</v>
      </c>
      <c r="D648" s="2">
        <v>370</v>
      </c>
      <c r="E648" s="2" t="s">
        <v>10</v>
      </c>
      <c r="F648">
        <v>0.879120879120879</v>
      </c>
      <c r="G648" s="2">
        <v>41</v>
      </c>
    </row>
    <row r="649" spans="1:7" x14ac:dyDescent="0.3">
      <c r="A649" s="2" t="s">
        <v>46</v>
      </c>
      <c r="B649" s="2">
        <v>5</v>
      </c>
      <c r="C649" s="2" t="s">
        <v>11</v>
      </c>
      <c r="D649" s="2">
        <v>880</v>
      </c>
      <c r="E649" s="2" t="s">
        <v>10</v>
      </c>
      <c r="F649">
        <v>0.75824175824175799</v>
      </c>
      <c r="G649" s="2">
        <v>41</v>
      </c>
    </row>
    <row r="650" spans="1:7" x14ac:dyDescent="0.3">
      <c r="A650" s="2" t="s">
        <v>46</v>
      </c>
      <c r="B650" s="2">
        <v>5</v>
      </c>
      <c r="C650" s="2" t="s">
        <v>11</v>
      </c>
      <c r="D650" s="2">
        <v>1760</v>
      </c>
      <c r="E650" s="2" t="s">
        <v>10</v>
      </c>
      <c r="F650">
        <v>0.633699633699633</v>
      </c>
      <c r="G650" s="2">
        <v>41</v>
      </c>
    </row>
    <row r="651" spans="1:7" x14ac:dyDescent="0.3">
      <c r="A651" s="2" t="s">
        <v>47</v>
      </c>
      <c r="B651" s="2">
        <v>5</v>
      </c>
      <c r="C651" s="2" t="s">
        <v>11</v>
      </c>
      <c r="D651" s="2">
        <v>3520</v>
      </c>
      <c r="E651" s="2" t="s">
        <v>10</v>
      </c>
      <c r="F651">
        <v>0.69230769230769196</v>
      </c>
      <c r="G651" s="2">
        <v>41</v>
      </c>
    </row>
    <row r="652" spans="1:7" x14ac:dyDescent="0.3">
      <c r="A652" s="2" t="s">
        <v>47</v>
      </c>
      <c r="B652" s="2">
        <v>5</v>
      </c>
      <c r="C652" s="2" t="s">
        <v>11</v>
      </c>
      <c r="D652" s="2">
        <v>7040</v>
      </c>
      <c r="E652" s="2" t="s">
        <v>10</v>
      </c>
      <c r="F652">
        <v>0.67399267399267404</v>
      </c>
      <c r="G652" s="2">
        <v>41</v>
      </c>
    </row>
    <row r="653" spans="1:7" x14ac:dyDescent="0.3">
      <c r="A653" s="2" t="s">
        <v>47</v>
      </c>
      <c r="B653" s="2">
        <v>5</v>
      </c>
      <c r="C653" s="2" t="s">
        <v>11</v>
      </c>
      <c r="D653" s="2">
        <v>8800</v>
      </c>
      <c r="E653" s="2" t="s">
        <v>10</v>
      </c>
      <c r="F653">
        <v>0.46886446886446798</v>
      </c>
      <c r="G653" s="2">
        <v>41</v>
      </c>
    </row>
    <row r="654" spans="1:7" x14ac:dyDescent="0.3">
      <c r="A654" s="2" t="s">
        <v>46</v>
      </c>
      <c r="B654" s="2">
        <v>5</v>
      </c>
      <c r="C654" s="2" t="s">
        <v>11</v>
      </c>
      <c r="D654" s="2">
        <v>370</v>
      </c>
      <c r="E654" s="2" t="s">
        <v>10</v>
      </c>
      <c r="F654">
        <v>1.15384615384615</v>
      </c>
      <c r="G654" s="2">
        <v>41</v>
      </c>
    </row>
    <row r="655" spans="1:7" x14ac:dyDescent="0.3">
      <c r="A655" s="2" t="s">
        <v>46</v>
      </c>
      <c r="B655" s="2">
        <v>5</v>
      </c>
      <c r="C655" s="2" t="s">
        <v>11</v>
      </c>
      <c r="D655" s="2">
        <v>880</v>
      </c>
      <c r="E655" s="2" t="s">
        <v>10</v>
      </c>
      <c r="F655">
        <v>1.08502024291497</v>
      </c>
      <c r="G655" s="2">
        <v>41</v>
      </c>
    </row>
    <row r="656" spans="1:7" x14ac:dyDescent="0.3">
      <c r="A656" s="2" t="s">
        <v>46</v>
      </c>
      <c r="B656" s="2">
        <v>5</v>
      </c>
      <c r="C656" s="2" t="s">
        <v>11</v>
      </c>
      <c r="D656" s="2">
        <v>1760</v>
      </c>
      <c r="E656" s="2" t="s">
        <v>10</v>
      </c>
      <c r="F656">
        <v>0.97975708502024295</v>
      </c>
      <c r="G656" s="2">
        <v>41</v>
      </c>
    </row>
    <row r="657" spans="1:7" x14ac:dyDescent="0.3">
      <c r="A657" s="2" t="s">
        <v>47</v>
      </c>
      <c r="B657" s="2">
        <v>5</v>
      </c>
      <c r="C657" s="2" t="s">
        <v>11</v>
      </c>
      <c r="D657" s="2">
        <v>3520</v>
      </c>
      <c r="E657" s="2" t="s">
        <v>10</v>
      </c>
      <c r="F657">
        <v>0.97570850202429105</v>
      </c>
      <c r="G657" s="2">
        <v>41</v>
      </c>
    </row>
    <row r="658" spans="1:7" x14ac:dyDescent="0.3">
      <c r="A658" s="2" t="s">
        <v>47</v>
      </c>
      <c r="B658" s="2">
        <v>5</v>
      </c>
      <c r="C658" s="2" t="s">
        <v>11</v>
      </c>
      <c r="D658" s="2">
        <v>7040</v>
      </c>
      <c r="E658" s="2" t="s">
        <v>10</v>
      </c>
      <c r="F658">
        <v>0.96761133603238803</v>
      </c>
      <c r="G658" s="2">
        <v>41</v>
      </c>
    </row>
    <row r="659" spans="1:7" x14ac:dyDescent="0.3">
      <c r="A659" s="2" t="s">
        <v>47</v>
      </c>
      <c r="B659" s="2">
        <v>5</v>
      </c>
      <c r="C659" s="2" t="s">
        <v>11</v>
      </c>
      <c r="D659" s="2">
        <v>8800</v>
      </c>
      <c r="E659" s="2" t="s">
        <v>10</v>
      </c>
      <c r="F659">
        <v>0.91902834008097101</v>
      </c>
      <c r="G659" s="2">
        <v>41</v>
      </c>
    </row>
    <row r="660" spans="1:7" x14ac:dyDescent="0.3">
      <c r="A660" s="2" t="s">
        <v>46</v>
      </c>
      <c r="B660" s="2">
        <v>5</v>
      </c>
      <c r="C660" s="2" t="s">
        <v>11</v>
      </c>
      <c r="D660" s="2">
        <v>370</v>
      </c>
      <c r="E660" s="2" t="s">
        <v>10</v>
      </c>
      <c r="F660">
        <v>0.97535211267605604</v>
      </c>
      <c r="G660" s="2">
        <v>41</v>
      </c>
    </row>
    <row r="661" spans="1:7" x14ac:dyDescent="0.3">
      <c r="A661" s="2" t="s">
        <v>46</v>
      </c>
      <c r="B661" s="2">
        <v>5</v>
      </c>
      <c r="C661" s="2" t="s">
        <v>11</v>
      </c>
      <c r="D661" s="2">
        <v>880</v>
      </c>
      <c r="E661" s="2" t="s">
        <v>10</v>
      </c>
      <c r="F661">
        <v>0.74295774647887303</v>
      </c>
      <c r="G661" s="2">
        <v>41</v>
      </c>
    </row>
    <row r="662" spans="1:7" x14ac:dyDescent="0.3">
      <c r="A662" s="2" t="s">
        <v>46</v>
      </c>
      <c r="B662" s="2">
        <v>5</v>
      </c>
      <c r="C662" s="2" t="s">
        <v>11</v>
      </c>
      <c r="D662" s="2">
        <v>1760</v>
      </c>
      <c r="E662" s="2" t="s">
        <v>10</v>
      </c>
      <c r="F662">
        <v>0.69366197183098499</v>
      </c>
      <c r="G662" s="2">
        <v>41</v>
      </c>
    </row>
    <row r="663" spans="1:7" x14ac:dyDescent="0.3">
      <c r="A663" s="2" t="s">
        <v>47</v>
      </c>
      <c r="B663" s="2">
        <v>5</v>
      </c>
      <c r="C663" s="2" t="s">
        <v>11</v>
      </c>
      <c r="D663" s="2">
        <v>3520</v>
      </c>
      <c r="E663" s="2" t="s">
        <v>10</v>
      </c>
      <c r="F663">
        <v>0.84507042253521103</v>
      </c>
      <c r="G663" s="2">
        <v>41</v>
      </c>
    </row>
    <row r="664" spans="1:7" x14ac:dyDescent="0.3">
      <c r="A664" s="2" t="s">
        <v>47</v>
      </c>
      <c r="B664" s="2">
        <v>5</v>
      </c>
      <c r="C664" s="2" t="s">
        <v>11</v>
      </c>
      <c r="D664" s="2">
        <v>7040</v>
      </c>
      <c r="E664" s="2" t="s">
        <v>10</v>
      </c>
      <c r="F664">
        <v>0.67957746478873204</v>
      </c>
      <c r="G664" s="2">
        <v>41</v>
      </c>
    </row>
    <row r="665" spans="1:7" s="1" customFormat="1" ht="13.9" thickBot="1" x14ac:dyDescent="0.35">
      <c r="A665" s="3" t="s">
        <v>47</v>
      </c>
      <c r="B665" s="3">
        <v>5</v>
      </c>
      <c r="C665" s="3" t="s">
        <v>11</v>
      </c>
      <c r="D665" s="2">
        <v>8800</v>
      </c>
      <c r="E665" s="3" t="s">
        <v>10</v>
      </c>
      <c r="F665" s="1">
        <v>0.50704225352112597</v>
      </c>
      <c r="G665" s="3">
        <v>41</v>
      </c>
    </row>
    <row r="666" spans="1:7" x14ac:dyDescent="0.3">
      <c r="A666" t="s">
        <v>65</v>
      </c>
      <c r="B666">
        <v>10</v>
      </c>
      <c r="C666" t="s">
        <v>11</v>
      </c>
      <c r="D666">
        <v>400</v>
      </c>
      <c r="E666" t="s">
        <v>12</v>
      </c>
      <c r="F666">
        <v>0.66800000000000004</v>
      </c>
      <c r="G666">
        <v>1</v>
      </c>
    </row>
    <row r="667" spans="1:7" x14ac:dyDescent="0.3">
      <c r="A667" t="s">
        <v>65</v>
      </c>
      <c r="B667">
        <v>10</v>
      </c>
      <c r="C667" t="s">
        <v>11</v>
      </c>
      <c r="D667">
        <v>400</v>
      </c>
      <c r="E667" t="s">
        <v>12</v>
      </c>
      <c r="F667">
        <v>0.38800000000000001</v>
      </c>
      <c r="G667">
        <v>1</v>
      </c>
    </row>
    <row r="668" spans="1:7" x14ac:dyDescent="0.3">
      <c r="A668" t="s">
        <v>65</v>
      </c>
      <c r="B668">
        <v>10</v>
      </c>
      <c r="C668" t="s">
        <v>8</v>
      </c>
      <c r="D668">
        <v>400</v>
      </c>
      <c r="E668" t="s">
        <v>12</v>
      </c>
      <c r="F668">
        <v>0.53700000000000003</v>
      </c>
      <c r="G668">
        <v>1</v>
      </c>
    </row>
    <row r="669" spans="1:7" x14ac:dyDescent="0.3">
      <c r="A669" t="s">
        <v>65</v>
      </c>
      <c r="B669">
        <v>10</v>
      </c>
      <c r="C669" t="s">
        <v>8</v>
      </c>
      <c r="D669">
        <v>400</v>
      </c>
      <c r="E669" t="s">
        <v>12</v>
      </c>
      <c r="F669">
        <v>0.36699999999999999</v>
      </c>
      <c r="G669">
        <v>1</v>
      </c>
    </row>
    <row r="670" spans="1:7" x14ac:dyDescent="0.3">
      <c r="A670" t="s">
        <v>65</v>
      </c>
      <c r="B670">
        <v>10</v>
      </c>
      <c r="C670" t="s">
        <v>11</v>
      </c>
      <c r="D670">
        <v>400</v>
      </c>
      <c r="E670" t="s">
        <v>10</v>
      </c>
      <c r="F670">
        <v>1.7</v>
      </c>
      <c r="G670">
        <v>1</v>
      </c>
    </row>
    <row r="671" spans="1:7" x14ac:dyDescent="0.3">
      <c r="A671" t="s">
        <v>65</v>
      </c>
      <c r="B671">
        <v>10</v>
      </c>
      <c r="C671" t="s">
        <v>11</v>
      </c>
      <c r="D671">
        <v>400</v>
      </c>
      <c r="E671" t="s">
        <v>10</v>
      </c>
      <c r="F671">
        <v>5.9</v>
      </c>
      <c r="G671">
        <v>1</v>
      </c>
    </row>
    <row r="672" spans="1:7" x14ac:dyDescent="0.3">
      <c r="A672" t="s">
        <v>65</v>
      </c>
      <c r="B672">
        <v>10</v>
      </c>
      <c r="C672" t="s">
        <v>8</v>
      </c>
      <c r="D672">
        <v>400</v>
      </c>
      <c r="E672" t="s">
        <v>10</v>
      </c>
      <c r="F672">
        <v>2.59</v>
      </c>
      <c r="G672">
        <v>1</v>
      </c>
    </row>
    <row r="673" spans="1:7" x14ac:dyDescent="0.3">
      <c r="A673" t="s">
        <v>65</v>
      </c>
      <c r="B673">
        <v>10</v>
      </c>
      <c r="C673" t="s">
        <v>8</v>
      </c>
      <c r="D673">
        <v>400</v>
      </c>
      <c r="E673" t="s">
        <v>10</v>
      </c>
      <c r="F673">
        <v>4.08</v>
      </c>
      <c r="G673">
        <v>1</v>
      </c>
    </row>
    <row r="674" spans="1:7" x14ac:dyDescent="0.3">
      <c r="A674" t="s">
        <v>65</v>
      </c>
      <c r="B674">
        <v>2</v>
      </c>
      <c r="C674" t="s">
        <v>11</v>
      </c>
      <c r="D674">
        <v>400</v>
      </c>
      <c r="E674" t="s">
        <v>10</v>
      </c>
      <c r="F674">
        <v>1.33</v>
      </c>
      <c r="G674">
        <v>2</v>
      </c>
    </row>
    <row r="675" spans="1:7" x14ac:dyDescent="0.3">
      <c r="A675" t="s">
        <v>65</v>
      </c>
      <c r="B675">
        <v>2</v>
      </c>
      <c r="C675" t="s">
        <v>8</v>
      </c>
      <c r="D675">
        <v>400</v>
      </c>
      <c r="E675" t="s">
        <v>10</v>
      </c>
      <c r="F675">
        <v>1.33</v>
      </c>
      <c r="G675">
        <v>2</v>
      </c>
    </row>
    <row r="676" spans="1:7" x14ac:dyDescent="0.3">
      <c r="A676" t="s">
        <v>65</v>
      </c>
      <c r="B676">
        <v>4</v>
      </c>
      <c r="C676" t="s">
        <v>11</v>
      </c>
      <c r="D676">
        <v>400</v>
      </c>
      <c r="E676" t="s">
        <v>10</v>
      </c>
      <c r="F676">
        <v>1.38</v>
      </c>
      <c r="G676">
        <v>2</v>
      </c>
    </row>
    <row r="677" spans="1:7" x14ac:dyDescent="0.3">
      <c r="A677" t="s">
        <v>65</v>
      </c>
      <c r="B677">
        <v>4</v>
      </c>
      <c r="C677" t="s">
        <v>8</v>
      </c>
      <c r="D677">
        <v>400</v>
      </c>
      <c r="E677" t="s">
        <v>10</v>
      </c>
      <c r="F677">
        <v>2.08</v>
      </c>
      <c r="G677">
        <v>2</v>
      </c>
    </row>
    <row r="678" spans="1:7" x14ac:dyDescent="0.3">
      <c r="A678" t="s">
        <v>65</v>
      </c>
      <c r="B678">
        <v>6</v>
      </c>
      <c r="C678" t="s">
        <v>11</v>
      </c>
      <c r="D678">
        <v>400</v>
      </c>
      <c r="E678" t="s">
        <v>10</v>
      </c>
      <c r="F678">
        <v>2.68</v>
      </c>
      <c r="G678">
        <v>2</v>
      </c>
    </row>
    <row r="679" spans="1:7" x14ac:dyDescent="0.3">
      <c r="A679" t="s">
        <v>65</v>
      </c>
      <c r="B679">
        <v>6</v>
      </c>
      <c r="C679" t="s">
        <v>8</v>
      </c>
      <c r="D679">
        <v>400</v>
      </c>
      <c r="E679" t="s">
        <v>10</v>
      </c>
      <c r="F679">
        <v>2.08</v>
      </c>
      <c r="G679">
        <v>2</v>
      </c>
    </row>
    <row r="680" spans="1:7" x14ac:dyDescent="0.3">
      <c r="A680" t="s">
        <v>66</v>
      </c>
      <c r="B680">
        <v>4</v>
      </c>
      <c r="C680" t="s">
        <v>8</v>
      </c>
      <c r="D680">
        <v>10</v>
      </c>
      <c r="E680" t="s">
        <v>10</v>
      </c>
      <c r="F680">
        <v>0.99707000000000001</v>
      </c>
      <c r="G680">
        <v>3</v>
      </c>
    </row>
    <row r="681" spans="1:7" x14ac:dyDescent="0.3">
      <c r="A681" t="s">
        <v>66</v>
      </c>
      <c r="B681">
        <v>4</v>
      </c>
      <c r="C681" t="s">
        <v>8</v>
      </c>
      <c r="D681">
        <v>10</v>
      </c>
      <c r="E681" t="s">
        <v>10</v>
      </c>
      <c r="F681">
        <v>2.47953</v>
      </c>
      <c r="G681">
        <v>3</v>
      </c>
    </row>
    <row r="682" spans="1:7" x14ac:dyDescent="0.3">
      <c r="A682" t="s">
        <v>66</v>
      </c>
      <c r="B682">
        <v>4</v>
      </c>
      <c r="C682" t="s">
        <v>8</v>
      </c>
      <c r="D682">
        <v>10</v>
      </c>
      <c r="E682" t="s">
        <v>10</v>
      </c>
      <c r="F682">
        <v>1.3837200000000001</v>
      </c>
      <c r="G682">
        <v>3</v>
      </c>
    </row>
    <row r="683" spans="1:7" x14ac:dyDescent="0.3">
      <c r="A683" t="s">
        <v>66</v>
      </c>
      <c r="B683">
        <v>4</v>
      </c>
      <c r="C683" t="s">
        <v>8</v>
      </c>
      <c r="D683">
        <v>10</v>
      </c>
      <c r="E683" t="s">
        <v>10</v>
      </c>
      <c r="F683">
        <v>1.1974499999999999</v>
      </c>
      <c r="G683">
        <v>3</v>
      </c>
    </row>
    <row r="684" spans="1:7" x14ac:dyDescent="0.3">
      <c r="A684" t="s">
        <v>66</v>
      </c>
      <c r="B684">
        <v>4</v>
      </c>
      <c r="C684" t="s">
        <v>8</v>
      </c>
      <c r="D684">
        <v>10</v>
      </c>
      <c r="E684" t="s">
        <v>10</v>
      </c>
      <c r="F684">
        <v>1.16917</v>
      </c>
      <c r="G684">
        <v>3</v>
      </c>
    </row>
    <row r="685" spans="1:7" x14ac:dyDescent="0.3">
      <c r="A685" t="s">
        <v>66</v>
      </c>
      <c r="B685">
        <v>4</v>
      </c>
      <c r="C685" t="s">
        <v>8</v>
      </c>
      <c r="D685">
        <v>150</v>
      </c>
      <c r="E685" t="s">
        <v>10</v>
      </c>
      <c r="F685">
        <v>1.2049799999999999</v>
      </c>
      <c r="G685">
        <v>3</v>
      </c>
    </row>
    <row r="686" spans="1:7" x14ac:dyDescent="0.3">
      <c r="A686" t="s">
        <v>66</v>
      </c>
      <c r="B686">
        <v>4</v>
      </c>
      <c r="C686" t="s">
        <v>8</v>
      </c>
      <c r="D686">
        <v>150</v>
      </c>
      <c r="E686" t="s">
        <v>10</v>
      </c>
      <c r="F686">
        <v>3.6023399999999999</v>
      </c>
      <c r="G686">
        <v>3</v>
      </c>
    </row>
    <row r="687" spans="1:7" x14ac:dyDescent="0.3">
      <c r="A687" t="s">
        <v>66</v>
      </c>
      <c r="B687">
        <v>4</v>
      </c>
      <c r="C687" t="s">
        <v>8</v>
      </c>
      <c r="D687">
        <v>150</v>
      </c>
      <c r="E687" t="s">
        <v>10</v>
      </c>
      <c r="F687">
        <v>2.1162800000000002</v>
      </c>
      <c r="G687">
        <v>3</v>
      </c>
    </row>
    <row r="688" spans="1:7" x14ac:dyDescent="0.3">
      <c r="A688" t="s">
        <v>66</v>
      </c>
      <c r="B688">
        <v>4</v>
      </c>
      <c r="C688" t="s">
        <v>8</v>
      </c>
      <c r="D688">
        <v>150</v>
      </c>
      <c r="E688" t="s">
        <v>10</v>
      </c>
      <c r="F688">
        <v>1.16452</v>
      </c>
      <c r="G688">
        <v>3</v>
      </c>
    </row>
    <row r="689" spans="1:7" x14ac:dyDescent="0.3">
      <c r="A689" t="s">
        <v>66</v>
      </c>
      <c r="B689">
        <v>4</v>
      </c>
      <c r="C689" t="s">
        <v>8</v>
      </c>
      <c r="D689">
        <v>150</v>
      </c>
      <c r="E689" t="s">
        <v>10</v>
      </c>
      <c r="F689">
        <v>1.6384700000000001</v>
      </c>
      <c r="G689">
        <v>3</v>
      </c>
    </row>
    <row r="690" spans="1:7" x14ac:dyDescent="0.3">
      <c r="A690" t="s">
        <v>66</v>
      </c>
      <c r="B690">
        <v>4</v>
      </c>
      <c r="C690" t="s">
        <v>8</v>
      </c>
      <c r="D690">
        <v>500</v>
      </c>
      <c r="E690" t="s">
        <v>10</v>
      </c>
      <c r="F690">
        <v>1.12738</v>
      </c>
      <c r="G690">
        <v>3</v>
      </c>
    </row>
    <row r="691" spans="1:7" x14ac:dyDescent="0.3">
      <c r="A691" t="s">
        <v>66</v>
      </c>
      <c r="B691">
        <v>4</v>
      </c>
      <c r="C691" t="s">
        <v>8</v>
      </c>
      <c r="D691">
        <v>500</v>
      </c>
      <c r="E691" t="s">
        <v>10</v>
      </c>
      <c r="F691">
        <v>2.9731000000000001</v>
      </c>
      <c r="G691">
        <v>3</v>
      </c>
    </row>
    <row r="692" spans="1:7" x14ac:dyDescent="0.3">
      <c r="A692" t="s">
        <v>66</v>
      </c>
      <c r="B692">
        <v>4</v>
      </c>
      <c r="C692" t="s">
        <v>8</v>
      </c>
      <c r="D692">
        <v>500</v>
      </c>
      <c r="E692" t="s">
        <v>10</v>
      </c>
      <c r="F692">
        <v>1.9941899999999999</v>
      </c>
      <c r="G692">
        <v>3</v>
      </c>
    </row>
    <row r="693" spans="1:7" x14ac:dyDescent="0.3">
      <c r="A693" t="s">
        <v>66</v>
      </c>
      <c r="B693">
        <v>4</v>
      </c>
      <c r="C693" t="s">
        <v>8</v>
      </c>
      <c r="D693">
        <v>500</v>
      </c>
      <c r="E693" t="s">
        <v>10</v>
      </c>
      <c r="F693">
        <v>1.22071</v>
      </c>
      <c r="G693">
        <v>3</v>
      </c>
    </row>
    <row r="694" spans="1:7" x14ac:dyDescent="0.3">
      <c r="A694" t="s">
        <v>66</v>
      </c>
      <c r="B694">
        <v>4</v>
      </c>
      <c r="C694" t="s">
        <v>8</v>
      </c>
      <c r="D694">
        <v>500</v>
      </c>
      <c r="E694" t="s">
        <v>10</v>
      </c>
      <c r="F694">
        <v>1.7858099999999999</v>
      </c>
      <c r="G694">
        <v>3</v>
      </c>
    </row>
    <row r="695" spans="1:7" x14ac:dyDescent="0.3">
      <c r="A695" t="s">
        <v>66</v>
      </c>
      <c r="B695">
        <v>4</v>
      </c>
      <c r="C695" t="s">
        <v>8</v>
      </c>
      <c r="D695">
        <v>10</v>
      </c>
      <c r="E695" t="s">
        <v>9</v>
      </c>
      <c r="F695">
        <v>0.91912000000000005</v>
      </c>
      <c r="G695">
        <v>3</v>
      </c>
    </row>
    <row r="696" spans="1:7" x14ac:dyDescent="0.3">
      <c r="A696" t="s">
        <v>66</v>
      </c>
      <c r="B696">
        <v>4</v>
      </c>
      <c r="C696" t="s">
        <v>8</v>
      </c>
      <c r="D696">
        <v>10</v>
      </c>
      <c r="E696" t="s">
        <v>9</v>
      </c>
      <c r="F696">
        <v>0.47422999999999998</v>
      </c>
      <c r="G696">
        <v>3</v>
      </c>
    </row>
    <row r="697" spans="1:7" x14ac:dyDescent="0.3">
      <c r="A697" t="s">
        <v>66</v>
      </c>
      <c r="B697">
        <v>4</v>
      </c>
      <c r="C697" t="s">
        <v>8</v>
      </c>
      <c r="D697">
        <v>10</v>
      </c>
      <c r="E697" t="s">
        <v>9</v>
      </c>
      <c r="F697">
        <v>0.73390999999999995</v>
      </c>
      <c r="G697">
        <v>3</v>
      </c>
    </row>
    <row r="698" spans="1:7" x14ac:dyDescent="0.3">
      <c r="A698" t="s">
        <v>66</v>
      </c>
      <c r="B698">
        <v>4</v>
      </c>
      <c r="C698" t="s">
        <v>8</v>
      </c>
      <c r="D698">
        <v>150</v>
      </c>
      <c r="E698" t="s">
        <v>9</v>
      </c>
      <c r="F698">
        <v>0.72794000000000003</v>
      </c>
      <c r="G698">
        <v>3</v>
      </c>
    </row>
    <row r="699" spans="1:7" x14ac:dyDescent="0.3">
      <c r="A699" t="s">
        <v>66</v>
      </c>
      <c r="B699">
        <v>4</v>
      </c>
      <c r="C699" t="s">
        <v>8</v>
      </c>
      <c r="D699">
        <v>150</v>
      </c>
      <c r="E699" t="s">
        <v>9</v>
      </c>
      <c r="F699">
        <v>0.67010000000000003</v>
      </c>
      <c r="G699">
        <v>3</v>
      </c>
    </row>
    <row r="700" spans="1:7" x14ac:dyDescent="0.3">
      <c r="A700" t="s">
        <v>66</v>
      </c>
      <c r="B700">
        <v>4</v>
      </c>
      <c r="C700" t="s">
        <v>8</v>
      </c>
      <c r="D700">
        <v>150</v>
      </c>
      <c r="E700" t="s">
        <v>9</v>
      </c>
      <c r="F700">
        <v>0.70386000000000004</v>
      </c>
      <c r="G700">
        <v>3</v>
      </c>
    </row>
    <row r="701" spans="1:7" x14ac:dyDescent="0.3">
      <c r="A701" t="s">
        <v>66</v>
      </c>
      <c r="B701">
        <v>4</v>
      </c>
      <c r="C701" t="s">
        <v>8</v>
      </c>
      <c r="D701">
        <v>500</v>
      </c>
      <c r="E701" t="s">
        <v>9</v>
      </c>
      <c r="F701">
        <v>0.78676000000000001</v>
      </c>
      <c r="G701">
        <v>3</v>
      </c>
    </row>
    <row r="702" spans="1:7" x14ac:dyDescent="0.3">
      <c r="A702" t="s">
        <v>66</v>
      </c>
      <c r="B702">
        <v>4</v>
      </c>
      <c r="C702" t="s">
        <v>8</v>
      </c>
      <c r="D702">
        <v>500</v>
      </c>
      <c r="E702" t="s">
        <v>9</v>
      </c>
      <c r="F702">
        <v>0.75258000000000003</v>
      </c>
      <c r="G702">
        <v>3</v>
      </c>
    </row>
    <row r="703" spans="1:7" x14ac:dyDescent="0.3">
      <c r="A703" t="s">
        <v>66</v>
      </c>
      <c r="B703">
        <v>4</v>
      </c>
      <c r="C703" t="s">
        <v>8</v>
      </c>
      <c r="D703">
        <v>500</v>
      </c>
      <c r="E703" t="s">
        <v>9</v>
      </c>
      <c r="F703">
        <v>0.77681999999999995</v>
      </c>
      <c r="G703">
        <v>3</v>
      </c>
    </row>
    <row r="704" spans="1:7" x14ac:dyDescent="0.3">
      <c r="A704" t="s">
        <v>67</v>
      </c>
      <c r="B704">
        <v>2</v>
      </c>
      <c r="C704" t="s">
        <v>11</v>
      </c>
      <c r="D704">
        <v>5</v>
      </c>
      <c r="E704" t="s">
        <v>12</v>
      </c>
      <c r="F704">
        <v>0.29849999999999999</v>
      </c>
      <c r="G704">
        <v>4</v>
      </c>
    </row>
    <row r="705" spans="1:7" x14ac:dyDescent="0.3">
      <c r="A705" t="s">
        <v>67</v>
      </c>
      <c r="B705">
        <v>2</v>
      </c>
      <c r="C705" t="s">
        <v>11</v>
      </c>
      <c r="D705">
        <v>50</v>
      </c>
      <c r="E705" t="s">
        <v>12</v>
      </c>
      <c r="F705">
        <v>0.14899999999999999</v>
      </c>
      <c r="G705">
        <v>4</v>
      </c>
    </row>
    <row r="706" spans="1:7" x14ac:dyDescent="0.3">
      <c r="A706" t="s">
        <v>67</v>
      </c>
      <c r="B706">
        <v>2</v>
      </c>
      <c r="C706" t="s">
        <v>11</v>
      </c>
      <c r="D706">
        <v>5</v>
      </c>
      <c r="E706" t="s">
        <v>10</v>
      </c>
      <c r="F706">
        <v>1.98</v>
      </c>
      <c r="G706">
        <v>4</v>
      </c>
    </row>
    <row r="707" spans="1:7" x14ac:dyDescent="0.3">
      <c r="A707" t="s">
        <v>67</v>
      </c>
      <c r="B707">
        <v>2</v>
      </c>
      <c r="C707" t="s">
        <v>11</v>
      </c>
      <c r="D707">
        <v>50</v>
      </c>
      <c r="E707" t="s">
        <v>10</v>
      </c>
      <c r="F707">
        <v>2.0099999999999998</v>
      </c>
      <c r="G707">
        <v>4</v>
      </c>
    </row>
    <row r="708" spans="1:7" x14ac:dyDescent="0.3">
      <c r="A708" t="s">
        <v>67</v>
      </c>
      <c r="B708">
        <v>2</v>
      </c>
      <c r="C708" t="s">
        <v>11</v>
      </c>
      <c r="D708">
        <v>5</v>
      </c>
      <c r="E708" t="s">
        <v>10</v>
      </c>
      <c r="F708">
        <v>1.45</v>
      </c>
      <c r="G708">
        <v>4</v>
      </c>
    </row>
    <row r="709" spans="1:7" x14ac:dyDescent="0.3">
      <c r="A709" t="s">
        <v>67</v>
      </c>
      <c r="B709">
        <v>2</v>
      </c>
      <c r="C709" t="s">
        <v>11</v>
      </c>
      <c r="D709">
        <v>50</v>
      </c>
      <c r="E709" t="s">
        <v>10</v>
      </c>
      <c r="F709">
        <v>1.75</v>
      </c>
      <c r="G709">
        <v>4</v>
      </c>
    </row>
    <row r="710" spans="1:7" x14ac:dyDescent="0.3">
      <c r="A710" t="s">
        <v>67</v>
      </c>
      <c r="B710">
        <v>2</v>
      </c>
      <c r="C710" t="s">
        <v>11</v>
      </c>
      <c r="D710">
        <v>5</v>
      </c>
      <c r="E710" t="s">
        <v>10</v>
      </c>
      <c r="F710">
        <v>1.41</v>
      </c>
      <c r="G710">
        <v>4</v>
      </c>
    </row>
    <row r="711" spans="1:7" x14ac:dyDescent="0.3">
      <c r="A711" t="s">
        <v>67</v>
      </c>
      <c r="B711">
        <v>2</v>
      </c>
      <c r="C711" t="s">
        <v>11</v>
      </c>
      <c r="D711">
        <v>50</v>
      </c>
      <c r="E711" t="s">
        <v>10</v>
      </c>
      <c r="F711">
        <v>1.69</v>
      </c>
      <c r="G711">
        <v>4</v>
      </c>
    </row>
    <row r="712" spans="1:7" x14ac:dyDescent="0.3">
      <c r="A712" t="s">
        <v>68</v>
      </c>
      <c r="B712">
        <v>6</v>
      </c>
      <c r="C712" t="s">
        <v>8</v>
      </c>
      <c r="D712">
        <v>50</v>
      </c>
      <c r="E712" t="s">
        <v>12</v>
      </c>
      <c r="F712">
        <v>0.94499999999999995</v>
      </c>
      <c r="G712">
        <v>5</v>
      </c>
    </row>
    <row r="713" spans="1:7" x14ac:dyDescent="0.3">
      <c r="A713" t="s">
        <v>68</v>
      </c>
      <c r="B713">
        <v>6</v>
      </c>
      <c r="C713" t="s">
        <v>8</v>
      </c>
      <c r="D713">
        <v>100</v>
      </c>
      <c r="E713" t="s">
        <v>12</v>
      </c>
      <c r="F713">
        <v>0.745</v>
      </c>
      <c r="G713">
        <v>5</v>
      </c>
    </row>
    <row r="714" spans="1:7" x14ac:dyDescent="0.3">
      <c r="A714" t="s">
        <v>68</v>
      </c>
      <c r="B714">
        <v>6</v>
      </c>
      <c r="C714" t="s">
        <v>8</v>
      </c>
      <c r="D714">
        <v>200</v>
      </c>
      <c r="E714" t="s">
        <v>12</v>
      </c>
      <c r="F714">
        <v>0.63800000000000001</v>
      </c>
      <c r="G714">
        <v>5</v>
      </c>
    </row>
    <row r="715" spans="1:7" x14ac:dyDescent="0.3">
      <c r="A715" t="s">
        <v>68</v>
      </c>
      <c r="B715">
        <v>6</v>
      </c>
      <c r="C715" t="s">
        <v>8</v>
      </c>
      <c r="D715">
        <v>400</v>
      </c>
      <c r="E715" t="s">
        <v>12</v>
      </c>
      <c r="F715">
        <v>0.61699999999999999</v>
      </c>
      <c r="G715">
        <v>5</v>
      </c>
    </row>
    <row r="716" spans="1:7" x14ac:dyDescent="0.3">
      <c r="A716" t="s">
        <v>68</v>
      </c>
      <c r="B716">
        <v>6</v>
      </c>
      <c r="C716" t="s">
        <v>8</v>
      </c>
      <c r="D716">
        <v>800</v>
      </c>
      <c r="E716" t="s">
        <v>12</v>
      </c>
      <c r="F716">
        <v>0.59599999999999997</v>
      </c>
      <c r="G716">
        <v>5</v>
      </c>
    </row>
    <row r="717" spans="1:7" x14ac:dyDescent="0.3">
      <c r="A717" t="s">
        <v>68</v>
      </c>
      <c r="B717">
        <v>6</v>
      </c>
      <c r="C717" t="s">
        <v>8</v>
      </c>
      <c r="D717">
        <v>50</v>
      </c>
      <c r="E717" t="s">
        <v>12</v>
      </c>
      <c r="F717">
        <v>0.96399999999999997</v>
      </c>
      <c r="G717">
        <v>5</v>
      </c>
    </row>
    <row r="718" spans="1:7" x14ac:dyDescent="0.3">
      <c r="A718" t="s">
        <v>68</v>
      </c>
      <c r="B718">
        <v>6</v>
      </c>
      <c r="C718" t="s">
        <v>8</v>
      </c>
      <c r="D718">
        <v>100</v>
      </c>
      <c r="E718" t="s">
        <v>12</v>
      </c>
      <c r="F718">
        <v>0.86960000000000004</v>
      </c>
      <c r="G718">
        <v>5</v>
      </c>
    </row>
    <row r="719" spans="1:7" x14ac:dyDescent="0.3">
      <c r="A719" t="s">
        <v>68</v>
      </c>
      <c r="B719">
        <v>6</v>
      </c>
      <c r="C719" t="s">
        <v>8</v>
      </c>
      <c r="D719">
        <v>200</v>
      </c>
      <c r="E719" t="s">
        <v>12</v>
      </c>
      <c r="F719">
        <v>0.79700000000000004</v>
      </c>
      <c r="G719">
        <v>5</v>
      </c>
    </row>
    <row r="720" spans="1:7" x14ac:dyDescent="0.3">
      <c r="A720" t="s">
        <v>68</v>
      </c>
      <c r="B720">
        <v>6</v>
      </c>
      <c r="C720" t="s">
        <v>8</v>
      </c>
      <c r="D720">
        <v>400</v>
      </c>
      <c r="E720" t="s">
        <v>12</v>
      </c>
      <c r="F720">
        <v>0.72499999999999998</v>
      </c>
      <c r="G720">
        <v>5</v>
      </c>
    </row>
    <row r="721" spans="1:7" x14ac:dyDescent="0.3">
      <c r="A721" t="s">
        <v>68</v>
      </c>
      <c r="B721">
        <v>6</v>
      </c>
      <c r="C721" t="s">
        <v>8</v>
      </c>
      <c r="D721">
        <v>800</v>
      </c>
      <c r="E721" t="s">
        <v>12</v>
      </c>
      <c r="F721">
        <v>0.71</v>
      </c>
      <c r="G721">
        <v>5</v>
      </c>
    </row>
    <row r="722" spans="1:7" x14ac:dyDescent="0.3">
      <c r="A722" t="s">
        <v>68</v>
      </c>
      <c r="B722">
        <v>6</v>
      </c>
      <c r="C722" t="s">
        <v>8</v>
      </c>
      <c r="D722">
        <v>50</v>
      </c>
      <c r="E722" t="s">
        <v>10</v>
      </c>
      <c r="F722">
        <v>1.056</v>
      </c>
      <c r="G722">
        <v>5</v>
      </c>
    </row>
    <row r="723" spans="1:7" x14ac:dyDescent="0.3">
      <c r="A723" t="s">
        <v>68</v>
      </c>
      <c r="B723">
        <v>6</v>
      </c>
      <c r="C723" t="s">
        <v>8</v>
      </c>
      <c r="D723">
        <v>100</v>
      </c>
      <c r="E723" t="s">
        <v>10</v>
      </c>
      <c r="F723">
        <v>1.1100000000000001</v>
      </c>
      <c r="G723">
        <v>5</v>
      </c>
    </row>
    <row r="724" spans="1:7" x14ac:dyDescent="0.3">
      <c r="A724" t="s">
        <v>68</v>
      </c>
      <c r="B724">
        <v>6</v>
      </c>
      <c r="C724" t="s">
        <v>8</v>
      </c>
      <c r="D724">
        <v>200</v>
      </c>
      <c r="E724" t="s">
        <v>10</v>
      </c>
      <c r="F724">
        <v>1.1659999999999999</v>
      </c>
      <c r="G724">
        <v>5</v>
      </c>
    </row>
    <row r="725" spans="1:7" x14ac:dyDescent="0.3">
      <c r="A725" t="s">
        <v>68</v>
      </c>
      <c r="B725">
        <v>6</v>
      </c>
      <c r="C725" t="s">
        <v>8</v>
      </c>
      <c r="D725">
        <v>400</v>
      </c>
      <c r="E725" t="s">
        <v>10</v>
      </c>
      <c r="F725">
        <v>1.22</v>
      </c>
      <c r="G725">
        <v>5</v>
      </c>
    </row>
    <row r="726" spans="1:7" x14ac:dyDescent="0.3">
      <c r="A726" t="s">
        <v>68</v>
      </c>
      <c r="B726">
        <v>6</v>
      </c>
      <c r="C726" t="s">
        <v>8</v>
      </c>
      <c r="D726">
        <v>800</v>
      </c>
      <c r="E726" t="s">
        <v>10</v>
      </c>
      <c r="F726">
        <v>1.1100000000000001</v>
      </c>
      <c r="G726">
        <v>5</v>
      </c>
    </row>
    <row r="727" spans="1:7" x14ac:dyDescent="0.3">
      <c r="A727" t="s">
        <v>68</v>
      </c>
      <c r="B727">
        <v>6</v>
      </c>
      <c r="C727" t="s">
        <v>8</v>
      </c>
      <c r="D727">
        <v>50</v>
      </c>
      <c r="E727" t="s">
        <v>10</v>
      </c>
      <c r="F727">
        <v>1.1000000000000001</v>
      </c>
      <c r="G727">
        <v>5</v>
      </c>
    </row>
    <row r="728" spans="1:7" x14ac:dyDescent="0.3">
      <c r="A728" t="s">
        <v>68</v>
      </c>
      <c r="B728">
        <v>6</v>
      </c>
      <c r="C728" t="s">
        <v>8</v>
      </c>
      <c r="D728">
        <v>100</v>
      </c>
      <c r="E728" t="s">
        <v>10</v>
      </c>
      <c r="F728">
        <v>1.1100000000000001</v>
      </c>
      <c r="G728">
        <v>5</v>
      </c>
    </row>
    <row r="729" spans="1:7" x14ac:dyDescent="0.3">
      <c r="A729" t="s">
        <v>68</v>
      </c>
      <c r="B729">
        <v>6</v>
      </c>
      <c r="C729" t="s">
        <v>8</v>
      </c>
      <c r="D729">
        <v>200</v>
      </c>
      <c r="E729" t="s">
        <v>10</v>
      </c>
      <c r="F729">
        <v>1.2</v>
      </c>
      <c r="G729">
        <v>5</v>
      </c>
    </row>
    <row r="730" spans="1:7" x14ac:dyDescent="0.3">
      <c r="A730" t="s">
        <v>68</v>
      </c>
      <c r="B730">
        <v>6</v>
      </c>
      <c r="C730" t="s">
        <v>8</v>
      </c>
      <c r="D730">
        <v>400</v>
      </c>
      <c r="E730" t="s">
        <v>10</v>
      </c>
      <c r="F730">
        <v>1.5</v>
      </c>
      <c r="G730">
        <v>5</v>
      </c>
    </row>
    <row r="731" spans="1:7" x14ac:dyDescent="0.3">
      <c r="A731" t="s">
        <v>68</v>
      </c>
      <c r="B731">
        <v>6</v>
      </c>
      <c r="C731" t="s">
        <v>8</v>
      </c>
      <c r="D731">
        <v>800</v>
      </c>
      <c r="E731" t="s">
        <v>10</v>
      </c>
      <c r="F731">
        <v>1.7</v>
      </c>
      <c r="G731">
        <v>5</v>
      </c>
    </row>
    <row r="732" spans="1:7" x14ac:dyDescent="0.3">
      <c r="A732" t="s">
        <v>68</v>
      </c>
      <c r="B732">
        <v>6</v>
      </c>
      <c r="C732" t="s">
        <v>8</v>
      </c>
      <c r="D732">
        <v>50</v>
      </c>
      <c r="E732" t="s">
        <v>10</v>
      </c>
      <c r="F732">
        <v>1.0714300000000001</v>
      </c>
      <c r="G732">
        <v>5</v>
      </c>
    </row>
    <row r="733" spans="1:7" x14ac:dyDescent="0.3">
      <c r="A733" t="s">
        <v>68</v>
      </c>
      <c r="B733">
        <v>6</v>
      </c>
      <c r="C733" t="s">
        <v>8</v>
      </c>
      <c r="D733">
        <v>100</v>
      </c>
      <c r="E733" t="s">
        <v>10</v>
      </c>
      <c r="F733">
        <v>1.125</v>
      </c>
      <c r="G733">
        <v>5</v>
      </c>
    </row>
    <row r="734" spans="1:7" x14ac:dyDescent="0.3">
      <c r="A734" t="s">
        <v>68</v>
      </c>
      <c r="B734">
        <v>6</v>
      </c>
      <c r="C734" t="s">
        <v>8</v>
      </c>
      <c r="D734">
        <v>200</v>
      </c>
      <c r="E734" t="s">
        <v>10</v>
      </c>
      <c r="F734">
        <v>1.01786</v>
      </c>
      <c r="G734">
        <v>5</v>
      </c>
    </row>
    <row r="735" spans="1:7" x14ac:dyDescent="0.3">
      <c r="A735" t="s">
        <v>68</v>
      </c>
      <c r="B735">
        <v>6</v>
      </c>
      <c r="C735" t="s">
        <v>8</v>
      </c>
      <c r="D735">
        <v>400</v>
      </c>
      <c r="E735" t="s">
        <v>10</v>
      </c>
      <c r="F735">
        <v>0.89285999999999999</v>
      </c>
      <c r="G735">
        <v>5</v>
      </c>
    </row>
    <row r="736" spans="1:7" x14ac:dyDescent="0.3">
      <c r="A736" t="s">
        <v>68</v>
      </c>
      <c r="B736">
        <v>6</v>
      </c>
      <c r="C736" t="s">
        <v>8</v>
      </c>
      <c r="D736">
        <v>800</v>
      </c>
      <c r="E736" t="s">
        <v>10</v>
      </c>
      <c r="F736">
        <v>0.625</v>
      </c>
      <c r="G736">
        <v>5</v>
      </c>
    </row>
    <row r="737" spans="1:7" x14ac:dyDescent="0.3">
      <c r="A737" t="s">
        <v>68</v>
      </c>
      <c r="B737">
        <v>6</v>
      </c>
      <c r="C737" t="s">
        <v>8</v>
      </c>
      <c r="D737">
        <v>50</v>
      </c>
      <c r="E737" t="s">
        <v>10</v>
      </c>
      <c r="F737">
        <v>1.2</v>
      </c>
      <c r="G737">
        <v>5</v>
      </c>
    </row>
    <row r="738" spans="1:7" x14ac:dyDescent="0.3">
      <c r="A738" t="s">
        <v>68</v>
      </c>
      <c r="B738">
        <v>6</v>
      </c>
      <c r="C738" t="s">
        <v>8</v>
      </c>
      <c r="D738">
        <v>100</v>
      </c>
      <c r="E738" t="s">
        <v>10</v>
      </c>
      <c r="F738">
        <v>1.3</v>
      </c>
      <c r="G738">
        <v>5</v>
      </c>
    </row>
    <row r="739" spans="1:7" x14ac:dyDescent="0.3">
      <c r="A739" t="s">
        <v>68</v>
      </c>
      <c r="B739">
        <v>6</v>
      </c>
      <c r="C739" t="s">
        <v>8</v>
      </c>
      <c r="D739">
        <v>200</v>
      </c>
      <c r="E739" t="s">
        <v>10</v>
      </c>
      <c r="F739">
        <v>1.46</v>
      </c>
      <c r="G739">
        <v>5</v>
      </c>
    </row>
    <row r="740" spans="1:7" x14ac:dyDescent="0.3">
      <c r="A740" t="s">
        <v>68</v>
      </c>
      <c r="B740">
        <v>6</v>
      </c>
      <c r="C740" t="s">
        <v>8</v>
      </c>
      <c r="D740">
        <v>400</v>
      </c>
      <c r="E740" t="s">
        <v>10</v>
      </c>
      <c r="F740">
        <v>1.4</v>
      </c>
      <c r="G740">
        <v>5</v>
      </c>
    </row>
    <row r="741" spans="1:7" x14ac:dyDescent="0.3">
      <c r="A741" t="s">
        <v>68</v>
      </c>
      <c r="B741">
        <v>6</v>
      </c>
      <c r="C741" t="s">
        <v>8</v>
      </c>
      <c r="D741">
        <v>800</v>
      </c>
      <c r="E741" t="s">
        <v>10</v>
      </c>
      <c r="F741">
        <v>1.36</v>
      </c>
      <c r="G741">
        <v>5</v>
      </c>
    </row>
    <row r="742" spans="1:7" x14ac:dyDescent="0.3">
      <c r="A742" t="s">
        <v>68</v>
      </c>
      <c r="B742">
        <v>6</v>
      </c>
      <c r="C742" t="s">
        <v>8</v>
      </c>
      <c r="D742">
        <v>50</v>
      </c>
      <c r="E742" t="s">
        <v>10</v>
      </c>
      <c r="F742">
        <v>1.05263</v>
      </c>
      <c r="G742">
        <v>5</v>
      </c>
    </row>
    <row r="743" spans="1:7" x14ac:dyDescent="0.3">
      <c r="A743" t="s">
        <v>68</v>
      </c>
      <c r="B743">
        <v>6</v>
      </c>
      <c r="C743" t="s">
        <v>8</v>
      </c>
      <c r="D743">
        <v>100</v>
      </c>
      <c r="E743" t="s">
        <v>10</v>
      </c>
      <c r="F743">
        <v>1.05789</v>
      </c>
      <c r="G743">
        <v>5</v>
      </c>
    </row>
    <row r="744" spans="1:7" x14ac:dyDescent="0.3">
      <c r="A744" t="s">
        <v>68</v>
      </c>
      <c r="B744">
        <v>6</v>
      </c>
      <c r="C744" t="s">
        <v>8</v>
      </c>
      <c r="D744">
        <v>200</v>
      </c>
      <c r="E744" t="s">
        <v>10</v>
      </c>
      <c r="F744">
        <v>1.05263</v>
      </c>
      <c r="G744">
        <v>5</v>
      </c>
    </row>
    <row r="745" spans="1:7" x14ac:dyDescent="0.3">
      <c r="A745" t="s">
        <v>68</v>
      </c>
      <c r="B745">
        <v>6</v>
      </c>
      <c r="C745" t="s">
        <v>8</v>
      </c>
      <c r="D745">
        <v>400</v>
      </c>
      <c r="E745" t="s">
        <v>10</v>
      </c>
      <c r="F745">
        <v>1.0263199999999999</v>
      </c>
      <c r="G745">
        <v>5</v>
      </c>
    </row>
    <row r="746" spans="1:7" x14ac:dyDescent="0.3">
      <c r="A746" t="s">
        <v>68</v>
      </c>
      <c r="B746">
        <v>6</v>
      </c>
      <c r="C746" t="s">
        <v>8</v>
      </c>
      <c r="D746">
        <v>800</v>
      </c>
      <c r="E746" t="s">
        <v>10</v>
      </c>
      <c r="F746">
        <v>1.00526</v>
      </c>
      <c r="G746">
        <v>5</v>
      </c>
    </row>
    <row r="747" spans="1:7" x14ac:dyDescent="0.3">
      <c r="A747" t="s">
        <v>68</v>
      </c>
      <c r="B747">
        <v>6</v>
      </c>
      <c r="C747" t="s">
        <v>8</v>
      </c>
      <c r="D747">
        <v>50</v>
      </c>
      <c r="E747" t="s">
        <v>10</v>
      </c>
      <c r="F747">
        <v>1.167</v>
      </c>
      <c r="G747">
        <v>5</v>
      </c>
    </row>
    <row r="748" spans="1:7" x14ac:dyDescent="0.3">
      <c r="A748" t="s">
        <v>68</v>
      </c>
      <c r="B748">
        <v>6</v>
      </c>
      <c r="C748" t="s">
        <v>8</v>
      </c>
      <c r="D748">
        <v>100</v>
      </c>
      <c r="E748" t="s">
        <v>10</v>
      </c>
      <c r="F748">
        <v>1.4670000000000001</v>
      </c>
      <c r="G748">
        <v>5</v>
      </c>
    </row>
    <row r="749" spans="1:7" x14ac:dyDescent="0.3">
      <c r="A749" t="s">
        <v>68</v>
      </c>
      <c r="B749">
        <v>6</v>
      </c>
      <c r="C749" t="s">
        <v>8</v>
      </c>
      <c r="D749">
        <v>200</v>
      </c>
      <c r="E749" t="s">
        <v>10</v>
      </c>
      <c r="F749">
        <v>1.7330000000000001</v>
      </c>
      <c r="G749">
        <v>5</v>
      </c>
    </row>
    <row r="750" spans="1:7" x14ac:dyDescent="0.3">
      <c r="A750" t="s">
        <v>68</v>
      </c>
      <c r="B750">
        <v>6</v>
      </c>
      <c r="C750" t="s">
        <v>8</v>
      </c>
      <c r="D750">
        <v>400</v>
      </c>
      <c r="E750" t="s">
        <v>10</v>
      </c>
      <c r="F750">
        <v>2</v>
      </c>
      <c r="G750">
        <v>5</v>
      </c>
    </row>
    <row r="751" spans="1:7" x14ac:dyDescent="0.3">
      <c r="A751" t="s">
        <v>68</v>
      </c>
      <c r="B751">
        <v>6</v>
      </c>
      <c r="C751" t="s">
        <v>8</v>
      </c>
      <c r="D751">
        <v>800</v>
      </c>
      <c r="E751" t="s">
        <v>10</v>
      </c>
      <c r="F751">
        <v>2.4</v>
      </c>
      <c r="G751">
        <v>5</v>
      </c>
    </row>
    <row r="752" spans="1:7" x14ac:dyDescent="0.3">
      <c r="A752" t="s">
        <v>68</v>
      </c>
      <c r="B752">
        <v>6</v>
      </c>
      <c r="C752" t="s">
        <v>8</v>
      </c>
      <c r="D752">
        <v>50</v>
      </c>
      <c r="E752" t="s">
        <v>9</v>
      </c>
      <c r="F752">
        <v>0.96399999999999997</v>
      </c>
      <c r="G752">
        <v>5</v>
      </c>
    </row>
    <row r="753" spans="1:7" x14ac:dyDescent="0.3">
      <c r="A753" t="s">
        <v>68</v>
      </c>
      <c r="B753">
        <v>6</v>
      </c>
      <c r="C753" t="s">
        <v>8</v>
      </c>
      <c r="D753">
        <v>100</v>
      </c>
      <c r="E753" t="s">
        <v>9</v>
      </c>
      <c r="F753">
        <v>0.93979999999999997</v>
      </c>
      <c r="G753">
        <v>5</v>
      </c>
    </row>
    <row r="754" spans="1:7" x14ac:dyDescent="0.3">
      <c r="A754" t="s">
        <v>68</v>
      </c>
      <c r="B754">
        <v>6</v>
      </c>
      <c r="C754" t="s">
        <v>8</v>
      </c>
      <c r="D754">
        <v>200</v>
      </c>
      <c r="E754" t="s">
        <v>9</v>
      </c>
      <c r="F754">
        <v>0.90359999999999996</v>
      </c>
      <c r="G754">
        <v>5</v>
      </c>
    </row>
    <row r="755" spans="1:7" x14ac:dyDescent="0.3">
      <c r="A755" t="s">
        <v>68</v>
      </c>
      <c r="B755">
        <v>6</v>
      </c>
      <c r="C755" t="s">
        <v>8</v>
      </c>
      <c r="D755">
        <v>400</v>
      </c>
      <c r="E755" t="s">
        <v>9</v>
      </c>
      <c r="F755">
        <v>0.77100000000000002</v>
      </c>
      <c r="G755">
        <v>5</v>
      </c>
    </row>
    <row r="756" spans="1:7" x14ac:dyDescent="0.3">
      <c r="A756" t="s">
        <v>68</v>
      </c>
      <c r="B756">
        <v>6</v>
      </c>
      <c r="C756" t="s">
        <v>8</v>
      </c>
      <c r="D756">
        <v>800</v>
      </c>
      <c r="E756" t="s">
        <v>9</v>
      </c>
      <c r="F756">
        <v>0.60199999999999998</v>
      </c>
      <c r="G756">
        <v>5</v>
      </c>
    </row>
    <row r="757" spans="1:7" x14ac:dyDescent="0.3">
      <c r="A757" t="s">
        <v>68</v>
      </c>
      <c r="B757">
        <v>6</v>
      </c>
      <c r="C757" t="s">
        <v>11</v>
      </c>
      <c r="D757">
        <v>50</v>
      </c>
      <c r="E757" t="s">
        <v>12</v>
      </c>
      <c r="F757">
        <v>0.98</v>
      </c>
      <c r="G757">
        <v>5</v>
      </c>
    </row>
    <row r="758" spans="1:7" x14ac:dyDescent="0.3">
      <c r="A758" t="s">
        <v>68</v>
      </c>
      <c r="B758">
        <v>6</v>
      </c>
      <c r="C758" t="s">
        <v>11</v>
      </c>
      <c r="D758">
        <v>100</v>
      </c>
      <c r="E758" t="s">
        <v>12</v>
      </c>
      <c r="F758">
        <v>0.97</v>
      </c>
      <c r="G758">
        <v>5</v>
      </c>
    </row>
    <row r="759" spans="1:7" x14ac:dyDescent="0.3">
      <c r="A759" t="s">
        <v>68</v>
      </c>
      <c r="B759">
        <v>6</v>
      </c>
      <c r="C759" t="s">
        <v>11</v>
      </c>
      <c r="D759">
        <v>200</v>
      </c>
      <c r="E759" t="s">
        <v>12</v>
      </c>
      <c r="F759">
        <v>0.96</v>
      </c>
      <c r="G759">
        <v>5</v>
      </c>
    </row>
    <row r="760" spans="1:7" x14ac:dyDescent="0.3">
      <c r="A760" t="s">
        <v>68</v>
      </c>
      <c r="B760">
        <v>6</v>
      </c>
      <c r="C760" t="s">
        <v>11</v>
      </c>
      <c r="D760">
        <v>400</v>
      </c>
      <c r="E760" t="s">
        <v>12</v>
      </c>
      <c r="F760">
        <v>0.95</v>
      </c>
      <c r="G760">
        <v>5</v>
      </c>
    </row>
    <row r="761" spans="1:7" x14ac:dyDescent="0.3">
      <c r="A761" t="s">
        <v>68</v>
      </c>
      <c r="B761">
        <v>6</v>
      </c>
      <c r="C761" t="s">
        <v>11</v>
      </c>
      <c r="D761">
        <v>800</v>
      </c>
      <c r="E761" t="s">
        <v>12</v>
      </c>
      <c r="F761">
        <v>0.94</v>
      </c>
      <c r="G761">
        <v>5</v>
      </c>
    </row>
    <row r="762" spans="1:7" x14ac:dyDescent="0.3">
      <c r="A762" t="s">
        <v>68</v>
      </c>
      <c r="B762">
        <v>6</v>
      </c>
      <c r="C762" t="s">
        <v>11</v>
      </c>
      <c r="D762">
        <v>50</v>
      </c>
      <c r="E762" t="s">
        <v>12</v>
      </c>
      <c r="F762">
        <v>0.98</v>
      </c>
      <c r="G762">
        <v>5</v>
      </c>
    </row>
    <row r="763" spans="1:7" x14ac:dyDescent="0.3">
      <c r="A763" t="s">
        <v>68</v>
      </c>
      <c r="B763">
        <v>6</v>
      </c>
      <c r="C763" t="s">
        <v>11</v>
      </c>
      <c r="D763">
        <v>100</v>
      </c>
      <c r="E763" t="s">
        <v>12</v>
      </c>
      <c r="F763">
        <v>0.97</v>
      </c>
      <c r="G763">
        <v>5</v>
      </c>
    </row>
    <row r="764" spans="1:7" x14ac:dyDescent="0.3">
      <c r="A764" t="s">
        <v>68</v>
      </c>
      <c r="B764">
        <v>6</v>
      </c>
      <c r="C764" t="s">
        <v>11</v>
      </c>
      <c r="D764">
        <v>200</v>
      </c>
      <c r="E764" t="s">
        <v>12</v>
      </c>
      <c r="F764">
        <v>0.96</v>
      </c>
      <c r="G764">
        <v>5</v>
      </c>
    </row>
    <row r="765" spans="1:7" x14ac:dyDescent="0.3">
      <c r="A765" t="s">
        <v>68</v>
      </c>
      <c r="B765">
        <v>6</v>
      </c>
      <c r="C765" t="s">
        <v>11</v>
      </c>
      <c r="D765">
        <v>400</v>
      </c>
      <c r="E765" t="s">
        <v>12</v>
      </c>
      <c r="F765">
        <v>0.95</v>
      </c>
      <c r="G765">
        <v>5</v>
      </c>
    </row>
    <row r="766" spans="1:7" x14ac:dyDescent="0.3">
      <c r="A766" t="s">
        <v>68</v>
      </c>
      <c r="B766">
        <v>6</v>
      </c>
      <c r="C766" t="s">
        <v>11</v>
      </c>
      <c r="D766">
        <v>800</v>
      </c>
      <c r="E766" t="s">
        <v>12</v>
      </c>
      <c r="F766">
        <v>0.94</v>
      </c>
      <c r="G766">
        <v>5</v>
      </c>
    </row>
    <row r="767" spans="1:7" x14ac:dyDescent="0.3">
      <c r="A767" t="s">
        <v>68</v>
      </c>
      <c r="B767">
        <v>6</v>
      </c>
      <c r="C767" t="s">
        <v>11</v>
      </c>
      <c r="D767">
        <v>50</v>
      </c>
      <c r="E767" t="s">
        <v>10</v>
      </c>
      <c r="F767">
        <v>1.175</v>
      </c>
      <c r="G767">
        <v>5</v>
      </c>
    </row>
    <row r="768" spans="1:7" x14ac:dyDescent="0.3">
      <c r="A768" t="s">
        <v>68</v>
      </c>
      <c r="B768">
        <v>6</v>
      </c>
      <c r="C768" t="s">
        <v>11</v>
      </c>
      <c r="D768">
        <v>100</v>
      </c>
      <c r="E768" t="s">
        <v>10</v>
      </c>
      <c r="F768">
        <v>1.3</v>
      </c>
      <c r="G768">
        <v>5</v>
      </c>
    </row>
    <row r="769" spans="1:7" x14ac:dyDescent="0.3">
      <c r="A769" t="s">
        <v>68</v>
      </c>
      <c r="B769">
        <v>6</v>
      </c>
      <c r="C769" t="s">
        <v>11</v>
      </c>
      <c r="D769">
        <v>200</v>
      </c>
      <c r="E769" t="s">
        <v>10</v>
      </c>
      <c r="F769">
        <v>1.45</v>
      </c>
      <c r="G769">
        <v>5</v>
      </c>
    </row>
    <row r="770" spans="1:7" x14ac:dyDescent="0.3">
      <c r="A770" t="s">
        <v>68</v>
      </c>
      <c r="B770">
        <v>6</v>
      </c>
      <c r="C770" t="s">
        <v>11</v>
      </c>
      <c r="D770">
        <v>400</v>
      </c>
      <c r="E770" t="s">
        <v>10</v>
      </c>
      <c r="F770">
        <v>1.4</v>
      </c>
      <c r="G770">
        <v>5</v>
      </c>
    </row>
    <row r="771" spans="1:7" x14ac:dyDescent="0.3">
      <c r="A771" t="s">
        <v>68</v>
      </c>
      <c r="B771">
        <v>6</v>
      </c>
      <c r="C771" t="s">
        <v>11</v>
      </c>
      <c r="D771">
        <v>800</v>
      </c>
      <c r="E771" t="s">
        <v>10</v>
      </c>
      <c r="F771">
        <v>1.25</v>
      </c>
      <c r="G771">
        <v>5</v>
      </c>
    </row>
    <row r="772" spans="1:7" x14ac:dyDescent="0.3">
      <c r="A772" t="s">
        <v>68</v>
      </c>
      <c r="B772">
        <v>6</v>
      </c>
      <c r="C772" t="s">
        <v>11</v>
      </c>
      <c r="D772">
        <v>50</v>
      </c>
      <c r="E772" t="s">
        <v>10</v>
      </c>
      <c r="F772">
        <v>1.53704</v>
      </c>
      <c r="G772">
        <v>5</v>
      </c>
    </row>
    <row r="773" spans="1:7" x14ac:dyDescent="0.3">
      <c r="A773" t="s">
        <v>68</v>
      </c>
      <c r="B773">
        <v>6</v>
      </c>
      <c r="C773" t="s">
        <v>11</v>
      </c>
      <c r="D773">
        <v>100</v>
      </c>
      <c r="E773" t="s">
        <v>10</v>
      </c>
      <c r="F773">
        <v>1.6666700000000001</v>
      </c>
      <c r="G773">
        <v>5</v>
      </c>
    </row>
    <row r="774" spans="1:7" x14ac:dyDescent="0.3">
      <c r="A774" t="s">
        <v>68</v>
      </c>
      <c r="B774">
        <v>6</v>
      </c>
      <c r="C774" t="s">
        <v>11</v>
      </c>
      <c r="D774">
        <v>200</v>
      </c>
      <c r="E774" t="s">
        <v>10</v>
      </c>
      <c r="F774">
        <v>1.9444399999999999</v>
      </c>
      <c r="G774">
        <v>5</v>
      </c>
    </row>
    <row r="775" spans="1:7" x14ac:dyDescent="0.3">
      <c r="A775" t="s">
        <v>68</v>
      </c>
      <c r="B775">
        <v>6</v>
      </c>
      <c r="C775" t="s">
        <v>11</v>
      </c>
      <c r="D775">
        <v>400</v>
      </c>
      <c r="E775" t="s">
        <v>10</v>
      </c>
      <c r="F775">
        <v>2.09259</v>
      </c>
      <c r="G775">
        <v>5</v>
      </c>
    </row>
    <row r="776" spans="1:7" x14ac:dyDescent="0.3">
      <c r="A776" t="s">
        <v>68</v>
      </c>
      <c r="B776">
        <v>6</v>
      </c>
      <c r="C776" t="s">
        <v>11</v>
      </c>
      <c r="D776">
        <v>800</v>
      </c>
      <c r="E776" t="s">
        <v>10</v>
      </c>
      <c r="F776">
        <v>2.2592599999999998</v>
      </c>
      <c r="G776">
        <v>5</v>
      </c>
    </row>
    <row r="777" spans="1:7" x14ac:dyDescent="0.3">
      <c r="A777" t="s">
        <v>68</v>
      </c>
      <c r="B777">
        <v>6</v>
      </c>
      <c r="C777" t="s">
        <v>11</v>
      </c>
      <c r="D777">
        <v>50</v>
      </c>
      <c r="E777" t="s">
        <v>10</v>
      </c>
      <c r="F777">
        <v>1.0625</v>
      </c>
      <c r="G777">
        <v>5</v>
      </c>
    </row>
    <row r="778" spans="1:7" x14ac:dyDescent="0.3">
      <c r="A778" t="s">
        <v>68</v>
      </c>
      <c r="B778">
        <v>6</v>
      </c>
      <c r="C778" t="s">
        <v>11</v>
      </c>
      <c r="D778">
        <v>100</v>
      </c>
      <c r="E778" t="s">
        <v>10</v>
      </c>
      <c r="F778">
        <v>1.125</v>
      </c>
      <c r="G778">
        <v>5</v>
      </c>
    </row>
    <row r="779" spans="1:7" x14ac:dyDescent="0.3">
      <c r="A779" t="s">
        <v>68</v>
      </c>
      <c r="B779">
        <v>6</v>
      </c>
      <c r="C779" t="s">
        <v>11</v>
      </c>
      <c r="D779">
        <v>200</v>
      </c>
      <c r="E779" t="s">
        <v>10</v>
      </c>
      <c r="F779">
        <v>1.1499999999999999</v>
      </c>
      <c r="G779">
        <v>5</v>
      </c>
    </row>
    <row r="780" spans="1:7" x14ac:dyDescent="0.3">
      <c r="A780" t="s">
        <v>68</v>
      </c>
      <c r="B780">
        <v>6</v>
      </c>
      <c r="C780" t="s">
        <v>11</v>
      </c>
      <c r="D780">
        <v>400</v>
      </c>
      <c r="E780" t="s">
        <v>10</v>
      </c>
      <c r="F780">
        <v>1.0625</v>
      </c>
      <c r="G780">
        <v>5</v>
      </c>
    </row>
    <row r="781" spans="1:7" x14ac:dyDescent="0.3">
      <c r="A781" t="s">
        <v>68</v>
      </c>
      <c r="B781">
        <v>6</v>
      </c>
      <c r="C781" t="s">
        <v>11</v>
      </c>
      <c r="D781">
        <v>800</v>
      </c>
      <c r="E781" t="s">
        <v>10</v>
      </c>
      <c r="F781">
        <v>1.00013</v>
      </c>
      <c r="G781">
        <v>5</v>
      </c>
    </row>
    <row r="782" spans="1:7" x14ac:dyDescent="0.3">
      <c r="A782" t="s">
        <v>68</v>
      </c>
      <c r="B782">
        <v>6</v>
      </c>
      <c r="C782" t="s">
        <v>11</v>
      </c>
      <c r="D782">
        <v>50</v>
      </c>
      <c r="E782" t="s">
        <v>10</v>
      </c>
      <c r="F782">
        <v>1.19048</v>
      </c>
      <c r="G782">
        <v>5</v>
      </c>
    </row>
    <row r="783" spans="1:7" x14ac:dyDescent="0.3">
      <c r="A783" t="s">
        <v>68</v>
      </c>
      <c r="B783">
        <v>6</v>
      </c>
      <c r="C783" t="s">
        <v>11</v>
      </c>
      <c r="D783">
        <v>100</v>
      </c>
      <c r="E783" t="s">
        <v>10</v>
      </c>
      <c r="F783">
        <v>1.2381</v>
      </c>
      <c r="G783">
        <v>5</v>
      </c>
    </row>
    <row r="784" spans="1:7" x14ac:dyDescent="0.3">
      <c r="A784" t="s">
        <v>68</v>
      </c>
      <c r="B784">
        <v>6</v>
      </c>
      <c r="C784" t="s">
        <v>11</v>
      </c>
      <c r="D784">
        <v>200</v>
      </c>
      <c r="E784" t="s">
        <v>10</v>
      </c>
      <c r="F784">
        <v>1.3428599999999999</v>
      </c>
      <c r="G784">
        <v>5</v>
      </c>
    </row>
    <row r="785" spans="1:7" x14ac:dyDescent="0.3">
      <c r="A785" t="s">
        <v>68</v>
      </c>
      <c r="B785">
        <v>6</v>
      </c>
      <c r="C785" t="s">
        <v>11</v>
      </c>
      <c r="D785">
        <v>400</v>
      </c>
      <c r="E785" t="s">
        <v>10</v>
      </c>
      <c r="F785">
        <v>1.2952399999999999</v>
      </c>
      <c r="G785">
        <v>5</v>
      </c>
    </row>
    <row r="786" spans="1:7" x14ac:dyDescent="0.3">
      <c r="A786" t="s">
        <v>68</v>
      </c>
      <c r="B786">
        <v>6</v>
      </c>
      <c r="C786" t="s">
        <v>11</v>
      </c>
      <c r="D786">
        <v>800</v>
      </c>
      <c r="E786" t="s">
        <v>10</v>
      </c>
      <c r="F786">
        <v>1.1809499999999999</v>
      </c>
      <c r="G786">
        <v>5</v>
      </c>
    </row>
    <row r="787" spans="1:7" x14ac:dyDescent="0.3">
      <c r="A787" t="s">
        <v>68</v>
      </c>
      <c r="B787">
        <v>6</v>
      </c>
      <c r="C787" t="s">
        <v>11</v>
      </c>
      <c r="D787">
        <v>50</v>
      </c>
      <c r="E787" t="s">
        <v>10</v>
      </c>
      <c r="F787">
        <v>1.10101</v>
      </c>
      <c r="G787">
        <v>5</v>
      </c>
    </row>
    <row r="788" spans="1:7" x14ac:dyDescent="0.3">
      <c r="A788" t="s">
        <v>68</v>
      </c>
      <c r="B788">
        <v>6</v>
      </c>
      <c r="C788" t="s">
        <v>11</v>
      </c>
      <c r="D788">
        <v>100</v>
      </c>
      <c r="E788" t="s">
        <v>10</v>
      </c>
      <c r="F788">
        <v>1.1515200000000001</v>
      </c>
      <c r="G788">
        <v>5</v>
      </c>
    </row>
    <row r="789" spans="1:7" x14ac:dyDescent="0.3">
      <c r="A789" t="s">
        <v>68</v>
      </c>
      <c r="B789">
        <v>6</v>
      </c>
      <c r="C789" t="s">
        <v>11</v>
      </c>
      <c r="D789">
        <v>200</v>
      </c>
      <c r="E789" t="s">
        <v>10</v>
      </c>
      <c r="F789">
        <v>1.101</v>
      </c>
      <c r="G789">
        <v>5</v>
      </c>
    </row>
    <row r="790" spans="1:7" x14ac:dyDescent="0.3">
      <c r="A790" t="s">
        <v>68</v>
      </c>
      <c r="B790">
        <v>6</v>
      </c>
      <c r="C790" t="s">
        <v>11</v>
      </c>
      <c r="D790">
        <v>400</v>
      </c>
      <c r="E790" t="s">
        <v>10</v>
      </c>
      <c r="F790">
        <v>1.0505100000000001</v>
      </c>
      <c r="G790">
        <v>5</v>
      </c>
    </row>
    <row r="791" spans="1:7" x14ac:dyDescent="0.3">
      <c r="A791" t="s">
        <v>68</v>
      </c>
      <c r="B791">
        <v>6</v>
      </c>
      <c r="C791" t="s">
        <v>11</v>
      </c>
      <c r="D791">
        <v>800</v>
      </c>
      <c r="E791" t="s">
        <v>10</v>
      </c>
      <c r="F791">
        <v>0.90908999999999995</v>
      </c>
      <c r="G791">
        <v>5</v>
      </c>
    </row>
    <row r="792" spans="1:7" x14ac:dyDescent="0.3">
      <c r="A792" t="s">
        <v>68</v>
      </c>
      <c r="B792">
        <v>6</v>
      </c>
      <c r="C792" t="s">
        <v>11</v>
      </c>
      <c r="D792">
        <v>50</v>
      </c>
      <c r="E792" t="s">
        <v>10</v>
      </c>
      <c r="F792">
        <v>1.2</v>
      </c>
      <c r="G792">
        <v>5</v>
      </c>
    </row>
    <row r="793" spans="1:7" x14ac:dyDescent="0.3">
      <c r="A793" t="s">
        <v>68</v>
      </c>
      <c r="B793">
        <v>6</v>
      </c>
      <c r="C793" t="s">
        <v>11</v>
      </c>
      <c r="D793">
        <v>100</v>
      </c>
      <c r="E793" t="s">
        <v>10</v>
      </c>
      <c r="F793">
        <v>1.25</v>
      </c>
      <c r="G793">
        <v>5</v>
      </c>
    </row>
    <row r="794" spans="1:7" x14ac:dyDescent="0.3">
      <c r="A794" t="s">
        <v>68</v>
      </c>
      <c r="B794">
        <v>6</v>
      </c>
      <c r="C794" t="s">
        <v>11</v>
      </c>
      <c r="D794">
        <v>200</v>
      </c>
      <c r="E794" t="s">
        <v>10</v>
      </c>
      <c r="F794">
        <v>1.4</v>
      </c>
      <c r="G794">
        <v>5</v>
      </c>
    </row>
    <row r="795" spans="1:7" x14ac:dyDescent="0.3">
      <c r="A795" t="s">
        <v>68</v>
      </c>
      <c r="B795">
        <v>6</v>
      </c>
      <c r="C795" t="s">
        <v>11</v>
      </c>
      <c r="D795">
        <v>400</v>
      </c>
      <c r="E795" t="s">
        <v>10</v>
      </c>
      <c r="F795">
        <v>1.5</v>
      </c>
      <c r="G795">
        <v>5</v>
      </c>
    </row>
    <row r="796" spans="1:7" x14ac:dyDescent="0.3">
      <c r="A796" t="s">
        <v>68</v>
      </c>
      <c r="B796">
        <v>6</v>
      </c>
      <c r="C796" t="s">
        <v>11</v>
      </c>
      <c r="D796">
        <v>800</v>
      </c>
      <c r="E796" t="s">
        <v>10</v>
      </c>
      <c r="F796">
        <v>1.6</v>
      </c>
      <c r="G796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1"/>
  <sheetViews>
    <sheetView tabSelected="1" workbookViewId="0">
      <pane ySplit="1" topLeftCell="A686" activePane="bottomLeft" state="frozen"/>
      <selection pane="bottomLeft" activeCell="H1" sqref="H1:H1048576"/>
    </sheetView>
  </sheetViews>
  <sheetFormatPr defaultRowHeight="13.5" x14ac:dyDescent="0.3"/>
  <cols>
    <col min="1" max="1" width="24.86328125" customWidth="1"/>
  </cols>
  <sheetData>
    <row r="1" spans="1:7" s="5" customFormat="1" ht="13.9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25</v>
      </c>
      <c r="B2">
        <v>21</v>
      </c>
      <c r="C2" t="s">
        <v>8</v>
      </c>
      <c r="D2">
        <v>500</v>
      </c>
      <c r="E2" t="s">
        <v>12</v>
      </c>
      <c r="F2">
        <f>0.95/1.15</f>
        <v>0.82608695652173914</v>
      </c>
      <c r="G2">
        <v>27</v>
      </c>
    </row>
    <row r="3" spans="1:7" x14ac:dyDescent="0.3">
      <c r="A3" t="s">
        <v>25</v>
      </c>
      <c r="B3">
        <v>21</v>
      </c>
      <c r="C3" t="s">
        <v>8</v>
      </c>
      <c r="D3">
        <v>1000</v>
      </c>
      <c r="E3" t="s">
        <v>12</v>
      </c>
      <c r="F3">
        <f>0.8/1.15</f>
        <v>0.69565217391304357</v>
      </c>
      <c r="G3">
        <v>27</v>
      </c>
    </row>
    <row r="4" spans="1:7" x14ac:dyDescent="0.3">
      <c r="A4" t="s">
        <v>25</v>
      </c>
      <c r="B4">
        <v>21</v>
      </c>
      <c r="C4" t="s">
        <v>8</v>
      </c>
      <c r="D4">
        <v>2000</v>
      </c>
      <c r="E4" t="s">
        <v>12</v>
      </c>
      <c r="F4">
        <f>0.7/1.15</f>
        <v>0.60869565217391308</v>
      </c>
      <c r="G4">
        <v>27</v>
      </c>
    </row>
    <row r="5" spans="1:7" x14ac:dyDescent="0.3">
      <c r="A5" t="s">
        <v>25</v>
      </c>
      <c r="B5">
        <v>21</v>
      </c>
      <c r="C5" t="s">
        <v>8</v>
      </c>
      <c r="D5">
        <v>4000</v>
      </c>
      <c r="E5" t="s">
        <v>12</v>
      </c>
      <c r="F5">
        <f>0.45/1.15</f>
        <v>0.39130434782608697</v>
      </c>
      <c r="G5">
        <v>27</v>
      </c>
    </row>
    <row r="6" spans="1:7" x14ac:dyDescent="0.3">
      <c r="A6" t="s">
        <v>25</v>
      </c>
      <c r="B6">
        <v>21</v>
      </c>
      <c r="C6" t="s">
        <v>8</v>
      </c>
      <c r="D6">
        <v>8000</v>
      </c>
      <c r="E6" t="s">
        <v>12</v>
      </c>
      <c r="F6">
        <f>0.44/1.15</f>
        <v>0.38260869565217392</v>
      </c>
      <c r="G6">
        <v>27</v>
      </c>
    </row>
    <row r="7" spans="1:7" x14ac:dyDescent="0.3">
      <c r="A7" t="s">
        <v>25</v>
      </c>
      <c r="B7">
        <v>21</v>
      </c>
      <c r="C7" t="s">
        <v>8</v>
      </c>
      <c r="D7">
        <v>500</v>
      </c>
      <c r="E7" t="s">
        <v>9</v>
      </c>
      <c r="F7">
        <f>2.6/2.7</f>
        <v>0.96296296296296291</v>
      </c>
      <c r="G7">
        <v>27</v>
      </c>
    </row>
    <row r="8" spans="1:7" x14ac:dyDescent="0.3">
      <c r="A8" t="s">
        <v>25</v>
      </c>
      <c r="B8">
        <v>21</v>
      </c>
      <c r="C8" t="s">
        <v>8</v>
      </c>
      <c r="D8">
        <v>1000</v>
      </c>
      <c r="E8" t="s">
        <v>9</v>
      </c>
      <c r="F8">
        <f>2.4/2.7</f>
        <v>0.88888888888888884</v>
      </c>
      <c r="G8">
        <v>27</v>
      </c>
    </row>
    <row r="9" spans="1:7" x14ac:dyDescent="0.3">
      <c r="A9" t="s">
        <v>25</v>
      </c>
      <c r="B9">
        <v>21</v>
      </c>
      <c r="C9" t="s">
        <v>8</v>
      </c>
      <c r="D9">
        <v>2000</v>
      </c>
      <c r="E9" t="s">
        <v>9</v>
      </c>
      <c r="F9">
        <f>2.3/2.7</f>
        <v>0.85185185185185175</v>
      </c>
      <c r="G9">
        <v>27</v>
      </c>
    </row>
    <row r="10" spans="1:7" x14ac:dyDescent="0.3">
      <c r="A10" t="s">
        <v>25</v>
      </c>
      <c r="B10">
        <v>21</v>
      </c>
      <c r="C10" t="s">
        <v>8</v>
      </c>
      <c r="D10">
        <v>4000</v>
      </c>
      <c r="E10" t="s">
        <v>9</v>
      </c>
      <c r="F10">
        <f>1.7/2.7</f>
        <v>0.62962962962962954</v>
      </c>
      <c r="G10">
        <v>27</v>
      </c>
    </row>
    <row r="11" spans="1:7" x14ac:dyDescent="0.3">
      <c r="A11" t="s">
        <v>25</v>
      </c>
      <c r="B11">
        <v>21</v>
      </c>
      <c r="C11" t="s">
        <v>8</v>
      </c>
      <c r="D11">
        <v>8000</v>
      </c>
      <c r="E11" t="s">
        <v>9</v>
      </c>
      <c r="F11">
        <f>1.44/2.7</f>
        <v>0.53333333333333333</v>
      </c>
      <c r="G11">
        <v>27</v>
      </c>
    </row>
    <row r="12" spans="1:7" x14ac:dyDescent="0.3">
      <c r="A12" t="s">
        <v>25</v>
      </c>
      <c r="B12">
        <v>21</v>
      </c>
      <c r="C12" t="s">
        <v>8</v>
      </c>
      <c r="D12">
        <v>500</v>
      </c>
      <c r="E12" t="s">
        <v>9</v>
      </c>
      <c r="F12">
        <f>0.7/0.71</f>
        <v>0.9859154929577465</v>
      </c>
      <c r="G12">
        <v>27</v>
      </c>
    </row>
    <row r="13" spans="1:7" x14ac:dyDescent="0.3">
      <c r="A13" t="s">
        <v>25</v>
      </c>
      <c r="B13">
        <v>21</v>
      </c>
      <c r="C13" t="s">
        <v>8</v>
      </c>
      <c r="D13">
        <v>1000</v>
      </c>
      <c r="E13" t="s">
        <v>9</v>
      </c>
      <c r="F13">
        <f>0.69/0.71</f>
        <v>0.97183098591549288</v>
      </c>
      <c r="G13">
        <v>27</v>
      </c>
    </row>
    <row r="14" spans="1:7" x14ac:dyDescent="0.3">
      <c r="A14" t="s">
        <v>25</v>
      </c>
      <c r="B14">
        <v>21</v>
      </c>
      <c r="C14" t="s">
        <v>8</v>
      </c>
      <c r="D14">
        <v>2000</v>
      </c>
      <c r="E14" t="s">
        <v>9</v>
      </c>
      <c r="F14">
        <f>0.67/0.71</f>
        <v>0.94366197183098599</v>
      </c>
      <c r="G14">
        <v>27</v>
      </c>
    </row>
    <row r="15" spans="1:7" x14ac:dyDescent="0.3">
      <c r="A15" t="s">
        <v>25</v>
      </c>
      <c r="B15">
        <v>21</v>
      </c>
      <c r="C15" t="s">
        <v>8</v>
      </c>
      <c r="D15">
        <v>4000</v>
      </c>
      <c r="E15" t="s">
        <v>9</v>
      </c>
      <c r="F15">
        <f>0.62/0.71</f>
        <v>0.87323943661971837</v>
      </c>
      <c r="G15">
        <v>27</v>
      </c>
    </row>
    <row r="16" spans="1:7" x14ac:dyDescent="0.3">
      <c r="A16" t="s">
        <v>25</v>
      </c>
      <c r="B16">
        <v>21</v>
      </c>
      <c r="C16" t="s">
        <v>8</v>
      </c>
      <c r="D16">
        <v>8000</v>
      </c>
      <c r="E16" t="s">
        <v>9</v>
      </c>
      <c r="F16">
        <f>0.58/0.71</f>
        <v>0.81690140845070425</v>
      </c>
      <c r="G16">
        <v>27</v>
      </c>
    </row>
    <row r="17" spans="1:7" x14ac:dyDescent="0.3">
      <c r="A17" t="s">
        <v>25</v>
      </c>
      <c r="B17">
        <v>21</v>
      </c>
      <c r="C17" t="s">
        <v>8</v>
      </c>
      <c r="D17">
        <v>500</v>
      </c>
      <c r="E17" t="s">
        <v>9</v>
      </c>
      <c r="F17">
        <f>0.99</f>
        <v>0.99</v>
      </c>
      <c r="G17">
        <v>27</v>
      </c>
    </row>
    <row r="18" spans="1:7" x14ac:dyDescent="0.3">
      <c r="A18" t="s">
        <v>25</v>
      </c>
      <c r="B18">
        <v>21</v>
      </c>
      <c r="C18" t="s">
        <v>8</v>
      </c>
      <c r="D18">
        <v>1000</v>
      </c>
      <c r="E18" t="s">
        <v>9</v>
      </c>
      <c r="F18">
        <f>0.98</f>
        <v>0.98</v>
      </c>
      <c r="G18">
        <v>27</v>
      </c>
    </row>
    <row r="19" spans="1:7" x14ac:dyDescent="0.3">
      <c r="A19" t="s">
        <v>25</v>
      </c>
      <c r="B19">
        <v>21</v>
      </c>
      <c r="C19" t="s">
        <v>8</v>
      </c>
      <c r="D19">
        <v>2000</v>
      </c>
      <c r="E19" t="s">
        <v>9</v>
      </c>
      <c r="F19">
        <f>0.97</f>
        <v>0.97</v>
      </c>
      <c r="G19">
        <v>27</v>
      </c>
    </row>
    <row r="20" spans="1:7" x14ac:dyDescent="0.3">
      <c r="A20" t="s">
        <v>25</v>
      </c>
      <c r="B20">
        <v>21</v>
      </c>
      <c r="C20" t="s">
        <v>8</v>
      </c>
      <c r="D20">
        <v>4000</v>
      </c>
      <c r="E20" t="s">
        <v>9</v>
      </c>
      <c r="F20">
        <f>0.92</f>
        <v>0.92</v>
      </c>
      <c r="G20">
        <v>27</v>
      </c>
    </row>
    <row r="21" spans="1:7" x14ac:dyDescent="0.3">
      <c r="A21" t="s">
        <v>25</v>
      </c>
      <c r="B21">
        <v>21</v>
      </c>
      <c r="C21" t="s">
        <v>8</v>
      </c>
      <c r="D21">
        <v>8000</v>
      </c>
      <c r="E21" t="s">
        <v>9</v>
      </c>
      <c r="F21">
        <f>0.79</f>
        <v>0.79</v>
      </c>
      <c r="G21">
        <v>27</v>
      </c>
    </row>
    <row r="22" spans="1:7" x14ac:dyDescent="0.3">
      <c r="A22" t="s">
        <v>25</v>
      </c>
      <c r="B22">
        <v>21</v>
      </c>
      <c r="C22" t="s">
        <v>8</v>
      </c>
      <c r="D22">
        <v>500</v>
      </c>
      <c r="E22" t="s">
        <v>10</v>
      </c>
      <c r="F22">
        <v>1.379</v>
      </c>
      <c r="G22">
        <v>27</v>
      </c>
    </row>
    <row r="23" spans="1:7" x14ac:dyDescent="0.3">
      <c r="A23" t="s">
        <v>25</v>
      </c>
      <c r="B23">
        <v>21</v>
      </c>
      <c r="C23" t="s">
        <v>8</v>
      </c>
      <c r="D23">
        <v>1000</v>
      </c>
      <c r="E23" t="s">
        <v>10</v>
      </c>
      <c r="F23">
        <v>1.8</v>
      </c>
      <c r="G23">
        <v>27</v>
      </c>
    </row>
    <row r="24" spans="1:7" x14ac:dyDescent="0.3">
      <c r="A24" t="s">
        <v>25</v>
      </c>
      <c r="B24">
        <v>21</v>
      </c>
      <c r="C24" t="s">
        <v>8</v>
      </c>
      <c r="D24">
        <v>2000</v>
      </c>
      <c r="E24" t="s">
        <v>10</v>
      </c>
      <c r="F24">
        <v>2.0276000000000001</v>
      </c>
      <c r="G24">
        <v>27</v>
      </c>
    </row>
    <row r="25" spans="1:7" x14ac:dyDescent="0.3">
      <c r="A25" t="s">
        <v>25</v>
      </c>
      <c r="B25">
        <v>21</v>
      </c>
      <c r="C25" t="s">
        <v>8</v>
      </c>
      <c r="D25">
        <v>4000</v>
      </c>
      <c r="E25" t="s">
        <v>10</v>
      </c>
      <c r="F25">
        <v>2.0206</v>
      </c>
      <c r="G25">
        <v>27</v>
      </c>
    </row>
    <row r="26" spans="1:7" x14ac:dyDescent="0.3">
      <c r="A26" t="s">
        <v>25</v>
      </c>
      <c r="B26">
        <v>21</v>
      </c>
      <c r="C26" t="s">
        <v>8</v>
      </c>
      <c r="D26">
        <v>8000</v>
      </c>
      <c r="E26" t="s">
        <v>10</v>
      </c>
      <c r="F26">
        <v>2.23448</v>
      </c>
      <c r="G26">
        <v>27</v>
      </c>
    </row>
    <row r="27" spans="1:7" x14ac:dyDescent="0.3">
      <c r="A27" t="s">
        <v>25</v>
      </c>
      <c r="B27">
        <v>21</v>
      </c>
      <c r="C27" t="s">
        <v>11</v>
      </c>
      <c r="D27">
        <v>500</v>
      </c>
      <c r="E27" t="s">
        <v>10</v>
      </c>
      <c r="F27">
        <v>1.1481481481481399</v>
      </c>
      <c r="G27">
        <v>27</v>
      </c>
    </row>
    <row r="28" spans="1:7" x14ac:dyDescent="0.3">
      <c r="A28" t="s">
        <v>25</v>
      </c>
      <c r="B28">
        <v>21</v>
      </c>
      <c r="C28" t="s">
        <v>11</v>
      </c>
      <c r="D28">
        <v>1000</v>
      </c>
      <c r="E28" t="s">
        <v>10</v>
      </c>
      <c r="F28">
        <v>1.1480999999999999</v>
      </c>
      <c r="G28">
        <v>27</v>
      </c>
    </row>
    <row r="29" spans="1:7" x14ac:dyDescent="0.3">
      <c r="A29" t="s">
        <v>25</v>
      </c>
      <c r="B29">
        <v>21</v>
      </c>
      <c r="C29" t="s">
        <v>11</v>
      </c>
      <c r="D29">
        <v>2000</v>
      </c>
      <c r="E29" t="s">
        <v>10</v>
      </c>
      <c r="F29">
        <v>0.88800000000000001</v>
      </c>
      <c r="G29">
        <v>27</v>
      </c>
    </row>
    <row r="30" spans="1:7" x14ac:dyDescent="0.3">
      <c r="A30" t="s">
        <v>25</v>
      </c>
      <c r="B30">
        <v>21</v>
      </c>
      <c r="C30" t="s">
        <v>11</v>
      </c>
      <c r="D30">
        <v>4000</v>
      </c>
      <c r="E30" t="s">
        <v>10</v>
      </c>
      <c r="F30">
        <v>1.111</v>
      </c>
      <c r="G30">
        <v>27</v>
      </c>
    </row>
    <row r="31" spans="1:7" x14ac:dyDescent="0.3">
      <c r="A31" t="s">
        <v>25</v>
      </c>
      <c r="B31">
        <v>21</v>
      </c>
      <c r="C31" t="s">
        <v>11</v>
      </c>
      <c r="D31">
        <v>8000</v>
      </c>
      <c r="E31" t="s">
        <v>10</v>
      </c>
      <c r="F31">
        <v>1.407</v>
      </c>
      <c r="G31">
        <v>27</v>
      </c>
    </row>
    <row r="32" spans="1:7" x14ac:dyDescent="0.3">
      <c r="A32" t="s">
        <v>25</v>
      </c>
      <c r="B32">
        <v>21</v>
      </c>
      <c r="C32" t="s">
        <v>8</v>
      </c>
      <c r="D32">
        <v>500</v>
      </c>
      <c r="E32" t="s">
        <v>10</v>
      </c>
      <c r="F32">
        <f>1.225</f>
        <v>1.2250000000000001</v>
      </c>
      <c r="G32">
        <v>27</v>
      </c>
    </row>
    <row r="33" spans="1:7" x14ac:dyDescent="0.3">
      <c r="A33" t="s">
        <v>25</v>
      </c>
      <c r="B33">
        <v>21</v>
      </c>
      <c r="C33" t="s">
        <v>8</v>
      </c>
      <c r="D33">
        <v>1000</v>
      </c>
      <c r="E33" t="s">
        <v>10</v>
      </c>
      <c r="F33">
        <v>1.889</v>
      </c>
      <c r="G33">
        <v>27</v>
      </c>
    </row>
    <row r="34" spans="1:7" x14ac:dyDescent="0.3">
      <c r="A34" t="s">
        <v>25</v>
      </c>
      <c r="B34">
        <v>21</v>
      </c>
      <c r="C34" t="s">
        <v>8</v>
      </c>
      <c r="D34">
        <v>2000</v>
      </c>
      <c r="E34" t="s">
        <v>10</v>
      </c>
      <c r="F34">
        <v>2.7667999999999999</v>
      </c>
      <c r="G34">
        <v>27</v>
      </c>
    </row>
    <row r="35" spans="1:7" x14ac:dyDescent="0.3">
      <c r="A35" t="s">
        <v>25</v>
      </c>
      <c r="B35">
        <v>21</v>
      </c>
      <c r="C35" t="s">
        <v>8</v>
      </c>
      <c r="D35">
        <v>4000</v>
      </c>
      <c r="E35" t="s">
        <v>10</v>
      </c>
      <c r="F35">
        <v>2.1659999999999999</v>
      </c>
      <c r="G35">
        <v>27</v>
      </c>
    </row>
    <row r="36" spans="1:7" x14ac:dyDescent="0.3">
      <c r="A36" t="s">
        <v>25</v>
      </c>
      <c r="B36">
        <v>21</v>
      </c>
      <c r="C36" t="s">
        <v>8</v>
      </c>
      <c r="D36">
        <v>8000</v>
      </c>
      <c r="E36" t="s">
        <v>10</v>
      </c>
      <c r="F36">
        <v>1.7629999999999999</v>
      </c>
      <c r="G36">
        <v>27</v>
      </c>
    </row>
    <row r="37" spans="1:7" x14ac:dyDescent="0.3">
      <c r="A37" t="s">
        <v>25</v>
      </c>
      <c r="B37">
        <v>21</v>
      </c>
      <c r="C37" t="s">
        <v>11</v>
      </c>
      <c r="D37">
        <v>500</v>
      </c>
      <c r="E37" t="s">
        <v>10</v>
      </c>
      <c r="F37">
        <v>1.143</v>
      </c>
      <c r="G37">
        <v>27</v>
      </c>
    </row>
    <row r="38" spans="1:7" x14ac:dyDescent="0.3">
      <c r="A38" t="s">
        <v>25</v>
      </c>
      <c r="B38">
        <v>21</v>
      </c>
      <c r="C38" t="s">
        <v>11</v>
      </c>
      <c r="D38">
        <v>1000</v>
      </c>
      <c r="E38" t="s">
        <v>10</v>
      </c>
      <c r="F38">
        <v>1.714</v>
      </c>
      <c r="G38">
        <v>27</v>
      </c>
    </row>
    <row r="39" spans="1:7" x14ac:dyDescent="0.3">
      <c r="A39" t="s">
        <v>25</v>
      </c>
      <c r="B39">
        <v>21</v>
      </c>
      <c r="C39" t="s">
        <v>11</v>
      </c>
      <c r="D39">
        <v>2000</v>
      </c>
      <c r="E39" t="s">
        <v>10</v>
      </c>
      <c r="F39">
        <v>1.7142857</v>
      </c>
      <c r="G39">
        <v>27</v>
      </c>
    </row>
    <row r="40" spans="1:7" x14ac:dyDescent="0.3">
      <c r="A40" t="s">
        <v>25</v>
      </c>
      <c r="B40">
        <v>21</v>
      </c>
      <c r="C40" t="s">
        <v>11</v>
      </c>
      <c r="D40">
        <v>4000</v>
      </c>
      <c r="E40" t="s">
        <v>10</v>
      </c>
      <c r="F40">
        <v>2.286</v>
      </c>
      <c r="G40">
        <v>27</v>
      </c>
    </row>
    <row r="41" spans="1:7" x14ac:dyDescent="0.3">
      <c r="A41" t="s">
        <v>25</v>
      </c>
      <c r="B41">
        <v>21</v>
      </c>
      <c r="C41" t="s">
        <v>11</v>
      </c>
      <c r="D41">
        <v>8000</v>
      </c>
      <c r="E41" t="s">
        <v>10</v>
      </c>
      <c r="F41">
        <v>1.7142999999999999</v>
      </c>
      <c r="G41">
        <v>27</v>
      </c>
    </row>
    <row r="42" spans="1:7" x14ac:dyDescent="0.3">
      <c r="A42" t="s">
        <v>25</v>
      </c>
      <c r="B42">
        <v>21</v>
      </c>
      <c r="C42" t="s">
        <v>11</v>
      </c>
      <c r="D42">
        <v>500</v>
      </c>
      <c r="E42" t="s">
        <v>10</v>
      </c>
      <c r="F42">
        <v>2.0190000000000001</v>
      </c>
      <c r="G42">
        <v>27</v>
      </c>
    </row>
    <row r="43" spans="1:7" x14ac:dyDescent="0.3">
      <c r="A43" t="s">
        <v>25</v>
      </c>
      <c r="B43">
        <v>21</v>
      </c>
      <c r="C43" t="s">
        <v>11</v>
      </c>
      <c r="D43">
        <v>1000</v>
      </c>
      <c r="E43" t="s">
        <v>10</v>
      </c>
      <c r="F43">
        <v>3.7690000000000001</v>
      </c>
      <c r="G43">
        <v>27</v>
      </c>
    </row>
    <row r="44" spans="1:7" x14ac:dyDescent="0.3">
      <c r="A44" t="s">
        <v>25</v>
      </c>
      <c r="B44">
        <v>21</v>
      </c>
      <c r="C44" t="s">
        <v>11</v>
      </c>
      <c r="D44">
        <v>2000</v>
      </c>
      <c r="E44" t="s">
        <v>10</v>
      </c>
      <c r="F44">
        <v>6.98</v>
      </c>
      <c r="G44">
        <v>27</v>
      </c>
    </row>
    <row r="45" spans="1:7" x14ac:dyDescent="0.3">
      <c r="A45" t="s">
        <v>25</v>
      </c>
      <c r="B45">
        <v>21</v>
      </c>
      <c r="C45" t="s">
        <v>11</v>
      </c>
      <c r="D45">
        <v>4000</v>
      </c>
      <c r="E45" t="s">
        <v>10</v>
      </c>
      <c r="F45">
        <v>10.83</v>
      </c>
      <c r="G45">
        <v>27</v>
      </c>
    </row>
    <row r="46" spans="1:7" x14ac:dyDescent="0.3">
      <c r="A46" t="s">
        <v>25</v>
      </c>
      <c r="B46">
        <v>21</v>
      </c>
      <c r="C46" t="s">
        <v>11</v>
      </c>
      <c r="D46">
        <v>8000</v>
      </c>
      <c r="E46" t="s">
        <v>10</v>
      </c>
      <c r="F46">
        <v>7.02</v>
      </c>
      <c r="G46">
        <v>27</v>
      </c>
    </row>
    <row r="47" spans="1:7" x14ac:dyDescent="0.3">
      <c r="A47" t="s">
        <v>25</v>
      </c>
      <c r="B47">
        <v>21</v>
      </c>
      <c r="C47" t="s">
        <v>8</v>
      </c>
      <c r="D47">
        <v>500</v>
      </c>
      <c r="E47" t="s">
        <v>10</v>
      </c>
      <c r="F47">
        <v>1.806</v>
      </c>
      <c r="G47">
        <v>27</v>
      </c>
    </row>
    <row r="48" spans="1:7" x14ac:dyDescent="0.3">
      <c r="A48" t="s">
        <v>25</v>
      </c>
      <c r="B48">
        <v>21</v>
      </c>
      <c r="C48" t="s">
        <v>8</v>
      </c>
      <c r="D48">
        <v>1000</v>
      </c>
      <c r="E48" t="s">
        <v>10</v>
      </c>
      <c r="F48">
        <v>2.556</v>
      </c>
      <c r="G48">
        <v>27</v>
      </c>
    </row>
    <row r="49" spans="1:7" x14ac:dyDescent="0.3">
      <c r="A49" t="s">
        <v>25</v>
      </c>
      <c r="B49">
        <v>21</v>
      </c>
      <c r="C49" t="s">
        <v>8</v>
      </c>
      <c r="D49">
        <v>2000</v>
      </c>
      <c r="E49" t="s">
        <v>10</v>
      </c>
      <c r="F49">
        <v>7.6669999999999998</v>
      </c>
      <c r="G49">
        <v>27</v>
      </c>
    </row>
    <row r="50" spans="1:7" x14ac:dyDescent="0.3">
      <c r="A50" t="s">
        <v>25</v>
      </c>
      <c r="B50">
        <v>21</v>
      </c>
      <c r="C50" t="s">
        <v>8</v>
      </c>
      <c r="D50">
        <v>4000</v>
      </c>
      <c r="E50" t="s">
        <v>10</v>
      </c>
      <c r="F50">
        <v>9.86</v>
      </c>
      <c r="G50">
        <v>27</v>
      </c>
    </row>
    <row r="51" spans="1:7" x14ac:dyDescent="0.3">
      <c r="A51" t="s">
        <v>25</v>
      </c>
      <c r="B51">
        <v>21</v>
      </c>
      <c r="C51" t="s">
        <v>8</v>
      </c>
      <c r="D51">
        <v>8000</v>
      </c>
      <c r="E51" t="s">
        <v>10</v>
      </c>
      <c r="F51">
        <v>7.3333000000000004</v>
      </c>
      <c r="G51">
        <v>27</v>
      </c>
    </row>
    <row r="52" spans="1:7" x14ac:dyDescent="0.3">
      <c r="A52" t="s">
        <v>25</v>
      </c>
      <c r="B52">
        <v>21</v>
      </c>
      <c r="C52" t="s">
        <v>8</v>
      </c>
      <c r="D52">
        <v>500</v>
      </c>
      <c r="E52" t="s">
        <v>10</v>
      </c>
      <c r="F52">
        <v>1.514</v>
      </c>
      <c r="G52">
        <v>27</v>
      </c>
    </row>
    <row r="53" spans="1:7" x14ac:dyDescent="0.3">
      <c r="A53" t="s">
        <v>25</v>
      </c>
      <c r="B53">
        <v>21</v>
      </c>
      <c r="C53" t="s">
        <v>8</v>
      </c>
      <c r="D53">
        <v>1000</v>
      </c>
      <c r="E53" t="s">
        <v>10</v>
      </c>
      <c r="F53">
        <v>1.458</v>
      </c>
      <c r="G53">
        <v>27</v>
      </c>
    </row>
    <row r="54" spans="1:7" x14ac:dyDescent="0.3">
      <c r="A54" t="s">
        <v>25</v>
      </c>
      <c r="B54">
        <v>21</v>
      </c>
      <c r="C54" t="s">
        <v>8</v>
      </c>
      <c r="D54">
        <v>2000</v>
      </c>
      <c r="E54" t="s">
        <v>10</v>
      </c>
      <c r="F54">
        <v>2.1775699999999998</v>
      </c>
      <c r="G54">
        <v>27</v>
      </c>
    </row>
    <row r="55" spans="1:7" x14ac:dyDescent="0.3">
      <c r="A55" t="s">
        <v>25</v>
      </c>
      <c r="B55">
        <v>21</v>
      </c>
      <c r="C55" t="s">
        <v>8</v>
      </c>
      <c r="D55">
        <v>4000</v>
      </c>
      <c r="E55" t="s">
        <v>10</v>
      </c>
      <c r="F55">
        <v>2.6728999999999998</v>
      </c>
      <c r="G55">
        <v>27</v>
      </c>
    </row>
    <row r="56" spans="1:7" x14ac:dyDescent="0.3">
      <c r="A56" t="s">
        <v>25</v>
      </c>
      <c r="B56">
        <v>21</v>
      </c>
      <c r="C56" t="s">
        <v>8</v>
      </c>
      <c r="D56">
        <v>8000</v>
      </c>
      <c r="E56" t="s">
        <v>10</v>
      </c>
      <c r="F56">
        <v>2.8690000000000002</v>
      </c>
      <c r="G56">
        <v>27</v>
      </c>
    </row>
    <row r="57" spans="1:7" x14ac:dyDescent="0.3">
      <c r="A57" t="s">
        <v>25</v>
      </c>
      <c r="B57">
        <v>21</v>
      </c>
      <c r="C57" t="s">
        <v>11</v>
      </c>
      <c r="D57">
        <v>500</v>
      </c>
      <c r="E57" t="s">
        <v>10</v>
      </c>
      <c r="F57">
        <v>1.7656000000000001</v>
      </c>
      <c r="G57">
        <v>27</v>
      </c>
    </row>
    <row r="58" spans="1:7" x14ac:dyDescent="0.3">
      <c r="A58" t="s">
        <v>25</v>
      </c>
      <c r="B58">
        <v>21</v>
      </c>
      <c r="C58" t="s">
        <v>11</v>
      </c>
      <c r="D58">
        <v>1000</v>
      </c>
      <c r="E58" t="s">
        <v>10</v>
      </c>
      <c r="F58">
        <v>1.89</v>
      </c>
      <c r="G58">
        <v>27</v>
      </c>
    </row>
    <row r="59" spans="1:7" x14ac:dyDescent="0.3">
      <c r="A59" t="s">
        <v>25</v>
      </c>
      <c r="B59">
        <v>21</v>
      </c>
      <c r="C59" t="s">
        <v>11</v>
      </c>
      <c r="D59">
        <v>2000</v>
      </c>
      <c r="E59" t="s">
        <v>10</v>
      </c>
      <c r="F59">
        <v>2.39</v>
      </c>
      <c r="G59">
        <v>27</v>
      </c>
    </row>
    <row r="60" spans="1:7" x14ac:dyDescent="0.3">
      <c r="A60" t="s">
        <v>25</v>
      </c>
      <c r="B60">
        <v>21</v>
      </c>
      <c r="C60" t="s">
        <v>11</v>
      </c>
      <c r="D60">
        <v>4000</v>
      </c>
      <c r="E60" t="s">
        <v>10</v>
      </c>
      <c r="F60">
        <v>2.91</v>
      </c>
      <c r="G60">
        <v>27</v>
      </c>
    </row>
    <row r="61" spans="1:7" s="1" customFormat="1" ht="13.9" thickBot="1" x14ac:dyDescent="0.35">
      <c r="A61" s="1" t="s">
        <v>25</v>
      </c>
      <c r="B61" s="1">
        <v>21</v>
      </c>
      <c r="C61" s="1" t="s">
        <v>11</v>
      </c>
      <c r="D61">
        <v>8000</v>
      </c>
      <c r="E61" s="1" t="s">
        <v>10</v>
      </c>
      <c r="F61" s="1">
        <v>3.82</v>
      </c>
      <c r="G61" s="1">
        <v>27</v>
      </c>
    </row>
    <row r="62" spans="1:7" x14ac:dyDescent="0.3">
      <c r="A62" t="s">
        <v>26</v>
      </c>
      <c r="B62" s="2">
        <v>10</v>
      </c>
      <c r="C62" s="2" t="s">
        <v>11</v>
      </c>
      <c r="D62" s="2">
        <v>5000</v>
      </c>
      <c r="E62" s="2" t="s">
        <v>12</v>
      </c>
      <c r="F62" s="2">
        <v>0.82</v>
      </c>
      <c r="G62" s="2">
        <v>28</v>
      </c>
    </row>
    <row r="63" spans="1:7" x14ac:dyDescent="0.3">
      <c r="A63" t="s">
        <v>26</v>
      </c>
      <c r="B63" s="2">
        <v>10</v>
      </c>
      <c r="C63" s="2" t="s">
        <v>11</v>
      </c>
      <c r="D63" s="2">
        <v>10000</v>
      </c>
      <c r="E63" s="2" t="s">
        <v>12</v>
      </c>
      <c r="F63" s="2">
        <v>0.71479999999999999</v>
      </c>
      <c r="G63" s="2">
        <v>28</v>
      </c>
    </row>
    <row r="64" spans="1:7" x14ac:dyDescent="0.3">
      <c r="A64" t="s">
        <v>26</v>
      </c>
      <c r="B64" s="2">
        <v>10</v>
      </c>
      <c r="C64" s="2" t="s">
        <v>11</v>
      </c>
      <c r="D64" s="2">
        <v>20000</v>
      </c>
      <c r="E64" s="2" t="s">
        <v>12</v>
      </c>
      <c r="F64" s="2">
        <v>0.51559999999999995</v>
      </c>
      <c r="G64" s="2">
        <v>28</v>
      </c>
    </row>
    <row r="65" spans="1:7" x14ac:dyDescent="0.3">
      <c r="A65" t="s">
        <v>26</v>
      </c>
      <c r="B65" s="2">
        <v>10</v>
      </c>
      <c r="C65" s="2" t="s">
        <v>8</v>
      </c>
      <c r="D65" s="2">
        <v>5000</v>
      </c>
      <c r="E65" s="2" t="s">
        <v>12</v>
      </c>
      <c r="F65" s="2">
        <v>0.98799999999999999</v>
      </c>
      <c r="G65" s="2">
        <v>28</v>
      </c>
    </row>
    <row r="66" spans="1:7" x14ac:dyDescent="0.3">
      <c r="A66" t="s">
        <v>26</v>
      </c>
      <c r="B66" s="2">
        <v>10</v>
      </c>
      <c r="C66" s="2" t="s">
        <v>8</v>
      </c>
      <c r="D66" s="2">
        <v>10000</v>
      </c>
      <c r="E66" s="2" t="s">
        <v>12</v>
      </c>
      <c r="F66" s="2">
        <v>0.92900000000000005</v>
      </c>
      <c r="G66" s="2">
        <v>28</v>
      </c>
    </row>
    <row r="67" spans="1:7" x14ac:dyDescent="0.3">
      <c r="A67" t="s">
        <v>26</v>
      </c>
      <c r="B67" s="2">
        <v>10</v>
      </c>
      <c r="C67" s="2" t="s">
        <v>8</v>
      </c>
      <c r="D67" s="2">
        <v>20000</v>
      </c>
      <c r="E67" s="2" t="s">
        <v>12</v>
      </c>
      <c r="F67" s="2">
        <v>0.65880000000000005</v>
      </c>
      <c r="G67" s="2">
        <v>28</v>
      </c>
    </row>
    <row r="68" spans="1:7" x14ac:dyDescent="0.3">
      <c r="A68" t="s">
        <v>26</v>
      </c>
      <c r="B68" s="2">
        <v>10</v>
      </c>
      <c r="C68" s="2" t="s">
        <v>8</v>
      </c>
      <c r="D68" s="2">
        <v>5000</v>
      </c>
      <c r="E68" s="2" t="s">
        <v>10</v>
      </c>
      <c r="F68" s="2">
        <v>1.2323999999999999</v>
      </c>
      <c r="G68" s="2">
        <v>28</v>
      </c>
    </row>
    <row r="69" spans="1:7" x14ac:dyDescent="0.3">
      <c r="A69" t="s">
        <v>26</v>
      </c>
      <c r="B69" s="2">
        <v>10</v>
      </c>
      <c r="C69" s="2" t="s">
        <v>8</v>
      </c>
      <c r="D69" s="2">
        <v>10000</v>
      </c>
      <c r="E69" s="2" t="s">
        <v>10</v>
      </c>
      <c r="F69" s="2">
        <v>1.3297000000000001</v>
      </c>
      <c r="G69" s="2">
        <v>28</v>
      </c>
    </row>
    <row r="70" spans="1:7" x14ac:dyDescent="0.3">
      <c r="A70" t="s">
        <v>26</v>
      </c>
      <c r="B70" s="2">
        <v>10</v>
      </c>
      <c r="C70" s="2" t="s">
        <v>8</v>
      </c>
      <c r="D70" s="2">
        <v>20000</v>
      </c>
      <c r="E70" s="2" t="s">
        <v>10</v>
      </c>
      <c r="F70" s="2">
        <v>0.99460000000000004</v>
      </c>
      <c r="G70" s="2">
        <v>28</v>
      </c>
    </row>
    <row r="71" spans="1:7" x14ac:dyDescent="0.3">
      <c r="A71" t="s">
        <v>26</v>
      </c>
      <c r="B71" s="2">
        <v>10</v>
      </c>
      <c r="C71" s="2" t="s">
        <v>8</v>
      </c>
      <c r="D71" s="2">
        <v>5000</v>
      </c>
      <c r="E71" s="2" t="s">
        <v>10</v>
      </c>
      <c r="F71" s="2">
        <v>1.569</v>
      </c>
      <c r="G71" s="2">
        <v>28</v>
      </c>
    </row>
    <row r="72" spans="1:7" x14ac:dyDescent="0.3">
      <c r="A72" t="s">
        <v>26</v>
      </c>
      <c r="B72" s="2">
        <v>10</v>
      </c>
      <c r="C72" s="2" t="s">
        <v>8</v>
      </c>
      <c r="D72" s="2">
        <v>10000</v>
      </c>
      <c r="E72" s="2" t="s">
        <v>10</v>
      </c>
      <c r="F72" s="2">
        <v>1.323</v>
      </c>
      <c r="G72" s="2">
        <v>28</v>
      </c>
    </row>
    <row r="73" spans="1:7" x14ac:dyDescent="0.3">
      <c r="A73" t="s">
        <v>26</v>
      </c>
      <c r="B73" s="2">
        <v>10</v>
      </c>
      <c r="C73" s="2" t="s">
        <v>8</v>
      </c>
      <c r="D73" s="2">
        <v>20000</v>
      </c>
      <c r="E73" s="2" t="s">
        <v>10</v>
      </c>
      <c r="F73" s="2">
        <v>1.4871799999999999</v>
      </c>
      <c r="G73" s="2">
        <v>28</v>
      </c>
    </row>
    <row r="74" spans="1:7" x14ac:dyDescent="0.3">
      <c r="A74" t="s">
        <v>26</v>
      </c>
      <c r="B74" s="2">
        <v>10</v>
      </c>
      <c r="C74" s="2" t="s">
        <v>11</v>
      </c>
      <c r="D74" s="2">
        <v>5000</v>
      </c>
      <c r="E74" s="2" t="s">
        <v>10</v>
      </c>
      <c r="F74" s="2">
        <v>1.5246999999999999</v>
      </c>
      <c r="G74" s="2">
        <v>28</v>
      </c>
    </row>
    <row r="75" spans="1:7" x14ac:dyDescent="0.3">
      <c r="A75" t="s">
        <v>26</v>
      </c>
      <c r="B75" s="2">
        <v>10</v>
      </c>
      <c r="C75" s="2" t="s">
        <v>11</v>
      </c>
      <c r="D75" s="2">
        <v>10000</v>
      </c>
      <c r="E75" s="2" t="s">
        <v>10</v>
      </c>
      <c r="F75" s="2">
        <v>1.66</v>
      </c>
      <c r="G75" s="2">
        <v>28</v>
      </c>
    </row>
    <row r="76" spans="1:7" x14ac:dyDescent="0.3">
      <c r="A76" t="s">
        <v>26</v>
      </c>
      <c r="B76" s="2">
        <v>10</v>
      </c>
      <c r="C76" s="2" t="s">
        <v>11</v>
      </c>
      <c r="D76" s="2">
        <v>20000</v>
      </c>
      <c r="E76" s="2" t="s">
        <v>10</v>
      </c>
      <c r="F76" s="2">
        <v>1.228</v>
      </c>
      <c r="G76" s="2">
        <v>28</v>
      </c>
    </row>
    <row r="77" spans="1:7" x14ac:dyDescent="0.3">
      <c r="A77" t="s">
        <v>26</v>
      </c>
      <c r="B77" s="2">
        <v>10</v>
      </c>
      <c r="C77" s="2" t="s">
        <v>11</v>
      </c>
      <c r="D77" s="2">
        <v>5000</v>
      </c>
      <c r="E77" s="2" t="s">
        <v>10</v>
      </c>
      <c r="F77" s="2">
        <v>0.95760000000000001</v>
      </c>
      <c r="G77" s="2">
        <v>28</v>
      </c>
    </row>
    <row r="78" spans="1:7" x14ac:dyDescent="0.3">
      <c r="A78" t="s">
        <v>26</v>
      </c>
      <c r="B78" s="2">
        <v>10</v>
      </c>
      <c r="C78" s="2" t="s">
        <v>11</v>
      </c>
      <c r="D78" s="2">
        <v>10000</v>
      </c>
      <c r="E78" s="2" t="s">
        <v>10</v>
      </c>
      <c r="F78" s="2">
        <v>0.9929</v>
      </c>
      <c r="G78" s="2">
        <v>28</v>
      </c>
    </row>
    <row r="79" spans="1:7" x14ac:dyDescent="0.3">
      <c r="A79" t="s">
        <v>26</v>
      </c>
      <c r="B79" s="2">
        <v>10</v>
      </c>
      <c r="C79" s="2" t="s">
        <v>11</v>
      </c>
      <c r="D79" s="2">
        <v>20000</v>
      </c>
      <c r="E79" s="2" t="s">
        <v>10</v>
      </c>
      <c r="F79" s="2">
        <v>0.86570000000000003</v>
      </c>
      <c r="G79" s="2">
        <v>28</v>
      </c>
    </row>
    <row r="80" spans="1:7" x14ac:dyDescent="0.3">
      <c r="A80" t="s">
        <v>26</v>
      </c>
      <c r="B80" s="2">
        <v>10</v>
      </c>
      <c r="C80" s="2" t="s">
        <v>8</v>
      </c>
      <c r="D80" s="2">
        <v>5000</v>
      </c>
      <c r="E80" s="2" t="s">
        <v>10</v>
      </c>
      <c r="F80" s="2">
        <v>1.3035699999999999</v>
      </c>
      <c r="G80" s="2">
        <v>28</v>
      </c>
    </row>
    <row r="81" spans="1:7" x14ac:dyDescent="0.3">
      <c r="A81" t="s">
        <v>26</v>
      </c>
      <c r="B81" s="2">
        <v>10</v>
      </c>
      <c r="C81" s="2" t="s">
        <v>8</v>
      </c>
      <c r="D81" s="2">
        <v>10000</v>
      </c>
      <c r="E81" s="2" t="s">
        <v>10</v>
      </c>
      <c r="F81" s="2">
        <v>1.04762</v>
      </c>
      <c r="G81" s="2">
        <v>28</v>
      </c>
    </row>
    <row r="82" spans="1:7" x14ac:dyDescent="0.3">
      <c r="A82" t="s">
        <v>26</v>
      </c>
      <c r="B82" s="2">
        <v>10</v>
      </c>
      <c r="C82" s="2" t="s">
        <v>8</v>
      </c>
      <c r="D82" s="2">
        <v>20000</v>
      </c>
      <c r="E82" s="2" t="s">
        <v>10</v>
      </c>
      <c r="F82" s="2">
        <v>0.84499999999999997</v>
      </c>
      <c r="G82" s="2">
        <v>28</v>
      </c>
    </row>
    <row r="83" spans="1:7" x14ac:dyDescent="0.3">
      <c r="A83" t="s">
        <v>26</v>
      </c>
      <c r="B83" s="2">
        <v>10</v>
      </c>
      <c r="C83" s="2" t="s">
        <v>11</v>
      </c>
      <c r="D83" s="2">
        <v>5000</v>
      </c>
      <c r="E83" s="2" t="s">
        <v>10</v>
      </c>
      <c r="F83" s="2">
        <v>1.6268656699999999</v>
      </c>
      <c r="G83" s="2">
        <v>28</v>
      </c>
    </row>
    <row r="84" spans="1:7" x14ac:dyDescent="0.3">
      <c r="A84" t="s">
        <v>26</v>
      </c>
      <c r="B84" s="2">
        <v>10</v>
      </c>
      <c r="C84" s="2" t="s">
        <v>11</v>
      </c>
      <c r="D84" s="2">
        <v>10000</v>
      </c>
      <c r="E84" s="2" t="s">
        <v>10</v>
      </c>
      <c r="F84" s="2">
        <v>1.82</v>
      </c>
      <c r="G84" s="2">
        <v>28</v>
      </c>
    </row>
    <row r="85" spans="1:7" s="1" customFormat="1" ht="13.9" thickBot="1" x14ac:dyDescent="0.35">
      <c r="A85" s="1" t="s">
        <v>26</v>
      </c>
      <c r="B85" s="3">
        <v>10</v>
      </c>
      <c r="C85" s="3" t="s">
        <v>11</v>
      </c>
      <c r="D85" s="2">
        <v>20000</v>
      </c>
      <c r="E85" s="3" t="s">
        <v>10</v>
      </c>
      <c r="F85" s="3">
        <v>0.26869999999999999</v>
      </c>
      <c r="G85" s="3">
        <v>28</v>
      </c>
    </row>
    <row r="86" spans="1:7" x14ac:dyDescent="0.3">
      <c r="A86" t="s">
        <v>27</v>
      </c>
      <c r="B86" s="2">
        <v>8</v>
      </c>
      <c r="C86" s="2" t="s">
        <v>8</v>
      </c>
      <c r="D86">
        <v>2</v>
      </c>
      <c r="E86" s="2" t="s">
        <v>12</v>
      </c>
      <c r="F86">
        <f>17.71/17.11</f>
        <v>1.0350672121566336</v>
      </c>
      <c r="G86" s="2">
        <v>29</v>
      </c>
    </row>
    <row r="87" spans="1:7" x14ac:dyDescent="0.3">
      <c r="A87" t="s">
        <v>27</v>
      </c>
      <c r="B87" s="2">
        <v>8</v>
      </c>
      <c r="C87" s="2" t="s">
        <v>8</v>
      </c>
      <c r="D87">
        <v>20</v>
      </c>
      <c r="E87" s="2" t="s">
        <v>12</v>
      </c>
      <c r="F87">
        <f>1564/1711</f>
        <v>0.91408533021624783</v>
      </c>
      <c r="G87" s="2">
        <v>29</v>
      </c>
    </row>
    <row r="88" spans="1:7" x14ac:dyDescent="0.3">
      <c r="A88" t="s">
        <v>27</v>
      </c>
      <c r="B88" s="2">
        <v>8</v>
      </c>
      <c r="C88" s="2" t="s">
        <v>8</v>
      </c>
      <c r="D88">
        <v>200</v>
      </c>
      <c r="E88" s="2" t="s">
        <v>12</v>
      </c>
      <c r="F88">
        <f>1534/1711</f>
        <v>0.89655172413793105</v>
      </c>
      <c r="G88" s="2">
        <v>29</v>
      </c>
    </row>
    <row r="89" spans="1:7" x14ac:dyDescent="0.3">
      <c r="A89" t="s">
        <v>27</v>
      </c>
      <c r="B89" s="2">
        <v>8</v>
      </c>
      <c r="C89" s="2" t="s">
        <v>8</v>
      </c>
      <c r="D89">
        <v>800</v>
      </c>
      <c r="E89" s="2" t="s">
        <v>12</v>
      </c>
      <c r="F89">
        <f>919/1711</f>
        <v>0.53711279953243718</v>
      </c>
      <c r="G89" s="2">
        <v>29</v>
      </c>
    </row>
    <row r="90" spans="1:7" x14ac:dyDescent="0.3">
      <c r="A90" t="s">
        <v>27</v>
      </c>
      <c r="B90" s="2">
        <v>8</v>
      </c>
      <c r="C90" s="2" t="s">
        <v>8</v>
      </c>
      <c r="D90">
        <v>2</v>
      </c>
      <c r="E90" s="2" t="s">
        <v>12</v>
      </c>
      <c r="F90">
        <f>10726/9446</f>
        <v>1.1355070929493967</v>
      </c>
      <c r="G90" s="2">
        <v>29</v>
      </c>
    </row>
    <row r="91" spans="1:7" x14ac:dyDescent="0.3">
      <c r="A91" t="s">
        <v>27</v>
      </c>
      <c r="B91" s="2">
        <v>8</v>
      </c>
      <c r="C91" s="2" t="s">
        <v>8</v>
      </c>
      <c r="D91">
        <v>20</v>
      </c>
      <c r="E91" s="2" t="s">
        <v>12</v>
      </c>
      <c r="F91">
        <f>9943/9446</f>
        <v>1.0526148634342578</v>
      </c>
      <c r="G91" s="2">
        <v>29</v>
      </c>
    </row>
    <row r="92" spans="1:7" x14ac:dyDescent="0.3">
      <c r="A92" t="s">
        <v>27</v>
      </c>
      <c r="B92" s="2">
        <v>8</v>
      </c>
      <c r="C92" s="2" t="s">
        <v>8</v>
      </c>
      <c r="D92">
        <v>200</v>
      </c>
      <c r="E92" s="2" t="s">
        <v>12</v>
      </c>
      <c r="F92">
        <f>8331/9446</f>
        <v>0.88196061825111161</v>
      </c>
      <c r="G92" s="2">
        <v>29</v>
      </c>
    </row>
    <row r="93" spans="1:7" x14ac:dyDescent="0.3">
      <c r="A93" t="s">
        <v>27</v>
      </c>
      <c r="B93" s="2">
        <v>8</v>
      </c>
      <c r="C93" s="2" t="s">
        <v>8</v>
      </c>
      <c r="D93">
        <v>800</v>
      </c>
      <c r="E93" s="2" t="s">
        <v>12</v>
      </c>
      <c r="F93">
        <f>4407/9446</f>
        <v>0.4665466864281177</v>
      </c>
      <c r="G93" s="2">
        <v>29</v>
      </c>
    </row>
    <row r="94" spans="1:7" x14ac:dyDescent="0.3">
      <c r="A94" t="s">
        <v>27</v>
      </c>
      <c r="B94" s="2">
        <v>8</v>
      </c>
      <c r="C94" s="2" t="s">
        <v>11</v>
      </c>
      <c r="D94">
        <v>2</v>
      </c>
      <c r="E94" s="2" t="s">
        <v>12</v>
      </c>
      <c r="F94">
        <f>1247/1031</f>
        <v>1.2095053346265761</v>
      </c>
      <c r="G94" s="2">
        <v>29</v>
      </c>
    </row>
    <row r="95" spans="1:7" x14ac:dyDescent="0.3">
      <c r="A95" t="s">
        <v>27</v>
      </c>
      <c r="B95" s="2">
        <v>8</v>
      </c>
      <c r="C95" s="2" t="s">
        <v>11</v>
      </c>
      <c r="D95">
        <v>20</v>
      </c>
      <c r="E95" s="2" t="s">
        <v>12</v>
      </c>
      <c r="F95">
        <f>1037/1031</f>
        <v>1.0058195926285161</v>
      </c>
      <c r="G95" s="2">
        <v>29</v>
      </c>
    </row>
    <row r="96" spans="1:7" x14ac:dyDescent="0.3">
      <c r="A96" t="s">
        <v>27</v>
      </c>
      <c r="B96" s="2">
        <v>8</v>
      </c>
      <c r="C96" s="2" t="s">
        <v>11</v>
      </c>
      <c r="D96">
        <v>200</v>
      </c>
      <c r="E96" s="2" t="s">
        <v>12</v>
      </c>
      <c r="F96">
        <f>856/1031</f>
        <v>0.83026188166828319</v>
      </c>
      <c r="G96" s="2">
        <v>29</v>
      </c>
    </row>
    <row r="97" spans="1:7" x14ac:dyDescent="0.3">
      <c r="A97" t="s">
        <v>27</v>
      </c>
      <c r="B97" s="2">
        <v>8</v>
      </c>
      <c r="C97" s="2" t="s">
        <v>11</v>
      </c>
      <c r="D97">
        <v>800</v>
      </c>
      <c r="E97" s="2" t="s">
        <v>12</v>
      </c>
      <c r="F97">
        <f>687/1031</f>
        <v>0.66634335596508243</v>
      </c>
      <c r="G97" s="2">
        <v>29</v>
      </c>
    </row>
    <row r="98" spans="1:7" x14ac:dyDescent="0.3">
      <c r="A98" t="s">
        <v>27</v>
      </c>
      <c r="B98" s="2">
        <v>8</v>
      </c>
      <c r="C98" s="2" t="s">
        <v>11</v>
      </c>
      <c r="D98">
        <v>2</v>
      </c>
      <c r="E98" s="2" t="s">
        <v>12</v>
      </c>
      <c r="F98">
        <f>3190/2890</f>
        <v>1.1038062283737025</v>
      </c>
      <c r="G98" s="2">
        <v>29</v>
      </c>
    </row>
    <row r="99" spans="1:7" x14ac:dyDescent="0.3">
      <c r="A99" t="s">
        <v>27</v>
      </c>
      <c r="B99" s="2">
        <v>8</v>
      </c>
      <c r="C99" s="2" t="s">
        <v>11</v>
      </c>
      <c r="D99">
        <v>20</v>
      </c>
      <c r="E99" s="2" t="s">
        <v>12</v>
      </c>
      <c r="F99">
        <f>3114/2890</f>
        <v>1.0775086505190312</v>
      </c>
      <c r="G99" s="2">
        <v>29</v>
      </c>
    </row>
    <row r="100" spans="1:7" x14ac:dyDescent="0.3">
      <c r="A100" t="s">
        <v>27</v>
      </c>
      <c r="B100" s="2">
        <v>8</v>
      </c>
      <c r="C100" s="2" t="s">
        <v>11</v>
      </c>
      <c r="D100">
        <v>200</v>
      </c>
      <c r="E100" s="2" t="s">
        <v>12</v>
      </c>
      <c r="F100">
        <f>1459/2890</f>
        <v>0.50484429065743941</v>
      </c>
      <c r="G100" s="2">
        <v>29</v>
      </c>
    </row>
    <row r="101" spans="1:7" s="1" customFormat="1" ht="13.9" thickBot="1" x14ac:dyDescent="0.35">
      <c r="A101" s="1" t="s">
        <v>27</v>
      </c>
      <c r="B101" s="3">
        <v>8</v>
      </c>
      <c r="C101" s="3" t="s">
        <v>11</v>
      </c>
      <c r="D101" s="1">
        <v>800</v>
      </c>
      <c r="E101" s="3" t="s">
        <v>12</v>
      </c>
      <c r="F101" s="1">
        <f>1154/2890</f>
        <v>0.39930795847750866</v>
      </c>
      <c r="G101" s="3">
        <v>29</v>
      </c>
    </row>
    <row r="102" spans="1:7" x14ac:dyDescent="0.3">
      <c r="A102" t="s">
        <v>28</v>
      </c>
      <c r="B102" s="2">
        <v>7</v>
      </c>
      <c r="C102" s="2" t="s">
        <v>11</v>
      </c>
      <c r="D102" s="2">
        <v>10000</v>
      </c>
      <c r="E102" s="2" t="s">
        <v>12</v>
      </c>
      <c r="F102">
        <f>10/22.6</f>
        <v>0.44247787610619466</v>
      </c>
      <c r="G102" s="2">
        <v>30</v>
      </c>
    </row>
    <row r="103" spans="1:7" x14ac:dyDescent="0.3">
      <c r="A103" t="s">
        <v>29</v>
      </c>
      <c r="B103" s="2">
        <v>7</v>
      </c>
      <c r="C103" s="2" t="s">
        <v>11</v>
      </c>
      <c r="D103" s="2">
        <v>10000</v>
      </c>
      <c r="E103" s="2" t="s">
        <v>12</v>
      </c>
      <c r="F103">
        <f>14.8/22.6</f>
        <v>0.65486725663716816</v>
      </c>
      <c r="G103" s="2">
        <v>30</v>
      </c>
    </row>
    <row r="104" spans="1:7" x14ac:dyDescent="0.3">
      <c r="A104" t="s">
        <v>30</v>
      </c>
      <c r="B104" s="2">
        <v>7</v>
      </c>
      <c r="C104" s="2" t="s">
        <v>11</v>
      </c>
      <c r="D104" s="2">
        <v>10000</v>
      </c>
      <c r="E104" s="2" t="s">
        <v>12</v>
      </c>
      <c r="F104">
        <f>10.3/22.6</f>
        <v>0.45575221238938052</v>
      </c>
      <c r="G104" s="2">
        <v>30</v>
      </c>
    </row>
    <row r="105" spans="1:7" x14ac:dyDescent="0.3">
      <c r="A105" t="s">
        <v>31</v>
      </c>
      <c r="B105" s="2">
        <v>7</v>
      </c>
      <c r="C105" s="2" t="s">
        <v>11</v>
      </c>
      <c r="D105" s="2">
        <v>10000</v>
      </c>
      <c r="E105" s="2" t="s">
        <v>12</v>
      </c>
      <c r="F105">
        <f>8.3/22.6</f>
        <v>0.36725663716814161</v>
      </c>
      <c r="G105" s="2">
        <v>30</v>
      </c>
    </row>
    <row r="106" spans="1:7" x14ac:dyDescent="0.3">
      <c r="A106" t="s">
        <v>32</v>
      </c>
      <c r="B106" s="2">
        <v>7</v>
      </c>
      <c r="C106" s="2" t="s">
        <v>11</v>
      </c>
      <c r="D106" s="2">
        <v>10000</v>
      </c>
      <c r="E106" s="2" t="s">
        <v>12</v>
      </c>
      <c r="F106">
        <f>7.4/22.6</f>
        <v>0.32743362831858408</v>
      </c>
      <c r="G106" s="2">
        <v>30</v>
      </c>
    </row>
    <row r="107" spans="1:7" x14ac:dyDescent="0.3">
      <c r="A107" t="s">
        <v>28</v>
      </c>
      <c r="B107" s="2">
        <v>7</v>
      </c>
      <c r="C107" s="2" t="s">
        <v>11</v>
      </c>
      <c r="D107" s="2">
        <v>10000</v>
      </c>
      <c r="E107" s="2" t="s">
        <v>12</v>
      </c>
      <c r="F107">
        <f>0.6/3.1</f>
        <v>0.19354838709677419</v>
      </c>
      <c r="G107" s="2">
        <v>30</v>
      </c>
    </row>
    <row r="108" spans="1:7" x14ac:dyDescent="0.3">
      <c r="A108" t="s">
        <v>29</v>
      </c>
      <c r="B108" s="2">
        <v>7</v>
      </c>
      <c r="C108" s="2" t="s">
        <v>11</v>
      </c>
      <c r="D108" s="2">
        <v>10000</v>
      </c>
      <c r="E108" s="2" t="s">
        <v>12</v>
      </c>
      <c r="F108">
        <f>0.7/3.1</f>
        <v>0.22580645161290319</v>
      </c>
      <c r="G108" s="2">
        <v>30</v>
      </c>
    </row>
    <row r="109" spans="1:7" x14ac:dyDescent="0.3">
      <c r="A109" t="s">
        <v>30</v>
      </c>
      <c r="B109" s="2">
        <v>7</v>
      </c>
      <c r="C109" s="2" t="s">
        <v>11</v>
      </c>
      <c r="D109" s="2">
        <v>10000</v>
      </c>
      <c r="E109" s="2" t="s">
        <v>12</v>
      </c>
      <c r="F109">
        <f>1.4/3.1</f>
        <v>0.45161290322580638</v>
      </c>
      <c r="G109" s="2">
        <v>30</v>
      </c>
    </row>
    <row r="110" spans="1:7" x14ac:dyDescent="0.3">
      <c r="A110" t="s">
        <v>31</v>
      </c>
      <c r="B110" s="2">
        <v>7</v>
      </c>
      <c r="C110" s="2" t="s">
        <v>11</v>
      </c>
      <c r="D110" s="2">
        <v>10000</v>
      </c>
      <c r="E110" s="2" t="s">
        <v>12</v>
      </c>
      <c r="F110">
        <f>0.3/3.1</f>
        <v>9.6774193548387094E-2</v>
      </c>
      <c r="G110" s="2">
        <v>30</v>
      </c>
    </row>
    <row r="111" spans="1:7" x14ac:dyDescent="0.3">
      <c r="A111" t="s">
        <v>32</v>
      </c>
      <c r="B111" s="2">
        <v>7</v>
      </c>
      <c r="C111" s="2" t="s">
        <v>11</v>
      </c>
      <c r="D111" s="2">
        <v>10000</v>
      </c>
      <c r="E111" s="2" t="s">
        <v>12</v>
      </c>
      <c r="F111">
        <f>0.3/3.1</f>
        <v>9.6774193548387094E-2</v>
      </c>
      <c r="G111" s="2">
        <v>30</v>
      </c>
    </row>
    <row r="112" spans="1:7" x14ac:dyDescent="0.3">
      <c r="A112" t="s">
        <v>28</v>
      </c>
      <c r="B112" s="2">
        <v>7</v>
      </c>
      <c r="C112" s="2" t="s">
        <v>8</v>
      </c>
      <c r="D112" s="2">
        <v>10000</v>
      </c>
      <c r="E112" s="2" t="s">
        <v>12</v>
      </c>
      <c r="F112">
        <f>141/323</f>
        <v>0.43653250773993807</v>
      </c>
      <c r="G112" s="2">
        <v>30</v>
      </c>
    </row>
    <row r="113" spans="1:7" x14ac:dyDescent="0.3">
      <c r="A113" t="s">
        <v>29</v>
      </c>
      <c r="B113" s="2">
        <v>7</v>
      </c>
      <c r="C113" s="2" t="s">
        <v>8</v>
      </c>
      <c r="D113" s="2">
        <v>10000</v>
      </c>
      <c r="E113" s="2" t="s">
        <v>12</v>
      </c>
      <c r="F113">
        <f>176/323</f>
        <v>0.54489164086687303</v>
      </c>
      <c r="G113" s="2">
        <v>30</v>
      </c>
    </row>
    <row r="114" spans="1:7" x14ac:dyDescent="0.3">
      <c r="A114" t="s">
        <v>30</v>
      </c>
      <c r="B114" s="2">
        <v>7</v>
      </c>
      <c r="C114" s="2" t="s">
        <v>8</v>
      </c>
      <c r="D114" s="2">
        <v>10000</v>
      </c>
      <c r="E114" s="2" t="s">
        <v>12</v>
      </c>
      <c r="F114">
        <f>170/323</f>
        <v>0.52631578947368418</v>
      </c>
      <c r="G114" s="2">
        <v>30</v>
      </c>
    </row>
    <row r="115" spans="1:7" x14ac:dyDescent="0.3">
      <c r="A115" t="s">
        <v>31</v>
      </c>
      <c r="B115" s="2">
        <v>7</v>
      </c>
      <c r="C115" s="2" t="s">
        <v>8</v>
      </c>
      <c r="D115" s="2">
        <v>10000</v>
      </c>
      <c r="E115" s="2" t="s">
        <v>12</v>
      </c>
      <c r="F115">
        <f>171/323</f>
        <v>0.52941176470588236</v>
      </c>
      <c r="G115" s="2">
        <v>30</v>
      </c>
    </row>
    <row r="116" spans="1:7" x14ac:dyDescent="0.3">
      <c r="A116" t="s">
        <v>32</v>
      </c>
      <c r="B116" s="2">
        <v>7</v>
      </c>
      <c r="C116" s="2" t="s">
        <v>8</v>
      </c>
      <c r="D116" s="2">
        <v>10000</v>
      </c>
      <c r="E116" s="2" t="s">
        <v>12</v>
      </c>
      <c r="F116">
        <f>109/323</f>
        <v>0.33746130030959753</v>
      </c>
      <c r="G116" s="2">
        <v>30</v>
      </c>
    </row>
    <row r="117" spans="1:7" x14ac:dyDescent="0.3">
      <c r="A117" t="s">
        <v>28</v>
      </c>
      <c r="B117" s="2">
        <v>7</v>
      </c>
      <c r="C117" s="2" t="s">
        <v>8</v>
      </c>
      <c r="D117" s="2">
        <v>10000</v>
      </c>
      <c r="E117" s="2" t="s">
        <v>12</v>
      </c>
      <c r="F117">
        <f>10/48</f>
        <v>0.20833333333333334</v>
      </c>
      <c r="G117" s="2">
        <v>30</v>
      </c>
    </row>
    <row r="118" spans="1:7" x14ac:dyDescent="0.3">
      <c r="A118" t="s">
        <v>29</v>
      </c>
      <c r="B118" s="2">
        <v>7</v>
      </c>
      <c r="C118" s="2" t="s">
        <v>8</v>
      </c>
      <c r="D118" s="2">
        <v>10000</v>
      </c>
      <c r="E118" s="2" t="s">
        <v>12</v>
      </c>
      <c r="F118">
        <f>17/48</f>
        <v>0.35416666666666669</v>
      </c>
      <c r="G118" s="2">
        <v>30</v>
      </c>
    </row>
    <row r="119" spans="1:7" x14ac:dyDescent="0.3">
      <c r="A119" t="s">
        <v>30</v>
      </c>
      <c r="B119" s="2">
        <v>7</v>
      </c>
      <c r="C119" s="2" t="s">
        <v>8</v>
      </c>
      <c r="D119" s="2">
        <v>10000</v>
      </c>
      <c r="E119" s="2" t="s">
        <v>12</v>
      </c>
      <c r="F119">
        <f>30/48</f>
        <v>0.625</v>
      </c>
      <c r="G119" s="2">
        <v>30</v>
      </c>
    </row>
    <row r="120" spans="1:7" x14ac:dyDescent="0.3">
      <c r="A120" t="s">
        <v>31</v>
      </c>
      <c r="B120" s="2">
        <v>7</v>
      </c>
      <c r="C120" s="2" t="s">
        <v>8</v>
      </c>
      <c r="D120" s="2">
        <v>10000</v>
      </c>
      <c r="E120" s="2" t="s">
        <v>12</v>
      </c>
      <c r="F120">
        <f>18/48</f>
        <v>0.375</v>
      </c>
      <c r="G120" s="2">
        <v>30</v>
      </c>
    </row>
    <row r="121" spans="1:7" x14ac:dyDescent="0.3">
      <c r="A121" t="s">
        <v>32</v>
      </c>
      <c r="B121" s="2">
        <v>7</v>
      </c>
      <c r="C121" s="2" t="s">
        <v>8</v>
      </c>
      <c r="D121" s="2">
        <v>10000</v>
      </c>
      <c r="E121" s="2" t="s">
        <v>12</v>
      </c>
      <c r="F121">
        <f>12/48</f>
        <v>0.25</v>
      </c>
      <c r="G121" s="2">
        <v>30</v>
      </c>
    </row>
    <row r="122" spans="1:7" x14ac:dyDescent="0.3">
      <c r="A122" t="s">
        <v>28</v>
      </c>
      <c r="B122" s="2">
        <v>7</v>
      </c>
      <c r="C122" s="2" t="s">
        <v>8</v>
      </c>
      <c r="D122" s="2">
        <v>10000</v>
      </c>
      <c r="E122" s="2" t="s">
        <v>12</v>
      </c>
      <c r="F122">
        <f>0.723</f>
        <v>0.72299999999999998</v>
      </c>
      <c r="G122" s="2">
        <v>30</v>
      </c>
    </row>
    <row r="123" spans="1:7" x14ac:dyDescent="0.3">
      <c r="A123" t="s">
        <v>29</v>
      </c>
      <c r="B123" s="2">
        <v>7</v>
      </c>
      <c r="C123" s="2" t="s">
        <v>8</v>
      </c>
      <c r="D123" s="2">
        <v>10000</v>
      </c>
      <c r="E123" s="2" t="s">
        <v>12</v>
      </c>
      <c r="F123">
        <v>0.74639999999999995</v>
      </c>
      <c r="G123" s="2">
        <v>30</v>
      </c>
    </row>
    <row r="124" spans="1:7" x14ac:dyDescent="0.3">
      <c r="A124" t="s">
        <v>30</v>
      </c>
      <c r="B124" s="2">
        <v>7</v>
      </c>
      <c r="C124" s="2" t="s">
        <v>8</v>
      </c>
      <c r="D124" s="2">
        <v>10000</v>
      </c>
      <c r="E124" s="2" t="s">
        <v>12</v>
      </c>
      <c r="F124">
        <v>0.58850000000000002</v>
      </c>
      <c r="G124" s="2">
        <v>30</v>
      </c>
    </row>
    <row r="125" spans="1:7" x14ac:dyDescent="0.3">
      <c r="A125" t="s">
        <v>31</v>
      </c>
      <c r="B125" s="2">
        <v>7</v>
      </c>
      <c r="C125" s="2" t="s">
        <v>8</v>
      </c>
      <c r="D125" s="2">
        <v>10000</v>
      </c>
      <c r="E125" s="2" t="s">
        <v>12</v>
      </c>
      <c r="F125">
        <v>0.69379999999999997</v>
      </c>
      <c r="G125" s="2">
        <v>30</v>
      </c>
    </row>
    <row r="126" spans="1:7" x14ac:dyDescent="0.3">
      <c r="A126" t="s">
        <v>32</v>
      </c>
      <c r="B126" s="2">
        <v>7</v>
      </c>
      <c r="C126" s="2" t="s">
        <v>8</v>
      </c>
      <c r="D126" s="2">
        <v>10000</v>
      </c>
      <c r="E126" s="2" t="s">
        <v>12</v>
      </c>
      <c r="F126">
        <v>0.72726999999999997</v>
      </c>
      <c r="G126" s="2">
        <v>30</v>
      </c>
    </row>
    <row r="127" spans="1:7" x14ac:dyDescent="0.3">
      <c r="A127" t="s">
        <v>28</v>
      </c>
      <c r="B127" s="2">
        <v>7</v>
      </c>
      <c r="C127" s="2" t="s">
        <v>8</v>
      </c>
      <c r="D127" s="2">
        <v>10000</v>
      </c>
      <c r="E127" s="2" t="s">
        <v>12</v>
      </c>
      <c r="F127">
        <v>0.70369999999999999</v>
      </c>
      <c r="G127" s="2">
        <v>30</v>
      </c>
    </row>
    <row r="128" spans="1:7" x14ac:dyDescent="0.3">
      <c r="A128" t="s">
        <v>29</v>
      </c>
      <c r="B128" s="2">
        <v>7</v>
      </c>
      <c r="C128" s="2" t="s">
        <v>8</v>
      </c>
      <c r="D128" s="2">
        <v>10000</v>
      </c>
      <c r="E128" s="2" t="s">
        <v>12</v>
      </c>
      <c r="F128">
        <v>0.87036999999999998</v>
      </c>
      <c r="G128" s="2">
        <v>30</v>
      </c>
    </row>
    <row r="129" spans="1:7" x14ac:dyDescent="0.3">
      <c r="A129" t="s">
        <v>30</v>
      </c>
      <c r="B129" s="2">
        <v>7</v>
      </c>
      <c r="C129" s="2" t="s">
        <v>8</v>
      </c>
      <c r="D129" s="2">
        <v>10000</v>
      </c>
      <c r="E129" s="2" t="s">
        <v>12</v>
      </c>
      <c r="F129">
        <v>0.70399999999999996</v>
      </c>
      <c r="G129" s="2">
        <v>30</v>
      </c>
    </row>
    <row r="130" spans="1:7" x14ac:dyDescent="0.3">
      <c r="A130" t="s">
        <v>31</v>
      </c>
      <c r="B130" s="2">
        <v>7</v>
      </c>
      <c r="C130" s="2" t="s">
        <v>8</v>
      </c>
      <c r="D130" s="2">
        <v>10000</v>
      </c>
      <c r="E130" s="2" t="s">
        <v>12</v>
      </c>
      <c r="F130">
        <v>0.91666999999999998</v>
      </c>
      <c r="G130" s="2">
        <v>30</v>
      </c>
    </row>
    <row r="131" spans="1:7" s="1" customFormat="1" ht="13.9" thickBot="1" x14ac:dyDescent="0.35">
      <c r="A131" s="1" t="s">
        <v>32</v>
      </c>
      <c r="B131" s="3">
        <v>7</v>
      </c>
      <c r="C131" s="3" t="s">
        <v>8</v>
      </c>
      <c r="D131" s="2">
        <v>10000</v>
      </c>
      <c r="E131" s="3" t="s">
        <v>12</v>
      </c>
      <c r="F131" s="1">
        <v>0.86109999999999998</v>
      </c>
      <c r="G131" s="3">
        <v>30</v>
      </c>
    </row>
    <row r="132" spans="1:7" x14ac:dyDescent="0.3">
      <c r="A132" t="s">
        <v>26</v>
      </c>
      <c r="B132" s="2">
        <v>2</v>
      </c>
      <c r="C132" s="2" t="s">
        <v>8</v>
      </c>
      <c r="D132" s="2">
        <v>1</v>
      </c>
      <c r="E132" s="2" t="s">
        <v>12</v>
      </c>
      <c r="F132">
        <f>861/765</f>
        <v>1.1254901960784314</v>
      </c>
      <c r="G132" s="2">
        <v>31</v>
      </c>
    </row>
    <row r="133" spans="1:7" x14ac:dyDescent="0.3">
      <c r="A133" t="s">
        <v>26</v>
      </c>
      <c r="B133" s="2">
        <v>2</v>
      </c>
      <c r="C133" s="2" t="s">
        <v>8</v>
      </c>
      <c r="D133" s="2">
        <v>10</v>
      </c>
      <c r="E133" s="2" t="s">
        <v>12</v>
      </c>
      <c r="F133">
        <f>629/765</f>
        <v>0.82222222222222219</v>
      </c>
      <c r="G133" s="2">
        <v>31</v>
      </c>
    </row>
    <row r="134" spans="1:7" x14ac:dyDescent="0.3">
      <c r="A134" t="s">
        <v>26</v>
      </c>
      <c r="B134" s="2">
        <v>2</v>
      </c>
      <c r="C134" s="2" t="s">
        <v>8</v>
      </c>
      <c r="D134" s="2">
        <v>100</v>
      </c>
      <c r="E134" s="2" t="s">
        <v>12</v>
      </c>
      <c r="F134">
        <f>57/765</f>
        <v>7.4509803921568626E-2</v>
      </c>
      <c r="G134" s="2">
        <v>31</v>
      </c>
    </row>
    <row r="135" spans="1:7" x14ac:dyDescent="0.3">
      <c r="A135" t="s">
        <v>26</v>
      </c>
      <c r="B135" s="2">
        <v>2</v>
      </c>
      <c r="C135" s="2" t="s">
        <v>8</v>
      </c>
      <c r="D135" s="2">
        <v>1000</v>
      </c>
      <c r="E135" s="2" t="s">
        <v>12</v>
      </c>
      <c r="F135">
        <f>1/765</f>
        <v>1.30718954248366E-3</v>
      </c>
      <c r="G135" s="2">
        <v>31</v>
      </c>
    </row>
    <row r="136" spans="1:7" x14ac:dyDescent="0.3">
      <c r="A136" t="s">
        <v>26</v>
      </c>
      <c r="B136" s="2">
        <v>2</v>
      </c>
      <c r="C136" s="2" t="s">
        <v>8</v>
      </c>
      <c r="D136" s="2">
        <v>10000</v>
      </c>
      <c r="E136" s="2" t="s">
        <v>12</v>
      </c>
      <c r="F136">
        <f>0.00001</f>
        <v>1.0000000000000001E-5</v>
      </c>
      <c r="G136" s="2">
        <v>31</v>
      </c>
    </row>
    <row r="137" spans="1:7" x14ac:dyDescent="0.3">
      <c r="A137" t="s">
        <v>31</v>
      </c>
      <c r="B137" s="2">
        <v>2</v>
      </c>
      <c r="C137" s="2" t="s">
        <v>8</v>
      </c>
      <c r="D137" s="2">
        <v>1</v>
      </c>
      <c r="E137" s="2" t="s">
        <v>12</v>
      </c>
      <c r="F137">
        <f>681/772</f>
        <v>0.88212435233160624</v>
      </c>
      <c r="G137" s="2">
        <v>31</v>
      </c>
    </row>
    <row r="138" spans="1:7" x14ac:dyDescent="0.3">
      <c r="A138" t="s">
        <v>31</v>
      </c>
      <c r="B138" s="2">
        <v>2</v>
      </c>
      <c r="C138" s="2" t="s">
        <v>8</v>
      </c>
      <c r="D138" s="2">
        <v>10</v>
      </c>
      <c r="E138" s="2" t="s">
        <v>12</v>
      </c>
      <c r="F138">
        <f>897/772</f>
        <v>1.1619170984455958</v>
      </c>
      <c r="G138" s="2">
        <v>31</v>
      </c>
    </row>
    <row r="139" spans="1:7" x14ac:dyDescent="0.3">
      <c r="A139" t="s">
        <v>31</v>
      </c>
      <c r="B139" s="2">
        <v>2</v>
      </c>
      <c r="C139" s="2" t="s">
        <v>8</v>
      </c>
      <c r="D139" s="2">
        <v>100</v>
      </c>
      <c r="E139" s="2" t="s">
        <v>12</v>
      </c>
      <c r="F139">
        <f>873/772</f>
        <v>1.1308290155440415</v>
      </c>
      <c r="G139" s="2">
        <v>31</v>
      </c>
    </row>
    <row r="140" spans="1:7" x14ac:dyDescent="0.3">
      <c r="A140" t="s">
        <v>31</v>
      </c>
      <c r="B140" s="2">
        <v>2</v>
      </c>
      <c r="C140" s="2" t="s">
        <v>8</v>
      </c>
      <c r="D140" s="2">
        <v>1000</v>
      </c>
      <c r="E140" s="2" t="s">
        <v>12</v>
      </c>
      <c r="F140">
        <f>773/772</f>
        <v>1.0012953367875648</v>
      </c>
      <c r="G140" s="2">
        <v>31</v>
      </c>
    </row>
    <row r="141" spans="1:7" x14ac:dyDescent="0.3">
      <c r="A141" t="s">
        <v>31</v>
      </c>
      <c r="B141" s="2">
        <v>2</v>
      </c>
      <c r="C141" s="2" t="s">
        <v>8</v>
      </c>
      <c r="D141" s="2">
        <v>10000</v>
      </c>
      <c r="E141" s="2" t="s">
        <v>12</v>
      </c>
      <c r="F141">
        <f>605/772</f>
        <v>0.78367875647668395</v>
      </c>
      <c r="G141" s="2">
        <v>31</v>
      </c>
    </row>
    <row r="142" spans="1:7" x14ac:dyDescent="0.3">
      <c r="A142" t="s">
        <v>33</v>
      </c>
      <c r="B142" s="2">
        <v>2</v>
      </c>
      <c r="C142" s="2" t="s">
        <v>8</v>
      </c>
      <c r="D142" s="2">
        <v>1</v>
      </c>
      <c r="E142" s="2" t="s">
        <v>12</v>
      </c>
      <c r="F142">
        <f>715/386</f>
        <v>1.8523316062176165</v>
      </c>
      <c r="G142" s="2">
        <v>31</v>
      </c>
    </row>
    <row r="143" spans="1:7" x14ac:dyDescent="0.3">
      <c r="A143" t="s">
        <v>33</v>
      </c>
      <c r="B143" s="2">
        <v>2</v>
      </c>
      <c r="C143" s="2" t="s">
        <v>8</v>
      </c>
      <c r="D143" s="2">
        <v>10</v>
      </c>
      <c r="E143" s="2" t="s">
        <v>12</v>
      </c>
      <c r="F143">
        <f>764/386</f>
        <v>1.9792746113989637</v>
      </c>
      <c r="G143" s="2">
        <v>31</v>
      </c>
    </row>
    <row r="144" spans="1:7" x14ac:dyDescent="0.3">
      <c r="A144" t="s">
        <v>33</v>
      </c>
      <c r="B144" s="2">
        <v>2</v>
      </c>
      <c r="C144" s="2" t="s">
        <v>8</v>
      </c>
      <c r="D144" s="2">
        <v>100</v>
      </c>
      <c r="E144" s="2" t="s">
        <v>12</v>
      </c>
      <c r="F144">
        <f>702/386</f>
        <v>1.8186528497409327</v>
      </c>
      <c r="G144" s="2">
        <v>31</v>
      </c>
    </row>
    <row r="145" spans="1:7" x14ac:dyDescent="0.3">
      <c r="A145" t="s">
        <v>33</v>
      </c>
      <c r="B145" s="2">
        <v>2</v>
      </c>
      <c r="C145" s="2" t="s">
        <v>8</v>
      </c>
      <c r="D145" s="2">
        <v>1000</v>
      </c>
      <c r="E145" s="2" t="s">
        <v>12</v>
      </c>
      <c r="F145">
        <f>546/386</f>
        <v>1.4145077720207253</v>
      </c>
      <c r="G145" s="2">
        <v>31</v>
      </c>
    </row>
    <row r="146" spans="1:7" x14ac:dyDescent="0.3">
      <c r="A146" t="s">
        <v>33</v>
      </c>
      <c r="B146" s="2">
        <v>2</v>
      </c>
      <c r="C146" s="2" t="s">
        <v>8</v>
      </c>
      <c r="D146" s="2">
        <v>10000</v>
      </c>
      <c r="E146" s="2" t="s">
        <v>12</v>
      </c>
      <c r="F146">
        <f>43/386</f>
        <v>0.11139896373056994</v>
      </c>
      <c r="G146" s="2">
        <v>31</v>
      </c>
    </row>
    <row r="147" spans="1:7" x14ac:dyDescent="0.3">
      <c r="A147" t="s">
        <v>26</v>
      </c>
      <c r="B147" s="2">
        <v>2</v>
      </c>
      <c r="C147" s="2" t="s">
        <v>11</v>
      </c>
      <c r="D147" s="2">
        <v>1</v>
      </c>
      <c r="E147" s="2" t="s">
        <v>12</v>
      </c>
      <c r="F147">
        <f>623/345</f>
        <v>1.8057971014492753</v>
      </c>
      <c r="G147" s="2">
        <v>31</v>
      </c>
    </row>
    <row r="148" spans="1:7" x14ac:dyDescent="0.3">
      <c r="A148" t="s">
        <v>26</v>
      </c>
      <c r="B148" s="2">
        <v>2</v>
      </c>
      <c r="C148" s="2" t="s">
        <v>11</v>
      </c>
      <c r="D148" s="2">
        <v>10</v>
      </c>
      <c r="E148" s="2" t="s">
        <v>12</v>
      </c>
      <c r="F148">
        <f>472/345</f>
        <v>1.3681159420289855</v>
      </c>
      <c r="G148" s="2">
        <v>31</v>
      </c>
    </row>
    <row r="149" spans="1:7" x14ac:dyDescent="0.3">
      <c r="A149" t="s">
        <v>26</v>
      </c>
      <c r="B149" s="2">
        <v>2</v>
      </c>
      <c r="C149" s="2" t="s">
        <v>11</v>
      </c>
      <c r="D149" s="2">
        <v>100</v>
      </c>
      <c r="E149" s="2" t="s">
        <v>12</v>
      </c>
      <c r="F149">
        <f>15/345</f>
        <v>4.3478260869565216E-2</v>
      </c>
      <c r="G149" s="2">
        <v>31</v>
      </c>
    </row>
    <row r="150" spans="1:7" x14ac:dyDescent="0.3">
      <c r="A150" t="s">
        <v>26</v>
      </c>
      <c r="B150" s="2">
        <v>2</v>
      </c>
      <c r="C150" s="2" t="s">
        <v>11</v>
      </c>
      <c r="D150" s="2">
        <v>1000</v>
      </c>
      <c r="E150" s="2" t="s">
        <v>12</v>
      </c>
      <c r="F150">
        <f>3/345</f>
        <v>8.6956521739130436E-3</v>
      </c>
      <c r="G150" s="2">
        <v>31</v>
      </c>
    </row>
    <row r="151" spans="1:7" x14ac:dyDescent="0.3">
      <c r="A151" t="s">
        <v>26</v>
      </c>
      <c r="B151" s="2">
        <v>2</v>
      </c>
      <c r="C151" s="2" t="s">
        <v>11</v>
      </c>
      <c r="D151" s="2">
        <v>10000</v>
      </c>
      <c r="E151" s="2" t="s">
        <v>12</v>
      </c>
      <c r="F151">
        <f>1/345</f>
        <v>2.8985507246376812E-3</v>
      </c>
      <c r="G151" s="2">
        <v>31</v>
      </c>
    </row>
    <row r="152" spans="1:7" x14ac:dyDescent="0.3">
      <c r="A152" t="s">
        <v>31</v>
      </c>
      <c r="B152" s="2">
        <v>2</v>
      </c>
      <c r="C152" s="2" t="s">
        <v>11</v>
      </c>
      <c r="D152" s="2">
        <v>1</v>
      </c>
      <c r="E152" s="2" t="s">
        <v>12</v>
      </c>
      <c r="F152">
        <f>458/529</f>
        <v>0.86578449905482047</v>
      </c>
      <c r="G152" s="2">
        <v>31</v>
      </c>
    </row>
    <row r="153" spans="1:7" x14ac:dyDescent="0.3">
      <c r="A153" t="s">
        <v>31</v>
      </c>
      <c r="B153" s="2">
        <v>2</v>
      </c>
      <c r="C153" s="2" t="s">
        <v>11</v>
      </c>
      <c r="D153" s="2">
        <v>10</v>
      </c>
      <c r="E153" s="2" t="s">
        <v>12</v>
      </c>
      <c r="F153">
        <f>701/529</f>
        <v>1.3251417769376181</v>
      </c>
      <c r="G153" s="2">
        <v>31</v>
      </c>
    </row>
    <row r="154" spans="1:7" x14ac:dyDescent="0.3">
      <c r="A154" t="s">
        <v>31</v>
      </c>
      <c r="B154" s="2">
        <v>2</v>
      </c>
      <c r="C154" s="2" t="s">
        <v>11</v>
      </c>
      <c r="D154" s="2">
        <v>100</v>
      </c>
      <c r="E154" s="2" t="s">
        <v>12</v>
      </c>
      <c r="F154">
        <f>796/529</f>
        <v>1.5047258979206048</v>
      </c>
      <c r="G154" s="2">
        <v>31</v>
      </c>
    </row>
    <row r="155" spans="1:7" x14ac:dyDescent="0.3">
      <c r="A155" t="s">
        <v>31</v>
      </c>
      <c r="B155" s="2">
        <v>2</v>
      </c>
      <c r="C155" s="2" t="s">
        <v>11</v>
      </c>
      <c r="D155" s="2">
        <v>1000</v>
      </c>
      <c r="E155" s="2" t="s">
        <v>12</v>
      </c>
      <c r="F155">
        <f>650/529</f>
        <v>1.2287334593572778</v>
      </c>
      <c r="G155" s="2">
        <v>31</v>
      </c>
    </row>
    <row r="156" spans="1:7" x14ac:dyDescent="0.3">
      <c r="A156" t="s">
        <v>31</v>
      </c>
      <c r="B156" s="2">
        <v>2</v>
      </c>
      <c r="C156" s="2" t="s">
        <v>11</v>
      </c>
      <c r="D156" s="2">
        <v>10000</v>
      </c>
      <c r="E156" s="2" t="s">
        <v>12</v>
      </c>
      <c r="F156">
        <f>745/529</f>
        <v>1.4083175803402646</v>
      </c>
      <c r="G156" s="2">
        <v>31</v>
      </c>
    </row>
    <row r="157" spans="1:7" x14ac:dyDescent="0.3">
      <c r="A157" t="s">
        <v>33</v>
      </c>
      <c r="B157" s="2">
        <v>2</v>
      </c>
      <c r="C157" s="2" t="s">
        <v>11</v>
      </c>
      <c r="D157" s="2">
        <v>1</v>
      </c>
      <c r="E157" s="2" t="s">
        <v>12</v>
      </c>
      <c r="F157">
        <f>640/431</f>
        <v>1.4849187935034802</v>
      </c>
      <c r="G157" s="2">
        <v>31</v>
      </c>
    </row>
    <row r="158" spans="1:7" x14ac:dyDescent="0.3">
      <c r="A158" t="s">
        <v>33</v>
      </c>
      <c r="B158" s="2">
        <v>2</v>
      </c>
      <c r="C158" s="2" t="s">
        <v>11</v>
      </c>
      <c r="D158" s="2">
        <v>10</v>
      </c>
      <c r="E158" s="2" t="s">
        <v>12</v>
      </c>
      <c r="F158" s="2">
        <f>450/431</f>
        <v>1.0440835266821347</v>
      </c>
      <c r="G158" s="2">
        <v>31</v>
      </c>
    </row>
    <row r="159" spans="1:7" x14ac:dyDescent="0.3">
      <c r="A159" t="s">
        <v>33</v>
      </c>
      <c r="B159" s="2">
        <v>2</v>
      </c>
      <c r="C159" s="2" t="s">
        <v>11</v>
      </c>
      <c r="D159" s="2">
        <v>100</v>
      </c>
      <c r="E159" s="2" t="s">
        <v>12</v>
      </c>
      <c r="F159">
        <f>304/431</f>
        <v>0.7053364269141531</v>
      </c>
      <c r="G159" s="2">
        <v>31</v>
      </c>
    </row>
    <row r="160" spans="1:7" x14ac:dyDescent="0.3">
      <c r="A160" t="s">
        <v>33</v>
      </c>
      <c r="B160" s="2">
        <v>2</v>
      </c>
      <c r="C160" s="2" t="s">
        <v>11</v>
      </c>
      <c r="D160" s="2">
        <v>1000</v>
      </c>
      <c r="E160" s="2" t="s">
        <v>12</v>
      </c>
      <c r="F160">
        <f>204/431</f>
        <v>0.47331786542923432</v>
      </c>
      <c r="G160" s="2">
        <v>31</v>
      </c>
    </row>
    <row r="161" spans="1:7" s="1" customFormat="1" ht="13.9" thickBot="1" x14ac:dyDescent="0.35">
      <c r="A161" s="1" t="s">
        <v>33</v>
      </c>
      <c r="B161" s="3">
        <v>2</v>
      </c>
      <c r="C161" s="3" t="s">
        <v>11</v>
      </c>
      <c r="D161" s="3">
        <v>10000</v>
      </c>
      <c r="E161" s="3" t="s">
        <v>12</v>
      </c>
      <c r="F161" s="1">
        <f>1/431</f>
        <v>2.3201856148491878E-3</v>
      </c>
      <c r="G161" s="3">
        <v>31</v>
      </c>
    </row>
    <row r="162" spans="1:7" x14ac:dyDescent="0.3">
      <c r="A162" t="s">
        <v>34</v>
      </c>
      <c r="B162" s="2">
        <v>3</v>
      </c>
      <c r="C162" s="2" t="s">
        <v>8</v>
      </c>
      <c r="D162" s="2">
        <v>527.5</v>
      </c>
      <c r="E162" s="2" t="s">
        <v>12</v>
      </c>
      <c r="F162">
        <v>0.99</v>
      </c>
      <c r="G162" s="2">
        <v>32</v>
      </c>
    </row>
    <row r="163" spans="1:7" x14ac:dyDescent="0.3">
      <c r="A163" t="s">
        <v>34</v>
      </c>
      <c r="B163" s="2">
        <v>3</v>
      </c>
      <c r="C163" s="2" t="s">
        <v>8</v>
      </c>
      <c r="D163" s="2">
        <v>1318.75</v>
      </c>
      <c r="E163" s="2" t="s">
        <v>12</v>
      </c>
      <c r="F163">
        <v>0.97799999999999998</v>
      </c>
      <c r="G163" s="2">
        <v>32</v>
      </c>
    </row>
    <row r="164" spans="1:7" x14ac:dyDescent="0.3">
      <c r="A164" t="s">
        <v>34</v>
      </c>
      <c r="B164" s="2">
        <v>3</v>
      </c>
      <c r="C164" s="2" t="s">
        <v>8</v>
      </c>
      <c r="D164" s="2">
        <v>2637.5</v>
      </c>
      <c r="E164" s="2" t="s">
        <v>12</v>
      </c>
      <c r="F164">
        <v>0.9516</v>
      </c>
      <c r="G164" s="2">
        <v>32</v>
      </c>
    </row>
    <row r="165" spans="1:7" x14ac:dyDescent="0.3">
      <c r="A165" t="s">
        <v>34</v>
      </c>
      <c r="B165" s="2">
        <v>3</v>
      </c>
      <c r="C165" s="2" t="s">
        <v>8</v>
      </c>
      <c r="D165" s="2">
        <v>5275</v>
      </c>
      <c r="E165" s="2" t="s">
        <v>12</v>
      </c>
      <c r="F165">
        <v>0.88700000000000001</v>
      </c>
      <c r="G165" s="2">
        <v>32</v>
      </c>
    </row>
    <row r="166" spans="1:7" x14ac:dyDescent="0.3">
      <c r="A166" t="s">
        <v>34</v>
      </c>
      <c r="B166" s="2">
        <v>3</v>
      </c>
      <c r="C166" s="2" t="s">
        <v>8</v>
      </c>
      <c r="D166" s="2">
        <v>13187.5</v>
      </c>
      <c r="E166" s="2" t="s">
        <v>12</v>
      </c>
      <c r="F166">
        <v>0.63980000000000004</v>
      </c>
      <c r="G166" s="2">
        <v>32</v>
      </c>
    </row>
    <row r="167" spans="1:7" x14ac:dyDescent="0.3">
      <c r="A167" t="s">
        <v>34</v>
      </c>
      <c r="B167" s="2">
        <v>3</v>
      </c>
      <c r="C167" s="2" t="s">
        <v>8</v>
      </c>
      <c r="D167" s="2">
        <v>26375</v>
      </c>
      <c r="E167" s="2" t="s">
        <v>12</v>
      </c>
      <c r="F167">
        <v>0.629</v>
      </c>
      <c r="G167" s="2">
        <v>32</v>
      </c>
    </row>
    <row r="168" spans="1:7" x14ac:dyDescent="0.3">
      <c r="A168" t="s">
        <v>34</v>
      </c>
      <c r="B168" s="2">
        <v>3</v>
      </c>
      <c r="C168" s="2" t="s">
        <v>11</v>
      </c>
      <c r="D168" s="2">
        <v>527.5</v>
      </c>
      <c r="E168" s="2" t="s">
        <v>12</v>
      </c>
      <c r="F168">
        <v>0.92654999999999998</v>
      </c>
      <c r="G168" s="2">
        <v>32</v>
      </c>
    </row>
    <row r="169" spans="1:7" x14ac:dyDescent="0.3">
      <c r="A169" t="s">
        <v>34</v>
      </c>
      <c r="B169" s="2">
        <v>3</v>
      </c>
      <c r="C169" s="2" t="s">
        <v>11</v>
      </c>
      <c r="D169" s="2">
        <v>1318.75</v>
      </c>
      <c r="E169" s="2" t="s">
        <v>12</v>
      </c>
      <c r="F169">
        <v>0.84750000000000003</v>
      </c>
      <c r="G169" s="2">
        <v>32</v>
      </c>
    </row>
    <row r="170" spans="1:7" x14ac:dyDescent="0.3">
      <c r="A170" t="s">
        <v>34</v>
      </c>
      <c r="B170" s="2">
        <v>3</v>
      </c>
      <c r="C170" s="2" t="s">
        <v>11</v>
      </c>
      <c r="D170" s="2">
        <v>2637.5</v>
      </c>
      <c r="E170" s="2" t="s">
        <v>12</v>
      </c>
      <c r="F170">
        <v>0.67230000000000001</v>
      </c>
      <c r="G170" s="2">
        <v>32</v>
      </c>
    </row>
    <row r="171" spans="1:7" x14ac:dyDescent="0.3">
      <c r="A171" t="s">
        <v>34</v>
      </c>
      <c r="B171" s="2">
        <v>3</v>
      </c>
      <c r="C171" s="2" t="s">
        <v>11</v>
      </c>
      <c r="D171" s="2">
        <v>5275</v>
      </c>
      <c r="E171" s="2" t="s">
        <v>12</v>
      </c>
      <c r="F171">
        <v>0.64970000000000006</v>
      </c>
      <c r="G171" s="2">
        <v>32</v>
      </c>
    </row>
    <row r="172" spans="1:7" x14ac:dyDescent="0.3">
      <c r="A172" t="s">
        <v>34</v>
      </c>
      <c r="B172" s="2">
        <v>3</v>
      </c>
      <c r="C172" s="2" t="s">
        <v>11</v>
      </c>
      <c r="D172" s="2">
        <v>13187.5</v>
      </c>
      <c r="E172" s="2" t="s">
        <v>12</v>
      </c>
      <c r="F172">
        <v>0.67230000000000001</v>
      </c>
      <c r="G172" s="2">
        <v>32</v>
      </c>
    </row>
    <row r="173" spans="1:7" x14ac:dyDescent="0.3">
      <c r="A173" t="s">
        <v>34</v>
      </c>
      <c r="B173" s="2">
        <v>3</v>
      </c>
      <c r="C173" s="2" t="s">
        <v>11</v>
      </c>
      <c r="D173" s="2">
        <v>26375</v>
      </c>
      <c r="E173" s="2" t="s">
        <v>12</v>
      </c>
      <c r="F173">
        <v>0.70620000000000005</v>
      </c>
      <c r="G173" s="2">
        <v>32</v>
      </c>
    </row>
    <row r="174" spans="1:7" x14ac:dyDescent="0.3">
      <c r="A174" t="s">
        <v>34</v>
      </c>
      <c r="B174" s="2">
        <v>3</v>
      </c>
      <c r="C174" s="2" t="s">
        <v>8</v>
      </c>
      <c r="D174" s="2">
        <v>527.5</v>
      </c>
      <c r="E174" s="2" t="s">
        <v>10</v>
      </c>
      <c r="F174">
        <v>1.0089999999999999</v>
      </c>
      <c r="G174" s="2">
        <v>32</v>
      </c>
    </row>
    <row r="175" spans="1:7" x14ac:dyDescent="0.3">
      <c r="A175" t="s">
        <v>34</v>
      </c>
      <c r="B175" s="2">
        <v>3</v>
      </c>
      <c r="C175" s="2" t="s">
        <v>8</v>
      </c>
      <c r="D175" s="2">
        <v>1318.75</v>
      </c>
      <c r="E175" s="2" t="s">
        <v>10</v>
      </c>
      <c r="F175">
        <v>1.2072000000000001</v>
      </c>
      <c r="G175" s="2">
        <v>32</v>
      </c>
    </row>
    <row r="176" spans="1:7" x14ac:dyDescent="0.3">
      <c r="A176" t="s">
        <v>34</v>
      </c>
      <c r="B176" s="2">
        <v>3</v>
      </c>
      <c r="C176" s="2" t="s">
        <v>8</v>
      </c>
      <c r="D176" s="2">
        <v>2637.5</v>
      </c>
      <c r="E176" s="2" t="s">
        <v>10</v>
      </c>
      <c r="F176">
        <v>1.08108</v>
      </c>
      <c r="G176" s="2">
        <v>32</v>
      </c>
    </row>
    <row r="177" spans="1:8" x14ac:dyDescent="0.3">
      <c r="A177" t="s">
        <v>34</v>
      </c>
      <c r="B177" s="2">
        <v>3</v>
      </c>
      <c r="C177" s="2" t="s">
        <v>8</v>
      </c>
      <c r="D177" s="2">
        <v>5275</v>
      </c>
      <c r="E177" s="2" t="s">
        <v>10</v>
      </c>
      <c r="F177">
        <v>1.17117</v>
      </c>
      <c r="G177" s="2">
        <v>32</v>
      </c>
    </row>
    <row r="178" spans="1:8" x14ac:dyDescent="0.3">
      <c r="A178" t="s">
        <v>34</v>
      </c>
      <c r="B178" s="2">
        <v>3</v>
      </c>
      <c r="C178" s="2" t="s">
        <v>8</v>
      </c>
      <c r="D178" s="2">
        <v>13187.5</v>
      </c>
      <c r="E178" s="2" t="s">
        <v>10</v>
      </c>
      <c r="F178">
        <v>1.9639599999999999</v>
      </c>
      <c r="G178" s="2">
        <v>32</v>
      </c>
    </row>
    <row r="179" spans="1:8" x14ac:dyDescent="0.3">
      <c r="A179" t="s">
        <v>34</v>
      </c>
      <c r="B179" s="2">
        <v>3</v>
      </c>
      <c r="C179" s="2" t="s">
        <v>8</v>
      </c>
      <c r="D179" s="2">
        <v>26375</v>
      </c>
      <c r="E179" s="2" t="s">
        <v>10</v>
      </c>
      <c r="F179">
        <v>2.0270000000000001</v>
      </c>
      <c r="G179" s="2">
        <v>32</v>
      </c>
    </row>
    <row r="180" spans="1:8" x14ac:dyDescent="0.3">
      <c r="A180" t="s">
        <v>34</v>
      </c>
      <c r="B180" s="2">
        <v>3</v>
      </c>
      <c r="C180" s="2" t="s">
        <v>8</v>
      </c>
      <c r="D180" s="2">
        <v>527.5</v>
      </c>
      <c r="E180" s="2" t="s">
        <v>10</v>
      </c>
      <c r="F180">
        <v>0.94479999999999997</v>
      </c>
      <c r="G180" s="2">
        <v>32</v>
      </c>
    </row>
    <row r="181" spans="1:8" x14ac:dyDescent="0.3">
      <c r="A181" t="s">
        <v>34</v>
      </c>
      <c r="B181" s="2">
        <v>3</v>
      </c>
      <c r="C181" s="2" t="s">
        <v>8</v>
      </c>
      <c r="D181" s="2">
        <v>1318.75</v>
      </c>
      <c r="E181" s="2" t="s">
        <v>10</v>
      </c>
      <c r="F181">
        <v>1.0797546</v>
      </c>
      <c r="G181" s="2">
        <v>32</v>
      </c>
    </row>
    <row r="182" spans="1:8" x14ac:dyDescent="0.3">
      <c r="A182" t="s">
        <v>34</v>
      </c>
      <c r="B182" s="2">
        <v>3</v>
      </c>
      <c r="C182" s="2" t="s">
        <v>8</v>
      </c>
      <c r="D182" s="2">
        <v>2637.5</v>
      </c>
      <c r="E182" s="2" t="s">
        <v>10</v>
      </c>
      <c r="F182">
        <v>1.1227</v>
      </c>
      <c r="G182" s="2">
        <v>32</v>
      </c>
    </row>
    <row r="183" spans="1:8" x14ac:dyDescent="0.3">
      <c r="A183" t="s">
        <v>34</v>
      </c>
      <c r="B183" s="2">
        <v>3</v>
      </c>
      <c r="C183" s="2" t="s">
        <v>8</v>
      </c>
      <c r="D183" s="2">
        <v>5275</v>
      </c>
      <c r="E183" s="2" t="s">
        <v>10</v>
      </c>
      <c r="F183">
        <v>1.1227</v>
      </c>
      <c r="G183" s="2">
        <v>32</v>
      </c>
    </row>
    <row r="184" spans="1:8" x14ac:dyDescent="0.3">
      <c r="A184" t="s">
        <v>34</v>
      </c>
      <c r="B184" s="2">
        <v>3</v>
      </c>
      <c r="C184" s="2" t="s">
        <v>8</v>
      </c>
      <c r="D184" s="2">
        <v>13187.5</v>
      </c>
      <c r="E184" s="2" t="s">
        <v>10</v>
      </c>
      <c r="F184">
        <v>1.6687000000000001</v>
      </c>
      <c r="G184" s="2">
        <v>32</v>
      </c>
    </row>
    <row r="185" spans="1:8" s="1" customFormat="1" ht="13.9" thickBot="1" x14ac:dyDescent="0.35">
      <c r="A185" s="1" t="s">
        <v>34</v>
      </c>
      <c r="B185" s="3">
        <v>3</v>
      </c>
      <c r="C185" s="3" t="s">
        <v>8</v>
      </c>
      <c r="D185" s="3">
        <v>26375</v>
      </c>
      <c r="E185" s="3" t="s">
        <v>10</v>
      </c>
      <c r="F185" s="1">
        <v>1.79</v>
      </c>
      <c r="G185" s="3">
        <v>32</v>
      </c>
      <c r="H185"/>
    </row>
    <row r="186" spans="1:8" x14ac:dyDescent="0.3">
      <c r="A186" s="2" t="s">
        <v>35</v>
      </c>
      <c r="B186" s="2">
        <v>7</v>
      </c>
      <c r="C186" s="2" t="s">
        <v>8</v>
      </c>
      <c r="D186" s="2">
        <v>10</v>
      </c>
      <c r="E186" s="2" t="s">
        <v>12</v>
      </c>
      <c r="F186">
        <f>384/411</f>
        <v>0.93430656934306566</v>
      </c>
      <c r="G186" s="2">
        <v>33</v>
      </c>
    </row>
    <row r="187" spans="1:8" x14ac:dyDescent="0.3">
      <c r="A187" s="2" t="s">
        <v>35</v>
      </c>
      <c r="B187" s="2">
        <v>7</v>
      </c>
      <c r="C187" s="2" t="s">
        <v>8</v>
      </c>
      <c r="D187" s="2">
        <v>20</v>
      </c>
      <c r="E187" s="2" t="s">
        <v>12</v>
      </c>
      <c r="F187">
        <f>338/411</f>
        <v>0.82238442822384428</v>
      </c>
      <c r="G187" s="2">
        <v>33</v>
      </c>
    </row>
    <row r="188" spans="1:8" x14ac:dyDescent="0.3">
      <c r="A188" s="2" t="s">
        <v>35</v>
      </c>
      <c r="B188" s="2">
        <v>7</v>
      </c>
      <c r="C188" s="2" t="s">
        <v>8</v>
      </c>
      <c r="D188" s="2">
        <v>30</v>
      </c>
      <c r="E188" s="2" t="s">
        <v>12</v>
      </c>
      <c r="F188">
        <f>108/411</f>
        <v>0.26277372262773724</v>
      </c>
      <c r="G188" s="2">
        <v>33</v>
      </c>
    </row>
    <row r="189" spans="1:8" x14ac:dyDescent="0.3">
      <c r="A189" s="2" t="s">
        <v>35</v>
      </c>
      <c r="B189" s="2">
        <v>7</v>
      </c>
      <c r="C189" s="2" t="s">
        <v>8</v>
      </c>
      <c r="D189" s="2">
        <v>40</v>
      </c>
      <c r="E189" s="2" t="s">
        <v>12</v>
      </c>
      <c r="F189">
        <f>94/411</f>
        <v>0.22871046228710462</v>
      </c>
      <c r="G189" s="2">
        <v>33</v>
      </c>
    </row>
    <row r="190" spans="1:8" x14ac:dyDescent="0.3">
      <c r="A190" s="2" t="s">
        <v>35</v>
      </c>
      <c r="B190" s="2">
        <v>7</v>
      </c>
      <c r="C190" s="2" t="s">
        <v>8</v>
      </c>
      <c r="D190" s="2">
        <v>50</v>
      </c>
      <c r="E190" s="2" t="s">
        <v>12</v>
      </c>
      <c r="F190">
        <f>80/41</f>
        <v>1.9512195121951219</v>
      </c>
      <c r="G190" s="2">
        <v>33</v>
      </c>
    </row>
    <row r="191" spans="1:8" x14ac:dyDescent="0.3">
      <c r="A191" s="2" t="s">
        <v>35</v>
      </c>
      <c r="B191" s="2">
        <v>7</v>
      </c>
      <c r="C191" s="2" t="s">
        <v>8</v>
      </c>
      <c r="D191" s="2">
        <v>500</v>
      </c>
      <c r="E191" s="2" t="s">
        <v>12</v>
      </c>
      <c r="F191">
        <f>74/411</f>
        <v>0.18004866180048662</v>
      </c>
      <c r="G191" s="2">
        <v>33</v>
      </c>
    </row>
    <row r="192" spans="1:8" x14ac:dyDescent="0.3">
      <c r="A192" s="2" t="s">
        <v>35</v>
      </c>
      <c r="B192" s="2">
        <v>7</v>
      </c>
      <c r="C192" s="2" t="s">
        <v>8</v>
      </c>
      <c r="D192" s="2">
        <v>2500</v>
      </c>
      <c r="E192" s="2" t="s">
        <v>12</v>
      </c>
      <c r="F192">
        <f>72/411</f>
        <v>0.17518248175182483</v>
      </c>
      <c r="G192" s="2">
        <v>33</v>
      </c>
    </row>
    <row r="193" spans="1:7" x14ac:dyDescent="0.3">
      <c r="A193" s="2" t="s">
        <v>35</v>
      </c>
      <c r="B193" s="2">
        <v>7</v>
      </c>
      <c r="C193" s="2" t="s">
        <v>8</v>
      </c>
      <c r="D193" s="2">
        <v>5000</v>
      </c>
      <c r="E193" s="2" t="s">
        <v>12</v>
      </c>
      <c r="F193">
        <f>69/411</f>
        <v>0.16788321167883211</v>
      </c>
      <c r="G193" s="2">
        <v>33</v>
      </c>
    </row>
    <row r="194" spans="1:7" x14ac:dyDescent="0.3">
      <c r="A194" s="2" t="s">
        <v>35</v>
      </c>
      <c r="B194" s="2">
        <v>7</v>
      </c>
      <c r="C194" s="2" t="s">
        <v>8</v>
      </c>
      <c r="D194" s="2">
        <v>10000</v>
      </c>
      <c r="E194" s="2" t="s">
        <v>12</v>
      </c>
      <c r="F194">
        <f>66/411</f>
        <v>0.16058394160583941</v>
      </c>
      <c r="G194" s="2">
        <v>33</v>
      </c>
    </row>
    <row r="195" spans="1:7" x14ac:dyDescent="0.3">
      <c r="A195" s="2" t="s">
        <v>35</v>
      </c>
      <c r="B195" s="2">
        <v>7</v>
      </c>
      <c r="C195" s="2" t="s">
        <v>8</v>
      </c>
      <c r="D195" s="2">
        <v>50000</v>
      </c>
      <c r="E195" s="2" t="s">
        <v>12</v>
      </c>
      <c r="F195">
        <f>59/411</f>
        <v>0.14355231143552311</v>
      </c>
      <c r="G195" s="2">
        <v>33</v>
      </c>
    </row>
    <row r="196" spans="1:7" x14ac:dyDescent="0.3">
      <c r="A196" s="2" t="s">
        <v>35</v>
      </c>
      <c r="B196" s="2">
        <v>7</v>
      </c>
      <c r="C196" s="2" t="s">
        <v>11</v>
      </c>
      <c r="D196" s="2">
        <v>10</v>
      </c>
      <c r="E196" s="2" t="s">
        <v>12</v>
      </c>
      <c r="F196">
        <f>226/392</f>
        <v>0.57653061224489799</v>
      </c>
      <c r="G196" s="2">
        <v>33</v>
      </c>
    </row>
    <row r="197" spans="1:7" x14ac:dyDescent="0.3">
      <c r="A197" s="2" t="s">
        <v>35</v>
      </c>
      <c r="B197" s="2">
        <v>7</v>
      </c>
      <c r="C197" s="2" t="s">
        <v>11</v>
      </c>
      <c r="D197" s="2">
        <v>20</v>
      </c>
      <c r="E197" s="2" t="s">
        <v>12</v>
      </c>
      <c r="F197">
        <f>159/392</f>
        <v>0.40561224489795916</v>
      </c>
      <c r="G197" s="2">
        <v>33</v>
      </c>
    </row>
    <row r="198" spans="1:7" x14ac:dyDescent="0.3">
      <c r="A198" s="2" t="s">
        <v>35</v>
      </c>
      <c r="B198" s="2">
        <v>7</v>
      </c>
      <c r="C198" s="2" t="s">
        <v>11</v>
      </c>
      <c r="D198" s="2">
        <v>30</v>
      </c>
      <c r="E198" s="2" t="s">
        <v>12</v>
      </c>
      <c r="F198">
        <f>151/392</f>
        <v>0.38520408163265307</v>
      </c>
      <c r="G198" s="2">
        <v>33</v>
      </c>
    </row>
    <row r="199" spans="1:7" x14ac:dyDescent="0.3">
      <c r="A199" s="2" t="s">
        <v>35</v>
      </c>
      <c r="B199" s="2">
        <v>7</v>
      </c>
      <c r="C199" s="2" t="s">
        <v>11</v>
      </c>
      <c r="D199" s="2">
        <v>40</v>
      </c>
      <c r="E199" s="2" t="s">
        <v>12</v>
      </c>
      <c r="F199">
        <f>140/392</f>
        <v>0.35714285714285715</v>
      </c>
      <c r="G199" s="2">
        <v>33</v>
      </c>
    </row>
    <row r="200" spans="1:7" x14ac:dyDescent="0.3">
      <c r="A200" s="2" t="s">
        <v>35</v>
      </c>
      <c r="B200" s="2">
        <v>7</v>
      </c>
      <c r="C200" s="2" t="s">
        <v>11</v>
      </c>
      <c r="D200" s="2">
        <v>50</v>
      </c>
      <c r="E200" s="2" t="s">
        <v>12</v>
      </c>
      <c r="F200">
        <f>138/392</f>
        <v>0.35204081632653061</v>
      </c>
      <c r="G200" s="2">
        <v>33</v>
      </c>
    </row>
    <row r="201" spans="1:7" x14ac:dyDescent="0.3">
      <c r="A201" s="2" t="s">
        <v>35</v>
      </c>
      <c r="B201" s="2">
        <v>7</v>
      </c>
      <c r="C201" s="2" t="s">
        <v>11</v>
      </c>
      <c r="D201" s="2">
        <v>500</v>
      </c>
      <c r="E201" s="2" t="s">
        <v>12</v>
      </c>
      <c r="F201">
        <f>136/392</f>
        <v>0.34693877551020408</v>
      </c>
      <c r="G201" s="2">
        <v>33</v>
      </c>
    </row>
    <row r="202" spans="1:7" x14ac:dyDescent="0.3">
      <c r="A202" s="2" t="s">
        <v>35</v>
      </c>
      <c r="B202" s="2">
        <v>7</v>
      </c>
      <c r="C202" s="2" t="s">
        <v>11</v>
      </c>
      <c r="D202" s="2">
        <v>2500</v>
      </c>
      <c r="E202" s="2" t="s">
        <v>12</v>
      </c>
      <c r="F202">
        <f>132/392</f>
        <v>0.33673469387755101</v>
      </c>
      <c r="G202" s="2">
        <v>33</v>
      </c>
    </row>
    <row r="203" spans="1:7" x14ac:dyDescent="0.3">
      <c r="A203" s="2" t="s">
        <v>35</v>
      </c>
      <c r="B203" s="2">
        <v>7</v>
      </c>
      <c r="C203" s="2" t="s">
        <v>11</v>
      </c>
      <c r="D203" s="2">
        <v>5000</v>
      </c>
      <c r="E203" s="2" t="s">
        <v>12</v>
      </c>
      <c r="F203">
        <f>129/392</f>
        <v>0.32908163265306123</v>
      </c>
      <c r="G203" s="2">
        <v>33</v>
      </c>
    </row>
    <row r="204" spans="1:7" x14ac:dyDescent="0.3">
      <c r="A204" s="2" t="s">
        <v>35</v>
      </c>
      <c r="B204" s="2">
        <v>7</v>
      </c>
      <c r="C204" s="2" t="s">
        <v>11</v>
      </c>
      <c r="D204" s="2">
        <v>10000</v>
      </c>
      <c r="E204" s="2" t="s">
        <v>12</v>
      </c>
      <c r="F204">
        <f>129/392</f>
        <v>0.32908163265306123</v>
      </c>
      <c r="G204" s="2">
        <v>33</v>
      </c>
    </row>
    <row r="205" spans="1:7" x14ac:dyDescent="0.3">
      <c r="A205" s="2" t="s">
        <v>35</v>
      </c>
      <c r="B205" s="2">
        <v>7</v>
      </c>
      <c r="C205" s="2" t="s">
        <v>11</v>
      </c>
      <c r="D205" s="2">
        <v>50000</v>
      </c>
      <c r="E205" s="2" t="s">
        <v>12</v>
      </c>
      <c r="F205">
        <f>123/392</f>
        <v>0.31377551020408162</v>
      </c>
      <c r="G205" s="2">
        <v>33</v>
      </c>
    </row>
    <row r="206" spans="1:7" x14ac:dyDescent="0.3">
      <c r="A206" s="2" t="s">
        <v>35</v>
      </c>
      <c r="B206" s="2">
        <v>7</v>
      </c>
      <c r="C206" s="2" t="s">
        <v>8</v>
      </c>
      <c r="D206" s="2">
        <v>10</v>
      </c>
      <c r="E206" s="2" t="s">
        <v>9</v>
      </c>
      <c r="F206">
        <v>0.91700000000000004</v>
      </c>
      <c r="G206" s="2">
        <v>33</v>
      </c>
    </row>
    <row r="207" spans="1:7" x14ac:dyDescent="0.3">
      <c r="A207" s="2" t="s">
        <v>35</v>
      </c>
      <c r="B207" s="2">
        <v>7</v>
      </c>
      <c r="C207" s="2" t="s">
        <v>8</v>
      </c>
      <c r="D207" s="2">
        <v>20</v>
      </c>
      <c r="E207" s="2" t="s">
        <v>9</v>
      </c>
      <c r="F207">
        <v>0.84</v>
      </c>
      <c r="G207" s="2">
        <v>33</v>
      </c>
    </row>
    <row r="208" spans="1:7" x14ac:dyDescent="0.3">
      <c r="A208" s="2" t="s">
        <v>35</v>
      </c>
      <c r="B208" s="2">
        <v>7</v>
      </c>
      <c r="C208" s="2" t="s">
        <v>8</v>
      </c>
      <c r="D208" s="2">
        <v>30</v>
      </c>
      <c r="E208" s="2" t="s">
        <v>9</v>
      </c>
      <c r="F208">
        <v>0.83</v>
      </c>
      <c r="G208" s="2">
        <v>33</v>
      </c>
    </row>
    <row r="209" spans="1:7" x14ac:dyDescent="0.3">
      <c r="A209" s="2" t="s">
        <v>35</v>
      </c>
      <c r="B209" s="2">
        <v>7</v>
      </c>
      <c r="C209" s="2" t="s">
        <v>8</v>
      </c>
      <c r="D209" s="2">
        <v>40</v>
      </c>
      <c r="E209" s="2" t="s">
        <v>9</v>
      </c>
      <c r="F209">
        <v>0.78869999999999996</v>
      </c>
      <c r="G209" s="2">
        <v>33</v>
      </c>
    </row>
    <row r="210" spans="1:7" x14ac:dyDescent="0.3">
      <c r="A210" s="2" t="s">
        <v>35</v>
      </c>
      <c r="B210" s="2">
        <v>7</v>
      </c>
      <c r="C210" s="2" t="s">
        <v>8</v>
      </c>
      <c r="D210" s="2">
        <v>50</v>
      </c>
      <c r="E210" s="2" t="s">
        <v>9</v>
      </c>
      <c r="F210">
        <v>0.72450000000000003</v>
      </c>
      <c r="G210" s="2">
        <v>33</v>
      </c>
    </row>
    <row r="211" spans="1:7" x14ac:dyDescent="0.3">
      <c r="A211" s="2" t="s">
        <v>35</v>
      </c>
      <c r="B211" s="2">
        <v>7</v>
      </c>
      <c r="C211" s="2" t="s">
        <v>8</v>
      </c>
      <c r="D211" s="2">
        <v>500</v>
      </c>
      <c r="E211" s="2" t="s">
        <v>9</v>
      </c>
      <c r="F211">
        <v>0.70569999999999999</v>
      </c>
      <c r="G211" s="2">
        <v>33</v>
      </c>
    </row>
    <row r="212" spans="1:7" x14ac:dyDescent="0.3">
      <c r="A212" s="2" t="s">
        <v>35</v>
      </c>
      <c r="B212" s="2">
        <v>7</v>
      </c>
      <c r="C212" s="2" t="s">
        <v>8</v>
      </c>
      <c r="D212" s="2">
        <v>2500</v>
      </c>
      <c r="E212" s="2" t="s">
        <v>9</v>
      </c>
      <c r="F212">
        <v>0.70940000000000003</v>
      </c>
      <c r="G212" s="2">
        <v>33</v>
      </c>
    </row>
    <row r="213" spans="1:7" x14ac:dyDescent="0.3">
      <c r="A213" s="2" t="s">
        <v>35</v>
      </c>
      <c r="B213" s="2">
        <v>7</v>
      </c>
      <c r="C213" s="2" t="s">
        <v>8</v>
      </c>
      <c r="D213" s="2">
        <v>5000</v>
      </c>
      <c r="E213" s="2" t="s">
        <v>9</v>
      </c>
      <c r="F213">
        <v>0.67900000000000005</v>
      </c>
      <c r="G213" s="2">
        <v>33</v>
      </c>
    </row>
    <row r="214" spans="1:7" x14ac:dyDescent="0.3">
      <c r="A214" s="2" t="s">
        <v>35</v>
      </c>
      <c r="B214" s="2">
        <v>7</v>
      </c>
      <c r="C214" s="2" t="s">
        <v>8</v>
      </c>
      <c r="D214" s="2">
        <v>10000</v>
      </c>
      <c r="E214" s="2" t="s">
        <v>9</v>
      </c>
      <c r="F214">
        <v>0.67549999999999999</v>
      </c>
      <c r="G214" s="2">
        <v>33</v>
      </c>
    </row>
    <row r="215" spans="1:7" x14ac:dyDescent="0.3">
      <c r="A215" s="2" t="s">
        <v>35</v>
      </c>
      <c r="B215" s="2">
        <v>7</v>
      </c>
      <c r="C215" s="2" t="s">
        <v>8</v>
      </c>
      <c r="D215" s="2">
        <v>50000</v>
      </c>
      <c r="E215" s="2" t="s">
        <v>9</v>
      </c>
      <c r="F215">
        <v>0.66790000000000005</v>
      </c>
      <c r="G215" s="2">
        <v>33</v>
      </c>
    </row>
    <row r="216" spans="1:7" x14ac:dyDescent="0.3">
      <c r="A216" s="2" t="s">
        <v>35</v>
      </c>
      <c r="B216" s="2">
        <v>7</v>
      </c>
      <c r="C216" s="2" t="s">
        <v>8</v>
      </c>
      <c r="D216" s="2">
        <v>10</v>
      </c>
      <c r="E216" s="2" t="s">
        <v>9</v>
      </c>
      <c r="F216">
        <v>0.80400000000000005</v>
      </c>
      <c r="G216" s="2">
        <v>33</v>
      </c>
    </row>
    <row r="217" spans="1:7" x14ac:dyDescent="0.3">
      <c r="A217" s="2" t="s">
        <v>35</v>
      </c>
      <c r="B217" s="2">
        <v>7</v>
      </c>
      <c r="C217" s="2" t="s">
        <v>8</v>
      </c>
      <c r="D217" s="2">
        <v>20</v>
      </c>
      <c r="E217" s="2" t="s">
        <v>9</v>
      </c>
      <c r="F217">
        <v>0.67400000000000004</v>
      </c>
      <c r="G217" s="2">
        <v>33</v>
      </c>
    </row>
    <row r="218" spans="1:7" x14ac:dyDescent="0.3">
      <c r="A218" s="2" t="s">
        <v>35</v>
      </c>
      <c r="B218" s="2">
        <v>7</v>
      </c>
      <c r="C218" s="2" t="s">
        <v>8</v>
      </c>
      <c r="D218" s="2">
        <v>30</v>
      </c>
      <c r="E218" s="2" t="s">
        <v>9</v>
      </c>
      <c r="F218">
        <v>0.63039999999999996</v>
      </c>
      <c r="G218" s="2">
        <v>33</v>
      </c>
    </row>
    <row r="219" spans="1:7" x14ac:dyDescent="0.3">
      <c r="A219" s="2" t="s">
        <v>35</v>
      </c>
      <c r="B219" s="2">
        <v>7</v>
      </c>
      <c r="C219" s="2" t="s">
        <v>8</v>
      </c>
      <c r="D219" s="2">
        <v>40</v>
      </c>
      <c r="E219" s="2" t="s">
        <v>9</v>
      </c>
      <c r="F219">
        <v>0.63</v>
      </c>
      <c r="G219" s="2">
        <v>33</v>
      </c>
    </row>
    <row r="220" spans="1:7" x14ac:dyDescent="0.3">
      <c r="A220" s="2" t="s">
        <v>35</v>
      </c>
      <c r="B220" s="2">
        <v>7</v>
      </c>
      <c r="C220" s="2" t="s">
        <v>8</v>
      </c>
      <c r="D220" s="2">
        <v>50</v>
      </c>
      <c r="E220" s="2" t="s">
        <v>9</v>
      </c>
      <c r="F220">
        <v>0.52173999999999998</v>
      </c>
      <c r="G220" s="2">
        <v>33</v>
      </c>
    </row>
    <row r="221" spans="1:7" x14ac:dyDescent="0.3">
      <c r="A221" s="2" t="s">
        <v>35</v>
      </c>
      <c r="B221" s="2">
        <v>7</v>
      </c>
      <c r="C221" s="2" t="s">
        <v>8</v>
      </c>
      <c r="D221" s="2">
        <v>500</v>
      </c>
      <c r="E221" s="2" t="s">
        <v>9</v>
      </c>
      <c r="F221">
        <v>0.47799999999999998</v>
      </c>
      <c r="G221" s="2">
        <v>33</v>
      </c>
    </row>
    <row r="222" spans="1:7" x14ac:dyDescent="0.3">
      <c r="A222" s="2" t="s">
        <v>35</v>
      </c>
      <c r="B222" s="2">
        <v>7</v>
      </c>
      <c r="C222" s="2" t="s">
        <v>8</v>
      </c>
      <c r="D222" s="2">
        <v>2500</v>
      </c>
      <c r="E222" s="2" t="s">
        <v>9</v>
      </c>
      <c r="F222">
        <v>0.43478</v>
      </c>
      <c r="G222" s="2">
        <v>33</v>
      </c>
    </row>
    <row r="223" spans="1:7" x14ac:dyDescent="0.3">
      <c r="A223" s="2" t="s">
        <v>35</v>
      </c>
      <c r="B223" s="2">
        <v>7</v>
      </c>
      <c r="C223" s="2" t="s">
        <v>8</v>
      </c>
      <c r="D223" s="2">
        <v>5000</v>
      </c>
      <c r="E223" s="2" t="s">
        <v>9</v>
      </c>
      <c r="F223">
        <v>0.43469999999999998</v>
      </c>
      <c r="G223" s="2">
        <v>33</v>
      </c>
    </row>
    <row r="224" spans="1:7" x14ac:dyDescent="0.3">
      <c r="A224" s="2" t="s">
        <v>35</v>
      </c>
      <c r="B224" s="2">
        <v>7</v>
      </c>
      <c r="C224" s="2" t="s">
        <v>8</v>
      </c>
      <c r="D224" s="2">
        <v>10000</v>
      </c>
      <c r="E224" s="2" t="s">
        <v>9</v>
      </c>
      <c r="F224">
        <v>0.434</v>
      </c>
      <c r="G224" s="2">
        <v>33</v>
      </c>
    </row>
    <row r="225" spans="1:7" x14ac:dyDescent="0.3">
      <c r="A225" s="2" t="s">
        <v>35</v>
      </c>
      <c r="B225" s="2">
        <v>7</v>
      </c>
      <c r="C225" s="2" t="s">
        <v>8</v>
      </c>
      <c r="D225" s="2">
        <v>50000</v>
      </c>
      <c r="E225" s="2" t="s">
        <v>9</v>
      </c>
      <c r="F225">
        <v>0.43</v>
      </c>
      <c r="G225" s="2">
        <v>33</v>
      </c>
    </row>
    <row r="226" spans="1:7" x14ac:dyDescent="0.3">
      <c r="A226" s="2" t="s">
        <v>35</v>
      </c>
      <c r="B226" s="2">
        <v>7</v>
      </c>
      <c r="C226" s="2" t="s">
        <v>8</v>
      </c>
      <c r="D226" s="2">
        <v>10</v>
      </c>
      <c r="E226" s="2" t="s">
        <v>10</v>
      </c>
      <c r="F226">
        <f>26498/26242</f>
        <v>1.0097553540126514</v>
      </c>
      <c r="G226" s="2">
        <v>33</v>
      </c>
    </row>
    <row r="227" spans="1:7" x14ac:dyDescent="0.3">
      <c r="A227" s="2" t="s">
        <v>35</v>
      </c>
      <c r="B227" s="2">
        <v>7</v>
      </c>
      <c r="C227" s="2" t="s">
        <v>8</v>
      </c>
      <c r="D227" s="2">
        <v>20</v>
      </c>
      <c r="E227" s="2" t="s">
        <v>10</v>
      </c>
      <c r="F227">
        <f>44900/26242</f>
        <v>1.7109976373752001</v>
      </c>
      <c r="G227" s="2">
        <v>33</v>
      </c>
    </row>
    <row r="228" spans="1:7" x14ac:dyDescent="0.3">
      <c r="A228" s="2" t="s">
        <v>35</v>
      </c>
      <c r="B228" s="2">
        <v>7</v>
      </c>
      <c r="C228" s="2" t="s">
        <v>8</v>
      </c>
      <c r="D228" s="2">
        <v>30</v>
      </c>
      <c r="E228" s="2" t="s">
        <v>10</v>
      </c>
      <c r="F228">
        <f>45923/26242</f>
        <v>1.749980946574194</v>
      </c>
      <c r="G228" s="2">
        <v>33</v>
      </c>
    </row>
    <row r="229" spans="1:7" x14ac:dyDescent="0.3">
      <c r="A229" s="2" t="s">
        <v>35</v>
      </c>
      <c r="B229" s="2">
        <v>7</v>
      </c>
      <c r="C229" s="2" t="s">
        <v>8</v>
      </c>
      <c r="D229" s="2">
        <v>40</v>
      </c>
      <c r="E229" s="2" t="s">
        <v>10</v>
      </c>
      <c r="F229">
        <f>46027/26242</f>
        <v>1.7539440591418336</v>
      </c>
      <c r="G229" s="2">
        <v>33</v>
      </c>
    </row>
    <row r="230" spans="1:7" x14ac:dyDescent="0.3">
      <c r="A230" s="2" t="s">
        <v>35</v>
      </c>
      <c r="B230" s="2">
        <v>7</v>
      </c>
      <c r="C230" s="2" t="s">
        <v>8</v>
      </c>
      <c r="D230" s="2">
        <v>50</v>
      </c>
      <c r="E230" s="2" t="s">
        <v>10</v>
      </c>
      <c r="F230">
        <f>46135/26242</f>
        <v>1.7580595991159211</v>
      </c>
      <c r="G230" s="2">
        <v>33</v>
      </c>
    </row>
    <row r="231" spans="1:7" x14ac:dyDescent="0.3">
      <c r="A231" s="2" t="s">
        <v>35</v>
      </c>
      <c r="B231" s="2">
        <v>7</v>
      </c>
      <c r="C231" s="2" t="s">
        <v>8</v>
      </c>
      <c r="D231" s="2">
        <v>500</v>
      </c>
      <c r="E231" s="2" t="s">
        <v>10</v>
      </c>
      <c r="F231">
        <f>46757/26242</f>
        <v>1.7817620608185352</v>
      </c>
      <c r="G231" s="2">
        <v>33</v>
      </c>
    </row>
    <row r="232" spans="1:7" x14ac:dyDescent="0.3">
      <c r="A232" s="2" t="s">
        <v>35</v>
      </c>
      <c r="B232" s="2">
        <v>7</v>
      </c>
      <c r="C232" s="2" t="s">
        <v>8</v>
      </c>
      <c r="D232" s="2">
        <v>2500</v>
      </c>
      <c r="E232" s="2" t="s">
        <v>10</v>
      </c>
      <c r="F232">
        <f>46687/26242</f>
        <v>1.7790945812057009</v>
      </c>
      <c r="G232" s="2">
        <v>33</v>
      </c>
    </row>
    <row r="233" spans="1:7" x14ac:dyDescent="0.3">
      <c r="A233" s="2" t="s">
        <v>35</v>
      </c>
      <c r="B233" s="2">
        <v>7</v>
      </c>
      <c r="C233" s="2" t="s">
        <v>8</v>
      </c>
      <c r="D233" s="2">
        <v>5000</v>
      </c>
      <c r="E233" s="2" t="s">
        <v>10</v>
      </c>
      <c r="F233">
        <f>47003/26242</f>
        <v>1.7911363463150674</v>
      </c>
      <c r="G233" s="2">
        <v>33</v>
      </c>
    </row>
    <row r="234" spans="1:7" x14ac:dyDescent="0.3">
      <c r="A234" s="2" t="s">
        <v>35</v>
      </c>
      <c r="B234" s="2">
        <v>7</v>
      </c>
      <c r="C234" s="2" t="s">
        <v>8</v>
      </c>
      <c r="D234" s="2">
        <v>10000</v>
      </c>
      <c r="E234" s="2" t="s">
        <v>10</v>
      </c>
      <c r="F234">
        <f>47453/26242</f>
        <v>1.8082844295404314</v>
      </c>
      <c r="G234" s="2">
        <v>33</v>
      </c>
    </row>
    <row r="235" spans="1:7" x14ac:dyDescent="0.3">
      <c r="A235" s="2" t="s">
        <v>35</v>
      </c>
      <c r="B235" s="2">
        <v>7</v>
      </c>
      <c r="C235" s="2" t="s">
        <v>8</v>
      </c>
      <c r="D235" s="2">
        <v>50000</v>
      </c>
      <c r="E235" s="2" t="s">
        <v>10</v>
      </c>
      <c r="F235">
        <f>49242/26242</f>
        <v>1.876457587074156</v>
      </c>
      <c r="G235" s="2">
        <v>33</v>
      </c>
    </row>
    <row r="236" spans="1:7" x14ac:dyDescent="0.3">
      <c r="A236" s="2" t="s">
        <v>35</v>
      </c>
      <c r="B236" s="2">
        <v>7</v>
      </c>
      <c r="C236" s="2" t="s">
        <v>8</v>
      </c>
      <c r="D236" s="2">
        <v>10</v>
      </c>
      <c r="E236" s="2" t="s">
        <v>10</v>
      </c>
      <c r="F236">
        <f>134/185</f>
        <v>0.72432432432432436</v>
      </c>
      <c r="G236" s="2">
        <v>33</v>
      </c>
    </row>
    <row r="237" spans="1:7" x14ac:dyDescent="0.3">
      <c r="A237" s="2" t="s">
        <v>35</v>
      </c>
      <c r="B237" s="2">
        <v>7</v>
      </c>
      <c r="C237" s="2" t="s">
        <v>8</v>
      </c>
      <c r="D237" s="2">
        <v>20</v>
      </c>
      <c r="E237" s="2" t="s">
        <v>10</v>
      </c>
      <c r="F237">
        <f>112/185</f>
        <v>0.60540540540540544</v>
      </c>
      <c r="G237" s="2">
        <v>33</v>
      </c>
    </row>
    <row r="238" spans="1:7" x14ac:dyDescent="0.3">
      <c r="A238" s="2" t="s">
        <v>35</v>
      </c>
      <c r="B238" s="2">
        <v>7</v>
      </c>
      <c r="C238" s="2" t="s">
        <v>8</v>
      </c>
      <c r="D238" s="2">
        <v>30</v>
      </c>
      <c r="E238" s="2" t="s">
        <v>10</v>
      </c>
      <c r="F238">
        <f>108/185</f>
        <v>0.58378378378378382</v>
      </c>
      <c r="G238" s="2">
        <v>33</v>
      </c>
    </row>
    <row r="239" spans="1:7" x14ac:dyDescent="0.3">
      <c r="A239" s="2" t="s">
        <v>35</v>
      </c>
      <c r="B239" s="2">
        <v>7</v>
      </c>
      <c r="C239" s="2" t="s">
        <v>8</v>
      </c>
      <c r="D239" s="2">
        <v>40</v>
      </c>
      <c r="E239" s="2" t="s">
        <v>10</v>
      </c>
      <c r="F239">
        <f>109/185</f>
        <v>0.58918918918918917</v>
      </c>
      <c r="G239" s="2">
        <v>33</v>
      </c>
    </row>
    <row r="240" spans="1:7" x14ac:dyDescent="0.3">
      <c r="A240" s="2" t="s">
        <v>35</v>
      </c>
      <c r="B240" s="2">
        <v>7</v>
      </c>
      <c r="C240" s="2" t="s">
        <v>8</v>
      </c>
      <c r="D240" s="2">
        <v>50</v>
      </c>
      <c r="E240" s="2" t="s">
        <v>10</v>
      </c>
      <c r="F240">
        <f>107/185</f>
        <v>0.57837837837837835</v>
      </c>
      <c r="G240" s="2">
        <v>33</v>
      </c>
    </row>
    <row r="241" spans="1:8" x14ac:dyDescent="0.3">
      <c r="A241" s="2" t="s">
        <v>35</v>
      </c>
      <c r="B241" s="2">
        <v>7</v>
      </c>
      <c r="C241" s="2" t="s">
        <v>8</v>
      </c>
      <c r="D241" s="2">
        <v>500</v>
      </c>
      <c r="E241" s="2" t="s">
        <v>10</v>
      </c>
      <c r="F241">
        <f>103/185</f>
        <v>0.55675675675675673</v>
      </c>
      <c r="G241" s="2">
        <v>33</v>
      </c>
    </row>
    <row r="242" spans="1:8" x14ac:dyDescent="0.3">
      <c r="A242" s="2" t="s">
        <v>35</v>
      </c>
      <c r="B242" s="2">
        <v>7</v>
      </c>
      <c r="C242" s="2" t="s">
        <v>8</v>
      </c>
      <c r="D242" s="2">
        <v>2500</v>
      </c>
      <c r="E242" s="2" t="s">
        <v>10</v>
      </c>
      <c r="F242">
        <f>90/185</f>
        <v>0.48648648648648651</v>
      </c>
      <c r="G242" s="2">
        <v>33</v>
      </c>
    </row>
    <row r="243" spans="1:8" x14ac:dyDescent="0.3">
      <c r="A243" s="2" t="s">
        <v>35</v>
      </c>
      <c r="B243" s="2">
        <v>7</v>
      </c>
      <c r="C243" s="2" t="s">
        <v>8</v>
      </c>
      <c r="D243" s="2">
        <v>5000</v>
      </c>
      <c r="E243" s="2" t="s">
        <v>10</v>
      </c>
      <c r="F243">
        <f>83/185</f>
        <v>0.44864864864864867</v>
      </c>
      <c r="G243" s="2">
        <v>33</v>
      </c>
    </row>
    <row r="244" spans="1:8" x14ac:dyDescent="0.3">
      <c r="A244" s="2" t="s">
        <v>35</v>
      </c>
      <c r="B244" s="2">
        <v>7</v>
      </c>
      <c r="C244" s="2" t="s">
        <v>8</v>
      </c>
      <c r="D244" s="2">
        <v>10000</v>
      </c>
      <c r="E244" s="2" t="s">
        <v>10</v>
      </c>
      <c r="F244">
        <f>85/185</f>
        <v>0.45945945945945948</v>
      </c>
      <c r="G244" s="2">
        <v>33</v>
      </c>
    </row>
    <row r="245" spans="1:8" x14ac:dyDescent="0.3">
      <c r="A245" s="2" t="s">
        <v>35</v>
      </c>
      <c r="B245" s="2">
        <v>7</v>
      </c>
      <c r="C245" s="2" t="s">
        <v>8</v>
      </c>
      <c r="D245" s="2">
        <v>50000</v>
      </c>
      <c r="E245" s="2" t="s">
        <v>10</v>
      </c>
      <c r="F245">
        <f>76/185</f>
        <v>0.41081081081081083</v>
      </c>
      <c r="G245" s="2">
        <v>33</v>
      </c>
    </row>
    <row r="246" spans="1:8" x14ac:dyDescent="0.3">
      <c r="A246" s="2" t="s">
        <v>35</v>
      </c>
      <c r="B246" s="2">
        <v>7</v>
      </c>
      <c r="C246" s="2" t="s">
        <v>8</v>
      </c>
      <c r="D246" s="2">
        <v>10</v>
      </c>
      <c r="E246" s="2" t="s">
        <v>10</v>
      </c>
      <c r="F246">
        <f>4267/4449</f>
        <v>0.95909193077095978</v>
      </c>
      <c r="G246" s="2">
        <v>33</v>
      </c>
    </row>
    <row r="247" spans="1:8" x14ac:dyDescent="0.3">
      <c r="A247" s="2" t="s">
        <v>35</v>
      </c>
      <c r="B247" s="2">
        <v>7</v>
      </c>
      <c r="C247" s="2" t="s">
        <v>8</v>
      </c>
      <c r="D247" s="2">
        <v>20</v>
      </c>
      <c r="E247" s="2" t="s">
        <v>10</v>
      </c>
      <c r="F247">
        <f>3944/4449</f>
        <v>0.88649134636997073</v>
      </c>
      <c r="G247" s="2">
        <v>33</v>
      </c>
    </row>
    <row r="248" spans="1:8" x14ac:dyDescent="0.3">
      <c r="A248" s="2" t="s">
        <v>35</v>
      </c>
      <c r="B248" s="2">
        <v>7</v>
      </c>
      <c r="C248" s="2" t="s">
        <v>8</v>
      </c>
      <c r="D248" s="2">
        <v>30</v>
      </c>
      <c r="E248" s="2" t="s">
        <v>10</v>
      </c>
      <c r="F248">
        <f>3522/4449</f>
        <v>0.79163857046527308</v>
      </c>
      <c r="G248" s="2">
        <v>33</v>
      </c>
    </row>
    <row r="249" spans="1:8" x14ac:dyDescent="0.3">
      <c r="A249" s="2" t="s">
        <v>35</v>
      </c>
      <c r="B249" s="2">
        <v>7</v>
      </c>
      <c r="C249" s="2" t="s">
        <v>8</v>
      </c>
      <c r="D249" s="2">
        <v>40</v>
      </c>
      <c r="E249" s="2" t="s">
        <v>10</v>
      </c>
      <c r="F249">
        <f>3494/4449</f>
        <v>0.78534502135311302</v>
      </c>
      <c r="G249" s="2">
        <v>33</v>
      </c>
    </row>
    <row r="250" spans="1:8" x14ac:dyDescent="0.3">
      <c r="A250" s="2" t="s">
        <v>35</v>
      </c>
      <c r="B250" s="2">
        <v>7</v>
      </c>
      <c r="C250" s="2" t="s">
        <v>8</v>
      </c>
      <c r="D250" s="2">
        <v>50</v>
      </c>
      <c r="E250" s="2" t="s">
        <v>10</v>
      </c>
      <c r="F250">
        <f>3463/4449</f>
        <v>0.77837716340750729</v>
      </c>
      <c r="G250" s="2">
        <v>33</v>
      </c>
    </row>
    <row r="251" spans="1:8" x14ac:dyDescent="0.3">
      <c r="A251" s="2" t="s">
        <v>35</v>
      </c>
      <c r="B251" s="2">
        <v>7</v>
      </c>
      <c r="C251" s="2" t="s">
        <v>8</v>
      </c>
      <c r="D251" s="2">
        <v>500</v>
      </c>
      <c r="E251" s="2" t="s">
        <v>10</v>
      </c>
      <c r="F251">
        <f>3451/4449</f>
        <v>0.77567992807372443</v>
      </c>
      <c r="G251" s="2">
        <v>33</v>
      </c>
    </row>
    <row r="252" spans="1:8" x14ac:dyDescent="0.3">
      <c r="A252" s="2" t="s">
        <v>35</v>
      </c>
      <c r="B252" s="2">
        <v>7</v>
      </c>
      <c r="C252" s="2" t="s">
        <v>8</v>
      </c>
      <c r="D252" s="2">
        <v>2500</v>
      </c>
      <c r="E252" s="2" t="s">
        <v>10</v>
      </c>
      <c r="F252">
        <f>3436/4449</f>
        <v>0.77230838390649581</v>
      </c>
      <c r="G252" s="2">
        <v>33</v>
      </c>
    </row>
    <row r="253" spans="1:8" x14ac:dyDescent="0.3">
      <c r="A253" s="2" t="s">
        <v>35</v>
      </c>
      <c r="B253" s="2">
        <v>7</v>
      </c>
      <c r="C253" s="2" t="s">
        <v>8</v>
      </c>
      <c r="D253" s="2">
        <v>5000</v>
      </c>
      <c r="E253" s="2" t="s">
        <v>10</v>
      </c>
      <c r="F253">
        <f>3430/4449</f>
        <v>0.77095976623960438</v>
      </c>
      <c r="G253" s="2">
        <v>33</v>
      </c>
    </row>
    <row r="254" spans="1:8" x14ac:dyDescent="0.3">
      <c r="A254" s="2" t="s">
        <v>35</v>
      </c>
      <c r="B254" s="2">
        <v>7</v>
      </c>
      <c r="C254" s="2" t="s">
        <v>8</v>
      </c>
      <c r="D254" s="2">
        <v>10000</v>
      </c>
      <c r="E254" s="2" t="s">
        <v>10</v>
      </c>
      <c r="F254">
        <f>3426/4449</f>
        <v>0.77006068779501013</v>
      </c>
      <c r="G254" s="2">
        <v>33</v>
      </c>
    </row>
    <row r="255" spans="1:8" s="1" customFormat="1" ht="13.9" thickBot="1" x14ac:dyDescent="0.35">
      <c r="A255" s="3" t="s">
        <v>35</v>
      </c>
      <c r="B255" s="3">
        <v>7</v>
      </c>
      <c r="C255" s="3" t="s">
        <v>8</v>
      </c>
      <c r="D255" s="3">
        <v>50000</v>
      </c>
      <c r="E255" s="3" t="s">
        <v>10</v>
      </c>
      <c r="F255" s="1">
        <f>3350/4449</f>
        <v>0.75297819734771854</v>
      </c>
      <c r="G255" s="3">
        <v>33</v>
      </c>
      <c r="H255"/>
    </row>
    <row r="256" spans="1:8" x14ac:dyDescent="0.3">
      <c r="A256" s="2" t="s">
        <v>36</v>
      </c>
      <c r="B256" s="2">
        <v>8</v>
      </c>
      <c r="C256" s="2" t="s">
        <v>8</v>
      </c>
      <c r="D256" s="2">
        <v>2</v>
      </c>
      <c r="E256" s="2" t="s">
        <v>12</v>
      </c>
      <c r="F256" s="2">
        <f>2125/2246</f>
        <v>0.94612644701691895</v>
      </c>
      <c r="G256" s="2">
        <v>34</v>
      </c>
    </row>
    <row r="257" spans="1:7" x14ac:dyDescent="0.3">
      <c r="A257" s="2" t="s">
        <v>36</v>
      </c>
      <c r="B257" s="2">
        <v>8</v>
      </c>
      <c r="C257" s="2" t="s">
        <v>8</v>
      </c>
      <c r="D257" s="2">
        <v>20</v>
      </c>
      <c r="E257" s="2" t="s">
        <v>12</v>
      </c>
      <c r="F257">
        <f>2048/2246</f>
        <v>0.91184327693677647</v>
      </c>
      <c r="G257" s="2">
        <v>34</v>
      </c>
    </row>
    <row r="258" spans="1:7" x14ac:dyDescent="0.3">
      <c r="A258" s="2" t="s">
        <v>36</v>
      </c>
      <c r="B258" s="2">
        <v>8</v>
      </c>
      <c r="C258" s="2" t="s">
        <v>8</v>
      </c>
      <c r="D258" s="2">
        <v>200</v>
      </c>
      <c r="E258" s="2" t="s">
        <v>12</v>
      </c>
      <c r="F258">
        <f>1149/2246</f>
        <v>0.51157613535173641</v>
      </c>
      <c r="G258" s="2">
        <v>34</v>
      </c>
    </row>
    <row r="259" spans="1:7" x14ac:dyDescent="0.3">
      <c r="A259" s="2" t="s">
        <v>36</v>
      </c>
      <c r="B259" s="2">
        <v>8</v>
      </c>
      <c r="C259" s="2" t="s">
        <v>8</v>
      </c>
      <c r="D259" s="2">
        <v>800</v>
      </c>
      <c r="E259" s="2" t="s">
        <v>12</v>
      </c>
      <c r="F259">
        <f>613/2246</f>
        <v>0.27292965271593944</v>
      </c>
      <c r="G259" s="2">
        <v>34</v>
      </c>
    </row>
    <row r="260" spans="1:7" x14ac:dyDescent="0.3">
      <c r="A260" s="2" t="s">
        <v>36</v>
      </c>
      <c r="B260" s="2">
        <v>8</v>
      </c>
      <c r="C260" s="2" t="s">
        <v>8</v>
      </c>
      <c r="D260" s="2">
        <v>2</v>
      </c>
      <c r="E260" s="2" t="s">
        <v>12</v>
      </c>
      <c r="F260" s="2">
        <f>10734/11208</f>
        <v>0.95770877944325483</v>
      </c>
      <c r="G260" s="2">
        <v>34</v>
      </c>
    </row>
    <row r="261" spans="1:7" x14ac:dyDescent="0.3">
      <c r="A261" s="2" t="s">
        <v>36</v>
      </c>
      <c r="B261" s="2">
        <v>8</v>
      </c>
      <c r="C261" s="2" t="s">
        <v>8</v>
      </c>
      <c r="D261" s="2">
        <v>20</v>
      </c>
      <c r="E261" s="2" t="s">
        <v>12</v>
      </c>
      <c r="F261">
        <f>9062/11208</f>
        <v>0.80852962169878662</v>
      </c>
      <c r="G261" s="2">
        <v>34</v>
      </c>
    </row>
    <row r="262" spans="1:7" x14ac:dyDescent="0.3">
      <c r="A262" s="2" t="s">
        <v>36</v>
      </c>
      <c r="B262" s="2">
        <v>8</v>
      </c>
      <c r="C262" s="2" t="s">
        <v>8</v>
      </c>
      <c r="D262" s="2">
        <v>200</v>
      </c>
      <c r="E262" s="2" t="s">
        <v>12</v>
      </c>
      <c r="F262">
        <f>4990/11208</f>
        <v>0.4452177016416845</v>
      </c>
      <c r="G262" s="2">
        <v>34</v>
      </c>
    </row>
    <row r="263" spans="1:7" x14ac:dyDescent="0.3">
      <c r="A263" s="2" t="s">
        <v>36</v>
      </c>
      <c r="B263" s="2">
        <v>8</v>
      </c>
      <c r="C263" s="2" t="s">
        <v>8</v>
      </c>
      <c r="D263" s="2">
        <v>800</v>
      </c>
      <c r="E263" s="2" t="s">
        <v>12</v>
      </c>
      <c r="F263">
        <f>3129/11208</f>
        <v>0.27917558886509636</v>
      </c>
      <c r="G263" s="2">
        <v>34</v>
      </c>
    </row>
    <row r="264" spans="1:7" x14ac:dyDescent="0.3">
      <c r="A264" s="2" t="s">
        <v>36</v>
      </c>
      <c r="B264" s="2">
        <v>8</v>
      </c>
      <c r="C264" s="2" t="s">
        <v>11</v>
      </c>
      <c r="D264" s="2">
        <v>2</v>
      </c>
      <c r="E264" s="2" t="s">
        <v>12</v>
      </c>
      <c r="F264">
        <f>1148/1232</f>
        <v>0.93181818181818177</v>
      </c>
      <c r="G264" s="2">
        <v>34</v>
      </c>
    </row>
    <row r="265" spans="1:7" x14ac:dyDescent="0.3">
      <c r="A265" s="2" t="s">
        <v>36</v>
      </c>
      <c r="B265" s="2">
        <v>8</v>
      </c>
      <c r="C265" s="2" t="s">
        <v>11</v>
      </c>
      <c r="D265" s="2">
        <v>20</v>
      </c>
      <c r="E265" s="2" t="s">
        <v>12</v>
      </c>
      <c r="F265">
        <f>1140/1232</f>
        <v>0.92532467532467533</v>
      </c>
      <c r="G265" s="2">
        <v>34</v>
      </c>
    </row>
    <row r="266" spans="1:7" x14ac:dyDescent="0.3">
      <c r="A266" s="2" t="s">
        <v>36</v>
      </c>
      <c r="B266" s="2">
        <v>8</v>
      </c>
      <c r="C266" s="2" t="s">
        <v>11</v>
      </c>
      <c r="D266" s="2">
        <v>200</v>
      </c>
      <c r="E266" s="2" t="s">
        <v>12</v>
      </c>
      <c r="F266">
        <f>739/1232</f>
        <v>0.59983766233766234</v>
      </c>
      <c r="G266" s="2">
        <v>34</v>
      </c>
    </row>
    <row r="267" spans="1:7" x14ac:dyDescent="0.3">
      <c r="A267" s="2" t="s">
        <v>36</v>
      </c>
      <c r="B267" s="2">
        <v>8</v>
      </c>
      <c r="C267" s="2" t="s">
        <v>11</v>
      </c>
      <c r="D267" s="2">
        <v>800</v>
      </c>
      <c r="E267" s="2" t="s">
        <v>12</v>
      </c>
      <c r="F267">
        <f>616/1232</f>
        <v>0.5</v>
      </c>
      <c r="G267" s="2">
        <v>34</v>
      </c>
    </row>
    <row r="268" spans="1:7" x14ac:dyDescent="0.3">
      <c r="A268" s="2" t="s">
        <v>36</v>
      </c>
      <c r="B268" s="2">
        <v>8</v>
      </c>
      <c r="C268" s="2" t="s">
        <v>11</v>
      </c>
      <c r="D268" s="2">
        <v>2</v>
      </c>
      <c r="E268" s="2" t="s">
        <v>12</v>
      </c>
      <c r="F268">
        <f>3652/3719</f>
        <v>0.98198440440978763</v>
      </c>
      <c r="G268" s="2">
        <v>34</v>
      </c>
    </row>
    <row r="269" spans="1:7" x14ac:dyDescent="0.3">
      <c r="A269" s="2" t="s">
        <v>36</v>
      </c>
      <c r="B269" s="2">
        <v>8</v>
      </c>
      <c r="C269" s="2" t="s">
        <v>11</v>
      </c>
      <c r="D269" s="2">
        <v>20</v>
      </c>
      <c r="E269" s="2" t="s">
        <v>12</v>
      </c>
      <c r="F269">
        <f>2996/3719</f>
        <v>0.80559290131755845</v>
      </c>
      <c r="G269" s="2">
        <v>34</v>
      </c>
    </row>
    <row r="270" spans="1:7" x14ac:dyDescent="0.3">
      <c r="A270" s="2" t="s">
        <v>36</v>
      </c>
      <c r="B270" s="2">
        <v>8</v>
      </c>
      <c r="C270" s="2" t="s">
        <v>11</v>
      </c>
      <c r="D270" s="2">
        <v>200</v>
      </c>
      <c r="E270" s="2" t="s">
        <v>12</v>
      </c>
      <c r="F270">
        <f>1388/3719</f>
        <v>0.37321860715246036</v>
      </c>
      <c r="G270" s="2">
        <v>34</v>
      </c>
    </row>
    <row r="271" spans="1:7" x14ac:dyDescent="0.3">
      <c r="A271" s="2" t="s">
        <v>36</v>
      </c>
      <c r="B271" s="2">
        <v>8</v>
      </c>
      <c r="C271" s="2" t="s">
        <v>11</v>
      </c>
      <c r="D271" s="2">
        <v>800</v>
      </c>
      <c r="E271" s="2" t="s">
        <v>12</v>
      </c>
      <c r="F271">
        <f>918/3719</f>
        <v>0.24684054853455231</v>
      </c>
      <c r="G271" s="2">
        <v>34</v>
      </c>
    </row>
    <row r="272" spans="1:7" x14ac:dyDescent="0.3">
      <c r="A272" s="2" t="s">
        <v>27</v>
      </c>
      <c r="B272" s="2">
        <v>8</v>
      </c>
      <c r="C272" s="2" t="s">
        <v>8</v>
      </c>
      <c r="D272" s="2">
        <v>2</v>
      </c>
      <c r="E272" s="2" t="s">
        <v>12</v>
      </c>
      <c r="F272">
        <f>2232/2246</f>
        <v>0.993766696349065</v>
      </c>
      <c r="G272" s="2">
        <v>34</v>
      </c>
    </row>
    <row r="273" spans="1:7" x14ac:dyDescent="0.3">
      <c r="A273" s="2" t="s">
        <v>27</v>
      </c>
      <c r="B273" s="2">
        <v>8</v>
      </c>
      <c r="C273" s="2" t="s">
        <v>8</v>
      </c>
      <c r="D273" s="2">
        <v>20</v>
      </c>
      <c r="E273" s="2" t="s">
        <v>12</v>
      </c>
      <c r="F273">
        <f>2259/2246</f>
        <v>1.0057880676758681</v>
      </c>
      <c r="G273" s="2">
        <v>34</v>
      </c>
    </row>
    <row r="274" spans="1:7" x14ac:dyDescent="0.3">
      <c r="A274" s="2" t="s">
        <v>27</v>
      </c>
      <c r="B274" s="2">
        <v>8</v>
      </c>
      <c r="C274" s="2" t="s">
        <v>8</v>
      </c>
      <c r="D274" s="2">
        <v>200</v>
      </c>
      <c r="E274" s="2" t="s">
        <v>12</v>
      </c>
      <c r="F274">
        <f>1784/2246</f>
        <v>0.79430097951914513</v>
      </c>
      <c r="G274" s="2">
        <v>34</v>
      </c>
    </row>
    <row r="275" spans="1:7" x14ac:dyDescent="0.3">
      <c r="A275" s="2" t="s">
        <v>27</v>
      </c>
      <c r="B275" s="2">
        <v>8</v>
      </c>
      <c r="C275" s="2" t="s">
        <v>8</v>
      </c>
      <c r="D275" s="2">
        <v>800</v>
      </c>
      <c r="E275" s="2" t="s">
        <v>12</v>
      </c>
      <c r="F275">
        <f>1121/2246</f>
        <v>0.49910952804986641</v>
      </c>
      <c r="G275" s="2">
        <v>34</v>
      </c>
    </row>
    <row r="276" spans="1:7" x14ac:dyDescent="0.3">
      <c r="A276" s="2" t="s">
        <v>27</v>
      </c>
      <c r="B276" s="2">
        <v>8</v>
      </c>
      <c r="C276" s="2" t="s">
        <v>8</v>
      </c>
      <c r="D276" s="2">
        <v>2</v>
      </c>
      <c r="E276" s="2" t="s">
        <v>12</v>
      </c>
      <c r="F276">
        <f>11081/11208</f>
        <v>0.9886688079942898</v>
      </c>
      <c r="G276" s="2">
        <v>34</v>
      </c>
    </row>
    <row r="277" spans="1:7" x14ac:dyDescent="0.3">
      <c r="A277" s="2" t="s">
        <v>27</v>
      </c>
      <c r="B277" s="2">
        <v>8</v>
      </c>
      <c r="C277" s="2" t="s">
        <v>8</v>
      </c>
      <c r="D277" s="2">
        <v>20</v>
      </c>
      <c r="E277" s="2" t="s">
        <v>12</v>
      </c>
      <c r="F277">
        <f>11747/11208</f>
        <v>1.0480906495360456</v>
      </c>
      <c r="G277" s="2">
        <v>34</v>
      </c>
    </row>
    <row r="278" spans="1:7" x14ac:dyDescent="0.3">
      <c r="A278" s="2" t="s">
        <v>27</v>
      </c>
      <c r="B278" s="2">
        <v>8</v>
      </c>
      <c r="C278" s="2" t="s">
        <v>8</v>
      </c>
      <c r="D278" s="2">
        <v>200</v>
      </c>
      <c r="E278" s="2" t="s">
        <v>12</v>
      </c>
      <c r="F278">
        <f>9521/11208</f>
        <v>0.84948251249107776</v>
      </c>
      <c r="G278" s="2">
        <v>34</v>
      </c>
    </row>
    <row r="279" spans="1:7" x14ac:dyDescent="0.3">
      <c r="A279" s="2" t="s">
        <v>27</v>
      </c>
      <c r="B279" s="2">
        <v>8</v>
      </c>
      <c r="C279" s="2" t="s">
        <v>8</v>
      </c>
      <c r="D279" s="2">
        <v>800</v>
      </c>
      <c r="E279" s="2" t="s">
        <v>12</v>
      </c>
      <c r="F279">
        <f>4605/11208</f>
        <v>0.41086723768736616</v>
      </c>
      <c r="G279" s="2">
        <v>34</v>
      </c>
    </row>
    <row r="280" spans="1:7" x14ac:dyDescent="0.3">
      <c r="A280" s="2" t="s">
        <v>27</v>
      </c>
      <c r="B280" s="2">
        <v>8</v>
      </c>
      <c r="C280" s="2" t="s">
        <v>11</v>
      </c>
      <c r="D280" s="2">
        <v>2</v>
      </c>
      <c r="E280" s="2" t="s">
        <v>12</v>
      </c>
      <c r="F280">
        <f>1222/1232</f>
        <v>0.99188311688311692</v>
      </c>
      <c r="G280" s="2">
        <v>34</v>
      </c>
    </row>
    <row r="281" spans="1:7" x14ac:dyDescent="0.3">
      <c r="A281" s="2" t="s">
        <v>27</v>
      </c>
      <c r="B281" s="2">
        <v>8</v>
      </c>
      <c r="C281" s="2" t="s">
        <v>11</v>
      </c>
      <c r="D281" s="2">
        <v>20</v>
      </c>
      <c r="E281" s="2" t="s">
        <v>12</v>
      </c>
      <c r="F281">
        <f>1172/1232</f>
        <v>0.95129870129870131</v>
      </c>
      <c r="G281" s="2">
        <v>34</v>
      </c>
    </row>
    <row r="282" spans="1:7" x14ac:dyDescent="0.3">
      <c r="A282" s="2" t="s">
        <v>27</v>
      </c>
      <c r="B282" s="2">
        <v>8</v>
      </c>
      <c r="C282" s="2" t="s">
        <v>11</v>
      </c>
      <c r="D282" s="2">
        <v>200</v>
      </c>
      <c r="E282" s="2" t="s">
        <v>12</v>
      </c>
      <c r="F282">
        <f>738/1232</f>
        <v>0.59902597402597402</v>
      </c>
      <c r="G282" s="2">
        <v>34</v>
      </c>
    </row>
    <row r="283" spans="1:7" x14ac:dyDescent="0.3">
      <c r="A283" s="2" t="s">
        <v>27</v>
      </c>
      <c r="B283" s="2">
        <v>8</v>
      </c>
      <c r="C283" s="2" t="s">
        <v>11</v>
      </c>
      <c r="D283" s="2">
        <v>800</v>
      </c>
      <c r="E283" s="2" t="s">
        <v>12</v>
      </c>
      <c r="F283">
        <f>675/1232</f>
        <v>0.54788961038961037</v>
      </c>
      <c r="G283" s="2">
        <v>34</v>
      </c>
    </row>
    <row r="284" spans="1:7" x14ac:dyDescent="0.3">
      <c r="A284" s="2" t="s">
        <v>27</v>
      </c>
      <c r="B284" s="2">
        <v>8</v>
      </c>
      <c r="C284" s="2" t="s">
        <v>11</v>
      </c>
      <c r="D284" s="2">
        <v>2</v>
      </c>
      <c r="E284" s="2" t="s">
        <v>12</v>
      </c>
      <c r="F284">
        <f>3569/3719</f>
        <v>0.95966657703683789</v>
      </c>
      <c r="G284" s="2">
        <v>34</v>
      </c>
    </row>
    <row r="285" spans="1:7" x14ac:dyDescent="0.3">
      <c r="A285" s="2" t="s">
        <v>27</v>
      </c>
      <c r="B285" s="2">
        <v>8</v>
      </c>
      <c r="C285" s="2" t="s">
        <v>11</v>
      </c>
      <c r="D285" s="2">
        <v>20</v>
      </c>
      <c r="E285" s="2" t="s">
        <v>12</v>
      </c>
      <c r="F285">
        <f>3702/3719</f>
        <v>0.99542887873084163</v>
      </c>
      <c r="G285" s="2">
        <v>34</v>
      </c>
    </row>
    <row r="286" spans="1:7" x14ac:dyDescent="0.3">
      <c r="A286" s="2" t="s">
        <v>27</v>
      </c>
      <c r="B286" s="2">
        <v>8</v>
      </c>
      <c r="C286" s="2" t="s">
        <v>11</v>
      </c>
      <c r="D286" s="2">
        <v>200</v>
      </c>
      <c r="E286" s="2" t="s">
        <v>12</v>
      </c>
      <c r="F286">
        <f>2017/3719</f>
        <v>0.54235009411132029</v>
      </c>
      <c r="G286" s="2">
        <v>34</v>
      </c>
    </row>
    <row r="287" spans="1:7" x14ac:dyDescent="0.3">
      <c r="A287" s="2" t="s">
        <v>27</v>
      </c>
      <c r="B287" s="2">
        <v>8</v>
      </c>
      <c r="C287" s="2" t="s">
        <v>11</v>
      </c>
      <c r="D287" s="2">
        <v>800</v>
      </c>
      <c r="E287" s="2" t="s">
        <v>12</v>
      </c>
      <c r="F287">
        <f>1070/3719</f>
        <v>0.28771175047055658</v>
      </c>
      <c r="G287" s="2">
        <v>34</v>
      </c>
    </row>
    <row r="288" spans="1:7" x14ac:dyDescent="0.3">
      <c r="A288" s="2" t="s">
        <v>37</v>
      </c>
      <c r="B288" s="2">
        <v>8</v>
      </c>
      <c r="C288" s="2" t="s">
        <v>8</v>
      </c>
      <c r="D288" s="2">
        <v>2</v>
      </c>
      <c r="E288" s="2" t="s">
        <v>12</v>
      </c>
      <c r="F288">
        <f>2233/2246</f>
        <v>0.99421193232413174</v>
      </c>
      <c r="G288" s="2">
        <v>34</v>
      </c>
    </row>
    <row r="289" spans="1:7" x14ac:dyDescent="0.3">
      <c r="A289" s="2" t="s">
        <v>37</v>
      </c>
      <c r="B289" s="2">
        <v>8</v>
      </c>
      <c r="C289" s="2" t="s">
        <v>8</v>
      </c>
      <c r="D289" s="2">
        <v>20</v>
      </c>
      <c r="E289" s="2" t="s">
        <v>12</v>
      </c>
      <c r="F289">
        <f>2123/2246</f>
        <v>0.94523597506678536</v>
      </c>
      <c r="G289" s="2">
        <v>34</v>
      </c>
    </row>
    <row r="290" spans="1:7" x14ac:dyDescent="0.3">
      <c r="A290" s="2" t="s">
        <v>37</v>
      </c>
      <c r="B290" s="2">
        <v>8</v>
      </c>
      <c r="C290" s="2" t="s">
        <v>8</v>
      </c>
      <c r="D290" s="2">
        <v>200</v>
      </c>
      <c r="E290" s="2" t="s">
        <v>12</v>
      </c>
      <c r="F290">
        <f>1813/2246</f>
        <v>0.80721282279608197</v>
      </c>
      <c r="G290" s="2">
        <v>34</v>
      </c>
    </row>
    <row r="291" spans="1:7" x14ac:dyDescent="0.3">
      <c r="A291" s="2" t="s">
        <v>37</v>
      </c>
      <c r="B291" s="2">
        <v>8</v>
      </c>
      <c r="C291" s="2" t="s">
        <v>8</v>
      </c>
      <c r="D291" s="2">
        <v>800</v>
      </c>
      <c r="E291" s="2" t="s">
        <v>12</v>
      </c>
      <c r="F291">
        <f>1214/2246</f>
        <v>0.54051647373107747</v>
      </c>
      <c r="G291" s="2">
        <v>34</v>
      </c>
    </row>
    <row r="292" spans="1:7" x14ac:dyDescent="0.3">
      <c r="A292" s="2" t="s">
        <v>37</v>
      </c>
      <c r="B292" s="2">
        <v>8</v>
      </c>
      <c r="C292" s="2" t="s">
        <v>8</v>
      </c>
      <c r="D292" s="2">
        <v>2</v>
      </c>
      <c r="E292" s="2" t="s">
        <v>12</v>
      </c>
      <c r="F292">
        <f>10939/11208</f>
        <v>0.97599928622412557</v>
      </c>
      <c r="G292" s="2">
        <v>34</v>
      </c>
    </row>
    <row r="293" spans="1:7" x14ac:dyDescent="0.3">
      <c r="A293" s="2" t="s">
        <v>37</v>
      </c>
      <c r="B293" s="2">
        <v>8</v>
      </c>
      <c r="C293" s="2" t="s">
        <v>8</v>
      </c>
      <c r="D293" s="2">
        <v>20</v>
      </c>
      <c r="E293" s="2" t="s">
        <v>12</v>
      </c>
      <c r="F293">
        <f>10277/12308</f>
        <v>0.8349853753656159</v>
      </c>
      <c r="G293" s="2">
        <v>34</v>
      </c>
    </row>
    <row r="294" spans="1:7" x14ac:dyDescent="0.3">
      <c r="A294" s="2" t="s">
        <v>37</v>
      </c>
      <c r="B294" s="2">
        <v>8</v>
      </c>
      <c r="C294" s="2" t="s">
        <v>8</v>
      </c>
      <c r="D294" s="2">
        <v>200</v>
      </c>
      <c r="E294" s="2" t="s">
        <v>12</v>
      </c>
      <c r="F294">
        <f>9413/11208</f>
        <v>0.83984653818700927</v>
      </c>
      <c r="G294" s="2">
        <v>34</v>
      </c>
    </row>
    <row r="295" spans="1:7" x14ac:dyDescent="0.3">
      <c r="A295" s="2" t="s">
        <v>37</v>
      </c>
      <c r="B295" s="2">
        <v>8</v>
      </c>
      <c r="C295" s="2" t="s">
        <v>8</v>
      </c>
      <c r="D295" s="2">
        <v>800</v>
      </c>
      <c r="E295" s="2" t="s">
        <v>12</v>
      </c>
      <c r="F295">
        <f>5079/11208</f>
        <v>0.45315845824411133</v>
      </c>
      <c r="G295" s="2">
        <v>34</v>
      </c>
    </row>
    <row r="296" spans="1:7" x14ac:dyDescent="0.3">
      <c r="A296" s="2" t="s">
        <v>37</v>
      </c>
      <c r="B296" s="2">
        <v>8</v>
      </c>
      <c r="C296" s="2" t="s">
        <v>11</v>
      </c>
      <c r="D296" s="2">
        <v>2</v>
      </c>
      <c r="E296" s="2" t="s">
        <v>12</v>
      </c>
      <c r="F296">
        <f>1360/1232</f>
        <v>1.1038961038961039</v>
      </c>
      <c r="G296" s="2">
        <v>34</v>
      </c>
    </row>
    <row r="297" spans="1:7" x14ac:dyDescent="0.3">
      <c r="A297" s="2" t="s">
        <v>37</v>
      </c>
      <c r="B297" s="2">
        <v>8</v>
      </c>
      <c r="C297" s="2" t="s">
        <v>11</v>
      </c>
      <c r="D297" s="2">
        <v>20</v>
      </c>
      <c r="E297" s="2" t="s">
        <v>12</v>
      </c>
      <c r="F297">
        <f>1137/1232</f>
        <v>0.92288961038961037</v>
      </c>
      <c r="G297" s="2">
        <v>34</v>
      </c>
    </row>
    <row r="298" spans="1:7" x14ac:dyDescent="0.3">
      <c r="A298" s="2" t="s">
        <v>37</v>
      </c>
      <c r="B298" s="2">
        <v>8</v>
      </c>
      <c r="C298" s="2" t="s">
        <v>11</v>
      </c>
      <c r="D298" s="2">
        <v>200</v>
      </c>
      <c r="E298" s="2" t="s">
        <v>12</v>
      </c>
      <c r="F298">
        <f>814/1232</f>
        <v>0.6607142857142857</v>
      </c>
      <c r="G298" s="2">
        <v>34</v>
      </c>
    </row>
    <row r="299" spans="1:7" x14ac:dyDescent="0.3">
      <c r="A299" s="2" t="s">
        <v>37</v>
      </c>
      <c r="B299" s="2">
        <v>8</v>
      </c>
      <c r="C299" s="2" t="s">
        <v>11</v>
      </c>
      <c r="D299" s="2">
        <v>800</v>
      </c>
      <c r="E299" s="2" t="s">
        <v>12</v>
      </c>
      <c r="F299">
        <f>615/1232</f>
        <v>0.49918831168831168</v>
      </c>
      <c r="G299" s="2">
        <v>34</v>
      </c>
    </row>
    <row r="300" spans="1:7" x14ac:dyDescent="0.3">
      <c r="A300" s="2" t="s">
        <v>37</v>
      </c>
      <c r="B300" s="2">
        <v>8</v>
      </c>
      <c r="C300" s="2" t="s">
        <v>11</v>
      </c>
      <c r="D300" s="2">
        <v>2</v>
      </c>
      <c r="E300" s="2" t="s">
        <v>12</v>
      </c>
      <c r="F300">
        <f>3343/3719</f>
        <v>0.89889755310567354</v>
      </c>
      <c r="G300" s="2">
        <v>34</v>
      </c>
    </row>
    <row r="301" spans="1:7" x14ac:dyDescent="0.3">
      <c r="A301" s="2" t="s">
        <v>37</v>
      </c>
      <c r="B301" s="2">
        <v>8</v>
      </c>
      <c r="C301" s="2" t="s">
        <v>11</v>
      </c>
      <c r="D301" s="2">
        <v>20</v>
      </c>
      <c r="E301" s="2" t="s">
        <v>12</v>
      </c>
      <c r="F301">
        <f>3136/3719</f>
        <v>0.84323742941650981</v>
      </c>
      <c r="G301" s="2">
        <v>34</v>
      </c>
    </row>
    <row r="302" spans="1:7" x14ac:dyDescent="0.3">
      <c r="A302" s="2" t="s">
        <v>37</v>
      </c>
      <c r="B302" s="2">
        <v>8</v>
      </c>
      <c r="C302" s="2" t="s">
        <v>11</v>
      </c>
      <c r="D302" s="2">
        <v>200</v>
      </c>
      <c r="E302" s="2" t="s">
        <v>12</v>
      </c>
      <c r="F302">
        <f>1828/3719</f>
        <v>0.49152998117773594</v>
      </c>
      <c r="G302" s="2">
        <v>34</v>
      </c>
    </row>
    <row r="303" spans="1:7" x14ac:dyDescent="0.3">
      <c r="A303" s="2" t="s">
        <v>37</v>
      </c>
      <c r="B303" s="2">
        <v>8</v>
      </c>
      <c r="C303" s="2" t="s">
        <v>11</v>
      </c>
      <c r="D303" s="2">
        <v>800</v>
      </c>
      <c r="E303" s="2" t="s">
        <v>12</v>
      </c>
      <c r="F303">
        <f>1012/3719</f>
        <v>0.2721161602581339</v>
      </c>
      <c r="G303" s="2">
        <v>34</v>
      </c>
    </row>
    <row r="304" spans="1:7" x14ac:dyDescent="0.3">
      <c r="A304" s="2" t="s">
        <v>36</v>
      </c>
      <c r="B304" s="2">
        <v>8</v>
      </c>
      <c r="C304" s="2" t="s">
        <v>8</v>
      </c>
      <c r="D304" s="2">
        <v>2</v>
      </c>
      <c r="E304" s="2" t="s">
        <v>10</v>
      </c>
      <c r="F304">
        <v>0.96330000000000005</v>
      </c>
      <c r="G304" s="2">
        <v>34</v>
      </c>
    </row>
    <row r="305" spans="1:7" x14ac:dyDescent="0.3">
      <c r="A305" s="2" t="s">
        <v>36</v>
      </c>
      <c r="B305" s="2">
        <v>8</v>
      </c>
      <c r="C305" s="2" t="s">
        <v>8</v>
      </c>
      <c r="D305" s="2">
        <v>20</v>
      </c>
      <c r="E305" s="2" t="s">
        <v>10</v>
      </c>
      <c r="F305">
        <v>1.0900000000000001</v>
      </c>
      <c r="G305" s="2">
        <v>34</v>
      </c>
    </row>
    <row r="306" spans="1:7" x14ac:dyDescent="0.3">
      <c r="A306" s="2" t="s">
        <v>36</v>
      </c>
      <c r="B306" s="2">
        <v>8</v>
      </c>
      <c r="C306" s="2" t="s">
        <v>8</v>
      </c>
      <c r="D306" s="2">
        <v>200</v>
      </c>
      <c r="E306" s="2" t="s">
        <v>10</v>
      </c>
      <c r="F306">
        <v>2.1375999999999999</v>
      </c>
      <c r="G306" s="2">
        <v>34</v>
      </c>
    </row>
    <row r="307" spans="1:7" x14ac:dyDescent="0.3">
      <c r="A307" s="2" t="s">
        <v>36</v>
      </c>
      <c r="B307" s="2">
        <v>8</v>
      </c>
      <c r="C307" s="2" t="s">
        <v>8</v>
      </c>
      <c r="D307" s="2">
        <v>800</v>
      </c>
      <c r="E307" s="2" t="s">
        <v>10</v>
      </c>
      <c r="F307">
        <v>2.7797999999999998</v>
      </c>
      <c r="G307" s="2">
        <v>34</v>
      </c>
    </row>
    <row r="308" spans="1:7" x14ac:dyDescent="0.3">
      <c r="A308" s="2" t="s">
        <v>27</v>
      </c>
      <c r="B308" s="2">
        <v>8</v>
      </c>
      <c r="C308" s="2" t="s">
        <v>8</v>
      </c>
      <c r="D308" s="2">
        <v>2</v>
      </c>
      <c r="E308" s="2" t="s">
        <v>10</v>
      </c>
      <c r="F308">
        <v>1.0186999999999999</v>
      </c>
      <c r="G308" s="2">
        <v>34</v>
      </c>
    </row>
    <row r="309" spans="1:7" x14ac:dyDescent="0.3">
      <c r="A309" s="2" t="s">
        <v>27</v>
      </c>
      <c r="B309" s="2">
        <v>8</v>
      </c>
      <c r="C309" s="2" t="s">
        <v>8</v>
      </c>
      <c r="D309" s="2">
        <v>20</v>
      </c>
      <c r="E309" s="2" t="s">
        <v>10</v>
      </c>
      <c r="F309">
        <v>0.99065420000000004</v>
      </c>
      <c r="G309" s="2">
        <v>34</v>
      </c>
    </row>
    <row r="310" spans="1:7" x14ac:dyDescent="0.3">
      <c r="A310" s="2" t="s">
        <v>27</v>
      </c>
      <c r="B310" s="2">
        <v>8</v>
      </c>
      <c r="C310" s="2" t="s">
        <v>8</v>
      </c>
      <c r="D310" s="2">
        <v>200</v>
      </c>
      <c r="E310" s="2" t="s">
        <v>10</v>
      </c>
      <c r="F310">
        <v>1.54</v>
      </c>
      <c r="G310" s="2">
        <v>34</v>
      </c>
    </row>
    <row r="311" spans="1:7" x14ac:dyDescent="0.3">
      <c r="A311" s="2" t="s">
        <v>27</v>
      </c>
      <c r="B311" s="2">
        <v>8</v>
      </c>
      <c r="C311" s="2" t="s">
        <v>8</v>
      </c>
      <c r="D311" s="2">
        <v>800</v>
      </c>
      <c r="E311" s="2" t="s">
        <v>10</v>
      </c>
      <c r="F311">
        <v>1.97</v>
      </c>
      <c r="G311" s="2">
        <v>34</v>
      </c>
    </row>
    <row r="312" spans="1:7" x14ac:dyDescent="0.3">
      <c r="A312" s="2" t="s">
        <v>37</v>
      </c>
      <c r="B312" s="2">
        <v>8</v>
      </c>
      <c r="C312" s="2" t="s">
        <v>8</v>
      </c>
      <c r="D312" s="2">
        <v>2</v>
      </c>
      <c r="E312" s="2" t="s">
        <v>10</v>
      </c>
      <c r="F312">
        <v>0.86</v>
      </c>
      <c r="G312" s="2">
        <v>34</v>
      </c>
    </row>
    <row r="313" spans="1:7" x14ac:dyDescent="0.3">
      <c r="A313" s="2" t="s">
        <v>37</v>
      </c>
      <c r="B313" s="2">
        <v>8</v>
      </c>
      <c r="C313" s="2" t="s">
        <v>8</v>
      </c>
      <c r="D313" s="2">
        <v>20</v>
      </c>
      <c r="E313" s="2" t="s">
        <v>10</v>
      </c>
      <c r="F313">
        <v>0.88</v>
      </c>
      <c r="G313" s="2">
        <v>34</v>
      </c>
    </row>
    <row r="314" spans="1:7" x14ac:dyDescent="0.3">
      <c r="A314" s="2" t="s">
        <v>37</v>
      </c>
      <c r="B314" s="2">
        <v>8</v>
      </c>
      <c r="C314" s="2" t="s">
        <v>8</v>
      </c>
      <c r="D314" s="2">
        <v>200</v>
      </c>
      <c r="E314" s="2" t="s">
        <v>10</v>
      </c>
      <c r="F314">
        <v>0.88990000000000002</v>
      </c>
      <c r="G314" s="2">
        <v>34</v>
      </c>
    </row>
    <row r="315" spans="1:7" x14ac:dyDescent="0.3">
      <c r="A315" s="2" t="s">
        <v>37</v>
      </c>
      <c r="B315" s="2">
        <v>8</v>
      </c>
      <c r="C315" s="2" t="s">
        <v>8</v>
      </c>
      <c r="D315" s="2">
        <v>800</v>
      </c>
      <c r="E315" s="2" t="s">
        <v>10</v>
      </c>
      <c r="F315">
        <v>1.8348599999999999</v>
      </c>
      <c r="G315" s="2">
        <v>34</v>
      </c>
    </row>
    <row r="316" spans="1:7" x14ac:dyDescent="0.3">
      <c r="A316" s="2" t="s">
        <v>36</v>
      </c>
      <c r="B316" s="2">
        <v>8</v>
      </c>
      <c r="C316" s="2" t="s">
        <v>8</v>
      </c>
      <c r="D316" s="2">
        <v>2</v>
      </c>
      <c r="E316" s="2" t="s">
        <v>10</v>
      </c>
      <c r="F316">
        <v>1.01895734597156</v>
      </c>
      <c r="G316" s="2">
        <v>34</v>
      </c>
    </row>
    <row r="317" spans="1:7" x14ac:dyDescent="0.3">
      <c r="A317" s="2" t="s">
        <v>36</v>
      </c>
      <c r="B317" s="2">
        <v>8</v>
      </c>
      <c r="C317" s="2" t="s">
        <v>8</v>
      </c>
      <c r="D317" s="2">
        <v>20</v>
      </c>
      <c r="E317" s="2" t="s">
        <v>10</v>
      </c>
      <c r="F317">
        <v>1.1990521327014201</v>
      </c>
      <c r="G317" s="2">
        <v>34</v>
      </c>
    </row>
    <row r="318" spans="1:7" x14ac:dyDescent="0.3">
      <c r="A318" s="2" t="s">
        <v>36</v>
      </c>
      <c r="B318" s="2">
        <v>8</v>
      </c>
      <c r="C318" s="2" t="s">
        <v>8</v>
      </c>
      <c r="D318" s="2">
        <v>200</v>
      </c>
      <c r="E318" s="2" t="s">
        <v>10</v>
      </c>
      <c r="F318">
        <v>1.28909952606635</v>
      </c>
      <c r="G318" s="2">
        <v>34</v>
      </c>
    </row>
    <row r="319" spans="1:7" x14ac:dyDescent="0.3">
      <c r="A319" s="2" t="s">
        <v>36</v>
      </c>
      <c r="B319" s="2">
        <v>8</v>
      </c>
      <c r="C319" s="2" t="s">
        <v>8</v>
      </c>
      <c r="D319" s="2">
        <v>800</v>
      </c>
      <c r="E319" s="2" t="s">
        <v>10</v>
      </c>
      <c r="F319">
        <v>1.3412322274881501</v>
      </c>
      <c r="G319" s="2">
        <v>34</v>
      </c>
    </row>
    <row r="320" spans="1:7" x14ac:dyDescent="0.3">
      <c r="A320" s="2" t="s">
        <v>27</v>
      </c>
      <c r="B320" s="2">
        <v>8</v>
      </c>
      <c r="C320" s="2" t="s">
        <v>8</v>
      </c>
      <c r="D320" s="2">
        <v>2</v>
      </c>
      <c r="E320" s="2" t="s">
        <v>10</v>
      </c>
      <c r="F320">
        <v>0.97156398104265396</v>
      </c>
      <c r="G320" s="2">
        <v>34</v>
      </c>
    </row>
    <row r="321" spans="1:7" x14ac:dyDescent="0.3">
      <c r="A321" s="2" t="s">
        <v>27</v>
      </c>
      <c r="B321" s="2">
        <v>8</v>
      </c>
      <c r="C321" s="2" t="s">
        <v>8</v>
      </c>
      <c r="D321" s="2">
        <v>20</v>
      </c>
      <c r="E321" s="2" t="s">
        <v>10</v>
      </c>
      <c r="F321">
        <v>1.14218009478672</v>
      </c>
      <c r="G321" s="2">
        <v>34</v>
      </c>
    </row>
    <row r="322" spans="1:7" x14ac:dyDescent="0.3">
      <c r="A322" s="2" t="s">
        <v>27</v>
      </c>
      <c r="B322" s="2">
        <v>8</v>
      </c>
      <c r="C322" s="2" t="s">
        <v>8</v>
      </c>
      <c r="D322" s="2">
        <v>200</v>
      </c>
      <c r="E322" s="2" t="s">
        <v>10</v>
      </c>
      <c r="F322">
        <v>1.3033175355450199</v>
      </c>
      <c r="G322" s="2">
        <v>34</v>
      </c>
    </row>
    <row r="323" spans="1:7" x14ac:dyDescent="0.3">
      <c r="A323" s="2" t="s">
        <v>27</v>
      </c>
      <c r="B323" s="2">
        <v>8</v>
      </c>
      <c r="C323" s="2" t="s">
        <v>8</v>
      </c>
      <c r="D323" s="2">
        <v>800</v>
      </c>
      <c r="E323" s="2" t="s">
        <v>10</v>
      </c>
      <c r="F323">
        <v>1.4691943127961999</v>
      </c>
      <c r="G323" s="2">
        <v>34</v>
      </c>
    </row>
    <row r="324" spans="1:7" x14ac:dyDescent="0.3">
      <c r="A324" s="2" t="s">
        <v>37</v>
      </c>
      <c r="B324" s="2">
        <v>8</v>
      </c>
      <c r="C324" s="2" t="s">
        <v>8</v>
      </c>
      <c r="D324" s="2">
        <v>2</v>
      </c>
      <c r="E324" s="2" t="s">
        <v>10</v>
      </c>
      <c r="F324">
        <v>1.1042654028436001</v>
      </c>
      <c r="G324" s="2">
        <v>34</v>
      </c>
    </row>
    <row r="325" spans="1:7" x14ac:dyDescent="0.3">
      <c r="A325" s="2" t="s">
        <v>37</v>
      </c>
      <c r="B325" s="2">
        <v>8</v>
      </c>
      <c r="C325" s="2" t="s">
        <v>8</v>
      </c>
      <c r="D325" s="2">
        <v>20</v>
      </c>
      <c r="E325" s="2" t="s">
        <v>10</v>
      </c>
      <c r="F325">
        <v>1.02843601895734</v>
      </c>
      <c r="G325" s="2">
        <v>34</v>
      </c>
    </row>
    <row r="326" spans="1:7" x14ac:dyDescent="0.3">
      <c r="A326" s="2" t="s">
        <v>37</v>
      </c>
      <c r="B326" s="2">
        <v>8</v>
      </c>
      <c r="C326" s="2" t="s">
        <v>8</v>
      </c>
      <c r="D326" s="2">
        <v>200</v>
      </c>
      <c r="E326" s="2" t="s">
        <v>10</v>
      </c>
      <c r="F326">
        <v>1.21800947867298</v>
      </c>
      <c r="G326" s="2">
        <v>34</v>
      </c>
    </row>
    <row r="327" spans="1:7" x14ac:dyDescent="0.3">
      <c r="A327" s="2" t="s">
        <v>37</v>
      </c>
      <c r="B327" s="2">
        <v>8</v>
      </c>
      <c r="C327" s="2" t="s">
        <v>8</v>
      </c>
      <c r="D327" s="2">
        <v>800</v>
      </c>
      <c r="E327" s="2" t="s">
        <v>10</v>
      </c>
      <c r="F327">
        <v>1.4407582938388599</v>
      </c>
      <c r="G327" s="2">
        <v>34</v>
      </c>
    </row>
    <row r="328" spans="1:7" x14ac:dyDescent="0.3">
      <c r="A328" s="2" t="s">
        <v>36</v>
      </c>
      <c r="B328" s="2">
        <v>8</v>
      </c>
      <c r="C328" s="2" t="s">
        <v>8</v>
      </c>
      <c r="D328" s="2">
        <v>2</v>
      </c>
      <c r="E328" s="2" t="s">
        <v>10</v>
      </c>
      <c r="F328">
        <v>1.0355029585798801</v>
      </c>
      <c r="G328" s="2">
        <v>34</v>
      </c>
    </row>
    <row r="329" spans="1:7" x14ac:dyDescent="0.3">
      <c r="A329" s="2" t="s">
        <v>36</v>
      </c>
      <c r="B329" s="2">
        <v>8</v>
      </c>
      <c r="C329" s="2" t="s">
        <v>8</v>
      </c>
      <c r="D329" s="2">
        <v>20</v>
      </c>
      <c r="E329" s="2" t="s">
        <v>10</v>
      </c>
      <c r="F329">
        <v>1.2189349112426</v>
      </c>
      <c r="G329" s="2">
        <v>34</v>
      </c>
    </row>
    <row r="330" spans="1:7" x14ac:dyDescent="0.3">
      <c r="A330" s="2" t="s">
        <v>36</v>
      </c>
      <c r="B330" s="2">
        <v>8</v>
      </c>
      <c r="C330" s="2" t="s">
        <v>8</v>
      </c>
      <c r="D330" s="2">
        <v>200</v>
      </c>
      <c r="E330" s="2" t="s">
        <v>10</v>
      </c>
      <c r="F330">
        <v>0.78698224852070997</v>
      </c>
      <c r="G330" s="2">
        <v>34</v>
      </c>
    </row>
    <row r="331" spans="1:7" x14ac:dyDescent="0.3">
      <c r="A331" s="2" t="s">
        <v>36</v>
      </c>
      <c r="B331" s="2">
        <v>8</v>
      </c>
      <c r="C331" s="2" t="s">
        <v>8</v>
      </c>
      <c r="D331" s="2">
        <v>800</v>
      </c>
      <c r="E331" s="2" t="s">
        <v>10</v>
      </c>
      <c r="F331">
        <v>0.68639053254437798</v>
      </c>
      <c r="G331" s="2">
        <v>34</v>
      </c>
    </row>
    <row r="332" spans="1:7" x14ac:dyDescent="0.3">
      <c r="A332" s="2" t="s">
        <v>27</v>
      </c>
      <c r="B332" s="2">
        <v>8</v>
      </c>
      <c r="C332" s="2" t="s">
        <v>8</v>
      </c>
      <c r="D332" s="2">
        <v>2</v>
      </c>
      <c r="E332" s="2" t="s">
        <v>10</v>
      </c>
      <c r="F332">
        <v>1</v>
      </c>
      <c r="G332" s="2">
        <v>34</v>
      </c>
    </row>
    <row r="333" spans="1:7" x14ac:dyDescent="0.3">
      <c r="A333" s="2" t="s">
        <v>27</v>
      </c>
      <c r="B333" s="2">
        <v>8</v>
      </c>
      <c r="C333" s="2" t="s">
        <v>8</v>
      </c>
      <c r="D333" s="2">
        <v>20</v>
      </c>
      <c r="E333" s="2" t="s">
        <v>10</v>
      </c>
      <c r="F333">
        <v>1.1597633136094601</v>
      </c>
      <c r="G333" s="2">
        <v>34</v>
      </c>
    </row>
    <row r="334" spans="1:7" x14ac:dyDescent="0.3">
      <c r="A334" s="2" t="s">
        <v>27</v>
      </c>
      <c r="B334" s="2">
        <v>8</v>
      </c>
      <c r="C334" s="2" t="s">
        <v>8</v>
      </c>
      <c r="D334" s="2">
        <v>200</v>
      </c>
      <c r="E334" s="2" t="s">
        <v>10</v>
      </c>
      <c r="F334">
        <v>1.3668639053254401</v>
      </c>
      <c r="G334" s="2">
        <v>34</v>
      </c>
    </row>
    <row r="335" spans="1:7" x14ac:dyDescent="0.3">
      <c r="A335" s="2" t="s">
        <v>27</v>
      </c>
      <c r="B335" s="2">
        <v>8</v>
      </c>
      <c r="C335" s="2" t="s">
        <v>8</v>
      </c>
      <c r="D335" s="2">
        <v>800</v>
      </c>
      <c r="E335" s="2" t="s">
        <v>10</v>
      </c>
      <c r="F335">
        <v>0.97041420118343102</v>
      </c>
      <c r="G335" s="2">
        <v>34</v>
      </c>
    </row>
    <row r="336" spans="1:7" x14ac:dyDescent="0.3">
      <c r="A336" s="2" t="s">
        <v>37</v>
      </c>
      <c r="B336" s="2">
        <v>8</v>
      </c>
      <c r="C336" s="2" t="s">
        <v>8</v>
      </c>
      <c r="D336" s="2">
        <v>2</v>
      </c>
      <c r="E336" s="2" t="s">
        <v>10</v>
      </c>
      <c r="F336">
        <v>1.1005917159763301</v>
      </c>
      <c r="G336" s="2">
        <v>34</v>
      </c>
    </row>
    <row r="337" spans="1:7" x14ac:dyDescent="0.3">
      <c r="A337" s="2" t="s">
        <v>37</v>
      </c>
      <c r="B337" s="2">
        <v>8</v>
      </c>
      <c r="C337" s="2" t="s">
        <v>8</v>
      </c>
      <c r="D337" s="2">
        <v>20</v>
      </c>
      <c r="E337" s="2" t="s">
        <v>10</v>
      </c>
      <c r="F337">
        <v>1.2721893491124201</v>
      </c>
      <c r="G337" s="2">
        <v>34</v>
      </c>
    </row>
    <row r="338" spans="1:7" x14ac:dyDescent="0.3">
      <c r="A338" s="2" t="s">
        <v>37</v>
      </c>
      <c r="B338" s="2">
        <v>8</v>
      </c>
      <c r="C338" s="2" t="s">
        <v>8</v>
      </c>
      <c r="D338" s="2">
        <v>200</v>
      </c>
      <c r="E338" s="2" t="s">
        <v>10</v>
      </c>
      <c r="F338">
        <v>1.62721893491124</v>
      </c>
      <c r="G338" s="2">
        <v>34</v>
      </c>
    </row>
    <row r="339" spans="1:7" x14ac:dyDescent="0.3">
      <c r="A339" s="2" t="s">
        <v>37</v>
      </c>
      <c r="B339" s="2">
        <v>8</v>
      </c>
      <c r="C339" s="2" t="s">
        <v>8</v>
      </c>
      <c r="D339" s="2">
        <v>800</v>
      </c>
      <c r="E339" s="2" t="s">
        <v>10</v>
      </c>
      <c r="F339">
        <v>1.10650887573964</v>
      </c>
      <c r="G339" s="2">
        <v>34</v>
      </c>
    </row>
    <row r="340" spans="1:7" x14ac:dyDescent="0.3">
      <c r="A340" s="2" t="s">
        <v>36</v>
      </c>
      <c r="B340" s="2">
        <v>8</v>
      </c>
      <c r="C340" s="2" t="s">
        <v>8</v>
      </c>
      <c r="D340" s="2">
        <v>2</v>
      </c>
      <c r="E340" s="2" t="s">
        <v>10</v>
      </c>
      <c r="F340">
        <v>1.0625</v>
      </c>
      <c r="G340" s="2">
        <v>34</v>
      </c>
    </row>
    <row r="341" spans="1:7" x14ac:dyDescent="0.3">
      <c r="A341" s="2" t="s">
        <v>36</v>
      </c>
      <c r="B341" s="2">
        <v>8</v>
      </c>
      <c r="C341" s="2" t="s">
        <v>8</v>
      </c>
      <c r="D341" s="2">
        <v>20</v>
      </c>
      <c r="E341" s="2" t="s">
        <v>10</v>
      </c>
      <c r="F341">
        <v>0.97321428571428503</v>
      </c>
      <c r="G341" s="2">
        <v>34</v>
      </c>
    </row>
    <row r="342" spans="1:7" x14ac:dyDescent="0.3">
      <c r="A342" s="2" t="s">
        <v>36</v>
      </c>
      <c r="B342" s="2">
        <v>8</v>
      </c>
      <c r="C342" s="2" t="s">
        <v>8</v>
      </c>
      <c r="D342" s="2">
        <v>200</v>
      </c>
      <c r="E342" s="2" t="s">
        <v>10</v>
      </c>
      <c r="F342">
        <v>0.59375</v>
      </c>
      <c r="G342" s="2">
        <v>34</v>
      </c>
    </row>
    <row r="343" spans="1:7" x14ac:dyDescent="0.3">
      <c r="A343" s="2" t="s">
        <v>36</v>
      </c>
      <c r="B343" s="2">
        <v>8</v>
      </c>
      <c r="C343" s="2" t="s">
        <v>8</v>
      </c>
      <c r="D343" s="2">
        <v>800</v>
      </c>
      <c r="E343" s="2" t="s">
        <v>10</v>
      </c>
      <c r="F343">
        <v>0.60714285714285698</v>
      </c>
      <c r="G343" s="2">
        <v>34</v>
      </c>
    </row>
    <row r="344" spans="1:7" x14ac:dyDescent="0.3">
      <c r="A344" s="2" t="s">
        <v>27</v>
      </c>
      <c r="B344" s="2">
        <v>8</v>
      </c>
      <c r="C344" s="2" t="s">
        <v>8</v>
      </c>
      <c r="D344" s="2">
        <v>2</v>
      </c>
      <c r="E344" s="2" t="s">
        <v>10</v>
      </c>
      <c r="F344">
        <v>1.1741071428571399</v>
      </c>
      <c r="G344" s="2">
        <v>34</v>
      </c>
    </row>
    <row r="345" spans="1:7" x14ac:dyDescent="0.3">
      <c r="A345" s="2" t="s">
        <v>27</v>
      </c>
      <c r="B345" s="2">
        <v>8</v>
      </c>
      <c r="C345" s="2" t="s">
        <v>8</v>
      </c>
      <c r="D345" s="2">
        <v>20</v>
      </c>
      <c r="E345" s="2" t="s">
        <v>10</v>
      </c>
      <c r="F345">
        <v>0.93303571428571397</v>
      </c>
      <c r="G345" s="2">
        <v>34</v>
      </c>
    </row>
    <row r="346" spans="1:7" x14ac:dyDescent="0.3">
      <c r="A346" s="2" t="s">
        <v>27</v>
      </c>
      <c r="B346" s="2">
        <v>8</v>
      </c>
      <c r="C346" s="2" t="s">
        <v>8</v>
      </c>
      <c r="D346" s="2">
        <v>200</v>
      </c>
      <c r="E346" s="2" t="s">
        <v>10</v>
      </c>
      <c r="F346">
        <v>0.77678571428571397</v>
      </c>
      <c r="G346" s="2">
        <v>34</v>
      </c>
    </row>
    <row r="347" spans="1:7" x14ac:dyDescent="0.3">
      <c r="A347" s="2" t="s">
        <v>27</v>
      </c>
      <c r="B347" s="2">
        <v>8</v>
      </c>
      <c r="C347" s="2" t="s">
        <v>8</v>
      </c>
      <c r="D347" s="2">
        <v>800</v>
      </c>
      <c r="E347" s="2" t="s">
        <v>10</v>
      </c>
      <c r="F347">
        <v>0.60267857142857095</v>
      </c>
      <c r="G347" s="2">
        <v>34</v>
      </c>
    </row>
    <row r="348" spans="1:7" x14ac:dyDescent="0.3">
      <c r="A348" s="2" t="s">
        <v>37</v>
      </c>
      <c r="B348" s="2">
        <v>8</v>
      </c>
      <c r="C348" s="2" t="s">
        <v>8</v>
      </c>
      <c r="D348" s="2">
        <v>2</v>
      </c>
      <c r="E348" s="2" t="s">
        <v>10</v>
      </c>
      <c r="F348">
        <v>1.375</v>
      </c>
      <c r="G348" s="2">
        <v>34</v>
      </c>
    </row>
    <row r="349" spans="1:7" x14ac:dyDescent="0.3">
      <c r="A349" s="2" t="s">
        <v>37</v>
      </c>
      <c r="B349" s="2">
        <v>8</v>
      </c>
      <c r="C349" s="2" t="s">
        <v>8</v>
      </c>
      <c r="D349" s="2">
        <v>20</v>
      </c>
      <c r="E349" s="2" t="s">
        <v>10</v>
      </c>
      <c r="F349">
        <v>1.12053571428571</v>
      </c>
      <c r="G349" s="2">
        <v>34</v>
      </c>
    </row>
    <row r="350" spans="1:7" x14ac:dyDescent="0.3">
      <c r="A350" s="2" t="s">
        <v>37</v>
      </c>
      <c r="B350" s="2">
        <v>8</v>
      </c>
      <c r="C350" s="2" t="s">
        <v>8</v>
      </c>
      <c r="D350" s="2">
        <v>200</v>
      </c>
      <c r="E350" s="2" t="s">
        <v>10</v>
      </c>
      <c r="F350">
        <v>0.91071428571428503</v>
      </c>
      <c r="G350" s="2">
        <v>34</v>
      </c>
    </row>
    <row r="351" spans="1:7" x14ac:dyDescent="0.3">
      <c r="A351" s="2" t="s">
        <v>37</v>
      </c>
      <c r="B351" s="2">
        <v>8</v>
      </c>
      <c r="C351" s="2" t="s">
        <v>8</v>
      </c>
      <c r="D351" s="2">
        <v>800</v>
      </c>
      <c r="E351" s="2" t="s">
        <v>10</v>
      </c>
      <c r="F351">
        <v>0.76339285714285698</v>
      </c>
      <c r="G351" s="2">
        <v>34</v>
      </c>
    </row>
    <row r="352" spans="1:7" x14ac:dyDescent="0.3">
      <c r="A352" s="2" t="s">
        <v>36</v>
      </c>
      <c r="B352" s="2">
        <v>8</v>
      </c>
      <c r="C352" s="2" t="s">
        <v>8</v>
      </c>
      <c r="D352" s="2">
        <v>2</v>
      </c>
      <c r="E352" s="2" t="s">
        <v>10</v>
      </c>
      <c r="F352">
        <v>0.91608391608391604</v>
      </c>
      <c r="G352" s="2">
        <v>34</v>
      </c>
    </row>
    <row r="353" spans="1:7" x14ac:dyDescent="0.3">
      <c r="A353" s="2" t="s">
        <v>36</v>
      </c>
      <c r="B353" s="2">
        <v>8</v>
      </c>
      <c r="C353" s="2" t="s">
        <v>8</v>
      </c>
      <c r="D353" s="2">
        <v>20</v>
      </c>
      <c r="E353" s="2" t="s">
        <v>10</v>
      </c>
      <c r="F353">
        <v>0.79720279720279696</v>
      </c>
      <c r="G353" s="2">
        <v>34</v>
      </c>
    </row>
    <row r="354" spans="1:7" x14ac:dyDescent="0.3">
      <c r="A354" s="2" t="s">
        <v>36</v>
      </c>
      <c r="B354" s="2">
        <v>8</v>
      </c>
      <c r="C354" s="2" t="s">
        <v>8</v>
      </c>
      <c r="D354" s="2">
        <v>200</v>
      </c>
      <c r="E354" s="2" t="s">
        <v>10</v>
      </c>
      <c r="F354">
        <v>0.608391608391608</v>
      </c>
      <c r="G354" s="2">
        <v>34</v>
      </c>
    </row>
    <row r="355" spans="1:7" x14ac:dyDescent="0.3">
      <c r="A355" s="2" t="s">
        <v>36</v>
      </c>
      <c r="B355" s="2">
        <v>8</v>
      </c>
      <c r="C355" s="2" t="s">
        <v>8</v>
      </c>
      <c r="D355" s="2">
        <v>800</v>
      </c>
      <c r="E355" s="2" t="s">
        <v>10</v>
      </c>
      <c r="F355">
        <v>0.54195804195804198</v>
      </c>
      <c r="G355" s="2">
        <v>34</v>
      </c>
    </row>
    <row r="356" spans="1:7" x14ac:dyDescent="0.3">
      <c r="A356" s="2" t="s">
        <v>27</v>
      </c>
      <c r="B356" s="2">
        <v>8</v>
      </c>
      <c r="C356" s="2" t="s">
        <v>8</v>
      </c>
      <c r="D356" s="2">
        <v>2</v>
      </c>
      <c r="E356" s="2" t="s">
        <v>10</v>
      </c>
      <c r="F356">
        <v>0.90209790209790197</v>
      </c>
      <c r="G356" s="2">
        <v>34</v>
      </c>
    </row>
    <row r="357" spans="1:7" x14ac:dyDescent="0.3">
      <c r="A357" s="2" t="s">
        <v>27</v>
      </c>
      <c r="B357" s="2">
        <v>8</v>
      </c>
      <c r="C357" s="2" t="s">
        <v>8</v>
      </c>
      <c r="D357" s="2">
        <v>20</v>
      </c>
      <c r="E357" s="2" t="s">
        <v>10</v>
      </c>
      <c r="F357">
        <v>0.856643356643356</v>
      </c>
      <c r="G357" s="2">
        <v>34</v>
      </c>
    </row>
    <row r="358" spans="1:7" x14ac:dyDescent="0.3">
      <c r="A358" s="2" t="s">
        <v>27</v>
      </c>
      <c r="B358" s="2">
        <v>8</v>
      </c>
      <c r="C358" s="2" t="s">
        <v>8</v>
      </c>
      <c r="D358" s="2">
        <v>200</v>
      </c>
      <c r="E358" s="2" t="s">
        <v>10</v>
      </c>
      <c r="F358">
        <v>0.73076923076922995</v>
      </c>
      <c r="G358" s="2">
        <v>34</v>
      </c>
    </row>
    <row r="359" spans="1:7" x14ac:dyDescent="0.3">
      <c r="A359" s="2" t="s">
        <v>27</v>
      </c>
      <c r="B359" s="2">
        <v>8</v>
      </c>
      <c r="C359" s="2" t="s">
        <v>8</v>
      </c>
      <c r="D359" s="2">
        <v>800</v>
      </c>
      <c r="E359" s="2" t="s">
        <v>10</v>
      </c>
      <c r="F359">
        <v>0.58741258741258695</v>
      </c>
      <c r="G359" s="2">
        <v>34</v>
      </c>
    </row>
    <row r="360" spans="1:7" x14ac:dyDescent="0.3">
      <c r="A360" s="2" t="s">
        <v>37</v>
      </c>
      <c r="B360" s="2">
        <v>8</v>
      </c>
      <c r="C360" s="2" t="s">
        <v>8</v>
      </c>
      <c r="D360" s="2">
        <v>2</v>
      </c>
      <c r="E360" s="2" t="s">
        <v>10</v>
      </c>
      <c r="F360">
        <v>0.965034965034965</v>
      </c>
      <c r="G360" s="2">
        <v>34</v>
      </c>
    </row>
    <row r="361" spans="1:7" x14ac:dyDescent="0.3">
      <c r="A361" s="2" t="s">
        <v>37</v>
      </c>
      <c r="B361" s="2">
        <v>8</v>
      </c>
      <c r="C361" s="2" t="s">
        <v>8</v>
      </c>
      <c r="D361" s="2">
        <v>20</v>
      </c>
      <c r="E361" s="2" t="s">
        <v>10</v>
      </c>
      <c r="F361">
        <v>0.78321678321678301</v>
      </c>
      <c r="G361" s="2">
        <v>34</v>
      </c>
    </row>
    <row r="362" spans="1:7" x14ac:dyDescent="0.3">
      <c r="A362" s="2" t="s">
        <v>37</v>
      </c>
      <c r="B362" s="2">
        <v>8</v>
      </c>
      <c r="C362" s="2" t="s">
        <v>8</v>
      </c>
      <c r="D362" s="2">
        <v>200</v>
      </c>
      <c r="E362" s="2" t="s">
        <v>10</v>
      </c>
      <c r="F362">
        <v>0.59090909090909005</v>
      </c>
      <c r="G362" s="2">
        <v>34</v>
      </c>
    </row>
    <row r="363" spans="1:7" x14ac:dyDescent="0.3">
      <c r="A363" s="2" t="s">
        <v>37</v>
      </c>
      <c r="B363" s="2">
        <v>8</v>
      </c>
      <c r="C363" s="2" t="s">
        <v>8</v>
      </c>
      <c r="D363" s="2">
        <v>800</v>
      </c>
      <c r="E363" s="2" t="s">
        <v>10</v>
      </c>
      <c r="F363">
        <v>0.50699300699300698</v>
      </c>
      <c r="G363" s="2">
        <v>34</v>
      </c>
    </row>
    <row r="364" spans="1:7" x14ac:dyDescent="0.3">
      <c r="A364" s="2" t="s">
        <v>36</v>
      </c>
      <c r="B364" s="2">
        <v>8</v>
      </c>
      <c r="C364" s="2" t="s">
        <v>8</v>
      </c>
      <c r="D364" s="2">
        <v>2</v>
      </c>
      <c r="E364" s="2" t="s">
        <v>9</v>
      </c>
      <c r="F364">
        <v>0.96858638743455405</v>
      </c>
      <c r="G364" s="2">
        <v>34</v>
      </c>
    </row>
    <row r="365" spans="1:7" x14ac:dyDescent="0.3">
      <c r="A365" s="2" t="s">
        <v>36</v>
      </c>
      <c r="B365" s="2">
        <v>8</v>
      </c>
      <c r="C365" s="2" t="s">
        <v>8</v>
      </c>
      <c r="D365" s="2">
        <v>20</v>
      </c>
      <c r="E365" s="2" t="s">
        <v>9</v>
      </c>
      <c r="F365">
        <v>0.54450261780104703</v>
      </c>
      <c r="G365" s="2">
        <v>34</v>
      </c>
    </row>
    <row r="366" spans="1:7" x14ac:dyDescent="0.3">
      <c r="A366" s="2" t="s">
        <v>36</v>
      </c>
      <c r="B366" s="2">
        <v>8</v>
      </c>
      <c r="C366" s="2" t="s">
        <v>8</v>
      </c>
      <c r="D366" s="2">
        <v>200</v>
      </c>
      <c r="E366" s="2" t="s">
        <v>9</v>
      </c>
      <c r="F366">
        <v>0.34031413612565398</v>
      </c>
      <c r="G366" s="2">
        <v>34</v>
      </c>
    </row>
    <row r="367" spans="1:7" x14ac:dyDescent="0.3">
      <c r="A367" s="2" t="s">
        <v>36</v>
      </c>
      <c r="B367" s="2">
        <v>8</v>
      </c>
      <c r="C367" s="2" t="s">
        <v>8</v>
      </c>
      <c r="D367" s="2">
        <v>800</v>
      </c>
      <c r="E367" s="2" t="s">
        <v>9</v>
      </c>
      <c r="F367">
        <v>0.27225130890052301</v>
      </c>
      <c r="G367" s="2">
        <v>34</v>
      </c>
    </row>
    <row r="368" spans="1:7" x14ac:dyDescent="0.3">
      <c r="A368" s="2" t="s">
        <v>27</v>
      </c>
      <c r="B368" s="2">
        <v>8</v>
      </c>
      <c r="C368" s="2" t="s">
        <v>8</v>
      </c>
      <c r="D368" s="2">
        <v>2</v>
      </c>
      <c r="E368" s="2" t="s">
        <v>9</v>
      </c>
      <c r="F368">
        <v>1.0157068062827199</v>
      </c>
      <c r="G368" s="2">
        <v>34</v>
      </c>
    </row>
    <row r="369" spans="1:7" x14ac:dyDescent="0.3">
      <c r="A369" s="2" t="s">
        <v>27</v>
      </c>
      <c r="B369" s="2">
        <v>8</v>
      </c>
      <c r="C369" s="2" t="s">
        <v>8</v>
      </c>
      <c r="D369" s="2">
        <v>20</v>
      </c>
      <c r="E369" s="2" t="s">
        <v>9</v>
      </c>
      <c r="F369">
        <v>0.89005235602094201</v>
      </c>
      <c r="G369" s="2">
        <v>34</v>
      </c>
    </row>
    <row r="370" spans="1:7" x14ac:dyDescent="0.3">
      <c r="A370" s="2" t="s">
        <v>27</v>
      </c>
      <c r="B370" s="2">
        <v>8</v>
      </c>
      <c r="C370" s="2" t="s">
        <v>8</v>
      </c>
      <c r="D370" s="2">
        <v>200</v>
      </c>
      <c r="E370" s="2" t="s">
        <v>9</v>
      </c>
      <c r="F370">
        <v>0.57068062827225097</v>
      </c>
      <c r="G370" s="2">
        <v>34</v>
      </c>
    </row>
    <row r="371" spans="1:7" x14ac:dyDescent="0.3">
      <c r="A371" s="2" t="s">
        <v>27</v>
      </c>
      <c r="B371" s="2">
        <v>8</v>
      </c>
      <c r="C371" s="2" t="s">
        <v>8</v>
      </c>
      <c r="D371" s="2">
        <v>800</v>
      </c>
      <c r="E371" s="2" t="s">
        <v>9</v>
      </c>
      <c r="F371">
        <v>0.30366492146596802</v>
      </c>
      <c r="G371" s="2">
        <v>34</v>
      </c>
    </row>
    <row r="372" spans="1:7" x14ac:dyDescent="0.3">
      <c r="A372" s="2" t="s">
        <v>37</v>
      </c>
      <c r="B372" s="2">
        <v>8</v>
      </c>
      <c r="C372" s="2" t="s">
        <v>8</v>
      </c>
      <c r="D372" s="2">
        <v>2</v>
      </c>
      <c r="E372" s="2" t="s">
        <v>9</v>
      </c>
      <c r="F372">
        <v>1.01047120418848</v>
      </c>
      <c r="G372" s="2">
        <v>34</v>
      </c>
    </row>
    <row r="373" spans="1:7" x14ac:dyDescent="0.3">
      <c r="A373" s="2" t="s">
        <v>37</v>
      </c>
      <c r="B373" s="2">
        <v>8</v>
      </c>
      <c r="C373" s="2" t="s">
        <v>8</v>
      </c>
      <c r="D373" s="2">
        <v>20</v>
      </c>
      <c r="E373" s="2" t="s">
        <v>9</v>
      </c>
      <c r="F373">
        <v>0.93193717277486898</v>
      </c>
      <c r="G373" s="2">
        <v>34</v>
      </c>
    </row>
    <row r="374" spans="1:7" x14ac:dyDescent="0.3">
      <c r="A374" s="2" t="s">
        <v>37</v>
      </c>
      <c r="B374" s="2">
        <v>8</v>
      </c>
      <c r="C374" s="2" t="s">
        <v>8</v>
      </c>
      <c r="D374" s="2">
        <v>200</v>
      </c>
      <c r="E374" s="2" t="s">
        <v>9</v>
      </c>
      <c r="F374">
        <v>0.82722513089005201</v>
      </c>
      <c r="G374" s="2">
        <v>34</v>
      </c>
    </row>
    <row r="375" spans="1:7" x14ac:dyDescent="0.3">
      <c r="A375" s="2" t="s">
        <v>37</v>
      </c>
      <c r="B375" s="2">
        <v>8</v>
      </c>
      <c r="C375" s="2" t="s">
        <v>8</v>
      </c>
      <c r="D375" s="2">
        <v>800</v>
      </c>
      <c r="E375" s="2" t="s">
        <v>9</v>
      </c>
      <c r="F375">
        <v>0.45549738219895203</v>
      </c>
      <c r="G375" s="2">
        <v>34</v>
      </c>
    </row>
    <row r="376" spans="1:7" x14ac:dyDescent="0.3">
      <c r="A376" s="2" t="s">
        <v>36</v>
      </c>
      <c r="B376" s="2">
        <v>8</v>
      </c>
      <c r="C376" s="2" t="s">
        <v>8</v>
      </c>
      <c r="D376" s="2">
        <v>2</v>
      </c>
      <c r="E376" s="2" t="s">
        <v>9</v>
      </c>
      <c r="F376">
        <v>0.93832599118942706</v>
      </c>
      <c r="G376" s="2">
        <v>34</v>
      </c>
    </row>
    <row r="377" spans="1:7" x14ac:dyDescent="0.3">
      <c r="A377" s="2" t="s">
        <v>36</v>
      </c>
      <c r="B377" s="2">
        <v>8</v>
      </c>
      <c r="C377" s="2" t="s">
        <v>8</v>
      </c>
      <c r="D377" s="2">
        <v>20</v>
      </c>
      <c r="E377" s="2" t="s">
        <v>9</v>
      </c>
      <c r="F377">
        <v>0.54185022026431695</v>
      </c>
      <c r="G377" s="2">
        <v>34</v>
      </c>
    </row>
    <row r="378" spans="1:7" x14ac:dyDescent="0.3">
      <c r="A378" s="2" t="s">
        <v>36</v>
      </c>
      <c r="B378" s="2">
        <v>8</v>
      </c>
      <c r="C378" s="2" t="s">
        <v>8</v>
      </c>
      <c r="D378" s="2">
        <v>200</v>
      </c>
      <c r="E378" s="2" t="s">
        <v>9</v>
      </c>
      <c r="F378">
        <v>0.35242290748898603</v>
      </c>
      <c r="G378" s="2">
        <v>34</v>
      </c>
    </row>
    <row r="379" spans="1:7" x14ac:dyDescent="0.3">
      <c r="A379" s="2" t="s">
        <v>36</v>
      </c>
      <c r="B379" s="2">
        <v>8</v>
      </c>
      <c r="C379" s="2" t="s">
        <v>8</v>
      </c>
      <c r="D379" s="2">
        <v>800</v>
      </c>
      <c r="E379" s="2" t="s">
        <v>9</v>
      </c>
      <c r="F379">
        <v>0.27753303964757697</v>
      </c>
      <c r="G379" s="2">
        <v>34</v>
      </c>
    </row>
    <row r="380" spans="1:7" x14ac:dyDescent="0.3">
      <c r="A380" s="2" t="s">
        <v>27</v>
      </c>
      <c r="B380" s="2">
        <v>8</v>
      </c>
      <c r="C380" s="2" t="s">
        <v>8</v>
      </c>
      <c r="D380" s="2">
        <v>2</v>
      </c>
      <c r="E380" s="2" t="s">
        <v>9</v>
      </c>
      <c r="F380">
        <v>0.96475770925110105</v>
      </c>
      <c r="G380" s="2">
        <v>34</v>
      </c>
    </row>
    <row r="381" spans="1:7" x14ac:dyDescent="0.3">
      <c r="A381" s="2" t="s">
        <v>27</v>
      </c>
      <c r="B381" s="2">
        <v>8</v>
      </c>
      <c r="C381" s="2" t="s">
        <v>8</v>
      </c>
      <c r="D381" s="2">
        <v>20</v>
      </c>
      <c r="E381" s="2" t="s">
        <v>9</v>
      </c>
      <c r="F381">
        <v>0.85903083700440497</v>
      </c>
      <c r="G381" s="2">
        <v>34</v>
      </c>
    </row>
    <row r="382" spans="1:7" x14ac:dyDescent="0.3">
      <c r="A382" s="2" t="s">
        <v>27</v>
      </c>
      <c r="B382" s="2">
        <v>8</v>
      </c>
      <c r="C382" s="2" t="s">
        <v>8</v>
      </c>
      <c r="D382" s="2">
        <v>200</v>
      </c>
      <c r="E382" s="2" t="s">
        <v>9</v>
      </c>
      <c r="F382">
        <v>0.59030837004405201</v>
      </c>
      <c r="G382" s="2">
        <v>34</v>
      </c>
    </row>
    <row r="383" spans="1:7" x14ac:dyDescent="0.3">
      <c r="A383" s="2" t="s">
        <v>27</v>
      </c>
      <c r="B383" s="2">
        <v>8</v>
      </c>
      <c r="C383" s="2" t="s">
        <v>8</v>
      </c>
      <c r="D383" s="2">
        <v>800</v>
      </c>
      <c r="E383" s="2" t="s">
        <v>9</v>
      </c>
      <c r="F383">
        <v>0.31718061674008802</v>
      </c>
      <c r="G383" s="2">
        <v>34</v>
      </c>
    </row>
    <row r="384" spans="1:7" x14ac:dyDescent="0.3">
      <c r="A384" s="2" t="s">
        <v>37</v>
      </c>
      <c r="B384" s="2">
        <v>8</v>
      </c>
      <c r="C384" s="2" t="s">
        <v>8</v>
      </c>
      <c r="D384" s="2">
        <v>2</v>
      </c>
      <c r="E384" s="2" t="s">
        <v>9</v>
      </c>
      <c r="F384">
        <v>0.96475770925110105</v>
      </c>
      <c r="G384" s="2">
        <v>34</v>
      </c>
    </row>
    <row r="385" spans="1:7" x14ac:dyDescent="0.3">
      <c r="A385" s="2" t="s">
        <v>37</v>
      </c>
      <c r="B385" s="2">
        <v>8</v>
      </c>
      <c r="C385" s="2" t="s">
        <v>8</v>
      </c>
      <c r="D385" s="2">
        <v>20</v>
      </c>
      <c r="E385" s="2" t="s">
        <v>9</v>
      </c>
      <c r="F385">
        <v>0.91189427312775295</v>
      </c>
      <c r="G385" s="2">
        <v>34</v>
      </c>
    </row>
    <row r="386" spans="1:7" x14ac:dyDescent="0.3">
      <c r="A386" s="2" t="s">
        <v>37</v>
      </c>
      <c r="B386" s="2">
        <v>8</v>
      </c>
      <c r="C386" s="2" t="s">
        <v>8</v>
      </c>
      <c r="D386" s="2">
        <v>200</v>
      </c>
      <c r="E386" s="2" t="s">
        <v>9</v>
      </c>
      <c r="F386">
        <v>0.79735682819383202</v>
      </c>
      <c r="G386" s="2">
        <v>34</v>
      </c>
    </row>
    <row r="387" spans="1:7" x14ac:dyDescent="0.3">
      <c r="A387" s="2" t="s">
        <v>37</v>
      </c>
      <c r="B387" s="2">
        <v>8</v>
      </c>
      <c r="C387" s="2" t="s">
        <v>8</v>
      </c>
      <c r="D387" s="2">
        <v>800</v>
      </c>
      <c r="E387" s="2" t="s">
        <v>9</v>
      </c>
      <c r="F387">
        <v>0.47577092511013203</v>
      </c>
      <c r="G387" s="2">
        <v>34</v>
      </c>
    </row>
    <row r="388" spans="1:7" x14ac:dyDescent="0.3">
      <c r="A388" s="2" t="s">
        <v>36</v>
      </c>
      <c r="B388" s="2">
        <v>8</v>
      </c>
      <c r="C388" s="2" t="s">
        <v>8</v>
      </c>
      <c r="D388" s="2">
        <v>2</v>
      </c>
      <c r="E388" s="2" t="s">
        <v>9</v>
      </c>
      <c r="F388">
        <v>0.95901639344262202</v>
      </c>
      <c r="G388" s="2">
        <v>34</v>
      </c>
    </row>
    <row r="389" spans="1:7" x14ac:dyDescent="0.3">
      <c r="A389" s="2" t="s">
        <v>36</v>
      </c>
      <c r="B389" s="2">
        <v>8</v>
      </c>
      <c r="C389" s="2" t="s">
        <v>8</v>
      </c>
      <c r="D389" s="2">
        <v>20</v>
      </c>
      <c r="E389" s="2" t="s">
        <v>9</v>
      </c>
      <c r="F389">
        <v>0.60655737704918</v>
      </c>
      <c r="G389" s="2">
        <v>34</v>
      </c>
    </row>
    <row r="390" spans="1:7" x14ac:dyDescent="0.3">
      <c r="A390" s="2" t="s">
        <v>36</v>
      </c>
      <c r="B390" s="2">
        <v>8</v>
      </c>
      <c r="C390" s="2" t="s">
        <v>8</v>
      </c>
      <c r="D390" s="2">
        <v>200</v>
      </c>
      <c r="E390" s="2" t="s">
        <v>9</v>
      </c>
      <c r="F390">
        <v>0.42213114754098302</v>
      </c>
      <c r="G390" s="2">
        <v>34</v>
      </c>
    </row>
    <row r="391" spans="1:7" x14ac:dyDescent="0.3">
      <c r="A391" s="2" t="s">
        <v>36</v>
      </c>
      <c r="B391" s="2">
        <v>8</v>
      </c>
      <c r="C391" s="2" t="s">
        <v>8</v>
      </c>
      <c r="D391" s="2">
        <v>800</v>
      </c>
      <c r="E391" s="2" t="s">
        <v>9</v>
      </c>
      <c r="F391">
        <v>0.340163934426229</v>
      </c>
      <c r="G391" s="2">
        <v>34</v>
      </c>
    </row>
    <row r="392" spans="1:7" x14ac:dyDescent="0.3">
      <c r="A392" s="2" t="s">
        <v>27</v>
      </c>
      <c r="B392" s="2">
        <v>8</v>
      </c>
      <c r="C392" s="2" t="s">
        <v>8</v>
      </c>
      <c r="D392" s="2">
        <v>2</v>
      </c>
      <c r="E392" s="2" t="s">
        <v>9</v>
      </c>
      <c r="F392">
        <v>0.99590163934426201</v>
      </c>
      <c r="G392" s="2">
        <v>34</v>
      </c>
    </row>
    <row r="393" spans="1:7" x14ac:dyDescent="0.3">
      <c r="A393" s="2" t="s">
        <v>27</v>
      </c>
      <c r="B393" s="2">
        <v>8</v>
      </c>
      <c r="C393" s="2" t="s">
        <v>8</v>
      </c>
      <c r="D393" s="2">
        <v>20</v>
      </c>
      <c r="E393" s="2" t="s">
        <v>9</v>
      </c>
      <c r="F393">
        <v>0.88934426229508201</v>
      </c>
      <c r="G393" s="2">
        <v>34</v>
      </c>
    </row>
    <row r="394" spans="1:7" x14ac:dyDescent="0.3">
      <c r="A394" s="2" t="s">
        <v>27</v>
      </c>
      <c r="B394" s="2">
        <v>8</v>
      </c>
      <c r="C394" s="2" t="s">
        <v>8</v>
      </c>
      <c r="D394" s="2">
        <v>200</v>
      </c>
      <c r="E394" s="2" t="s">
        <v>9</v>
      </c>
      <c r="F394">
        <v>0.643442622950819</v>
      </c>
      <c r="G394" s="2">
        <v>34</v>
      </c>
    </row>
    <row r="395" spans="1:7" x14ac:dyDescent="0.3">
      <c r="A395" s="2" t="s">
        <v>27</v>
      </c>
      <c r="B395" s="2">
        <v>8</v>
      </c>
      <c r="C395" s="2" t="s">
        <v>8</v>
      </c>
      <c r="D395" s="2">
        <v>800</v>
      </c>
      <c r="E395" s="2" t="s">
        <v>9</v>
      </c>
      <c r="F395">
        <v>0.36475409836065498</v>
      </c>
      <c r="G395" s="2">
        <v>34</v>
      </c>
    </row>
    <row r="396" spans="1:7" x14ac:dyDescent="0.3">
      <c r="A396" s="2" t="s">
        <v>37</v>
      </c>
      <c r="B396" s="2">
        <v>8</v>
      </c>
      <c r="C396" s="2" t="s">
        <v>8</v>
      </c>
      <c r="D396" s="2">
        <v>2</v>
      </c>
      <c r="E396" s="2" t="s">
        <v>9</v>
      </c>
      <c r="F396">
        <v>0.97540983606557297</v>
      </c>
      <c r="G396" s="2">
        <v>34</v>
      </c>
    </row>
    <row r="397" spans="1:7" x14ac:dyDescent="0.3">
      <c r="A397" s="2" t="s">
        <v>37</v>
      </c>
      <c r="B397" s="2">
        <v>8</v>
      </c>
      <c r="C397" s="2" t="s">
        <v>8</v>
      </c>
      <c r="D397" s="2">
        <v>20</v>
      </c>
      <c r="E397" s="2" t="s">
        <v>9</v>
      </c>
      <c r="F397">
        <v>0.90983606557376995</v>
      </c>
      <c r="G397" s="2">
        <v>34</v>
      </c>
    </row>
    <row r="398" spans="1:7" x14ac:dyDescent="0.3">
      <c r="A398" s="2" t="s">
        <v>37</v>
      </c>
      <c r="B398" s="2">
        <v>8</v>
      </c>
      <c r="C398" s="2" t="s">
        <v>8</v>
      </c>
      <c r="D398" s="2">
        <v>200</v>
      </c>
      <c r="E398" s="2" t="s">
        <v>9</v>
      </c>
      <c r="F398">
        <v>0.83196721311475397</v>
      </c>
      <c r="G398" s="2">
        <v>34</v>
      </c>
    </row>
    <row r="399" spans="1:7" s="1" customFormat="1" ht="13.9" thickBot="1" x14ac:dyDescent="0.35">
      <c r="A399" s="3" t="s">
        <v>37</v>
      </c>
      <c r="B399" s="3">
        <v>8</v>
      </c>
      <c r="C399" s="3" t="s">
        <v>8</v>
      </c>
      <c r="D399" s="3">
        <v>800</v>
      </c>
      <c r="E399" s="3" t="s">
        <v>9</v>
      </c>
      <c r="F399" s="1">
        <v>0.50819672131147497</v>
      </c>
      <c r="G399" s="3">
        <v>34</v>
      </c>
    </row>
    <row r="400" spans="1:7" x14ac:dyDescent="0.3">
      <c r="A400" t="s">
        <v>38</v>
      </c>
      <c r="B400" s="2">
        <v>20</v>
      </c>
      <c r="C400" s="2" t="s">
        <v>8</v>
      </c>
      <c r="D400" s="2">
        <v>500</v>
      </c>
      <c r="E400" s="2" t="s">
        <v>12</v>
      </c>
      <c r="F400">
        <v>0.96734693877551003</v>
      </c>
      <c r="G400" s="2">
        <v>35</v>
      </c>
    </row>
    <row r="401" spans="1:7" x14ac:dyDescent="0.3">
      <c r="A401" t="s">
        <v>38</v>
      </c>
      <c r="B401" s="2">
        <v>20</v>
      </c>
      <c r="C401" s="2" t="s">
        <v>8</v>
      </c>
      <c r="D401" s="2">
        <v>1000</v>
      </c>
      <c r="E401" s="2" t="s">
        <v>12</v>
      </c>
      <c r="F401">
        <v>0.99183673469387701</v>
      </c>
      <c r="G401" s="2">
        <v>35</v>
      </c>
    </row>
    <row r="402" spans="1:7" x14ac:dyDescent="0.3">
      <c r="A402" t="s">
        <v>38</v>
      </c>
      <c r="B402" s="2">
        <v>20</v>
      </c>
      <c r="C402" s="2" t="s">
        <v>8</v>
      </c>
      <c r="D402" s="2">
        <v>2000</v>
      </c>
      <c r="E402" s="2" t="s">
        <v>12</v>
      </c>
      <c r="F402">
        <v>0.85306122448979504</v>
      </c>
      <c r="G402" s="2">
        <v>35</v>
      </c>
    </row>
    <row r="403" spans="1:7" x14ac:dyDescent="0.3">
      <c r="A403" t="s">
        <v>38</v>
      </c>
      <c r="B403" s="2">
        <v>20</v>
      </c>
      <c r="C403" s="2" t="s">
        <v>8</v>
      </c>
      <c r="D403" s="2">
        <v>5000</v>
      </c>
      <c r="E403" s="2" t="s">
        <v>12</v>
      </c>
      <c r="F403">
        <v>0.8</v>
      </c>
      <c r="G403" s="2">
        <v>35</v>
      </c>
    </row>
    <row r="404" spans="1:7" x14ac:dyDescent="0.3">
      <c r="A404" t="s">
        <v>38</v>
      </c>
      <c r="B404" s="2">
        <v>20</v>
      </c>
      <c r="C404" s="2" t="s">
        <v>8</v>
      </c>
      <c r="D404" s="2">
        <v>10000</v>
      </c>
      <c r="E404" s="2" t="s">
        <v>12</v>
      </c>
      <c r="F404">
        <v>0.67346938775510201</v>
      </c>
      <c r="G404" s="2">
        <v>35</v>
      </c>
    </row>
    <row r="405" spans="1:7" x14ac:dyDescent="0.3">
      <c r="A405" t="s">
        <v>38</v>
      </c>
      <c r="B405" s="2">
        <v>20</v>
      </c>
      <c r="C405" s="2" t="s">
        <v>8</v>
      </c>
      <c r="D405" s="2">
        <v>20000</v>
      </c>
      <c r="E405" s="2" t="s">
        <v>12</v>
      </c>
      <c r="F405">
        <v>0.51020408163265296</v>
      </c>
      <c r="G405" s="2">
        <v>35</v>
      </c>
    </row>
    <row r="406" spans="1:7" x14ac:dyDescent="0.3">
      <c r="A406" t="s">
        <v>38</v>
      </c>
      <c r="B406" s="2">
        <v>20</v>
      </c>
      <c r="C406" s="2" t="s">
        <v>11</v>
      </c>
      <c r="D406" s="2">
        <v>500</v>
      </c>
      <c r="E406" s="2" t="s">
        <v>12</v>
      </c>
      <c r="F406">
        <v>0.75336322869955097</v>
      </c>
      <c r="G406" s="2">
        <v>35</v>
      </c>
    </row>
    <row r="407" spans="1:7" x14ac:dyDescent="0.3">
      <c r="A407" t="s">
        <v>38</v>
      </c>
      <c r="B407" s="2">
        <v>20</v>
      </c>
      <c r="C407" s="2" t="s">
        <v>11</v>
      </c>
      <c r="D407" s="2">
        <v>1000</v>
      </c>
      <c r="E407" s="2" t="s">
        <v>12</v>
      </c>
      <c r="F407">
        <v>0.86547085201793705</v>
      </c>
      <c r="G407" s="2">
        <v>35</v>
      </c>
    </row>
    <row r="408" spans="1:7" x14ac:dyDescent="0.3">
      <c r="A408" t="s">
        <v>38</v>
      </c>
      <c r="B408" s="2">
        <v>20</v>
      </c>
      <c r="C408" s="2" t="s">
        <v>11</v>
      </c>
      <c r="D408" s="2">
        <v>2000</v>
      </c>
      <c r="E408" s="2" t="s">
        <v>12</v>
      </c>
      <c r="F408">
        <v>0.57399103139013397</v>
      </c>
      <c r="G408" s="2">
        <v>35</v>
      </c>
    </row>
    <row r="409" spans="1:7" x14ac:dyDescent="0.3">
      <c r="A409" t="s">
        <v>38</v>
      </c>
      <c r="B409" s="2">
        <v>20</v>
      </c>
      <c r="C409" s="2" t="s">
        <v>11</v>
      </c>
      <c r="D409" s="2">
        <v>5000</v>
      </c>
      <c r="E409" s="2" t="s">
        <v>12</v>
      </c>
      <c r="F409">
        <v>0.363228699551569</v>
      </c>
      <c r="G409" s="2">
        <v>35</v>
      </c>
    </row>
    <row r="410" spans="1:7" x14ac:dyDescent="0.3">
      <c r="A410" t="s">
        <v>38</v>
      </c>
      <c r="B410" s="2">
        <v>20</v>
      </c>
      <c r="C410" s="2" t="s">
        <v>11</v>
      </c>
      <c r="D410" s="2">
        <v>10000</v>
      </c>
      <c r="E410" s="2" t="s">
        <v>12</v>
      </c>
      <c r="F410">
        <v>0.25112107623318303</v>
      </c>
      <c r="G410" s="2">
        <v>35</v>
      </c>
    </row>
    <row r="411" spans="1:7" x14ac:dyDescent="0.3">
      <c r="A411" t="s">
        <v>38</v>
      </c>
      <c r="B411" s="2">
        <v>20</v>
      </c>
      <c r="C411" s="2" t="s">
        <v>11</v>
      </c>
      <c r="D411" s="2">
        <v>20000</v>
      </c>
      <c r="E411" s="2" t="s">
        <v>12</v>
      </c>
      <c r="F411">
        <v>0.19730941704035801</v>
      </c>
      <c r="G411" s="2">
        <v>35</v>
      </c>
    </row>
    <row r="412" spans="1:7" x14ac:dyDescent="0.3">
      <c r="A412" t="s">
        <v>38</v>
      </c>
      <c r="B412" s="2">
        <v>20</v>
      </c>
      <c r="C412" s="2" t="s">
        <v>8</v>
      </c>
      <c r="D412" s="2">
        <v>500</v>
      </c>
      <c r="E412" s="2" t="s">
        <v>9</v>
      </c>
      <c r="F412">
        <v>0.94535519125682999</v>
      </c>
      <c r="G412" s="2">
        <v>35</v>
      </c>
    </row>
    <row r="413" spans="1:7" x14ac:dyDescent="0.3">
      <c r="A413" t="s">
        <v>38</v>
      </c>
      <c r="B413" s="2">
        <v>20</v>
      </c>
      <c r="C413" s="2" t="s">
        <v>8</v>
      </c>
      <c r="D413" s="2">
        <v>1000</v>
      </c>
      <c r="E413" s="2" t="s">
        <v>9</v>
      </c>
      <c r="F413">
        <v>0.95355191256830596</v>
      </c>
      <c r="G413" s="2">
        <v>35</v>
      </c>
    </row>
    <row r="414" spans="1:7" x14ac:dyDescent="0.3">
      <c r="A414" t="s">
        <v>38</v>
      </c>
      <c r="B414" s="2">
        <v>20</v>
      </c>
      <c r="C414" s="2" t="s">
        <v>8</v>
      </c>
      <c r="D414" s="2">
        <v>2000</v>
      </c>
      <c r="E414" s="2" t="s">
        <v>9</v>
      </c>
      <c r="F414">
        <v>0.882513661202185</v>
      </c>
      <c r="G414" s="2">
        <v>35</v>
      </c>
    </row>
    <row r="415" spans="1:7" x14ac:dyDescent="0.3">
      <c r="A415" t="s">
        <v>38</v>
      </c>
      <c r="B415" s="2">
        <v>20</v>
      </c>
      <c r="C415" s="2" t="s">
        <v>8</v>
      </c>
      <c r="D415" s="2">
        <v>5000</v>
      </c>
      <c r="E415" s="2" t="s">
        <v>9</v>
      </c>
      <c r="F415">
        <v>0.86885245901639296</v>
      </c>
      <c r="G415" s="2">
        <v>35</v>
      </c>
    </row>
    <row r="416" spans="1:7" x14ac:dyDescent="0.3">
      <c r="A416" t="s">
        <v>38</v>
      </c>
      <c r="B416" s="2">
        <v>20</v>
      </c>
      <c r="C416" s="2" t="s">
        <v>8</v>
      </c>
      <c r="D416" s="2">
        <v>10000</v>
      </c>
      <c r="E416" s="2" t="s">
        <v>9</v>
      </c>
      <c r="F416">
        <v>0.81693989071038198</v>
      </c>
      <c r="G416" s="2">
        <v>35</v>
      </c>
    </row>
    <row r="417" spans="1:7" x14ac:dyDescent="0.3">
      <c r="A417" t="s">
        <v>38</v>
      </c>
      <c r="B417" s="2">
        <v>20</v>
      </c>
      <c r="C417" s="2" t="s">
        <v>8</v>
      </c>
      <c r="D417" s="2">
        <v>20000</v>
      </c>
      <c r="E417" s="2" t="s">
        <v>9</v>
      </c>
      <c r="F417">
        <v>0.797814207650273</v>
      </c>
      <c r="G417" s="2">
        <v>35</v>
      </c>
    </row>
    <row r="418" spans="1:7" x14ac:dyDescent="0.3">
      <c r="A418" t="s">
        <v>38</v>
      </c>
      <c r="B418" s="2">
        <v>20</v>
      </c>
      <c r="C418" s="2" t="s">
        <v>8</v>
      </c>
      <c r="D418" s="2">
        <v>500</v>
      </c>
      <c r="E418" s="2" t="s">
        <v>10</v>
      </c>
      <c r="F418">
        <v>1.02389078498293</v>
      </c>
      <c r="G418" s="2">
        <v>35</v>
      </c>
    </row>
    <row r="419" spans="1:7" x14ac:dyDescent="0.3">
      <c r="A419" t="s">
        <v>38</v>
      </c>
      <c r="B419" s="2">
        <v>20</v>
      </c>
      <c r="C419" s="2" t="s">
        <v>8</v>
      </c>
      <c r="D419" s="2">
        <v>1000</v>
      </c>
      <c r="E419" s="2" t="s">
        <v>10</v>
      </c>
      <c r="F419">
        <v>1.05119453924914</v>
      </c>
      <c r="G419" s="2">
        <v>35</v>
      </c>
    </row>
    <row r="420" spans="1:7" x14ac:dyDescent="0.3">
      <c r="A420" t="s">
        <v>38</v>
      </c>
      <c r="B420" s="2">
        <v>20</v>
      </c>
      <c r="C420" s="2" t="s">
        <v>8</v>
      </c>
      <c r="D420" s="2">
        <v>2000</v>
      </c>
      <c r="E420" s="2" t="s">
        <v>10</v>
      </c>
      <c r="F420">
        <v>1.0580204778156901</v>
      </c>
      <c r="G420" s="2">
        <v>35</v>
      </c>
    </row>
    <row r="421" spans="1:7" x14ac:dyDescent="0.3">
      <c r="A421" t="s">
        <v>38</v>
      </c>
      <c r="B421" s="2">
        <v>20</v>
      </c>
      <c r="C421" s="2" t="s">
        <v>8</v>
      </c>
      <c r="D421" s="2">
        <v>5000</v>
      </c>
      <c r="E421" s="2" t="s">
        <v>10</v>
      </c>
      <c r="F421">
        <v>0.98634812286689399</v>
      </c>
      <c r="G421" s="2">
        <v>35</v>
      </c>
    </row>
    <row r="422" spans="1:7" x14ac:dyDescent="0.3">
      <c r="A422" t="s">
        <v>38</v>
      </c>
      <c r="B422" s="2">
        <v>20</v>
      </c>
      <c r="C422" s="2" t="s">
        <v>8</v>
      </c>
      <c r="D422" s="2">
        <v>10000</v>
      </c>
      <c r="E422" s="2" t="s">
        <v>10</v>
      </c>
      <c r="F422">
        <v>0.89078498293515296</v>
      </c>
      <c r="G422" s="2">
        <v>35</v>
      </c>
    </row>
    <row r="423" spans="1:7" x14ac:dyDescent="0.3">
      <c r="A423" t="s">
        <v>38</v>
      </c>
      <c r="B423" s="2">
        <v>20</v>
      </c>
      <c r="C423" s="2" t="s">
        <v>8</v>
      </c>
      <c r="D423" s="2">
        <v>20000</v>
      </c>
      <c r="E423" s="2" t="s">
        <v>10</v>
      </c>
      <c r="F423">
        <v>0.83276450511945299</v>
      </c>
      <c r="G423" s="2">
        <v>35</v>
      </c>
    </row>
    <row r="424" spans="1:7" x14ac:dyDescent="0.3">
      <c r="A424" t="s">
        <v>38</v>
      </c>
      <c r="B424" s="2">
        <v>20</v>
      </c>
      <c r="C424" s="2" t="s">
        <v>8</v>
      </c>
      <c r="D424" s="2">
        <v>500</v>
      </c>
      <c r="E424" s="2" t="s">
        <v>10</v>
      </c>
      <c r="F424">
        <v>1.03896103896103</v>
      </c>
      <c r="G424" s="2">
        <v>35</v>
      </c>
    </row>
    <row r="425" spans="1:7" x14ac:dyDescent="0.3">
      <c r="A425" t="s">
        <v>38</v>
      </c>
      <c r="B425" s="2">
        <v>20</v>
      </c>
      <c r="C425" s="2" t="s">
        <v>8</v>
      </c>
      <c r="D425" s="2">
        <v>1000</v>
      </c>
      <c r="E425" s="2" t="s">
        <v>10</v>
      </c>
      <c r="F425">
        <v>1.06493506493506</v>
      </c>
      <c r="G425" s="2">
        <v>35</v>
      </c>
    </row>
    <row r="426" spans="1:7" x14ac:dyDescent="0.3">
      <c r="A426" t="s">
        <v>38</v>
      </c>
      <c r="B426" s="2">
        <v>20</v>
      </c>
      <c r="C426" s="2" t="s">
        <v>8</v>
      </c>
      <c r="D426" s="2">
        <v>2000</v>
      </c>
      <c r="E426" s="2" t="s">
        <v>10</v>
      </c>
      <c r="F426">
        <v>1.1201298701298701</v>
      </c>
      <c r="G426" s="2">
        <v>35</v>
      </c>
    </row>
    <row r="427" spans="1:7" x14ac:dyDescent="0.3">
      <c r="A427" t="s">
        <v>38</v>
      </c>
      <c r="B427" s="2">
        <v>20</v>
      </c>
      <c r="C427" s="2" t="s">
        <v>8</v>
      </c>
      <c r="D427" s="2">
        <v>5000</v>
      </c>
      <c r="E427" s="2" t="s">
        <v>10</v>
      </c>
      <c r="F427">
        <v>1.06493506493506</v>
      </c>
      <c r="G427" s="2">
        <v>35</v>
      </c>
    </row>
    <row r="428" spans="1:7" x14ac:dyDescent="0.3">
      <c r="A428" t="s">
        <v>38</v>
      </c>
      <c r="B428" s="2">
        <v>20</v>
      </c>
      <c r="C428" s="2" t="s">
        <v>8</v>
      </c>
      <c r="D428" s="2">
        <v>10000</v>
      </c>
      <c r="E428" s="2" t="s">
        <v>10</v>
      </c>
      <c r="F428">
        <v>1.13961038961038</v>
      </c>
      <c r="G428" s="2">
        <v>35</v>
      </c>
    </row>
    <row r="429" spans="1:7" x14ac:dyDescent="0.3">
      <c r="A429" t="s">
        <v>38</v>
      </c>
      <c r="B429" s="2">
        <v>20</v>
      </c>
      <c r="C429" s="2" t="s">
        <v>8</v>
      </c>
      <c r="D429" s="2">
        <v>20000</v>
      </c>
      <c r="E429" s="2" t="s">
        <v>10</v>
      </c>
      <c r="F429">
        <v>1.1915584415584399</v>
      </c>
      <c r="G429" s="2">
        <v>35</v>
      </c>
    </row>
    <row r="430" spans="1:7" x14ac:dyDescent="0.3">
      <c r="A430" t="s">
        <v>38</v>
      </c>
      <c r="B430" s="2">
        <v>20</v>
      </c>
      <c r="C430" s="2" t="s">
        <v>8</v>
      </c>
      <c r="D430" s="2">
        <v>500</v>
      </c>
      <c r="E430" s="2" t="s">
        <v>10</v>
      </c>
      <c r="F430">
        <v>1.0172413793103401</v>
      </c>
      <c r="G430" s="2">
        <v>35</v>
      </c>
    </row>
    <row r="431" spans="1:7" x14ac:dyDescent="0.3">
      <c r="A431" t="s">
        <v>38</v>
      </c>
      <c r="B431" s="2">
        <v>20</v>
      </c>
      <c r="C431" s="2" t="s">
        <v>8</v>
      </c>
      <c r="D431" s="2">
        <v>1000</v>
      </c>
      <c r="E431" s="2" t="s">
        <v>10</v>
      </c>
      <c r="F431">
        <v>1.05172413793103</v>
      </c>
      <c r="G431" s="2">
        <v>35</v>
      </c>
    </row>
    <row r="432" spans="1:7" x14ac:dyDescent="0.3">
      <c r="A432" t="s">
        <v>38</v>
      </c>
      <c r="B432" s="2">
        <v>20</v>
      </c>
      <c r="C432" s="2" t="s">
        <v>8</v>
      </c>
      <c r="D432" s="2">
        <v>2000</v>
      </c>
      <c r="E432" s="2" t="s">
        <v>10</v>
      </c>
      <c r="F432">
        <v>1.0931034482758599</v>
      </c>
      <c r="G432" s="2">
        <v>35</v>
      </c>
    </row>
    <row r="433" spans="1:8" x14ac:dyDescent="0.3">
      <c r="A433" t="s">
        <v>38</v>
      </c>
      <c r="B433" s="2">
        <v>20</v>
      </c>
      <c r="C433" s="2" t="s">
        <v>8</v>
      </c>
      <c r="D433" s="2">
        <v>5000</v>
      </c>
      <c r="E433" s="2" t="s">
        <v>10</v>
      </c>
      <c r="F433">
        <v>1.13793103448275</v>
      </c>
      <c r="G433" s="2">
        <v>35</v>
      </c>
    </row>
    <row r="434" spans="1:8" x14ac:dyDescent="0.3">
      <c r="A434" t="s">
        <v>38</v>
      </c>
      <c r="B434" s="2">
        <v>20</v>
      </c>
      <c r="C434" s="2" t="s">
        <v>8</v>
      </c>
      <c r="D434" s="2">
        <v>10000</v>
      </c>
      <c r="E434" s="2" t="s">
        <v>10</v>
      </c>
      <c r="F434">
        <v>1.2103448275862001</v>
      </c>
      <c r="G434" s="2">
        <v>35</v>
      </c>
    </row>
    <row r="435" spans="1:8" s="1" customFormat="1" ht="13.9" thickBot="1" x14ac:dyDescent="0.35">
      <c r="A435" s="1" t="s">
        <v>38</v>
      </c>
      <c r="B435" s="3">
        <v>20</v>
      </c>
      <c r="C435" s="3" t="s">
        <v>8</v>
      </c>
      <c r="D435" s="3">
        <v>20000</v>
      </c>
      <c r="E435" s="3" t="s">
        <v>10</v>
      </c>
      <c r="F435" s="1">
        <v>1.27241379310344</v>
      </c>
      <c r="G435" s="3">
        <v>35</v>
      </c>
      <c r="H435"/>
    </row>
    <row r="436" spans="1:8" x14ac:dyDescent="0.3">
      <c r="A436" t="s">
        <v>39</v>
      </c>
      <c r="B436" s="2">
        <v>7</v>
      </c>
      <c r="C436" s="2" t="s">
        <v>11</v>
      </c>
      <c r="D436" s="2">
        <v>500</v>
      </c>
      <c r="E436" s="2" t="s">
        <v>12</v>
      </c>
      <c r="F436">
        <f>294/287</f>
        <v>1.024390243902439</v>
      </c>
      <c r="G436" s="2">
        <v>36</v>
      </c>
    </row>
    <row r="437" spans="1:8" x14ac:dyDescent="0.3">
      <c r="A437" t="s">
        <v>39</v>
      </c>
      <c r="B437" s="2">
        <v>7</v>
      </c>
      <c r="C437" s="2" t="s">
        <v>11</v>
      </c>
      <c r="D437" s="2">
        <v>1000</v>
      </c>
      <c r="E437" s="2" t="s">
        <v>12</v>
      </c>
      <c r="F437">
        <f>291/287</f>
        <v>1.0139372822299653</v>
      </c>
      <c r="G437" s="2">
        <v>36</v>
      </c>
    </row>
    <row r="438" spans="1:8" x14ac:dyDescent="0.3">
      <c r="A438" t="s">
        <v>39</v>
      </c>
      <c r="B438" s="2">
        <v>7</v>
      </c>
      <c r="C438" s="2" t="s">
        <v>11</v>
      </c>
      <c r="D438" s="2">
        <v>2000</v>
      </c>
      <c r="E438" s="2" t="s">
        <v>12</v>
      </c>
      <c r="F438">
        <f>278/287</f>
        <v>0.96864111498257843</v>
      </c>
      <c r="G438" s="2">
        <v>36</v>
      </c>
    </row>
    <row r="439" spans="1:8" x14ac:dyDescent="0.3">
      <c r="A439" t="s">
        <v>39</v>
      </c>
      <c r="B439" s="2">
        <v>7</v>
      </c>
      <c r="C439" s="2" t="s">
        <v>11</v>
      </c>
      <c r="D439" s="2">
        <v>5000</v>
      </c>
      <c r="E439" s="2" t="s">
        <v>12</v>
      </c>
      <c r="F439">
        <f>253/287</f>
        <v>0.88153310104529614</v>
      </c>
      <c r="G439" s="2">
        <v>36</v>
      </c>
    </row>
    <row r="440" spans="1:8" x14ac:dyDescent="0.3">
      <c r="A440" t="s">
        <v>39</v>
      </c>
      <c r="B440" s="2">
        <v>7</v>
      </c>
      <c r="C440" s="2" t="s">
        <v>11</v>
      </c>
      <c r="D440" s="2">
        <v>10000</v>
      </c>
      <c r="E440" s="2" t="s">
        <v>12</v>
      </c>
      <c r="F440">
        <f>195/287</f>
        <v>0.67944250871080136</v>
      </c>
      <c r="G440" s="2">
        <v>36</v>
      </c>
    </row>
    <row r="441" spans="1:8" x14ac:dyDescent="0.3">
      <c r="A441" t="s">
        <v>39</v>
      </c>
      <c r="B441" s="2">
        <v>7</v>
      </c>
      <c r="C441" s="2" t="s">
        <v>11</v>
      </c>
      <c r="D441" s="2">
        <v>20000</v>
      </c>
      <c r="E441" s="2" t="s">
        <v>12</v>
      </c>
      <c r="F441">
        <f>123/287</f>
        <v>0.42857142857142855</v>
      </c>
      <c r="G441" s="2">
        <v>36</v>
      </c>
    </row>
    <row r="442" spans="1:8" x14ac:dyDescent="0.3">
      <c r="A442" t="s">
        <v>39</v>
      </c>
      <c r="B442" s="2">
        <v>7</v>
      </c>
      <c r="C442" s="2" t="s">
        <v>11</v>
      </c>
      <c r="D442" s="2">
        <v>50000</v>
      </c>
      <c r="E442" s="2" t="s">
        <v>12</v>
      </c>
      <c r="F442">
        <f>98/287</f>
        <v>0.34146341463414637</v>
      </c>
      <c r="G442" s="2">
        <v>36</v>
      </c>
    </row>
    <row r="443" spans="1:8" x14ac:dyDescent="0.3">
      <c r="A443" t="s">
        <v>39</v>
      </c>
      <c r="B443" s="2">
        <v>7</v>
      </c>
      <c r="C443" s="2" t="s">
        <v>11</v>
      </c>
      <c r="D443" s="2">
        <v>75000</v>
      </c>
      <c r="E443" s="2" t="s">
        <v>12</v>
      </c>
      <c r="F443">
        <f>66/287</f>
        <v>0.22996515679442509</v>
      </c>
      <c r="G443" s="2">
        <v>36</v>
      </c>
    </row>
    <row r="444" spans="1:8" x14ac:dyDescent="0.3">
      <c r="A444" t="s">
        <v>39</v>
      </c>
      <c r="B444" s="2">
        <v>7</v>
      </c>
      <c r="C444" s="2" t="s">
        <v>11</v>
      </c>
      <c r="D444" s="2">
        <v>100000</v>
      </c>
      <c r="E444" s="2" t="s">
        <v>12</v>
      </c>
      <c r="F444">
        <f>67/287</f>
        <v>0.23344947735191637</v>
      </c>
      <c r="G444" s="2">
        <v>36</v>
      </c>
    </row>
    <row r="445" spans="1:8" x14ac:dyDescent="0.3">
      <c r="A445" t="s">
        <v>39</v>
      </c>
      <c r="B445" s="2">
        <v>7</v>
      </c>
      <c r="C445" s="2" t="s">
        <v>11</v>
      </c>
      <c r="D445" s="2">
        <v>500</v>
      </c>
      <c r="E445" s="2" t="s">
        <v>12</v>
      </c>
      <c r="F445">
        <f>1023/986</f>
        <v>1.037525354969574</v>
      </c>
      <c r="G445" s="2">
        <v>36</v>
      </c>
    </row>
    <row r="446" spans="1:8" x14ac:dyDescent="0.3">
      <c r="A446" t="s">
        <v>39</v>
      </c>
      <c r="B446" s="2">
        <v>7</v>
      </c>
      <c r="C446" s="2" t="s">
        <v>11</v>
      </c>
      <c r="D446" s="2">
        <v>1000</v>
      </c>
      <c r="E446" s="2" t="s">
        <v>12</v>
      </c>
      <c r="F446">
        <f>1128/986</f>
        <v>1.1440162271805274</v>
      </c>
      <c r="G446" s="2">
        <v>36</v>
      </c>
    </row>
    <row r="447" spans="1:8" x14ac:dyDescent="0.3">
      <c r="A447" t="s">
        <v>39</v>
      </c>
      <c r="B447" s="2">
        <v>7</v>
      </c>
      <c r="C447" s="2" t="s">
        <v>11</v>
      </c>
      <c r="D447" s="2">
        <v>2000</v>
      </c>
      <c r="E447" s="2" t="s">
        <v>12</v>
      </c>
      <c r="F447">
        <f>-954/986</f>
        <v>-0.96754563894523327</v>
      </c>
      <c r="G447" s="2">
        <v>36</v>
      </c>
    </row>
    <row r="448" spans="1:8" x14ac:dyDescent="0.3">
      <c r="A448" t="s">
        <v>39</v>
      </c>
      <c r="B448" s="2">
        <v>7</v>
      </c>
      <c r="C448" s="2" t="s">
        <v>11</v>
      </c>
      <c r="D448" s="2">
        <v>5000</v>
      </c>
      <c r="E448" s="2" t="s">
        <v>12</v>
      </c>
      <c r="F448">
        <f>912/986</f>
        <v>0.92494929006085191</v>
      </c>
      <c r="G448" s="2">
        <v>36</v>
      </c>
    </row>
    <row r="449" spans="1:7" x14ac:dyDescent="0.3">
      <c r="A449" t="s">
        <v>39</v>
      </c>
      <c r="B449" s="2">
        <v>7</v>
      </c>
      <c r="C449" s="2" t="s">
        <v>11</v>
      </c>
      <c r="D449" s="2">
        <v>10000</v>
      </c>
      <c r="E449" s="2" t="s">
        <v>12</v>
      </c>
      <c r="F449">
        <f>745/986</f>
        <v>0.755578093306288</v>
      </c>
      <c r="G449" s="2">
        <v>36</v>
      </c>
    </row>
    <row r="450" spans="1:7" x14ac:dyDescent="0.3">
      <c r="A450" t="s">
        <v>39</v>
      </c>
      <c r="B450" s="2">
        <v>7</v>
      </c>
      <c r="C450" s="2" t="s">
        <v>11</v>
      </c>
      <c r="D450" s="2">
        <v>20000</v>
      </c>
      <c r="E450" s="2" t="s">
        <v>12</v>
      </c>
      <c r="F450">
        <f>537/986</f>
        <v>0.54462474645030423</v>
      </c>
      <c r="G450" s="2">
        <v>36</v>
      </c>
    </row>
    <row r="451" spans="1:7" x14ac:dyDescent="0.3">
      <c r="A451" t="s">
        <v>39</v>
      </c>
      <c r="B451" s="2">
        <v>7</v>
      </c>
      <c r="C451" s="2" t="s">
        <v>11</v>
      </c>
      <c r="D451" s="2">
        <v>50000</v>
      </c>
      <c r="E451" s="2" t="s">
        <v>12</v>
      </c>
      <c r="F451">
        <f>423/986</f>
        <v>0.42900608519269778</v>
      </c>
      <c r="G451" s="2">
        <v>36</v>
      </c>
    </row>
    <row r="452" spans="1:7" x14ac:dyDescent="0.3">
      <c r="A452" t="s">
        <v>39</v>
      </c>
      <c r="B452" s="2">
        <v>7</v>
      </c>
      <c r="C452" s="2" t="s">
        <v>11</v>
      </c>
      <c r="D452" s="2">
        <v>75000</v>
      </c>
      <c r="E452" s="2" t="s">
        <v>12</v>
      </c>
      <c r="F452">
        <f>254/986</f>
        <v>0.25760649087221094</v>
      </c>
      <c r="G452" s="2">
        <v>36</v>
      </c>
    </row>
    <row r="453" spans="1:7" x14ac:dyDescent="0.3">
      <c r="A453" t="s">
        <v>39</v>
      </c>
      <c r="B453" s="2">
        <v>7</v>
      </c>
      <c r="C453" s="2" t="s">
        <v>11</v>
      </c>
      <c r="D453" s="2">
        <v>100000</v>
      </c>
      <c r="E453" s="2" t="s">
        <v>12</v>
      </c>
      <c r="F453">
        <f>214/986</f>
        <v>0.21703853955375255</v>
      </c>
      <c r="G453" s="2">
        <v>36</v>
      </c>
    </row>
    <row r="454" spans="1:7" x14ac:dyDescent="0.3">
      <c r="A454" t="s">
        <v>39</v>
      </c>
      <c r="B454" s="2">
        <v>7</v>
      </c>
      <c r="C454" s="2" t="s">
        <v>8</v>
      </c>
      <c r="D454" s="2">
        <v>500</v>
      </c>
      <c r="E454" s="2" t="s">
        <v>9</v>
      </c>
      <c r="F454">
        <f>1534/1656</f>
        <v>0.92632850241545894</v>
      </c>
      <c r="G454" s="2">
        <v>36</v>
      </c>
    </row>
    <row r="455" spans="1:7" x14ac:dyDescent="0.3">
      <c r="A455" t="s">
        <v>39</v>
      </c>
      <c r="B455" s="2">
        <v>7</v>
      </c>
      <c r="C455" s="2" t="s">
        <v>8</v>
      </c>
      <c r="D455" s="2">
        <v>1000</v>
      </c>
      <c r="E455" s="2" t="s">
        <v>9</v>
      </c>
      <c r="F455">
        <f>1668/1656</f>
        <v>1.0072463768115942</v>
      </c>
      <c r="G455" s="2">
        <v>36</v>
      </c>
    </row>
    <row r="456" spans="1:7" x14ac:dyDescent="0.3">
      <c r="A456" t="s">
        <v>39</v>
      </c>
      <c r="B456" s="2">
        <v>7</v>
      </c>
      <c r="C456" s="2" t="s">
        <v>8</v>
      </c>
      <c r="D456" s="2">
        <v>2000</v>
      </c>
      <c r="E456" s="2" t="s">
        <v>9</v>
      </c>
      <c r="F456">
        <f>1587/1656</f>
        <v>0.95833333333333337</v>
      </c>
      <c r="G456" s="2">
        <v>36</v>
      </c>
    </row>
    <row r="457" spans="1:7" x14ac:dyDescent="0.3">
      <c r="A457" t="s">
        <v>39</v>
      </c>
      <c r="B457" s="2">
        <v>7</v>
      </c>
      <c r="C457" s="2" t="s">
        <v>8</v>
      </c>
      <c r="D457" s="2">
        <v>5000</v>
      </c>
      <c r="E457" s="2" t="s">
        <v>9</v>
      </c>
      <c r="F457">
        <f>1654/1656</f>
        <v>0.99879227053140096</v>
      </c>
      <c r="G457" s="2">
        <v>36</v>
      </c>
    </row>
    <row r="458" spans="1:7" x14ac:dyDescent="0.3">
      <c r="A458" t="s">
        <v>39</v>
      </c>
      <c r="B458" s="2">
        <v>7</v>
      </c>
      <c r="C458" s="2" t="s">
        <v>8</v>
      </c>
      <c r="D458" s="2">
        <v>10000</v>
      </c>
      <c r="E458" s="2" t="s">
        <v>9</v>
      </c>
      <c r="F458">
        <f>1543/1656</f>
        <v>0.93176328502415462</v>
      </c>
      <c r="G458" s="2">
        <v>36</v>
      </c>
    </row>
    <row r="459" spans="1:7" x14ac:dyDescent="0.3">
      <c r="A459" t="s">
        <v>39</v>
      </c>
      <c r="B459" s="2">
        <v>7</v>
      </c>
      <c r="C459" s="2" t="s">
        <v>8</v>
      </c>
      <c r="D459" s="2">
        <v>20000</v>
      </c>
      <c r="E459" s="2" t="s">
        <v>9</v>
      </c>
      <c r="F459">
        <f>1376/1656</f>
        <v>0.83091787439613529</v>
      </c>
      <c r="G459" s="2">
        <v>36</v>
      </c>
    </row>
    <row r="460" spans="1:7" x14ac:dyDescent="0.3">
      <c r="A460" t="s">
        <v>39</v>
      </c>
      <c r="B460" s="2">
        <v>7</v>
      </c>
      <c r="C460" s="2" t="s">
        <v>8</v>
      </c>
      <c r="D460" s="2">
        <v>50000</v>
      </c>
      <c r="E460" s="2" t="s">
        <v>9</v>
      </c>
      <c r="F460">
        <f>1176/1656</f>
        <v>0.71014492753623193</v>
      </c>
      <c r="G460" s="2">
        <v>36</v>
      </c>
    </row>
    <row r="461" spans="1:7" x14ac:dyDescent="0.3">
      <c r="A461" t="s">
        <v>39</v>
      </c>
      <c r="B461" s="2">
        <v>7</v>
      </c>
      <c r="C461" s="2" t="s">
        <v>8</v>
      </c>
      <c r="D461" s="2">
        <v>75000</v>
      </c>
      <c r="E461" s="2" t="s">
        <v>9</v>
      </c>
      <c r="F461">
        <f>1287/1656</f>
        <v>0.77717391304347827</v>
      </c>
      <c r="G461" s="2">
        <v>36</v>
      </c>
    </row>
    <row r="462" spans="1:7" x14ac:dyDescent="0.3">
      <c r="A462" t="s">
        <v>39</v>
      </c>
      <c r="B462" s="2">
        <v>7</v>
      </c>
      <c r="C462" s="2" t="s">
        <v>8</v>
      </c>
      <c r="D462" s="2">
        <v>100000</v>
      </c>
      <c r="E462" s="2" t="s">
        <v>9</v>
      </c>
      <c r="F462">
        <f>1123/1656</f>
        <v>0.6781400966183575</v>
      </c>
      <c r="G462" s="2">
        <v>36</v>
      </c>
    </row>
    <row r="463" spans="1:7" x14ac:dyDescent="0.3">
      <c r="A463" t="s">
        <v>39</v>
      </c>
      <c r="B463" s="2">
        <v>7</v>
      </c>
      <c r="C463" s="2" t="s">
        <v>8</v>
      </c>
      <c r="D463" s="2">
        <v>500</v>
      </c>
      <c r="E463" s="2" t="s">
        <v>10</v>
      </c>
      <c r="F463">
        <f>2543/2423</f>
        <v>1.0495253817581511</v>
      </c>
      <c r="G463" s="2">
        <v>36</v>
      </c>
    </row>
    <row r="464" spans="1:7" x14ac:dyDescent="0.3">
      <c r="A464" t="s">
        <v>39</v>
      </c>
      <c r="B464" s="2">
        <v>7</v>
      </c>
      <c r="C464" s="2" t="s">
        <v>8</v>
      </c>
      <c r="D464" s="2">
        <v>1000</v>
      </c>
      <c r="E464" s="2" t="s">
        <v>10</v>
      </c>
      <c r="F464">
        <f>2398/2423</f>
        <v>0.98968221213371854</v>
      </c>
      <c r="G464" s="2">
        <v>36</v>
      </c>
    </row>
    <row r="465" spans="1:8" x14ac:dyDescent="0.3">
      <c r="A465" t="s">
        <v>39</v>
      </c>
      <c r="B465" s="2">
        <v>7</v>
      </c>
      <c r="C465" s="2" t="s">
        <v>8</v>
      </c>
      <c r="D465" s="2">
        <v>2000</v>
      </c>
      <c r="E465" s="2" t="s">
        <v>10</v>
      </c>
      <c r="F465">
        <f>2523/2423</f>
        <v>1.0412711514651258</v>
      </c>
      <c r="G465" s="2">
        <v>36</v>
      </c>
    </row>
    <row r="466" spans="1:8" x14ac:dyDescent="0.3">
      <c r="A466" t="s">
        <v>39</v>
      </c>
      <c r="B466" s="2">
        <v>7</v>
      </c>
      <c r="C466" s="2" t="s">
        <v>8</v>
      </c>
      <c r="D466" s="2">
        <v>5000</v>
      </c>
      <c r="E466" s="2" t="s">
        <v>10</v>
      </c>
      <c r="F466">
        <f>2467/2423</f>
        <v>1.0181593066446555</v>
      </c>
      <c r="G466" s="2">
        <v>36</v>
      </c>
    </row>
    <row r="467" spans="1:8" x14ac:dyDescent="0.3">
      <c r="A467" t="s">
        <v>39</v>
      </c>
      <c r="B467" s="2">
        <v>7</v>
      </c>
      <c r="C467" s="2" t="s">
        <v>8</v>
      </c>
      <c r="D467" s="2">
        <v>10000</v>
      </c>
      <c r="E467" s="2" t="s">
        <v>10</v>
      </c>
      <c r="F467">
        <f>2378/2423</f>
        <v>0.98142798184069335</v>
      </c>
      <c r="G467" s="2">
        <v>36</v>
      </c>
    </row>
    <row r="468" spans="1:8" x14ac:dyDescent="0.3">
      <c r="A468" t="s">
        <v>39</v>
      </c>
      <c r="B468" s="2">
        <v>7</v>
      </c>
      <c r="C468" s="2" t="s">
        <v>8</v>
      </c>
      <c r="D468" s="2">
        <v>20000</v>
      </c>
      <c r="E468" s="2" t="s">
        <v>10</v>
      </c>
      <c r="F468">
        <f>2176/2423</f>
        <v>0.89806025588113914</v>
      </c>
      <c r="G468" s="2">
        <v>36</v>
      </c>
    </row>
    <row r="469" spans="1:8" x14ac:dyDescent="0.3">
      <c r="A469" t="s">
        <v>39</v>
      </c>
      <c r="B469" s="2">
        <v>7</v>
      </c>
      <c r="C469" s="2" t="s">
        <v>8</v>
      </c>
      <c r="D469" s="2">
        <v>50000</v>
      </c>
      <c r="E469" s="2" t="s">
        <v>10</v>
      </c>
      <c r="F469">
        <f>1867/2423</f>
        <v>0.77053239785390015</v>
      </c>
      <c r="G469" s="2">
        <v>36</v>
      </c>
    </row>
    <row r="470" spans="1:8" x14ac:dyDescent="0.3">
      <c r="A470" t="s">
        <v>39</v>
      </c>
      <c r="B470" s="2">
        <v>7</v>
      </c>
      <c r="C470" s="2" t="s">
        <v>8</v>
      </c>
      <c r="D470" s="2">
        <v>75000</v>
      </c>
      <c r="E470" s="2" t="s">
        <v>10</v>
      </c>
      <c r="F470">
        <f>2023/2423</f>
        <v>0.83491539413949645</v>
      </c>
      <c r="G470" s="2">
        <v>36</v>
      </c>
    </row>
    <row r="471" spans="1:8" s="1" customFormat="1" ht="13.9" thickBot="1" x14ac:dyDescent="0.35">
      <c r="A471" s="1" t="s">
        <v>39</v>
      </c>
      <c r="B471" s="3">
        <v>7</v>
      </c>
      <c r="C471" s="3" t="s">
        <v>8</v>
      </c>
      <c r="D471" s="3">
        <v>100000</v>
      </c>
      <c r="E471" s="3" t="s">
        <v>10</v>
      </c>
      <c r="F471" s="1">
        <f>1933/2423</f>
        <v>0.79777135782088315</v>
      </c>
      <c r="G471" s="3">
        <v>36</v>
      </c>
      <c r="H471"/>
    </row>
    <row r="472" spans="1:8" x14ac:dyDescent="0.3">
      <c r="A472" t="s">
        <v>26</v>
      </c>
      <c r="B472" s="2">
        <v>28</v>
      </c>
      <c r="C472" s="2" t="s">
        <v>11</v>
      </c>
      <c r="D472" s="2">
        <v>2222</v>
      </c>
      <c r="E472" s="2" t="s">
        <v>12</v>
      </c>
      <c r="F472">
        <v>0.84574468085106302</v>
      </c>
      <c r="G472" s="2">
        <v>37</v>
      </c>
    </row>
    <row r="473" spans="1:8" x14ac:dyDescent="0.3">
      <c r="A473" t="s">
        <v>26</v>
      </c>
      <c r="B473" s="2">
        <v>28</v>
      </c>
      <c r="C473" s="2" t="s">
        <v>11</v>
      </c>
      <c r="D473" s="2">
        <v>4444</v>
      </c>
      <c r="E473" s="2" t="s">
        <v>12</v>
      </c>
      <c r="F473">
        <v>0.81914893617021201</v>
      </c>
      <c r="G473" s="2">
        <v>37</v>
      </c>
    </row>
    <row r="474" spans="1:8" x14ac:dyDescent="0.3">
      <c r="A474" t="s">
        <v>26</v>
      </c>
      <c r="B474" s="2">
        <v>28</v>
      </c>
      <c r="C474" s="2" t="s">
        <v>11</v>
      </c>
      <c r="D474" s="2">
        <v>11110</v>
      </c>
      <c r="E474" s="2" t="s">
        <v>12</v>
      </c>
      <c r="F474">
        <v>0.69680851063829696</v>
      </c>
      <c r="G474" s="2">
        <v>37</v>
      </c>
    </row>
    <row r="475" spans="1:8" x14ac:dyDescent="0.3">
      <c r="A475" t="s">
        <v>26</v>
      </c>
      <c r="B475" s="2">
        <v>28</v>
      </c>
      <c r="C475" s="2" t="s">
        <v>11</v>
      </c>
      <c r="D475" s="2">
        <v>2222</v>
      </c>
      <c r="E475" s="2" t="s">
        <v>12</v>
      </c>
      <c r="F475">
        <v>1.1611111111111101</v>
      </c>
      <c r="G475" s="2">
        <v>37</v>
      </c>
    </row>
    <row r="476" spans="1:8" x14ac:dyDescent="0.3">
      <c r="A476" t="s">
        <v>26</v>
      </c>
      <c r="B476" s="2">
        <v>28</v>
      </c>
      <c r="C476" s="2" t="s">
        <v>11</v>
      </c>
      <c r="D476" s="2">
        <v>4444</v>
      </c>
      <c r="E476" s="2" t="s">
        <v>12</v>
      </c>
      <c r="F476">
        <v>0.92777777777777704</v>
      </c>
      <c r="G476" s="2">
        <v>37</v>
      </c>
    </row>
    <row r="477" spans="1:8" x14ac:dyDescent="0.3">
      <c r="A477" t="s">
        <v>26</v>
      </c>
      <c r="B477" s="2">
        <v>28</v>
      </c>
      <c r="C477" s="2" t="s">
        <v>11</v>
      </c>
      <c r="D477" s="2">
        <v>11110</v>
      </c>
      <c r="E477" s="2" t="s">
        <v>12</v>
      </c>
      <c r="F477">
        <v>0.88888888888888795</v>
      </c>
      <c r="G477" s="2">
        <v>37</v>
      </c>
    </row>
    <row r="478" spans="1:8" x14ac:dyDescent="0.3">
      <c r="A478" t="s">
        <v>26</v>
      </c>
      <c r="B478" s="2">
        <v>28</v>
      </c>
      <c r="C478" s="2" t="s">
        <v>8</v>
      </c>
      <c r="D478" s="2">
        <v>2222</v>
      </c>
      <c r="E478" s="2" t="s">
        <v>9</v>
      </c>
      <c r="F478">
        <v>0.88744588744588704</v>
      </c>
      <c r="G478" s="2">
        <v>37</v>
      </c>
    </row>
    <row r="479" spans="1:8" x14ac:dyDescent="0.3">
      <c r="A479" t="s">
        <v>26</v>
      </c>
      <c r="B479" s="2">
        <v>28</v>
      </c>
      <c r="C479" s="2" t="s">
        <v>8</v>
      </c>
      <c r="D479" s="2">
        <v>4444</v>
      </c>
      <c r="E479" s="2" t="s">
        <v>9</v>
      </c>
      <c r="F479">
        <v>0.84415584415584399</v>
      </c>
      <c r="G479" s="2">
        <v>37</v>
      </c>
    </row>
    <row r="480" spans="1:8" s="1" customFormat="1" ht="13.9" thickBot="1" x14ac:dyDescent="0.35">
      <c r="A480" s="1" t="s">
        <v>26</v>
      </c>
      <c r="B480" s="3">
        <v>28</v>
      </c>
      <c r="C480" s="3" t="s">
        <v>8</v>
      </c>
      <c r="D480" s="3">
        <v>11110</v>
      </c>
      <c r="E480" s="3" t="s">
        <v>9</v>
      </c>
      <c r="F480" s="1">
        <v>0.77489177489177397</v>
      </c>
      <c r="G480" s="3">
        <v>37</v>
      </c>
      <c r="H480"/>
    </row>
    <row r="481" spans="1:7" x14ac:dyDescent="0.3">
      <c r="A481" t="s">
        <v>79</v>
      </c>
      <c r="B481">
        <v>8</v>
      </c>
      <c r="C481" t="s">
        <v>8</v>
      </c>
      <c r="D481">
        <v>10</v>
      </c>
      <c r="E481" t="s">
        <v>12</v>
      </c>
      <c r="F481">
        <v>1.1289499999999999</v>
      </c>
      <c r="G481">
        <v>12</v>
      </c>
    </row>
    <row r="482" spans="1:7" x14ac:dyDescent="0.3">
      <c r="A482" t="s">
        <v>79</v>
      </c>
      <c r="B482">
        <v>8</v>
      </c>
      <c r="C482" t="s">
        <v>8</v>
      </c>
      <c r="D482">
        <v>20</v>
      </c>
      <c r="E482" t="s">
        <v>12</v>
      </c>
      <c r="F482">
        <v>0.93916999999999995</v>
      </c>
      <c r="G482">
        <v>12</v>
      </c>
    </row>
    <row r="483" spans="1:7" x14ac:dyDescent="0.3">
      <c r="A483" t="s">
        <v>79</v>
      </c>
      <c r="B483">
        <v>8</v>
      </c>
      <c r="C483" t="s">
        <v>8</v>
      </c>
      <c r="D483">
        <v>100</v>
      </c>
      <c r="E483" t="s">
        <v>12</v>
      </c>
      <c r="F483">
        <v>0.84753000000000001</v>
      </c>
      <c r="G483">
        <v>12</v>
      </c>
    </row>
    <row r="484" spans="1:7" x14ac:dyDescent="0.3">
      <c r="A484" t="s">
        <v>79</v>
      </c>
      <c r="B484">
        <v>8</v>
      </c>
      <c r="C484" t="s">
        <v>8</v>
      </c>
      <c r="D484">
        <v>200</v>
      </c>
      <c r="E484" t="s">
        <v>12</v>
      </c>
      <c r="F484">
        <v>0.74128000000000005</v>
      </c>
      <c r="G484">
        <v>12</v>
      </c>
    </row>
    <row r="485" spans="1:7" x14ac:dyDescent="0.3">
      <c r="A485" t="s">
        <v>79</v>
      </c>
      <c r="B485">
        <v>8</v>
      </c>
      <c r="C485" t="s">
        <v>8</v>
      </c>
      <c r="D485">
        <v>400</v>
      </c>
      <c r="E485" t="s">
        <v>12</v>
      </c>
      <c r="F485">
        <v>0.51419000000000004</v>
      </c>
      <c r="G485">
        <v>12</v>
      </c>
    </row>
    <row r="486" spans="1:7" x14ac:dyDescent="0.3">
      <c r="A486" t="s">
        <v>79</v>
      </c>
      <c r="B486">
        <v>8</v>
      </c>
      <c r="C486" t="s">
        <v>11</v>
      </c>
      <c r="D486">
        <v>10</v>
      </c>
      <c r="E486" t="s">
        <v>12</v>
      </c>
      <c r="F486">
        <v>1.10467</v>
      </c>
      <c r="G486">
        <v>12</v>
      </c>
    </row>
    <row r="487" spans="1:7" x14ac:dyDescent="0.3">
      <c r="A487" t="s">
        <v>79</v>
      </c>
      <c r="B487">
        <v>8</v>
      </c>
      <c r="C487" t="s">
        <v>11</v>
      </c>
      <c r="D487">
        <v>20</v>
      </c>
      <c r="E487" t="s">
        <v>12</v>
      </c>
      <c r="F487">
        <v>0.99717</v>
      </c>
      <c r="G487">
        <v>12</v>
      </c>
    </row>
    <row r="488" spans="1:7" x14ac:dyDescent="0.3">
      <c r="A488" t="s">
        <v>79</v>
      </c>
      <c r="B488">
        <v>8</v>
      </c>
      <c r="C488" t="s">
        <v>11</v>
      </c>
      <c r="D488">
        <v>100</v>
      </c>
      <c r="E488" t="s">
        <v>12</v>
      </c>
      <c r="F488">
        <v>0.99434</v>
      </c>
      <c r="G488">
        <v>12</v>
      </c>
    </row>
    <row r="489" spans="1:7" x14ac:dyDescent="0.3">
      <c r="A489" t="s">
        <v>79</v>
      </c>
      <c r="B489">
        <v>8</v>
      </c>
      <c r="C489" t="s">
        <v>11</v>
      </c>
      <c r="D489">
        <v>200</v>
      </c>
      <c r="E489" t="s">
        <v>12</v>
      </c>
      <c r="F489">
        <v>0.60962000000000005</v>
      </c>
      <c r="G489">
        <v>12</v>
      </c>
    </row>
    <row r="490" spans="1:7" x14ac:dyDescent="0.3">
      <c r="A490" t="s">
        <v>79</v>
      </c>
      <c r="B490">
        <v>8</v>
      </c>
      <c r="C490" t="s">
        <v>11</v>
      </c>
      <c r="D490">
        <v>400</v>
      </c>
      <c r="E490" t="s">
        <v>12</v>
      </c>
      <c r="F490">
        <v>0.38613999999999998</v>
      </c>
      <c r="G490">
        <v>12</v>
      </c>
    </row>
    <row r="491" spans="1:7" x14ac:dyDescent="0.3">
      <c r="A491" t="s">
        <v>79</v>
      </c>
      <c r="B491">
        <v>8</v>
      </c>
      <c r="C491" t="s">
        <v>8</v>
      </c>
      <c r="D491">
        <v>10</v>
      </c>
      <c r="E491" t="s">
        <v>12</v>
      </c>
      <c r="F491">
        <v>1.0412999999999999</v>
      </c>
      <c r="G491">
        <v>12</v>
      </c>
    </row>
    <row r="492" spans="1:7" x14ac:dyDescent="0.3">
      <c r="A492" t="s">
        <v>79</v>
      </c>
      <c r="B492">
        <v>8</v>
      </c>
      <c r="C492" t="s">
        <v>8</v>
      </c>
      <c r="D492">
        <v>20</v>
      </c>
      <c r="E492" t="s">
        <v>12</v>
      </c>
      <c r="F492">
        <v>0.94493000000000005</v>
      </c>
      <c r="G492">
        <v>12</v>
      </c>
    </row>
    <row r="493" spans="1:7" x14ac:dyDescent="0.3">
      <c r="A493" t="s">
        <v>79</v>
      </c>
      <c r="B493">
        <v>8</v>
      </c>
      <c r="C493" t="s">
        <v>8</v>
      </c>
      <c r="D493">
        <v>100</v>
      </c>
      <c r="E493" t="s">
        <v>12</v>
      </c>
      <c r="F493">
        <v>0.86233000000000004</v>
      </c>
      <c r="G493">
        <v>12</v>
      </c>
    </row>
    <row r="494" spans="1:7" x14ac:dyDescent="0.3">
      <c r="A494" t="s">
        <v>79</v>
      </c>
      <c r="B494">
        <v>8</v>
      </c>
      <c r="C494" t="s">
        <v>8</v>
      </c>
      <c r="D494">
        <v>200</v>
      </c>
      <c r="E494" t="s">
        <v>12</v>
      </c>
      <c r="F494">
        <v>0.69140000000000001</v>
      </c>
      <c r="G494">
        <v>12</v>
      </c>
    </row>
    <row r="495" spans="1:7" x14ac:dyDescent="0.3">
      <c r="A495" t="s">
        <v>79</v>
      </c>
      <c r="B495">
        <v>8</v>
      </c>
      <c r="C495" t="s">
        <v>8</v>
      </c>
      <c r="D495">
        <v>400</v>
      </c>
      <c r="E495" t="s">
        <v>12</v>
      </c>
      <c r="F495">
        <v>0.53842999999999996</v>
      </c>
      <c r="G495">
        <v>12</v>
      </c>
    </row>
    <row r="496" spans="1:7" x14ac:dyDescent="0.3">
      <c r="A496" t="s">
        <v>79</v>
      </c>
      <c r="B496">
        <v>8</v>
      </c>
      <c r="C496" t="s">
        <v>11</v>
      </c>
      <c r="D496">
        <v>10</v>
      </c>
      <c r="E496" t="s">
        <v>12</v>
      </c>
      <c r="F496">
        <v>1.03352</v>
      </c>
      <c r="G496">
        <v>12</v>
      </c>
    </row>
    <row r="497" spans="1:7" x14ac:dyDescent="0.3">
      <c r="A497" t="s">
        <v>79</v>
      </c>
      <c r="B497">
        <v>8</v>
      </c>
      <c r="C497" t="s">
        <v>11</v>
      </c>
      <c r="D497">
        <v>20</v>
      </c>
      <c r="E497" t="s">
        <v>12</v>
      </c>
      <c r="F497">
        <v>0.96282999999999996</v>
      </c>
      <c r="G497">
        <v>12</v>
      </c>
    </row>
    <row r="498" spans="1:7" x14ac:dyDescent="0.3">
      <c r="A498" t="s">
        <v>79</v>
      </c>
      <c r="B498">
        <v>8</v>
      </c>
      <c r="C498" t="s">
        <v>11</v>
      </c>
      <c r="D498">
        <v>100</v>
      </c>
      <c r="E498" t="s">
        <v>12</v>
      </c>
      <c r="F498">
        <v>0.94606999999999997</v>
      </c>
      <c r="G498">
        <v>12</v>
      </c>
    </row>
    <row r="499" spans="1:7" x14ac:dyDescent="0.3">
      <c r="A499" t="s">
        <v>79</v>
      </c>
      <c r="B499">
        <v>8</v>
      </c>
      <c r="C499" t="s">
        <v>11</v>
      </c>
      <c r="D499">
        <v>200</v>
      </c>
      <c r="E499" t="s">
        <v>12</v>
      </c>
      <c r="F499">
        <v>0.58318000000000003</v>
      </c>
      <c r="G499">
        <v>12</v>
      </c>
    </row>
    <row r="500" spans="1:7" x14ac:dyDescent="0.3">
      <c r="A500" t="s">
        <v>79</v>
      </c>
      <c r="B500">
        <v>8</v>
      </c>
      <c r="C500" t="s">
        <v>11</v>
      </c>
      <c r="D500">
        <v>400</v>
      </c>
      <c r="E500" t="s">
        <v>12</v>
      </c>
      <c r="F500">
        <v>0.38879000000000002</v>
      </c>
      <c r="G500">
        <v>12</v>
      </c>
    </row>
    <row r="501" spans="1:7" x14ac:dyDescent="0.3">
      <c r="A501" t="s">
        <v>79</v>
      </c>
      <c r="B501">
        <v>8</v>
      </c>
      <c r="C501" t="s">
        <v>8</v>
      </c>
      <c r="D501">
        <v>10</v>
      </c>
      <c r="E501" t="s">
        <v>12</v>
      </c>
      <c r="F501">
        <v>1.0769200000000001</v>
      </c>
      <c r="G501">
        <v>12</v>
      </c>
    </row>
    <row r="502" spans="1:7" x14ac:dyDescent="0.3">
      <c r="A502" t="s">
        <v>79</v>
      </c>
      <c r="B502">
        <v>8</v>
      </c>
      <c r="C502" t="s">
        <v>8</v>
      </c>
      <c r="D502">
        <v>20</v>
      </c>
      <c r="E502" t="s">
        <v>12</v>
      </c>
      <c r="F502">
        <v>0.85502999999999996</v>
      </c>
      <c r="G502">
        <v>12</v>
      </c>
    </row>
    <row r="503" spans="1:7" x14ac:dyDescent="0.3">
      <c r="A503" t="s">
        <v>79</v>
      </c>
      <c r="B503">
        <v>8</v>
      </c>
      <c r="C503" t="s">
        <v>8</v>
      </c>
      <c r="D503">
        <v>100</v>
      </c>
      <c r="E503" t="s">
        <v>12</v>
      </c>
      <c r="F503">
        <v>0.84023999999999999</v>
      </c>
      <c r="G503">
        <v>12</v>
      </c>
    </row>
    <row r="504" spans="1:7" x14ac:dyDescent="0.3">
      <c r="A504" t="s">
        <v>79</v>
      </c>
      <c r="B504">
        <v>8</v>
      </c>
      <c r="C504" t="s">
        <v>8</v>
      </c>
      <c r="D504">
        <v>200</v>
      </c>
      <c r="E504" t="s">
        <v>12</v>
      </c>
      <c r="F504">
        <v>0.49112</v>
      </c>
      <c r="G504">
        <v>12</v>
      </c>
    </row>
    <row r="505" spans="1:7" x14ac:dyDescent="0.3">
      <c r="A505" t="s">
        <v>79</v>
      </c>
      <c r="B505">
        <v>8</v>
      </c>
      <c r="C505" t="s">
        <v>8</v>
      </c>
      <c r="D505">
        <v>400</v>
      </c>
      <c r="E505" t="s">
        <v>12</v>
      </c>
      <c r="F505">
        <v>0.40976000000000001</v>
      </c>
      <c r="G505">
        <v>12</v>
      </c>
    </row>
    <row r="506" spans="1:7" x14ac:dyDescent="0.3">
      <c r="A506" t="s">
        <v>79</v>
      </c>
      <c r="B506">
        <v>8</v>
      </c>
      <c r="C506" t="s">
        <v>11</v>
      </c>
      <c r="D506">
        <v>10</v>
      </c>
      <c r="E506" t="s">
        <v>12</v>
      </c>
      <c r="F506">
        <v>1.1784600000000001</v>
      </c>
      <c r="G506">
        <v>12</v>
      </c>
    </row>
    <row r="507" spans="1:7" x14ac:dyDescent="0.3">
      <c r="A507" t="s">
        <v>79</v>
      </c>
      <c r="B507">
        <v>8</v>
      </c>
      <c r="C507" t="s">
        <v>11</v>
      </c>
      <c r="D507">
        <v>20</v>
      </c>
      <c r="E507" t="s">
        <v>12</v>
      </c>
      <c r="F507">
        <v>0.96</v>
      </c>
      <c r="G507">
        <v>12</v>
      </c>
    </row>
    <row r="508" spans="1:7" x14ac:dyDescent="0.3">
      <c r="A508" t="s">
        <v>79</v>
      </c>
      <c r="B508">
        <v>8</v>
      </c>
      <c r="C508" t="s">
        <v>11</v>
      </c>
      <c r="D508">
        <v>100</v>
      </c>
      <c r="E508" t="s">
        <v>12</v>
      </c>
      <c r="F508">
        <v>0.95384999999999998</v>
      </c>
      <c r="G508">
        <v>12</v>
      </c>
    </row>
    <row r="509" spans="1:7" x14ac:dyDescent="0.3">
      <c r="A509" t="s">
        <v>79</v>
      </c>
      <c r="B509">
        <v>8</v>
      </c>
      <c r="C509" t="s">
        <v>11</v>
      </c>
      <c r="D509">
        <v>200</v>
      </c>
      <c r="E509" t="s">
        <v>12</v>
      </c>
      <c r="F509">
        <v>0.56615000000000004</v>
      </c>
      <c r="G509">
        <v>12</v>
      </c>
    </row>
    <row r="510" spans="1:7" x14ac:dyDescent="0.3">
      <c r="A510" t="s">
        <v>79</v>
      </c>
      <c r="B510">
        <v>8</v>
      </c>
      <c r="C510" t="s">
        <v>11</v>
      </c>
      <c r="D510">
        <v>400</v>
      </c>
      <c r="E510" t="s">
        <v>12</v>
      </c>
      <c r="F510">
        <v>0.47692000000000001</v>
      </c>
      <c r="G510">
        <v>12</v>
      </c>
    </row>
    <row r="511" spans="1:7" x14ac:dyDescent="0.3">
      <c r="A511" t="s">
        <v>79</v>
      </c>
      <c r="B511">
        <v>8</v>
      </c>
      <c r="C511" t="s">
        <v>8</v>
      </c>
      <c r="D511">
        <v>10</v>
      </c>
      <c r="E511" t="s">
        <v>10</v>
      </c>
      <c r="F511">
        <v>1.0181800000000001</v>
      </c>
      <c r="G511">
        <v>12</v>
      </c>
    </row>
    <row r="512" spans="1:7" x14ac:dyDescent="0.3">
      <c r="A512" t="s">
        <v>79</v>
      </c>
      <c r="B512">
        <v>8</v>
      </c>
      <c r="C512" t="s">
        <v>8</v>
      </c>
      <c r="D512">
        <v>20</v>
      </c>
      <c r="E512" t="s">
        <v>10</v>
      </c>
      <c r="F512">
        <v>1.36364</v>
      </c>
      <c r="G512">
        <v>12</v>
      </c>
    </row>
    <row r="513" spans="1:7" x14ac:dyDescent="0.3">
      <c r="A513" t="s">
        <v>79</v>
      </c>
      <c r="B513">
        <v>8</v>
      </c>
      <c r="C513" t="s">
        <v>8</v>
      </c>
      <c r="D513">
        <v>100</v>
      </c>
      <c r="E513" t="s">
        <v>10</v>
      </c>
      <c r="F513">
        <v>2.09091</v>
      </c>
      <c r="G513">
        <v>12</v>
      </c>
    </row>
    <row r="514" spans="1:7" x14ac:dyDescent="0.3">
      <c r="A514" t="s">
        <v>79</v>
      </c>
      <c r="B514">
        <v>8</v>
      </c>
      <c r="C514" t="s">
        <v>8</v>
      </c>
      <c r="D514">
        <v>200</v>
      </c>
      <c r="E514" t="s">
        <v>10</v>
      </c>
      <c r="F514">
        <v>2.2181799999999998</v>
      </c>
      <c r="G514">
        <v>12</v>
      </c>
    </row>
    <row r="515" spans="1:7" x14ac:dyDescent="0.3">
      <c r="A515" t="s">
        <v>79</v>
      </c>
      <c r="B515">
        <v>8</v>
      </c>
      <c r="C515" t="s">
        <v>8</v>
      </c>
      <c r="D515">
        <v>400</v>
      </c>
      <c r="E515" t="s">
        <v>10</v>
      </c>
      <c r="F515">
        <v>2.7818200000000002</v>
      </c>
      <c r="G515">
        <v>12</v>
      </c>
    </row>
    <row r="516" spans="1:7" x14ac:dyDescent="0.3">
      <c r="A516" t="s">
        <v>79</v>
      </c>
      <c r="B516">
        <v>8</v>
      </c>
      <c r="C516" t="s">
        <v>11</v>
      </c>
      <c r="D516">
        <v>10</v>
      </c>
      <c r="E516" t="s">
        <v>10</v>
      </c>
      <c r="F516">
        <v>1.25</v>
      </c>
      <c r="G516">
        <v>12</v>
      </c>
    </row>
    <row r="517" spans="1:7" x14ac:dyDescent="0.3">
      <c r="A517" t="s">
        <v>79</v>
      </c>
      <c r="B517">
        <v>8</v>
      </c>
      <c r="C517" t="s">
        <v>11</v>
      </c>
      <c r="D517">
        <v>20</v>
      </c>
      <c r="E517" t="s">
        <v>10</v>
      </c>
      <c r="F517">
        <v>1.4166700000000001</v>
      </c>
      <c r="G517">
        <v>12</v>
      </c>
    </row>
    <row r="518" spans="1:7" x14ac:dyDescent="0.3">
      <c r="A518" t="s">
        <v>79</v>
      </c>
      <c r="B518">
        <v>8</v>
      </c>
      <c r="C518" t="s">
        <v>11</v>
      </c>
      <c r="D518">
        <v>100</v>
      </c>
      <c r="E518" t="s">
        <v>10</v>
      </c>
      <c r="F518">
        <v>2.4</v>
      </c>
      <c r="G518">
        <v>12</v>
      </c>
    </row>
    <row r="519" spans="1:7" x14ac:dyDescent="0.3">
      <c r="A519" t="s">
        <v>79</v>
      </c>
      <c r="B519">
        <v>8</v>
      </c>
      <c r="C519" t="s">
        <v>11</v>
      </c>
      <c r="D519">
        <v>200</v>
      </c>
      <c r="E519" t="s">
        <v>10</v>
      </c>
      <c r="F519">
        <v>2.6666699999999999</v>
      </c>
      <c r="G519">
        <v>12</v>
      </c>
    </row>
    <row r="520" spans="1:7" x14ac:dyDescent="0.3">
      <c r="A520" t="s">
        <v>79</v>
      </c>
      <c r="B520">
        <v>8</v>
      </c>
      <c r="C520" t="s">
        <v>11</v>
      </c>
      <c r="D520">
        <v>400</v>
      </c>
      <c r="E520" t="s">
        <v>10</v>
      </c>
      <c r="F520">
        <v>3</v>
      </c>
      <c r="G520">
        <v>12</v>
      </c>
    </row>
    <row r="521" spans="1:7" x14ac:dyDescent="0.3">
      <c r="A521" t="s">
        <v>79</v>
      </c>
      <c r="B521">
        <v>8</v>
      </c>
      <c r="C521" t="s">
        <v>8</v>
      </c>
      <c r="D521">
        <v>10</v>
      </c>
      <c r="E521" t="s">
        <v>10</v>
      </c>
      <c r="F521">
        <v>1.1625000000000001</v>
      </c>
      <c r="G521">
        <v>12</v>
      </c>
    </row>
    <row r="522" spans="1:7" x14ac:dyDescent="0.3">
      <c r="A522" t="s">
        <v>79</v>
      </c>
      <c r="B522">
        <v>8</v>
      </c>
      <c r="C522" t="s">
        <v>8</v>
      </c>
      <c r="D522">
        <v>20</v>
      </c>
      <c r="E522" t="s">
        <v>10</v>
      </c>
      <c r="F522">
        <v>1.4375</v>
      </c>
      <c r="G522">
        <v>12</v>
      </c>
    </row>
    <row r="523" spans="1:7" x14ac:dyDescent="0.3">
      <c r="A523" t="s">
        <v>79</v>
      </c>
      <c r="B523">
        <v>8</v>
      </c>
      <c r="C523" t="s">
        <v>8</v>
      </c>
      <c r="D523">
        <v>100</v>
      </c>
      <c r="E523" t="s">
        <v>10</v>
      </c>
      <c r="F523">
        <v>1.5375000000000001</v>
      </c>
      <c r="G523">
        <v>12</v>
      </c>
    </row>
    <row r="524" spans="1:7" x14ac:dyDescent="0.3">
      <c r="A524" t="s">
        <v>79</v>
      </c>
      <c r="B524">
        <v>8</v>
      </c>
      <c r="C524" t="s">
        <v>8</v>
      </c>
      <c r="D524">
        <v>200</v>
      </c>
      <c r="E524" t="s">
        <v>10</v>
      </c>
      <c r="F524">
        <v>1.9125000000000001</v>
      </c>
      <c r="G524">
        <v>12</v>
      </c>
    </row>
    <row r="525" spans="1:7" x14ac:dyDescent="0.3">
      <c r="A525" t="s">
        <v>79</v>
      </c>
      <c r="B525">
        <v>8</v>
      </c>
      <c r="C525" t="s">
        <v>8</v>
      </c>
      <c r="D525">
        <v>400</v>
      </c>
      <c r="E525" t="s">
        <v>10</v>
      </c>
      <c r="F525">
        <v>2.5</v>
      </c>
      <c r="G525">
        <v>12</v>
      </c>
    </row>
    <row r="526" spans="1:7" x14ac:dyDescent="0.3">
      <c r="A526" t="s">
        <v>79</v>
      </c>
      <c r="B526">
        <v>8</v>
      </c>
      <c r="C526" t="s">
        <v>11</v>
      </c>
      <c r="D526">
        <v>10</v>
      </c>
      <c r="E526" t="s">
        <v>10</v>
      </c>
      <c r="F526">
        <v>1.84</v>
      </c>
      <c r="G526">
        <v>12</v>
      </c>
    </row>
    <row r="527" spans="1:7" x14ac:dyDescent="0.3">
      <c r="A527" t="s">
        <v>79</v>
      </c>
      <c r="B527">
        <v>8</v>
      </c>
      <c r="C527" t="s">
        <v>11</v>
      </c>
      <c r="D527">
        <v>20</v>
      </c>
      <c r="E527" t="s">
        <v>10</v>
      </c>
      <c r="F527">
        <v>2</v>
      </c>
      <c r="G527">
        <v>12</v>
      </c>
    </row>
    <row r="528" spans="1:7" x14ac:dyDescent="0.3">
      <c r="A528" t="s">
        <v>79</v>
      </c>
      <c r="B528">
        <v>8</v>
      </c>
      <c r="C528" t="s">
        <v>11</v>
      </c>
      <c r="D528">
        <v>100</v>
      </c>
      <c r="E528" t="s">
        <v>10</v>
      </c>
      <c r="F528">
        <v>4</v>
      </c>
      <c r="G528">
        <v>12</v>
      </c>
    </row>
    <row r="529" spans="1:7" x14ac:dyDescent="0.3">
      <c r="A529" t="s">
        <v>79</v>
      </c>
      <c r="B529">
        <v>8</v>
      </c>
      <c r="C529" t="s">
        <v>11</v>
      </c>
      <c r="D529">
        <v>200</v>
      </c>
      <c r="E529" t="s">
        <v>10</v>
      </c>
      <c r="F529">
        <v>6.15</v>
      </c>
      <c r="G529">
        <v>12</v>
      </c>
    </row>
    <row r="530" spans="1:7" x14ac:dyDescent="0.3">
      <c r="A530" t="s">
        <v>79</v>
      </c>
      <c r="B530">
        <v>8</v>
      </c>
      <c r="C530" t="s">
        <v>11</v>
      </c>
      <c r="D530">
        <v>400</v>
      </c>
      <c r="E530" t="s">
        <v>10</v>
      </c>
      <c r="F530">
        <v>8.75</v>
      </c>
      <c r="G530">
        <v>12</v>
      </c>
    </row>
    <row r="531" spans="1:7" x14ac:dyDescent="0.3">
      <c r="A531" t="s">
        <v>79</v>
      </c>
      <c r="B531">
        <v>8</v>
      </c>
      <c r="C531" t="s">
        <v>8</v>
      </c>
      <c r="D531">
        <v>10</v>
      </c>
      <c r="E531" t="s">
        <v>10</v>
      </c>
      <c r="F531">
        <v>1.2727299999999999</v>
      </c>
      <c r="G531">
        <v>12</v>
      </c>
    </row>
    <row r="532" spans="1:7" x14ac:dyDescent="0.3">
      <c r="A532" t="s">
        <v>79</v>
      </c>
      <c r="B532">
        <v>8</v>
      </c>
      <c r="C532" t="s">
        <v>8</v>
      </c>
      <c r="D532">
        <v>20</v>
      </c>
      <c r="E532" t="s">
        <v>10</v>
      </c>
      <c r="F532">
        <v>2.2727300000000001</v>
      </c>
      <c r="G532">
        <v>12</v>
      </c>
    </row>
    <row r="533" spans="1:7" x14ac:dyDescent="0.3">
      <c r="A533" t="s">
        <v>79</v>
      </c>
      <c r="B533">
        <v>8</v>
      </c>
      <c r="C533" t="s">
        <v>8</v>
      </c>
      <c r="D533">
        <v>100</v>
      </c>
      <c r="E533" t="s">
        <v>10</v>
      </c>
      <c r="F533">
        <v>3</v>
      </c>
      <c r="G533">
        <v>12</v>
      </c>
    </row>
    <row r="534" spans="1:7" x14ac:dyDescent="0.3">
      <c r="A534" t="s">
        <v>79</v>
      </c>
      <c r="B534">
        <v>8</v>
      </c>
      <c r="C534" t="s">
        <v>8</v>
      </c>
      <c r="D534">
        <v>200</v>
      </c>
      <c r="E534" t="s">
        <v>10</v>
      </c>
      <c r="F534">
        <v>3.8181799999999999</v>
      </c>
      <c r="G534">
        <v>12</v>
      </c>
    </row>
    <row r="535" spans="1:7" x14ac:dyDescent="0.3">
      <c r="A535" t="s">
        <v>79</v>
      </c>
      <c r="B535">
        <v>8</v>
      </c>
      <c r="C535" t="s">
        <v>8</v>
      </c>
      <c r="D535">
        <v>400</v>
      </c>
      <c r="E535" t="s">
        <v>10</v>
      </c>
      <c r="F535">
        <v>3.1818200000000001</v>
      </c>
      <c r="G535">
        <v>12</v>
      </c>
    </row>
    <row r="536" spans="1:7" x14ac:dyDescent="0.3">
      <c r="A536" t="s">
        <v>79</v>
      </c>
      <c r="B536">
        <v>8</v>
      </c>
      <c r="C536" t="s">
        <v>11</v>
      </c>
      <c r="D536">
        <v>10</v>
      </c>
      <c r="E536" t="s">
        <v>10</v>
      </c>
      <c r="F536">
        <v>1.125</v>
      </c>
      <c r="G536">
        <v>12</v>
      </c>
    </row>
    <row r="537" spans="1:7" x14ac:dyDescent="0.3">
      <c r="A537" t="s">
        <v>79</v>
      </c>
      <c r="B537">
        <v>8</v>
      </c>
      <c r="C537" t="s">
        <v>11</v>
      </c>
      <c r="D537">
        <v>20</v>
      </c>
      <c r="E537" t="s">
        <v>10</v>
      </c>
      <c r="F537">
        <v>4.375</v>
      </c>
      <c r="G537">
        <v>12</v>
      </c>
    </row>
    <row r="538" spans="1:7" x14ac:dyDescent="0.3">
      <c r="A538" t="s">
        <v>79</v>
      </c>
      <c r="B538">
        <v>8</v>
      </c>
      <c r="C538" t="s">
        <v>11</v>
      </c>
      <c r="D538">
        <v>100</v>
      </c>
      <c r="E538" t="s">
        <v>10</v>
      </c>
      <c r="F538">
        <v>6.875</v>
      </c>
      <c r="G538">
        <v>12</v>
      </c>
    </row>
    <row r="539" spans="1:7" x14ac:dyDescent="0.3">
      <c r="A539" t="s">
        <v>79</v>
      </c>
      <c r="B539">
        <v>8</v>
      </c>
      <c r="C539" t="s">
        <v>11</v>
      </c>
      <c r="D539">
        <v>200</v>
      </c>
      <c r="E539" t="s">
        <v>10</v>
      </c>
      <c r="F539">
        <v>11.5</v>
      </c>
      <c r="G539">
        <v>12</v>
      </c>
    </row>
    <row r="540" spans="1:7" x14ac:dyDescent="0.3">
      <c r="A540" t="s">
        <v>79</v>
      </c>
      <c r="B540">
        <v>8</v>
      </c>
      <c r="C540" t="s">
        <v>11</v>
      </c>
      <c r="D540">
        <v>400</v>
      </c>
      <c r="E540" t="s">
        <v>10</v>
      </c>
      <c r="F540">
        <v>10.25</v>
      </c>
      <c r="G540">
        <v>12</v>
      </c>
    </row>
    <row r="541" spans="1:7" x14ac:dyDescent="0.3">
      <c r="A541" t="s">
        <v>79</v>
      </c>
      <c r="B541">
        <v>8</v>
      </c>
      <c r="C541" t="s">
        <v>8</v>
      </c>
      <c r="D541">
        <v>10</v>
      </c>
      <c r="E541" t="s">
        <v>10</v>
      </c>
      <c r="F541">
        <v>1.0714300000000001</v>
      </c>
      <c r="G541">
        <v>12</v>
      </c>
    </row>
    <row r="542" spans="1:7" x14ac:dyDescent="0.3">
      <c r="A542" t="s">
        <v>79</v>
      </c>
      <c r="B542">
        <v>8</v>
      </c>
      <c r="C542" t="s">
        <v>8</v>
      </c>
      <c r="D542">
        <v>20</v>
      </c>
      <c r="E542" t="s">
        <v>10</v>
      </c>
      <c r="F542">
        <v>1.9642900000000001</v>
      </c>
      <c r="G542">
        <v>12</v>
      </c>
    </row>
    <row r="543" spans="1:7" x14ac:dyDescent="0.3">
      <c r="A543" t="s">
        <v>79</v>
      </c>
      <c r="B543">
        <v>8</v>
      </c>
      <c r="C543" t="s">
        <v>8</v>
      </c>
      <c r="D543">
        <v>100</v>
      </c>
      <c r="E543" t="s">
        <v>10</v>
      </c>
      <c r="F543">
        <v>2.5</v>
      </c>
      <c r="G543">
        <v>12</v>
      </c>
    </row>
    <row r="544" spans="1:7" x14ac:dyDescent="0.3">
      <c r="A544" t="s">
        <v>79</v>
      </c>
      <c r="B544">
        <v>8</v>
      </c>
      <c r="C544" t="s">
        <v>8</v>
      </c>
      <c r="D544">
        <v>200</v>
      </c>
      <c r="E544" t="s">
        <v>10</v>
      </c>
      <c r="F544">
        <v>1.7857099999999999</v>
      </c>
      <c r="G544">
        <v>12</v>
      </c>
    </row>
    <row r="545" spans="1:7" x14ac:dyDescent="0.3">
      <c r="A545" t="s">
        <v>79</v>
      </c>
      <c r="B545">
        <v>8</v>
      </c>
      <c r="C545" t="s">
        <v>8</v>
      </c>
      <c r="D545">
        <v>400</v>
      </c>
      <c r="E545" t="s">
        <v>10</v>
      </c>
      <c r="F545">
        <v>0.71428999999999998</v>
      </c>
      <c r="G545">
        <v>12</v>
      </c>
    </row>
    <row r="546" spans="1:7" x14ac:dyDescent="0.3">
      <c r="A546" t="s">
        <v>79</v>
      </c>
      <c r="B546">
        <v>8</v>
      </c>
      <c r="C546" t="s">
        <v>11</v>
      </c>
      <c r="D546">
        <v>10</v>
      </c>
      <c r="E546" t="s">
        <v>10</v>
      </c>
      <c r="F546">
        <v>1.1666700000000001</v>
      </c>
      <c r="G546">
        <v>12</v>
      </c>
    </row>
    <row r="547" spans="1:7" x14ac:dyDescent="0.3">
      <c r="A547" t="s">
        <v>79</v>
      </c>
      <c r="B547">
        <v>8</v>
      </c>
      <c r="C547" t="s">
        <v>11</v>
      </c>
      <c r="D547">
        <v>20</v>
      </c>
      <c r="E547" t="s">
        <v>10</v>
      </c>
      <c r="F547">
        <v>3.61111</v>
      </c>
      <c r="G547">
        <v>12</v>
      </c>
    </row>
    <row r="548" spans="1:7" x14ac:dyDescent="0.3">
      <c r="A548" t="s">
        <v>79</v>
      </c>
      <c r="B548">
        <v>8</v>
      </c>
      <c r="C548" t="s">
        <v>11</v>
      </c>
      <c r="D548">
        <v>100</v>
      </c>
      <c r="E548" t="s">
        <v>10</v>
      </c>
      <c r="F548">
        <v>3.11111</v>
      </c>
      <c r="G548">
        <v>12</v>
      </c>
    </row>
    <row r="549" spans="1:7" x14ac:dyDescent="0.3">
      <c r="A549" t="s">
        <v>79</v>
      </c>
      <c r="B549">
        <v>8</v>
      </c>
      <c r="C549" t="s">
        <v>11</v>
      </c>
      <c r="D549">
        <v>200</v>
      </c>
      <c r="E549" t="s">
        <v>10</v>
      </c>
      <c r="F549">
        <v>2.38889</v>
      </c>
      <c r="G549">
        <v>12</v>
      </c>
    </row>
    <row r="550" spans="1:7" x14ac:dyDescent="0.3">
      <c r="A550" t="s">
        <v>79</v>
      </c>
      <c r="B550">
        <v>8</v>
      </c>
      <c r="C550" t="s">
        <v>11</v>
      </c>
      <c r="D550">
        <v>400</v>
      </c>
      <c r="E550" t="s">
        <v>10</v>
      </c>
      <c r="F550">
        <v>1.9777800000000001</v>
      </c>
      <c r="G550">
        <v>12</v>
      </c>
    </row>
    <row r="551" spans="1:7" x14ac:dyDescent="0.3">
      <c r="A551" t="s">
        <v>79</v>
      </c>
      <c r="B551">
        <v>8</v>
      </c>
      <c r="C551" t="s">
        <v>8</v>
      </c>
      <c r="D551">
        <v>10</v>
      </c>
      <c r="E551" t="s">
        <v>10</v>
      </c>
      <c r="F551">
        <v>2.3250000000000002</v>
      </c>
      <c r="G551">
        <v>12</v>
      </c>
    </row>
    <row r="552" spans="1:7" x14ac:dyDescent="0.3">
      <c r="A552" t="s">
        <v>79</v>
      </c>
      <c r="B552">
        <v>8</v>
      </c>
      <c r="C552" t="s">
        <v>8</v>
      </c>
      <c r="D552">
        <v>20</v>
      </c>
      <c r="E552" t="s">
        <v>10</v>
      </c>
      <c r="F552">
        <v>3.2</v>
      </c>
      <c r="G552">
        <v>12</v>
      </c>
    </row>
    <row r="553" spans="1:7" x14ac:dyDescent="0.3">
      <c r="A553" t="s">
        <v>79</v>
      </c>
      <c r="B553">
        <v>8</v>
      </c>
      <c r="C553" t="s">
        <v>8</v>
      </c>
      <c r="D553">
        <v>100</v>
      </c>
      <c r="E553" t="s">
        <v>10</v>
      </c>
      <c r="F553">
        <v>2.25</v>
      </c>
      <c r="G553">
        <v>12</v>
      </c>
    </row>
    <row r="554" spans="1:7" x14ac:dyDescent="0.3">
      <c r="A554" t="s">
        <v>79</v>
      </c>
      <c r="B554">
        <v>8</v>
      </c>
      <c r="C554" t="s">
        <v>8</v>
      </c>
      <c r="D554">
        <v>200</v>
      </c>
      <c r="E554" t="s">
        <v>10</v>
      </c>
      <c r="F554">
        <v>2</v>
      </c>
      <c r="G554">
        <v>12</v>
      </c>
    </row>
    <row r="555" spans="1:7" x14ac:dyDescent="0.3">
      <c r="A555" t="s">
        <v>79</v>
      </c>
      <c r="B555">
        <v>8</v>
      </c>
      <c r="C555" t="s">
        <v>8</v>
      </c>
      <c r="D555">
        <v>400</v>
      </c>
      <c r="E555" t="s">
        <v>10</v>
      </c>
      <c r="F555">
        <v>2.2000000000000002</v>
      </c>
      <c r="G555">
        <v>12</v>
      </c>
    </row>
    <row r="556" spans="1:7" x14ac:dyDescent="0.3">
      <c r="A556" t="s">
        <v>79</v>
      </c>
      <c r="B556">
        <v>8</v>
      </c>
      <c r="C556" t="s">
        <v>11</v>
      </c>
      <c r="D556">
        <v>10</v>
      </c>
      <c r="E556" t="s">
        <v>10</v>
      </c>
      <c r="F556">
        <v>1.1875</v>
      </c>
      <c r="G556">
        <v>12</v>
      </c>
    </row>
    <row r="557" spans="1:7" x14ac:dyDescent="0.3">
      <c r="A557" t="s">
        <v>79</v>
      </c>
      <c r="B557">
        <v>8</v>
      </c>
      <c r="C557" t="s">
        <v>11</v>
      </c>
      <c r="D557">
        <v>20</v>
      </c>
      <c r="E557" t="s">
        <v>10</v>
      </c>
      <c r="F557">
        <v>1.3625</v>
      </c>
      <c r="G557">
        <v>12</v>
      </c>
    </row>
    <row r="558" spans="1:7" x14ac:dyDescent="0.3">
      <c r="A558" t="s">
        <v>79</v>
      </c>
      <c r="B558">
        <v>8</v>
      </c>
      <c r="C558" t="s">
        <v>11</v>
      </c>
      <c r="D558">
        <v>100</v>
      </c>
      <c r="E558" t="s">
        <v>10</v>
      </c>
      <c r="F558">
        <v>1.4</v>
      </c>
      <c r="G558">
        <v>12</v>
      </c>
    </row>
    <row r="559" spans="1:7" x14ac:dyDescent="0.3">
      <c r="A559" t="s">
        <v>79</v>
      </c>
      <c r="B559">
        <v>8</v>
      </c>
      <c r="C559" t="s">
        <v>11</v>
      </c>
      <c r="D559">
        <v>200</v>
      </c>
      <c r="E559" t="s">
        <v>10</v>
      </c>
      <c r="F559">
        <v>1.7375</v>
      </c>
      <c r="G559">
        <v>12</v>
      </c>
    </row>
    <row r="560" spans="1:7" x14ac:dyDescent="0.3">
      <c r="A560" t="s">
        <v>79</v>
      </c>
      <c r="B560">
        <v>8</v>
      </c>
      <c r="C560" t="s">
        <v>11</v>
      </c>
      <c r="D560">
        <v>400</v>
      </c>
      <c r="E560" t="s">
        <v>10</v>
      </c>
      <c r="F560">
        <v>1.2625</v>
      </c>
      <c r="G560">
        <v>12</v>
      </c>
    </row>
    <row r="561" spans="1:7" x14ac:dyDescent="0.3">
      <c r="A561" t="s">
        <v>79</v>
      </c>
      <c r="B561">
        <v>8</v>
      </c>
      <c r="C561" t="s">
        <v>8</v>
      </c>
      <c r="D561">
        <v>10</v>
      </c>
      <c r="E561" t="s">
        <v>10</v>
      </c>
      <c r="F561">
        <v>1.0071399999999999</v>
      </c>
      <c r="G561">
        <v>12</v>
      </c>
    </row>
    <row r="562" spans="1:7" x14ac:dyDescent="0.3">
      <c r="A562" t="s">
        <v>79</v>
      </c>
      <c r="B562">
        <v>8</v>
      </c>
      <c r="C562" t="s">
        <v>8</v>
      </c>
      <c r="D562">
        <v>20</v>
      </c>
      <c r="E562" t="s">
        <v>10</v>
      </c>
      <c r="F562">
        <v>1.5</v>
      </c>
      <c r="G562">
        <v>12</v>
      </c>
    </row>
    <row r="563" spans="1:7" x14ac:dyDescent="0.3">
      <c r="A563" t="s">
        <v>79</v>
      </c>
      <c r="B563">
        <v>8</v>
      </c>
      <c r="C563" t="s">
        <v>8</v>
      </c>
      <c r="D563">
        <v>100</v>
      </c>
      <c r="E563" t="s">
        <v>10</v>
      </c>
      <c r="F563">
        <v>3.1785700000000001</v>
      </c>
      <c r="G563">
        <v>12</v>
      </c>
    </row>
    <row r="564" spans="1:7" x14ac:dyDescent="0.3">
      <c r="A564" t="s">
        <v>79</v>
      </c>
      <c r="B564">
        <v>8</v>
      </c>
      <c r="C564" t="s">
        <v>8</v>
      </c>
      <c r="D564">
        <v>200</v>
      </c>
      <c r="E564" t="s">
        <v>10</v>
      </c>
      <c r="F564">
        <v>1.0071399999999999</v>
      </c>
      <c r="G564">
        <v>12</v>
      </c>
    </row>
    <row r="565" spans="1:7" x14ac:dyDescent="0.3">
      <c r="A565" t="s">
        <v>79</v>
      </c>
      <c r="B565">
        <v>8</v>
      </c>
      <c r="C565" t="s">
        <v>8</v>
      </c>
      <c r="D565">
        <v>400</v>
      </c>
      <c r="E565" t="s">
        <v>10</v>
      </c>
      <c r="F565">
        <v>0.97857000000000005</v>
      </c>
      <c r="G565">
        <v>12</v>
      </c>
    </row>
    <row r="566" spans="1:7" x14ac:dyDescent="0.3">
      <c r="A566" t="s">
        <v>79</v>
      </c>
      <c r="B566">
        <v>8</v>
      </c>
      <c r="C566" t="s">
        <v>11</v>
      </c>
      <c r="D566">
        <v>10</v>
      </c>
      <c r="E566" t="s">
        <v>10</v>
      </c>
      <c r="F566">
        <v>2.2857099999999999</v>
      </c>
      <c r="G566">
        <v>12</v>
      </c>
    </row>
    <row r="567" spans="1:7" x14ac:dyDescent="0.3">
      <c r="A567" t="s">
        <v>79</v>
      </c>
      <c r="B567">
        <v>8</v>
      </c>
      <c r="C567" t="s">
        <v>11</v>
      </c>
      <c r="D567">
        <v>20</v>
      </c>
      <c r="E567" t="s">
        <v>10</v>
      </c>
      <c r="F567">
        <v>2.8571399999999998</v>
      </c>
      <c r="G567">
        <v>12</v>
      </c>
    </row>
    <row r="568" spans="1:7" x14ac:dyDescent="0.3">
      <c r="A568" t="s">
        <v>79</v>
      </c>
      <c r="B568">
        <v>8</v>
      </c>
      <c r="C568" t="s">
        <v>11</v>
      </c>
      <c r="D568">
        <v>100</v>
      </c>
      <c r="E568" t="s">
        <v>10</v>
      </c>
      <c r="F568">
        <v>6</v>
      </c>
      <c r="G568">
        <v>12</v>
      </c>
    </row>
    <row r="569" spans="1:7" x14ac:dyDescent="0.3">
      <c r="A569" t="s">
        <v>79</v>
      </c>
      <c r="B569">
        <v>8</v>
      </c>
      <c r="C569" t="s">
        <v>11</v>
      </c>
      <c r="D569">
        <v>200</v>
      </c>
      <c r="E569" t="s">
        <v>10</v>
      </c>
      <c r="F569">
        <v>4.5714300000000003</v>
      </c>
      <c r="G569">
        <v>12</v>
      </c>
    </row>
    <row r="570" spans="1:7" x14ac:dyDescent="0.3">
      <c r="A570" t="s">
        <v>79</v>
      </c>
      <c r="B570">
        <v>8</v>
      </c>
      <c r="C570" t="s">
        <v>11</v>
      </c>
      <c r="D570">
        <v>400</v>
      </c>
      <c r="E570" t="s">
        <v>10</v>
      </c>
      <c r="F570">
        <v>3.7142900000000001</v>
      </c>
      <c r="G570">
        <v>12</v>
      </c>
    </row>
    <row r="571" spans="1:7" x14ac:dyDescent="0.3">
      <c r="A571" t="s">
        <v>79</v>
      </c>
      <c r="B571">
        <v>8</v>
      </c>
      <c r="C571" t="s">
        <v>8</v>
      </c>
      <c r="D571">
        <v>10</v>
      </c>
      <c r="E571" t="s">
        <v>9</v>
      </c>
      <c r="F571">
        <v>0.99436999999999998</v>
      </c>
      <c r="G571">
        <v>12</v>
      </c>
    </row>
    <row r="572" spans="1:7" x14ac:dyDescent="0.3">
      <c r="A572" t="s">
        <v>79</v>
      </c>
      <c r="B572">
        <v>8</v>
      </c>
      <c r="C572" t="s">
        <v>8</v>
      </c>
      <c r="D572">
        <v>20</v>
      </c>
      <c r="E572" t="s">
        <v>9</v>
      </c>
      <c r="F572">
        <v>0.77464999999999995</v>
      </c>
      <c r="G572">
        <v>12</v>
      </c>
    </row>
    <row r="573" spans="1:7" x14ac:dyDescent="0.3">
      <c r="A573" t="s">
        <v>79</v>
      </c>
      <c r="B573">
        <v>8</v>
      </c>
      <c r="C573" t="s">
        <v>8</v>
      </c>
      <c r="D573">
        <v>100</v>
      </c>
      <c r="E573" t="s">
        <v>9</v>
      </c>
      <c r="F573">
        <v>0.76900999999999997</v>
      </c>
      <c r="G573">
        <v>12</v>
      </c>
    </row>
    <row r="574" spans="1:7" x14ac:dyDescent="0.3">
      <c r="A574" t="s">
        <v>79</v>
      </c>
      <c r="B574">
        <v>8</v>
      </c>
      <c r="C574" t="s">
        <v>8</v>
      </c>
      <c r="D574">
        <v>200</v>
      </c>
      <c r="E574" t="s">
        <v>9</v>
      </c>
      <c r="F574">
        <v>0.61972000000000005</v>
      </c>
      <c r="G574">
        <v>12</v>
      </c>
    </row>
    <row r="575" spans="1:7" x14ac:dyDescent="0.3">
      <c r="A575" t="s">
        <v>79</v>
      </c>
      <c r="B575">
        <v>8</v>
      </c>
      <c r="C575" t="s">
        <v>8</v>
      </c>
      <c r="D575">
        <v>400</v>
      </c>
      <c r="E575" t="s">
        <v>9</v>
      </c>
      <c r="F575">
        <v>0.42254000000000003</v>
      </c>
      <c r="G575">
        <v>12</v>
      </c>
    </row>
    <row r="576" spans="1:7" x14ac:dyDescent="0.3">
      <c r="A576" t="s">
        <v>79</v>
      </c>
      <c r="B576">
        <v>8</v>
      </c>
      <c r="C576" t="s">
        <v>8</v>
      </c>
      <c r="D576">
        <v>10</v>
      </c>
      <c r="E576" t="s">
        <v>9</v>
      </c>
      <c r="F576">
        <v>0.97221999999999997</v>
      </c>
      <c r="G576">
        <v>12</v>
      </c>
    </row>
    <row r="577" spans="1:7" x14ac:dyDescent="0.3">
      <c r="A577" t="s">
        <v>79</v>
      </c>
      <c r="B577">
        <v>8</v>
      </c>
      <c r="C577" t="s">
        <v>8</v>
      </c>
      <c r="D577">
        <v>20</v>
      </c>
      <c r="E577" t="s">
        <v>9</v>
      </c>
      <c r="F577">
        <v>0.69301999999999997</v>
      </c>
      <c r="G577">
        <v>12</v>
      </c>
    </row>
    <row r="578" spans="1:7" x14ac:dyDescent="0.3">
      <c r="A578" t="s">
        <v>79</v>
      </c>
      <c r="B578">
        <v>8</v>
      </c>
      <c r="C578" t="s">
        <v>8</v>
      </c>
      <c r="D578">
        <v>100</v>
      </c>
      <c r="E578" t="s">
        <v>9</v>
      </c>
      <c r="F578">
        <v>0.40316999999999997</v>
      </c>
      <c r="G578">
        <v>12</v>
      </c>
    </row>
    <row r="579" spans="1:7" x14ac:dyDescent="0.3">
      <c r="A579" t="s">
        <v>79</v>
      </c>
      <c r="B579">
        <v>8</v>
      </c>
      <c r="C579" t="s">
        <v>8</v>
      </c>
      <c r="D579">
        <v>200</v>
      </c>
      <c r="E579" t="s">
        <v>9</v>
      </c>
      <c r="F579">
        <v>0.31746000000000002</v>
      </c>
      <c r="G579">
        <v>12</v>
      </c>
    </row>
    <row r="580" spans="1:7" x14ac:dyDescent="0.3">
      <c r="A580" t="s">
        <v>79</v>
      </c>
      <c r="B580">
        <v>8</v>
      </c>
      <c r="C580" t="s">
        <v>8</v>
      </c>
      <c r="D580">
        <v>400</v>
      </c>
      <c r="E580" t="s">
        <v>9</v>
      </c>
      <c r="F580">
        <v>0.14921000000000001</v>
      </c>
      <c r="G580">
        <v>12</v>
      </c>
    </row>
    <row r="581" spans="1:7" x14ac:dyDescent="0.3">
      <c r="A581" t="s">
        <v>29</v>
      </c>
      <c r="B581">
        <v>21</v>
      </c>
      <c r="C581" t="s">
        <v>8</v>
      </c>
      <c r="D581">
        <v>50</v>
      </c>
      <c r="E581" t="s">
        <v>9</v>
      </c>
      <c r="F581">
        <v>0.96296296296296291</v>
      </c>
      <c r="G581">
        <v>37</v>
      </c>
    </row>
    <row r="582" spans="1:7" x14ac:dyDescent="0.3">
      <c r="A582" t="s">
        <v>29</v>
      </c>
      <c r="B582">
        <v>21</v>
      </c>
      <c r="C582" t="s">
        <v>8</v>
      </c>
      <c r="D582">
        <v>100</v>
      </c>
      <c r="E582" t="s">
        <v>9</v>
      </c>
      <c r="F582">
        <v>0.90740740740740744</v>
      </c>
      <c r="G582">
        <v>37</v>
      </c>
    </row>
    <row r="583" spans="1:7" x14ac:dyDescent="0.3">
      <c r="A583" t="s">
        <v>29</v>
      </c>
      <c r="B583">
        <v>21</v>
      </c>
      <c r="C583" t="s">
        <v>8</v>
      </c>
      <c r="D583">
        <v>200</v>
      </c>
      <c r="E583" t="s">
        <v>9</v>
      </c>
      <c r="F583">
        <v>0.87272727272727268</v>
      </c>
      <c r="G583">
        <v>37</v>
      </c>
    </row>
    <row r="584" spans="1:7" x14ac:dyDescent="0.3">
      <c r="A584" t="s">
        <v>29</v>
      </c>
      <c r="B584">
        <v>21</v>
      </c>
      <c r="C584" t="s">
        <v>8</v>
      </c>
      <c r="D584">
        <v>400</v>
      </c>
      <c r="E584" t="s">
        <v>9</v>
      </c>
      <c r="F584">
        <v>0.64814814814814814</v>
      </c>
      <c r="G584">
        <v>37</v>
      </c>
    </row>
    <row r="585" spans="1:7" x14ac:dyDescent="0.3">
      <c r="A585" t="s">
        <v>29</v>
      </c>
      <c r="B585">
        <v>21</v>
      </c>
      <c r="C585" t="s">
        <v>8</v>
      </c>
      <c r="D585">
        <v>800</v>
      </c>
      <c r="E585" t="s">
        <v>9</v>
      </c>
      <c r="F585">
        <v>0.52727272727272723</v>
      </c>
      <c r="G585">
        <v>37</v>
      </c>
    </row>
    <row r="586" spans="1:7" x14ac:dyDescent="0.3">
      <c r="A586" t="s">
        <v>29</v>
      </c>
      <c r="B586">
        <v>21</v>
      </c>
      <c r="C586" t="s">
        <v>8</v>
      </c>
      <c r="D586">
        <v>50</v>
      </c>
      <c r="E586" t="s">
        <v>9</v>
      </c>
      <c r="F586">
        <v>0.93333333333333324</v>
      </c>
      <c r="G586">
        <v>37</v>
      </c>
    </row>
    <row r="587" spans="1:7" x14ac:dyDescent="0.3">
      <c r="A587" t="s">
        <v>29</v>
      </c>
      <c r="B587">
        <v>21</v>
      </c>
      <c r="C587" t="s">
        <v>8</v>
      </c>
      <c r="D587">
        <v>100</v>
      </c>
      <c r="E587" t="s">
        <v>9</v>
      </c>
      <c r="F587">
        <v>0.91999999999999993</v>
      </c>
      <c r="G587">
        <v>37</v>
      </c>
    </row>
    <row r="588" spans="1:7" x14ac:dyDescent="0.3">
      <c r="A588" t="s">
        <v>29</v>
      </c>
      <c r="B588">
        <v>21</v>
      </c>
      <c r="C588" t="s">
        <v>8</v>
      </c>
      <c r="D588">
        <v>200</v>
      </c>
      <c r="E588" t="s">
        <v>9</v>
      </c>
      <c r="F588">
        <v>0.90666666666666673</v>
      </c>
      <c r="G588">
        <v>37</v>
      </c>
    </row>
    <row r="589" spans="1:7" x14ac:dyDescent="0.3">
      <c r="A589" t="s">
        <v>29</v>
      </c>
      <c r="B589">
        <v>21</v>
      </c>
      <c r="C589" t="s">
        <v>8</v>
      </c>
      <c r="D589">
        <v>400</v>
      </c>
      <c r="E589" t="s">
        <v>9</v>
      </c>
      <c r="F589">
        <v>0.84</v>
      </c>
      <c r="G589">
        <v>37</v>
      </c>
    </row>
    <row r="590" spans="1:7" x14ac:dyDescent="0.3">
      <c r="A590" t="s">
        <v>29</v>
      </c>
      <c r="B590">
        <v>21</v>
      </c>
      <c r="C590" t="s">
        <v>8</v>
      </c>
      <c r="D590">
        <v>800</v>
      </c>
      <c r="E590" t="s">
        <v>9</v>
      </c>
      <c r="F590">
        <v>0.66666666666666663</v>
      </c>
      <c r="G590">
        <v>37</v>
      </c>
    </row>
    <row r="591" spans="1:7" x14ac:dyDescent="0.3">
      <c r="A591" t="s">
        <v>29</v>
      </c>
      <c r="B591">
        <v>21</v>
      </c>
      <c r="C591" t="s">
        <v>8</v>
      </c>
      <c r="D591">
        <v>50</v>
      </c>
      <c r="E591" t="s">
        <v>9</v>
      </c>
      <c r="F591">
        <v>0.98888888888888893</v>
      </c>
      <c r="G591">
        <v>37</v>
      </c>
    </row>
    <row r="592" spans="1:7" x14ac:dyDescent="0.3">
      <c r="A592" t="s">
        <v>29</v>
      </c>
      <c r="B592">
        <v>21</v>
      </c>
      <c r="C592" t="s">
        <v>8</v>
      </c>
      <c r="D592">
        <v>100</v>
      </c>
      <c r="E592" t="s">
        <v>9</v>
      </c>
      <c r="F592">
        <v>0.88888888888888895</v>
      </c>
      <c r="G592">
        <v>37</v>
      </c>
    </row>
    <row r="593" spans="1:7" x14ac:dyDescent="0.3">
      <c r="A593" t="s">
        <v>29</v>
      </c>
      <c r="B593">
        <v>21</v>
      </c>
      <c r="C593" t="s">
        <v>8</v>
      </c>
      <c r="D593">
        <v>200</v>
      </c>
      <c r="E593" t="s">
        <v>9</v>
      </c>
      <c r="F593">
        <v>0.8666666666666667</v>
      </c>
      <c r="G593">
        <v>37</v>
      </c>
    </row>
    <row r="594" spans="1:7" x14ac:dyDescent="0.3">
      <c r="A594" t="s">
        <v>29</v>
      </c>
      <c r="B594">
        <v>21</v>
      </c>
      <c r="C594" t="s">
        <v>8</v>
      </c>
      <c r="D594">
        <v>400</v>
      </c>
      <c r="E594" t="s">
        <v>9</v>
      </c>
      <c r="F594">
        <v>0.79999999999999993</v>
      </c>
      <c r="G594">
        <v>37</v>
      </c>
    </row>
    <row r="595" spans="1:7" x14ac:dyDescent="0.3">
      <c r="A595" t="s">
        <v>29</v>
      </c>
      <c r="B595">
        <v>21</v>
      </c>
      <c r="C595" t="s">
        <v>8</v>
      </c>
      <c r="D595">
        <v>800</v>
      </c>
      <c r="E595" t="s">
        <v>9</v>
      </c>
      <c r="F595">
        <v>0.55555555555555558</v>
      </c>
      <c r="G595">
        <v>37</v>
      </c>
    </row>
    <row r="596" spans="1:7" x14ac:dyDescent="0.3">
      <c r="A596" t="s">
        <v>29</v>
      </c>
      <c r="B596">
        <v>21</v>
      </c>
      <c r="C596" t="s">
        <v>8</v>
      </c>
      <c r="D596">
        <v>50</v>
      </c>
      <c r="E596" t="s">
        <v>12</v>
      </c>
      <c r="F596">
        <v>0.82608695652173914</v>
      </c>
      <c r="G596">
        <v>37</v>
      </c>
    </row>
    <row r="597" spans="1:7" x14ac:dyDescent="0.3">
      <c r="A597" t="s">
        <v>29</v>
      </c>
      <c r="B597">
        <v>21</v>
      </c>
      <c r="C597" t="s">
        <v>8</v>
      </c>
      <c r="D597">
        <v>100</v>
      </c>
      <c r="E597" t="s">
        <v>12</v>
      </c>
      <c r="F597">
        <v>0.67826086956521747</v>
      </c>
      <c r="G597">
        <v>37</v>
      </c>
    </row>
    <row r="598" spans="1:7" x14ac:dyDescent="0.3">
      <c r="A598" t="s">
        <v>29</v>
      </c>
      <c r="B598">
        <v>21</v>
      </c>
      <c r="C598" t="s">
        <v>8</v>
      </c>
      <c r="D598">
        <v>200</v>
      </c>
      <c r="E598" t="s">
        <v>12</v>
      </c>
      <c r="F598">
        <v>0.57391304347826089</v>
      </c>
      <c r="G598">
        <v>37</v>
      </c>
    </row>
    <row r="599" spans="1:7" x14ac:dyDescent="0.3">
      <c r="A599" t="s">
        <v>29</v>
      </c>
      <c r="B599">
        <v>21</v>
      </c>
      <c r="C599" t="s">
        <v>8</v>
      </c>
      <c r="D599">
        <v>400</v>
      </c>
      <c r="E599" t="s">
        <v>12</v>
      </c>
      <c r="F599">
        <v>0.39130434782608697</v>
      </c>
      <c r="G599">
        <v>37</v>
      </c>
    </row>
    <row r="600" spans="1:7" x14ac:dyDescent="0.3">
      <c r="A600" t="s">
        <v>29</v>
      </c>
      <c r="B600">
        <v>21</v>
      </c>
      <c r="C600" t="s">
        <v>8</v>
      </c>
      <c r="D600">
        <v>800</v>
      </c>
      <c r="E600" t="s">
        <v>12</v>
      </c>
      <c r="F600">
        <v>0.38260869565217392</v>
      </c>
      <c r="G600">
        <v>37</v>
      </c>
    </row>
    <row r="601" spans="1:7" x14ac:dyDescent="0.3">
      <c r="A601" t="s">
        <v>29</v>
      </c>
      <c r="B601">
        <v>21</v>
      </c>
      <c r="C601" t="s">
        <v>8</v>
      </c>
      <c r="D601">
        <v>50</v>
      </c>
      <c r="E601" t="s">
        <v>10</v>
      </c>
      <c r="F601">
        <v>1.3454545454545455</v>
      </c>
      <c r="G601">
        <v>37</v>
      </c>
    </row>
    <row r="602" spans="1:7" x14ac:dyDescent="0.3">
      <c r="A602" t="s">
        <v>29</v>
      </c>
      <c r="B602">
        <v>21</v>
      </c>
      <c r="C602" t="s">
        <v>8</v>
      </c>
      <c r="D602">
        <v>100</v>
      </c>
      <c r="E602" t="s">
        <v>10</v>
      </c>
      <c r="F602">
        <v>1.7727272727272727</v>
      </c>
      <c r="G602">
        <v>37</v>
      </c>
    </row>
    <row r="603" spans="1:7" x14ac:dyDescent="0.3">
      <c r="A603" t="s">
        <v>29</v>
      </c>
      <c r="B603">
        <v>21</v>
      </c>
      <c r="C603" t="s">
        <v>8</v>
      </c>
      <c r="D603">
        <v>200</v>
      </c>
      <c r="E603" t="s">
        <v>10</v>
      </c>
      <c r="F603">
        <v>2.0454545454545454</v>
      </c>
      <c r="G603">
        <v>37</v>
      </c>
    </row>
    <row r="604" spans="1:7" x14ac:dyDescent="0.3">
      <c r="A604" t="s">
        <v>29</v>
      </c>
      <c r="B604">
        <v>21</v>
      </c>
      <c r="C604" t="s">
        <v>8</v>
      </c>
      <c r="D604">
        <v>400</v>
      </c>
      <c r="E604" t="s">
        <v>10</v>
      </c>
      <c r="F604">
        <v>2.0500000000000003</v>
      </c>
      <c r="G604">
        <v>37</v>
      </c>
    </row>
    <row r="605" spans="1:7" x14ac:dyDescent="0.3">
      <c r="A605" t="s">
        <v>29</v>
      </c>
      <c r="B605">
        <v>21</v>
      </c>
      <c r="C605" t="s">
        <v>8</v>
      </c>
      <c r="D605">
        <v>800</v>
      </c>
      <c r="E605" t="s">
        <v>10</v>
      </c>
      <c r="F605">
        <v>2.2727272727272729</v>
      </c>
      <c r="G605">
        <v>37</v>
      </c>
    </row>
    <row r="606" spans="1:7" x14ac:dyDescent="0.3">
      <c r="A606" t="s">
        <v>29</v>
      </c>
      <c r="B606">
        <v>21</v>
      </c>
      <c r="C606" t="s">
        <v>8</v>
      </c>
      <c r="D606">
        <v>50</v>
      </c>
      <c r="E606" t="s">
        <v>10</v>
      </c>
      <c r="F606">
        <v>1.6666666666666667</v>
      </c>
      <c r="G606">
        <v>37</v>
      </c>
    </row>
    <row r="607" spans="1:7" x14ac:dyDescent="0.3">
      <c r="A607" t="s">
        <v>29</v>
      </c>
      <c r="B607">
        <v>21</v>
      </c>
      <c r="C607" t="s">
        <v>8</v>
      </c>
      <c r="D607">
        <v>100</v>
      </c>
      <c r="E607" t="s">
        <v>10</v>
      </c>
      <c r="F607">
        <v>1.6444444444444446</v>
      </c>
      <c r="G607">
        <v>37</v>
      </c>
    </row>
    <row r="608" spans="1:7" x14ac:dyDescent="0.3">
      <c r="A608" t="s">
        <v>29</v>
      </c>
      <c r="B608">
        <v>21</v>
      </c>
      <c r="C608" t="s">
        <v>8</v>
      </c>
      <c r="D608">
        <v>200</v>
      </c>
      <c r="E608" t="s">
        <v>10</v>
      </c>
      <c r="F608">
        <v>2.4444444444444446</v>
      </c>
      <c r="G608">
        <v>37</v>
      </c>
    </row>
    <row r="609" spans="1:7" x14ac:dyDescent="0.3">
      <c r="A609" t="s">
        <v>29</v>
      </c>
      <c r="B609">
        <v>21</v>
      </c>
      <c r="C609" t="s">
        <v>8</v>
      </c>
      <c r="D609">
        <v>400</v>
      </c>
      <c r="E609" t="s">
        <v>10</v>
      </c>
      <c r="F609">
        <v>2.8333333333333335</v>
      </c>
      <c r="G609">
        <v>37</v>
      </c>
    </row>
    <row r="610" spans="1:7" x14ac:dyDescent="0.3">
      <c r="A610" t="s">
        <v>29</v>
      </c>
      <c r="B610">
        <v>21</v>
      </c>
      <c r="C610" t="s">
        <v>8</v>
      </c>
      <c r="D610">
        <v>800</v>
      </c>
      <c r="E610" t="s">
        <v>10</v>
      </c>
      <c r="F610">
        <v>3</v>
      </c>
      <c r="G610">
        <v>37</v>
      </c>
    </row>
    <row r="611" spans="1:7" x14ac:dyDescent="0.3">
      <c r="A611" t="s">
        <v>29</v>
      </c>
      <c r="B611">
        <v>21</v>
      </c>
      <c r="C611" t="s">
        <v>8</v>
      </c>
      <c r="D611">
        <v>50</v>
      </c>
      <c r="E611" t="s">
        <v>10</v>
      </c>
      <c r="F611">
        <v>1.1733333333333333</v>
      </c>
      <c r="G611">
        <v>37</v>
      </c>
    </row>
    <row r="612" spans="1:7" x14ac:dyDescent="0.3">
      <c r="A612" t="s">
        <v>29</v>
      </c>
      <c r="B612">
        <v>21</v>
      </c>
      <c r="C612" t="s">
        <v>8</v>
      </c>
      <c r="D612">
        <v>100</v>
      </c>
      <c r="E612" t="s">
        <v>10</v>
      </c>
      <c r="F612">
        <v>1.7866666666666666</v>
      </c>
      <c r="G612">
        <v>37</v>
      </c>
    </row>
    <row r="613" spans="1:7" x14ac:dyDescent="0.3">
      <c r="A613" t="s">
        <v>29</v>
      </c>
      <c r="B613">
        <v>21</v>
      </c>
      <c r="C613" t="s">
        <v>8</v>
      </c>
      <c r="D613">
        <v>200</v>
      </c>
      <c r="E613" t="s">
        <v>10</v>
      </c>
      <c r="F613">
        <v>2.16</v>
      </c>
      <c r="G613">
        <v>37</v>
      </c>
    </row>
    <row r="614" spans="1:7" x14ac:dyDescent="0.3">
      <c r="A614" t="s">
        <v>29</v>
      </c>
      <c r="B614">
        <v>21</v>
      </c>
      <c r="C614" t="s">
        <v>8</v>
      </c>
      <c r="D614">
        <v>400</v>
      </c>
      <c r="E614" t="s">
        <v>10</v>
      </c>
      <c r="F614">
        <v>1.9866666666666666</v>
      </c>
      <c r="G614">
        <v>37</v>
      </c>
    </row>
    <row r="615" spans="1:7" x14ac:dyDescent="0.3">
      <c r="A615" t="s">
        <v>29</v>
      </c>
      <c r="B615">
        <v>21</v>
      </c>
      <c r="C615" t="s">
        <v>8</v>
      </c>
      <c r="D615">
        <v>800</v>
      </c>
      <c r="E615" t="s">
        <v>10</v>
      </c>
      <c r="F615">
        <v>1.6533333333333333</v>
      </c>
      <c r="G615">
        <v>37</v>
      </c>
    </row>
    <row r="616" spans="1:7" x14ac:dyDescent="0.3">
      <c r="A616" t="s">
        <v>29</v>
      </c>
      <c r="B616">
        <v>21</v>
      </c>
      <c r="C616" t="s">
        <v>8</v>
      </c>
      <c r="D616">
        <v>50</v>
      </c>
      <c r="E616" t="s">
        <v>10</v>
      </c>
      <c r="F616">
        <v>1.5</v>
      </c>
      <c r="G616">
        <v>37</v>
      </c>
    </row>
    <row r="617" spans="1:7" x14ac:dyDescent="0.3">
      <c r="A617" t="s">
        <v>29</v>
      </c>
      <c r="B617">
        <v>21</v>
      </c>
      <c r="C617" t="s">
        <v>8</v>
      </c>
      <c r="D617">
        <v>100</v>
      </c>
      <c r="E617" t="s">
        <v>10</v>
      </c>
      <c r="F617">
        <v>2.0434782608695654</v>
      </c>
      <c r="G617">
        <v>37</v>
      </c>
    </row>
    <row r="618" spans="1:7" x14ac:dyDescent="0.3">
      <c r="A618" t="s">
        <v>29</v>
      </c>
      <c r="B618">
        <v>21</v>
      </c>
      <c r="C618" t="s">
        <v>8</v>
      </c>
      <c r="D618">
        <v>200</v>
      </c>
      <c r="E618" t="s">
        <v>10</v>
      </c>
      <c r="F618">
        <v>6.4347826086956523</v>
      </c>
      <c r="G618">
        <v>37</v>
      </c>
    </row>
    <row r="619" spans="1:7" x14ac:dyDescent="0.3">
      <c r="A619" t="s">
        <v>29</v>
      </c>
      <c r="B619">
        <v>21</v>
      </c>
      <c r="C619" t="s">
        <v>8</v>
      </c>
      <c r="D619">
        <v>400</v>
      </c>
      <c r="E619" t="s">
        <v>10</v>
      </c>
      <c r="F619">
        <v>7.8260869565217392</v>
      </c>
      <c r="G619">
        <v>37</v>
      </c>
    </row>
    <row r="620" spans="1:7" x14ac:dyDescent="0.3">
      <c r="A620" t="s">
        <v>29</v>
      </c>
      <c r="B620">
        <v>21</v>
      </c>
      <c r="C620" t="s">
        <v>8</v>
      </c>
      <c r="D620">
        <v>800</v>
      </c>
      <c r="E620" t="s">
        <v>10</v>
      </c>
      <c r="F620">
        <v>6.3043478260869561</v>
      </c>
      <c r="G620">
        <v>37</v>
      </c>
    </row>
    <row r="621" spans="1:7" x14ac:dyDescent="0.3">
      <c r="A621" t="s">
        <v>29</v>
      </c>
      <c r="B621">
        <v>21</v>
      </c>
      <c r="C621" t="s">
        <v>11</v>
      </c>
      <c r="D621">
        <v>50</v>
      </c>
      <c r="E621" t="s">
        <v>10</v>
      </c>
      <c r="F621">
        <v>1.25</v>
      </c>
      <c r="G621">
        <v>37</v>
      </c>
    </row>
    <row r="622" spans="1:7" x14ac:dyDescent="0.3">
      <c r="A622" t="s">
        <v>29</v>
      </c>
      <c r="B622">
        <v>21</v>
      </c>
      <c r="C622" t="s">
        <v>11</v>
      </c>
      <c r="D622">
        <v>100</v>
      </c>
      <c r="E622" t="s">
        <v>10</v>
      </c>
      <c r="F622">
        <v>1.25</v>
      </c>
      <c r="G622">
        <v>37</v>
      </c>
    </row>
    <row r="623" spans="1:7" x14ac:dyDescent="0.3">
      <c r="A623" t="s">
        <v>29</v>
      </c>
      <c r="B623">
        <v>21</v>
      </c>
      <c r="C623" t="s">
        <v>11</v>
      </c>
      <c r="D623">
        <v>200</v>
      </c>
      <c r="E623" t="s">
        <v>10</v>
      </c>
      <c r="F623">
        <v>1</v>
      </c>
      <c r="G623">
        <v>37</v>
      </c>
    </row>
    <row r="624" spans="1:7" x14ac:dyDescent="0.3">
      <c r="A624" t="s">
        <v>29</v>
      </c>
      <c r="B624">
        <v>21</v>
      </c>
      <c r="C624" t="s">
        <v>11</v>
      </c>
      <c r="D624">
        <v>400</v>
      </c>
      <c r="E624" t="s">
        <v>10</v>
      </c>
      <c r="F624">
        <v>1.25</v>
      </c>
      <c r="G624">
        <v>37</v>
      </c>
    </row>
    <row r="625" spans="1:7" x14ac:dyDescent="0.3">
      <c r="A625" t="s">
        <v>29</v>
      </c>
      <c r="B625">
        <v>21</v>
      </c>
      <c r="C625" t="s">
        <v>11</v>
      </c>
      <c r="D625">
        <v>800</v>
      </c>
      <c r="E625" t="s">
        <v>10</v>
      </c>
      <c r="F625">
        <v>1.5</v>
      </c>
      <c r="G625">
        <v>37</v>
      </c>
    </row>
    <row r="626" spans="1:7" x14ac:dyDescent="0.3">
      <c r="A626" t="s">
        <v>29</v>
      </c>
      <c r="B626">
        <v>21</v>
      </c>
      <c r="C626" t="s">
        <v>11</v>
      </c>
      <c r="D626">
        <v>50</v>
      </c>
      <c r="E626" t="s">
        <v>10</v>
      </c>
      <c r="F626">
        <v>1.8636363636363635</v>
      </c>
      <c r="G626">
        <v>37</v>
      </c>
    </row>
    <row r="627" spans="1:7" x14ac:dyDescent="0.3">
      <c r="A627" t="s">
        <v>29</v>
      </c>
      <c r="B627">
        <v>21</v>
      </c>
      <c r="C627" t="s">
        <v>11</v>
      </c>
      <c r="D627">
        <v>100</v>
      </c>
      <c r="E627" t="s">
        <v>10</v>
      </c>
      <c r="F627">
        <v>2</v>
      </c>
      <c r="G627">
        <v>37</v>
      </c>
    </row>
    <row r="628" spans="1:7" x14ac:dyDescent="0.3">
      <c r="A628" t="s">
        <v>29</v>
      </c>
      <c r="B628">
        <v>21</v>
      </c>
      <c r="C628" t="s">
        <v>11</v>
      </c>
      <c r="D628">
        <v>200</v>
      </c>
      <c r="E628" t="s">
        <v>10</v>
      </c>
      <c r="F628">
        <v>2.3636363636363638</v>
      </c>
      <c r="G628">
        <v>37</v>
      </c>
    </row>
    <row r="629" spans="1:7" x14ac:dyDescent="0.3">
      <c r="A629" t="s">
        <v>29</v>
      </c>
      <c r="B629">
        <v>21</v>
      </c>
      <c r="C629" t="s">
        <v>11</v>
      </c>
      <c r="D629">
        <v>400</v>
      </c>
      <c r="E629" t="s">
        <v>10</v>
      </c>
      <c r="F629">
        <v>3.1818181818181817</v>
      </c>
      <c r="G629">
        <v>37</v>
      </c>
    </row>
    <row r="630" spans="1:7" x14ac:dyDescent="0.3">
      <c r="A630" t="s">
        <v>29</v>
      </c>
      <c r="B630">
        <v>21</v>
      </c>
      <c r="C630" t="s">
        <v>11</v>
      </c>
      <c r="D630">
        <v>800</v>
      </c>
      <c r="E630" t="s">
        <v>10</v>
      </c>
      <c r="F630">
        <v>4</v>
      </c>
      <c r="G630">
        <v>37</v>
      </c>
    </row>
    <row r="631" spans="1:7" x14ac:dyDescent="0.3">
      <c r="A631" t="s">
        <v>29</v>
      </c>
      <c r="B631">
        <v>21</v>
      </c>
      <c r="C631" t="s">
        <v>11</v>
      </c>
      <c r="D631">
        <v>50</v>
      </c>
      <c r="E631" t="s">
        <v>10</v>
      </c>
      <c r="F631">
        <v>1.75</v>
      </c>
      <c r="G631">
        <v>37</v>
      </c>
    </row>
    <row r="632" spans="1:7" x14ac:dyDescent="0.3">
      <c r="A632" t="s">
        <v>29</v>
      </c>
      <c r="B632">
        <v>21</v>
      </c>
      <c r="C632" t="s">
        <v>11</v>
      </c>
      <c r="D632">
        <v>100</v>
      </c>
      <c r="E632" t="s">
        <v>10</v>
      </c>
      <c r="F632">
        <v>1.9</v>
      </c>
      <c r="G632">
        <v>37</v>
      </c>
    </row>
    <row r="633" spans="1:7" x14ac:dyDescent="0.3">
      <c r="A633" t="s">
        <v>29</v>
      </c>
      <c r="B633">
        <v>21</v>
      </c>
      <c r="C633" t="s">
        <v>11</v>
      </c>
      <c r="D633">
        <v>200</v>
      </c>
      <c r="E633" t="s">
        <v>10</v>
      </c>
      <c r="F633">
        <v>2</v>
      </c>
      <c r="G633">
        <v>37</v>
      </c>
    </row>
    <row r="634" spans="1:7" x14ac:dyDescent="0.3">
      <c r="A634" t="s">
        <v>29</v>
      </c>
      <c r="B634">
        <v>21</v>
      </c>
      <c r="C634" t="s">
        <v>11</v>
      </c>
      <c r="D634">
        <v>400</v>
      </c>
      <c r="E634" t="s">
        <v>10</v>
      </c>
      <c r="F634">
        <v>2.2000000000000002</v>
      </c>
      <c r="G634">
        <v>37</v>
      </c>
    </row>
    <row r="635" spans="1:7" x14ac:dyDescent="0.3">
      <c r="A635" t="s">
        <v>29</v>
      </c>
      <c r="B635">
        <v>21</v>
      </c>
      <c r="C635" t="s">
        <v>11</v>
      </c>
      <c r="D635">
        <v>800</v>
      </c>
      <c r="E635" t="s">
        <v>10</v>
      </c>
      <c r="F635">
        <v>2.0499999999999998</v>
      </c>
      <c r="G635">
        <v>37</v>
      </c>
    </row>
    <row r="636" spans="1:7" x14ac:dyDescent="0.3">
      <c r="A636" t="s">
        <v>29</v>
      </c>
      <c r="B636">
        <v>21</v>
      </c>
      <c r="C636" t="s">
        <v>11</v>
      </c>
      <c r="D636">
        <v>50</v>
      </c>
      <c r="E636" t="s">
        <v>10</v>
      </c>
      <c r="F636">
        <v>2</v>
      </c>
      <c r="G636">
        <v>37</v>
      </c>
    </row>
    <row r="637" spans="1:7" x14ac:dyDescent="0.3">
      <c r="A637" t="s">
        <v>29</v>
      </c>
      <c r="B637">
        <v>21</v>
      </c>
      <c r="C637" t="s">
        <v>11</v>
      </c>
      <c r="D637">
        <v>100</v>
      </c>
      <c r="E637" t="s">
        <v>10</v>
      </c>
      <c r="F637">
        <v>3.84</v>
      </c>
      <c r="G637">
        <v>37</v>
      </c>
    </row>
    <row r="638" spans="1:7" x14ac:dyDescent="0.3">
      <c r="A638" t="s">
        <v>29</v>
      </c>
      <c r="B638">
        <v>21</v>
      </c>
      <c r="C638" t="s">
        <v>11</v>
      </c>
      <c r="D638">
        <v>200</v>
      </c>
      <c r="E638" t="s">
        <v>10</v>
      </c>
      <c r="F638">
        <v>7.2</v>
      </c>
      <c r="G638">
        <v>37</v>
      </c>
    </row>
    <row r="639" spans="1:7" x14ac:dyDescent="0.3">
      <c r="A639" t="s">
        <v>29</v>
      </c>
      <c r="B639">
        <v>21</v>
      </c>
      <c r="C639" t="s">
        <v>11</v>
      </c>
      <c r="D639">
        <v>400</v>
      </c>
      <c r="E639" t="s">
        <v>10</v>
      </c>
      <c r="F639">
        <v>11.2</v>
      </c>
      <c r="G639">
        <v>37</v>
      </c>
    </row>
    <row r="640" spans="1:7" x14ac:dyDescent="0.3">
      <c r="A640" t="s">
        <v>29</v>
      </c>
      <c r="B640">
        <v>21</v>
      </c>
      <c r="C640" t="s">
        <v>11</v>
      </c>
      <c r="D640">
        <v>800</v>
      </c>
      <c r="E640" t="s">
        <v>10</v>
      </c>
      <c r="F640">
        <v>7.2</v>
      </c>
      <c r="G640">
        <v>37</v>
      </c>
    </row>
    <row r="641" spans="1:7" x14ac:dyDescent="0.3">
      <c r="A641" t="s">
        <v>39</v>
      </c>
      <c r="B641">
        <v>20</v>
      </c>
      <c r="C641" t="s">
        <v>11</v>
      </c>
      <c r="D641">
        <v>5</v>
      </c>
      <c r="E641" t="s">
        <v>12</v>
      </c>
      <c r="F641">
        <v>1.024390243902439</v>
      </c>
      <c r="G641">
        <v>39</v>
      </c>
    </row>
    <row r="642" spans="1:7" x14ac:dyDescent="0.3">
      <c r="A642" t="s">
        <v>39</v>
      </c>
      <c r="B642">
        <v>20</v>
      </c>
      <c r="C642" t="s">
        <v>11</v>
      </c>
      <c r="D642">
        <v>10</v>
      </c>
      <c r="E642" t="s">
        <v>12</v>
      </c>
      <c r="F642">
        <v>1.0139372822299653</v>
      </c>
      <c r="G642">
        <v>39</v>
      </c>
    </row>
    <row r="643" spans="1:7" x14ac:dyDescent="0.3">
      <c r="A643" t="s">
        <v>39</v>
      </c>
      <c r="B643">
        <v>20</v>
      </c>
      <c r="C643" t="s">
        <v>11</v>
      </c>
      <c r="D643">
        <v>20</v>
      </c>
      <c r="E643" t="s">
        <v>12</v>
      </c>
      <c r="F643">
        <v>0.96864111498257843</v>
      </c>
      <c r="G643">
        <v>39</v>
      </c>
    </row>
    <row r="644" spans="1:7" x14ac:dyDescent="0.3">
      <c r="A644" t="s">
        <v>39</v>
      </c>
      <c r="B644">
        <v>20</v>
      </c>
      <c r="C644" t="s">
        <v>11</v>
      </c>
      <c r="D644">
        <v>50</v>
      </c>
      <c r="E644" t="s">
        <v>12</v>
      </c>
      <c r="F644">
        <v>0.88153310104529614</v>
      </c>
      <c r="G644">
        <v>39</v>
      </c>
    </row>
    <row r="645" spans="1:7" x14ac:dyDescent="0.3">
      <c r="A645" t="s">
        <v>39</v>
      </c>
      <c r="B645">
        <v>20</v>
      </c>
      <c r="C645" t="s">
        <v>11</v>
      </c>
      <c r="D645">
        <v>100</v>
      </c>
      <c r="E645" t="s">
        <v>12</v>
      </c>
      <c r="F645">
        <v>1.0427807486631016</v>
      </c>
      <c r="G645">
        <v>39</v>
      </c>
    </row>
    <row r="646" spans="1:7" x14ac:dyDescent="0.3">
      <c r="A646" t="s">
        <v>39</v>
      </c>
      <c r="B646">
        <v>20</v>
      </c>
      <c r="C646" t="s">
        <v>11</v>
      </c>
      <c r="D646">
        <v>200</v>
      </c>
      <c r="E646" t="s">
        <v>12</v>
      </c>
      <c r="F646">
        <v>0.42857142857142855</v>
      </c>
      <c r="G646">
        <v>39</v>
      </c>
    </row>
    <row r="647" spans="1:7" x14ac:dyDescent="0.3">
      <c r="A647" t="s">
        <v>39</v>
      </c>
      <c r="B647">
        <v>20</v>
      </c>
      <c r="C647" t="s">
        <v>11</v>
      </c>
      <c r="D647">
        <v>500</v>
      </c>
      <c r="E647" t="s">
        <v>12</v>
      </c>
      <c r="F647">
        <v>0.34146341463414637</v>
      </c>
      <c r="G647">
        <v>39</v>
      </c>
    </row>
    <row r="648" spans="1:7" x14ac:dyDescent="0.3">
      <c r="A648" t="s">
        <v>39</v>
      </c>
      <c r="B648">
        <v>20</v>
      </c>
      <c r="C648" t="s">
        <v>11</v>
      </c>
      <c r="D648">
        <v>750</v>
      </c>
      <c r="E648" t="s">
        <v>12</v>
      </c>
      <c r="F648">
        <v>0.22996515679442509</v>
      </c>
      <c r="G648">
        <v>39</v>
      </c>
    </row>
    <row r="649" spans="1:7" x14ac:dyDescent="0.3">
      <c r="A649" t="s">
        <v>39</v>
      </c>
      <c r="B649">
        <v>20</v>
      </c>
      <c r="C649" t="s">
        <v>11</v>
      </c>
      <c r="D649">
        <v>1000</v>
      </c>
      <c r="E649" t="s">
        <v>12</v>
      </c>
      <c r="F649">
        <v>0.23344947735191637</v>
      </c>
      <c r="G649">
        <v>39</v>
      </c>
    </row>
    <row r="650" spans="1:7" x14ac:dyDescent="0.3">
      <c r="A650" t="s">
        <v>39</v>
      </c>
      <c r="B650">
        <v>20</v>
      </c>
      <c r="C650" t="s">
        <v>8</v>
      </c>
      <c r="D650">
        <v>5</v>
      </c>
      <c r="E650" t="s">
        <v>9</v>
      </c>
      <c r="F650">
        <v>0.92632850241545894</v>
      </c>
      <c r="G650">
        <v>39</v>
      </c>
    </row>
    <row r="651" spans="1:7" x14ac:dyDescent="0.3">
      <c r="A651" t="s">
        <v>39</v>
      </c>
      <c r="B651">
        <v>20</v>
      </c>
      <c r="C651" t="s">
        <v>8</v>
      </c>
      <c r="D651">
        <v>10</v>
      </c>
      <c r="E651" t="s">
        <v>9</v>
      </c>
      <c r="F651">
        <v>1.0072463768115942</v>
      </c>
      <c r="G651">
        <v>39</v>
      </c>
    </row>
    <row r="652" spans="1:7" x14ac:dyDescent="0.3">
      <c r="A652" t="s">
        <v>39</v>
      </c>
      <c r="B652">
        <v>20</v>
      </c>
      <c r="C652" t="s">
        <v>8</v>
      </c>
      <c r="D652">
        <v>20</v>
      </c>
      <c r="E652" t="s">
        <v>9</v>
      </c>
      <c r="F652">
        <v>0.95833333333333337</v>
      </c>
      <c r="G652">
        <v>39</v>
      </c>
    </row>
    <row r="653" spans="1:7" x14ac:dyDescent="0.3">
      <c r="A653" t="s">
        <v>39</v>
      </c>
      <c r="B653">
        <v>20</v>
      </c>
      <c r="C653" t="s">
        <v>8</v>
      </c>
      <c r="D653">
        <v>50</v>
      </c>
      <c r="E653" t="s">
        <v>9</v>
      </c>
      <c r="F653">
        <v>0.99879227053140096</v>
      </c>
      <c r="G653">
        <v>39</v>
      </c>
    </row>
    <row r="654" spans="1:7" x14ac:dyDescent="0.3">
      <c r="A654" t="s">
        <v>39</v>
      </c>
      <c r="B654">
        <v>20</v>
      </c>
      <c r="C654" t="s">
        <v>8</v>
      </c>
      <c r="D654">
        <v>100</v>
      </c>
      <c r="E654" t="s">
        <v>9</v>
      </c>
      <c r="F654">
        <v>0.93176328502415462</v>
      </c>
      <c r="G654">
        <v>39</v>
      </c>
    </row>
    <row r="655" spans="1:7" x14ac:dyDescent="0.3">
      <c r="A655" t="s">
        <v>39</v>
      </c>
      <c r="B655">
        <v>20</v>
      </c>
      <c r="C655" t="s">
        <v>8</v>
      </c>
      <c r="D655">
        <v>200</v>
      </c>
      <c r="E655" t="s">
        <v>9</v>
      </c>
      <c r="F655">
        <v>0.83091787439613529</v>
      </c>
      <c r="G655">
        <v>39</v>
      </c>
    </row>
    <row r="656" spans="1:7" x14ac:dyDescent="0.3">
      <c r="A656" t="s">
        <v>39</v>
      </c>
      <c r="B656">
        <v>20</v>
      </c>
      <c r="C656" t="s">
        <v>8</v>
      </c>
      <c r="D656">
        <v>500</v>
      </c>
      <c r="E656" t="s">
        <v>9</v>
      </c>
      <c r="F656">
        <v>0.71014492753623193</v>
      </c>
      <c r="G656">
        <v>39</v>
      </c>
    </row>
    <row r="657" spans="1:7" x14ac:dyDescent="0.3">
      <c r="A657" t="s">
        <v>39</v>
      </c>
      <c r="B657">
        <v>20</v>
      </c>
      <c r="C657" t="s">
        <v>8</v>
      </c>
      <c r="D657">
        <v>750</v>
      </c>
      <c r="E657" t="s">
        <v>9</v>
      </c>
      <c r="F657">
        <v>0.77717391304347827</v>
      </c>
      <c r="G657">
        <v>39</v>
      </c>
    </row>
    <row r="658" spans="1:7" x14ac:dyDescent="0.3">
      <c r="A658" t="s">
        <v>39</v>
      </c>
      <c r="B658">
        <v>20</v>
      </c>
      <c r="C658" t="s">
        <v>8</v>
      </c>
      <c r="D658">
        <v>1000</v>
      </c>
      <c r="E658" t="s">
        <v>9</v>
      </c>
      <c r="F658">
        <v>0.6781400966183575</v>
      </c>
      <c r="G658">
        <v>39</v>
      </c>
    </row>
    <row r="659" spans="1:7" x14ac:dyDescent="0.3">
      <c r="A659" t="s">
        <v>39</v>
      </c>
      <c r="B659">
        <v>20</v>
      </c>
      <c r="C659" t="s">
        <v>8</v>
      </c>
      <c r="D659">
        <v>5</v>
      </c>
      <c r="E659" t="s">
        <v>10</v>
      </c>
      <c r="F659">
        <v>1.0495253817581511</v>
      </c>
      <c r="G659">
        <v>39</v>
      </c>
    </row>
    <row r="660" spans="1:7" x14ac:dyDescent="0.3">
      <c r="A660" t="s">
        <v>39</v>
      </c>
      <c r="B660">
        <v>20</v>
      </c>
      <c r="C660" t="s">
        <v>8</v>
      </c>
      <c r="D660">
        <v>10</v>
      </c>
      <c r="E660" t="s">
        <v>10</v>
      </c>
      <c r="F660">
        <v>1.0309533635988444</v>
      </c>
      <c r="G660">
        <v>39</v>
      </c>
    </row>
    <row r="661" spans="1:7" x14ac:dyDescent="0.3">
      <c r="A661" t="s">
        <v>39</v>
      </c>
      <c r="B661">
        <v>20</v>
      </c>
      <c r="C661" t="s">
        <v>8</v>
      </c>
      <c r="D661">
        <v>20</v>
      </c>
      <c r="E661" t="s">
        <v>10</v>
      </c>
      <c r="F661">
        <v>1.0412711514651258</v>
      </c>
      <c r="G661">
        <v>39</v>
      </c>
    </row>
    <row r="662" spans="1:7" x14ac:dyDescent="0.3">
      <c r="A662" t="s">
        <v>39</v>
      </c>
      <c r="B662">
        <v>20</v>
      </c>
      <c r="C662" t="s">
        <v>8</v>
      </c>
      <c r="D662">
        <v>50</v>
      </c>
      <c r="E662" t="s">
        <v>10</v>
      </c>
      <c r="F662">
        <v>1.0181593066446555</v>
      </c>
      <c r="G662">
        <v>39</v>
      </c>
    </row>
    <row r="663" spans="1:7" x14ac:dyDescent="0.3">
      <c r="A663" t="s">
        <v>39</v>
      </c>
      <c r="B663">
        <v>20</v>
      </c>
      <c r="C663" t="s">
        <v>8</v>
      </c>
      <c r="D663">
        <v>100</v>
      </c>
      <c r="E663" t="s">
        <v>10</v>
      </c>
      <c r="F663">
        <v>0.98142798184069335</v>
      </c>
      <c r="G663">
        <v>39</v>
      </c>
    </row>
    <row r="664" spans="1:7" x14ac:dyDescent="0.3">
      <c r="A664" t="s">
        <v>39</v>
      </c>
      <c r="B664">
        <v>20</v>
      </c>
      <c r="C664" t="s">
        <v>8</v>
      </c>
      <c r="D664">
        <v>200</v>
      </c>
      <c r="E664" t="s">
        <v>10</v>
      </c>
      <c r="F664">
        <v>0.89806025588113914</v>
      </c>
      <c r="G664">
        <v>39</v>
      </c>
    </row>
    <row r="665" spans="1:7" x14ac:dyDescent="0.3">
      <c r="A665" t="s">
        <v>39</v>
      </c>
      <c r="B665">
        <v>20</v>
      </c>
      <c r="C665" t="s">
        <v>8</v>
      </c>
      <c r="D665">
        <v>500</v>
      </c>
      <c r="E665" t="s">
        <v>10</v>
      </c>
      <c r="F665">
        <v>0.77053239785390015</v>
      </c>
      <c r="G665">
        <v>39</v>
      </c>
    </row>
    <row r="666" spans="1:7" x14ac:dyDescent="0.3">
      <c r="A666" t="s">
        <v>39</v>
      </c>
      <c r="B666">
        <v>20</v>
      </c>
      <c r="C666" t="s">
        <v>8</v>
      </c>
      <c r="D666">
        <v>750</v>
      </c>
      <c r="E666" t="s">
        <v>10</v>
      </c>
      <c r="F666">
        <v>0.83491539413949645</v>
      </c>
      <c r="G666">
        <v>39</v>
      </c>
    </row>
    <row r="667" spans="1:7" x14ac:dyDescent="0.3">
      <c r="A667" t="s">
        <v>39</v>
      </c>
      <c r="B667">
        <v>20</v>
      </c>
      <c r="C667" t="s">
        <v>8</v>
      </c>
      <c r="D667">
        <v>1000</v>
      </c>
      <c r="E667" t="s">
        <v>10</v>
      </c>
      <c r="F667">
        <v>0.79777135782088315</v>
      </c>
      <c r="G667">
        <v>39</v>
      </c>
    </row>
    <row r="668" spans="1:7" x14ac:dyDescent="0.3">
      <c r="A668" t="s">
        <v>27</v>
      </c>
      <c r="B668">
        <v>8</v>
      </c>
      <c r="C668" t="s">
        <v>8</v>
      </c>
      <c r="D668">
        <v>2</v>
      </c>
      <c r="E668" t="s">
        <v>12</v>
      </c>
      <c r="F668">
        <v>1.0350672121566336</v>
      </c>
      <c r="G668">
        <v>40</v>
      </c>
    </row>
    <row r="669" spans="1:7" x14ac:dyDescent="0.3">
      <c r="A669" t="s">
        <v>27</v>
      </c>
      <c r="B669">
        <v>8</v>
      </c>
      <c r="C669" t="s">
        <v>8</v>
      </c>
      <c r="D669">
        <v>20</v>
      </c>
      <c r="E669" t="s">
        <v>12</v>
      </c>
      <c r="F669">
        <v>9.1403190929811237E-2</v>
      </c>
      <c r="G669">
        <v>40</v>
      </c>
    </row>
    <row r="670" spans="1:7" x14ac:dyDescent="0.3">
      <c r="A670" t="s">
        <v>27</v>
      </c>
      <c r="B670">
        <v>8</v>
      </c>
      <c r="C670" t="s">
        <v>8</v>
      </c>
      <c r="D670">
        <v>200</v>
      </c>
      <c r="E670" t="s">
        <v>12</v>
      </c>
      <c r="F670">
        <v>0.89655172413793105</v>
      </c>
      <c r="G670">
        <v>40</v>
      </c>
    </row>
    <row r="671" spans="1:7" x14ac:dyDescent="0.3">
      <c r="A671" t="s">
        <v>27</v>
      </c>
      <c r="B671">
        <v>8</v>
      </c>
      <c r="C671" t="s">
        <v>8</v>
      </c>
      <c r="D671">
        <v>800</v>
      </c>
      <c r="E671" t="s">
        <v>12</v>
      </c>
      <c r="F671">
        <v>0.53711279953243718</v>
      </c>
      <c r="G671">
        <v>40</v>
      </c>
    </row>
    <row r="672" spans="1:7" x14ac:dyDescent="0.3">
      <c r="A672" t="s">
        <v>27</v>
      </c>
      <c r="B672">
        <v>8</v>
      </c>
      <c r="C672" t="s">
        <v>8</v>
      </c>
      <c r="D672">
        <v>2</v>
      </c>
      <c r="E672" t="s">
        <v>12</v>
      </c>
      <c r="F672">
        <v>1.1355070929493967</v>
      </c>
      <c r="G672">
        <v>40</v>
      </c>
    </row>
    <row r="673" spans="1:7" x14ac:dyDescent="0.3">
      <c r="A673" t="s">
        <v>27</v>
      </c>
      <c r="B673">
        <v>8</v>
      </c>
      <c r="C673" t="s">
        <v>8</v>
      </c>
      <c r="D673">
        <v>20</v>
      </c>
      <c r="E673" t="s">
        <v>12</v>
      </c>
      <c r="F673">
        <v>1.0526148634342578</v>
      </c>
      <c r="G673">
        <v>40</v>
      </c>
    </row>
    <row r="674" spans="1:7" x14ac:dyDescent="0.3">
      <c r="A674" t="s">
        <v>27</v>
      </c>
      <c r="B674">
        <v>8</v>
      </c>
      <c r="C674" t="s">
        <v>8</v>
      </c>
      <c r="D674">
        <v>200</v>
      </c>
      <c r="E674" t="s">
        <v>12</v>
      </c>
      <c r="F674">
        <v>0.88196061825111161</v>
      </c>
      <c r="G674">
        <v>40</v>
      </c>
    </row>
    <row r="675" spans="1:7" x14ac:dyDescent="0.3">
      <c r="A675" t="s">
        <v>27</v>
      </c>
      <c r="B675">
        <v>8</v>
      </c>
      <c r="C675" t="s">
        <v>8</v>
      </c>
      <c r="D675">
        <v>800</v>
      </c>
      <c r="E675" t="s">
        <v>12</v>
      </c>
      <c r="F675">
        <v>0.4665466864281177</v>
      </c>
      <c r="G675">
        <v>40</v>
      </c>
    </row>
    <row r="676" spans="1:7" x14ac:dyDescent="0.3">
      <c r="A676" t="s">
        <v>27</v>
      </c>
      <c r="B676">
        <v>8</v>
      </c>
      <c r="C676" t="s">
        <v>11</v>
      </c>
      <c r="D676">
        <v>2</v>
      </c>
      <c r="E676" t="s">
        <v>12</v>
      </c>
      <c r="F676">
        <v>1.2095053346265761</v>
      </c>
      <c r="G676">
        <v>40</v>
      </c>
    </row>
    <row r="677" spans="1:7" x14ac:dyDescent="0.3">
      <c r="A677" t="s">
        <v>27</v>
      </c>
      <c r="B677">
        <v>8</v>
      </c>
      <c r="C677" t="s">
        <v>11</v>
      </c>
      <c r="D677">
        <v>20</v>
      </c>
      <c r="E677" t="s">
        <v>12</v>
      </c>
      <c r="F677">
        <v>1.0058195926285161</v>
      </c>
      <c r="G677">
        <v>40</v>
      </c>
    </row>
    <row r="678" spans="1:7" x14ac:dyDescent="0.3">
      <c r="A678" t="s">
        <v>27</v>
      </c>
      <c r="B678">
        <v>8</v>
      </c>
      <c r="C678" t="s">
        <v>11</v>
      </c>
      <c r="D678">
        <v>200</v>
      </c>
      <c r="E678" t="s">
        <v>12</v>
      </c>
      <c r="F678">
        <v>0.83026188166828319</v>
      </c>
      <c r="G678">
        <v>40</v>
      </c>
    </row>
    <row r="679" spans="1:7" x14ac:dyDescent="0.3">
      <c r="A679" t="s">
        <v>27</v>
      </c>
      <c r="B679">
        <v>8</v>
      </c>
      <c r="C679" t="s">
        <v>11</v>
      </c>
      <c r="D679">
        <v>800</v>
      </c>
      <c r="E679" t="s">
        <v>12</v>
      </c>
      <c r="F679">
        <v>0.66634335596508243</v>
      </c>
      <c r="G679">
        <v>40</v>
      </c>
    </row>
    <row r="680" spans="1:7" x14ac:dyDescent="0.3">
      <c r="A680" t="s">
        <v>27</v>
      </c>
      <c r="B680">
        <v>8</v>
      </c>
      <c r="C680" t="s">
        <v>11</v>
      </c>
      <c r="D680">
        <v>2</v>
      </c>
      <c r="E680" t="s">
        <v>12</v>
      </c>
      <c r="F680">
        <v>1.1038062283737025</v>
      </c>
      <c r="G680">
        <v>40</v>
      </c>
    </row>
    <row r="681" spans="1:7" x14ac:dyDescent="0.3">
      <c r="A681" t="s">
        <v>27</v>
      </c>
      <c r="B681">
        <v>8</v>
      </c>
      <c r="C681" t="s">
        <v>11</v>
      </c>
      <c r="D681">
        <v>20</v>
      </c>
      <c r="E681" t="s">
        <v>12</v>
      </c>
      <c r="F681">
        <v>1.0775086505190312</v>
      </c>
      <c r="G681">
        <v>40</v>
      </c>
    </row>
    <row r="682" spans="1:7" x14ac:dyDescent="0.3">
      <c r="A682" t="s">
        <v>27</v>
      </c>
      <c r="B682">
        <v>8</v>
      </c>
      <c r="C682" t="s">
        <v>11</v>
      </c>
      <c r="D682">
        <v>200</v>
      </c>
      <c r="E682" t="s">
        <v>12</v>
      </c>
      <c r="F682">
        <v>0.50484429065743941</v>
      </c>
      <c r="G682">
        <v>40</v>
      </c>
    </row>
    <row r="683" spans="1:7" x14ac:dyDescent="0.3">
      <c r="A683" t="s">
        <v>27</v>
      </c>
      <c r="B683">
        <v>8</v>
      </c>
      <c r="C683" t="s">
        <v>11</v>
      </c>
      <c r="D683">
        <v>800</v>
      </c>
      <c r="E683" t="s">
        <v>12</v>
      </c>
      <c r="F683">
        <v>0.39930795847750866</v>
      </c>
      <c r="G683">
        <v>40</v>
      </c>
    </row>
    <row r="684" spans="1:7" x14ac:dyDescent="0.3">
      <c r="A684" t="s">
        <v>27</v>
      </c>
      <c r="B684">
        <v>8</v>
      </c>
      <c r="C684" t="s">
        <v>8</v>
      </c>
      <c r="D684">
        <v>2</v>
      </c>
      <c r="E684" t="s">
        <v>10</v>
      </c>
      <c r="F684">
        <v>1.0132450331125828</v>
      </c>
      <c r="G684">
        <v>40</v>
      </c>
    </row>
    <row r="685" spans="1:7" x14ac:dyDescent="0.3">
      <c r="A685" t="s">
        <v>27</v>
      </c>
      <c r="B685">
        <v>8</v>
      </c>
      <c r="C685" t="s">
        <v>8</v>
      </c>
      <c r="D685">
        <v>20</v>
      </c>
      <c r="E685" t="s">
        <v>10</v>
      </c>
      <c r="F685">
        <v>0.92715231788079466</v>
      </c>
      <c r="G685">
        <v>40</v>
      </c>
    </row>
    <row r="686" spans="1:7" x14ac:dyDescent="0.3">
      <c r="A686" t="s">
        <v>27</v>
      </c>
      <c r="B686">
        <v>8</v>
      </c>
      <c r="C686" t="s">
        <v>8</v>
      </c>
      <c r="D686">
        <v>200</v>
      </c>
      <c r="E686" t="s">
        <v>10</v>
      </c>
      <c r="F686">
        <v>0.99337748344370858</v>
      </c>
      <c r="G686">
        <v>40</v>
      </c>
    </row>
    <row r="687" spans="1:7" x14ac:dyDescent="0.3">
      <c r="A687" t="s">
        <v>27</v>
      </c>
      <c r="B687">
        <v>8</v>
      </c>
      <c r="C687" t="s">
        <v>8</v>
      </c>
      <c r="D687">
        <v>800</v>
      </c>
      <c r="E687" t="s">
        <v>10</v>
      </c>
      <c r="F687">
        <v>1.4166666666666667</v>
      </c>
      <c r="G687">
        <v>40</v>
      </c>
    </row>
    <row r="688" spans="1:7" x14ac:dyDescent="0.3">
      <c r="A688" t="s">
        <v>27</v>
      </c>
      <c r="B688">
        <v>8</v>
      </c>
      <c r="C688" t="s">
        <v>11</v>
      </c>
      <c r="D688">
        <v>2</v>
      </c>
      <c r="E688" t="s">
        <v>10</v>
      </c>
      <c r="F688">
        <v>0.90666666666666673</v>
      </c>
      <c r="G688">
        <v>40</v>
      </c>
    </row>
    <row r="689" spans="1:7" x14ac:dyDescent="0.3">
      <c r="A689" t="s">
        <v>27</v>
      </c>
      <c r="B689">
        <v>8</v>
      </c>
      <c r="C689" t="s">
        <v>11</v>
      </c>
      <c r="D689">
        <v>20</v>
      </c>
      <c r="E689" t="s">
        <v>10</v>
      </c>
      <c r="F689">
        <v>1.04</v>
      </c>
      <c r="G689">
        <v>40</v>
      </c>
    </row>
    <row r="690" spans="1:7" x14ac:dyDescent="0.3">
      <c r="A690" t="s">
        <v>27</v>
      </c>
      <c r="B690">
        <v>8</v>
      </c>
      <c r="C690" t="s">
        <v>11</v>
      </c>
      <c r="D690">
        <v>200</v>
      </c>
      <c r="E690" t="s">
        <v>10</v>
      </c>
      <c r="F690">
        <v>1.6666666666666667</v>
      </c>
      <c r="G690">
        <v>40</v>
      </c>
    </row>
    <row r="691" spans="1:7" x14ac:dyDescent="0.3">
      <c r="A691" t="s">
        <v>27</v>
      </c>
      <c r="B691">
        <v>8</v>
      </c>
      <c r="C691" t="s">
        <v>11</v>
      </c>
      <c r="D691">
        <v>800</v>
      </c>
      <c r="E691" t="s">
        <v>10</v>
      </c>
      <c r="F691">
        <v>2.3333333333333335</v>
      </c>
      <c r="G691">
        <v>40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7"/>
  <sheetViews>
    <sheetView workbookViewId="0">
      <pane ySplit="1" topLeftCell="A173" activePane="bottomLeft" state="frozen"/>
      <selection pane="bottomLeft" activeCell="H1" sqref="H1:H1048576"/>
    </sheetView>
  </sheetViews>
  <sheetFormatPr defaultRowHeight="13.5" x14ac:dyDescent="0.3"/>
  <cols>
    <col min="1" max="1" width="20.19921875" customWidth="1"/>
  </cols>
  <sheetData>
    <row r="1" spans="1:7" s="5" customFormat="1" ht="13.9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48</v>
      </c>
      <c r="B2">
        <v>7</v>
      </c>
      <c r="C2" t="s">
        <v>8</v>
      </c>
      <c r="D2">
        <v>1000</v>
      </c>
      <c r="E2" t="s">
        <v>12</v>
      </c>
      <c r="F2">
        <v>1.0627802690582899</v>
      </c>
      <c r="G2">
        <v>42</v>
      </c>
    </row>
    <row r="3" spans="1:7" x14ac:dyDescent="0.3">
      <c r="A3" t="s">
        <v>48</v>
      </c>
      <c r="B3">
        <v>7</v>
      </c>
      <c r="C3" t="s">
        <v>8</v>
      </c>
      <c r="D3">
        <v>5000</v>
      </c>
      <c r="E3" t="s">
        <v>12</v>
      </c>
      <c r="F3">
        <v>0.96860986547085204</v>
      </c>
      <c r="G3">
        <v>42</v>
      </c>
    </row>
    <row r="4" spans="1:7" x14ac:dyDescent="0.3">
      <c r="A4" t="s">
        <v>48</v>
      </c>
      <c r="B4">
        <v>7</v>
      </c>
      <c r="C4" t="s">
        <v>8</v>
      </c>
      <c r="D4">
        <v>10000</v>
      </c>
      <c r="E4" t="s">
        <v>12</v>
      </c>
      <c r="F4">
        <v>0.91928251121076199</v>
      </c>
      <c r="G4">
        <v>42</v>
      </c>
    </row>
    <row r="5" spans="1:7" x14ac:dyDescent="0.3">
      <c r="A5" t="s">
        <v>49</v>
      </c>
      <c r="B5">
        <v>7</v>
      </c>
      <c r="C5" t="s">
        <v>8</v>
      </c>
      <c r="D5">
        <v>1000</v>
      </c>
      <c r="E5" t="s">
        <v>12</v>
      </c>
      <c r="F5">
        <v>1.01793721973094</v>
      </c>
      <c r="G5">
        <v>42</v>
      </c>
    </row>
    <row r="6" spans="1:7" x14ac:dyDescent="0.3">
      <c r="A6" t="s">
        <v>49</v>
      </c>
      <c r="B6">
        <v>7</v>
      </c>
      <c r="C6" t="s">
        <v>8</v>
      </c>
      <c r="D6">
        <v>5000</v>
      </c>
      <c r="E6" t="s">
        <v>12</v>
      </c>
      <c r="F6">
        <v>0.97309417040358703</v>
      </c>
      <c r="G6">
        <v>42</v>
      </c>
    </row>
    <row r="7" spans="1:7" x14ac:dyDescent="0.3">
      <c r="A7" t="s">
        <v>49</v>
      </c>
      <c r="B7">
        <v>7</v>
      </c>
      <c r="C7" t="s">
        <v>8</v>
      </c>
      <c r="D7">
        <v>10000</v>
      </c>
      <c r="E7" t="s">
        <v>12</v>
      </c>
      <c r="F7">
        <v>0.88789237668161403</v>
      </c>
      <c r="G7">
        <v>42</v>
      </c>
    </row>
    <row r="8" spans="1:7" x14ac:dyDescent="0.3">
      <c r="A8" t="s">
        <v>48</v>
      </c>
      <c r="B8">
        <v>7</v>
      </c>
      <c r="C8" t="s">
        <v>8</v>
      </c>
      <c r="D8">
        <v>1000</v>
      </c>
      <c r="E8" t="s">
        <v>9</v>
      </c>
      <c r="F8">
        <v>0.90967741935483803</v>
      </c>
      <c r="G8">
        <v>42</v>
      </c>
    </row>
    <row r="9" spans="1:7" x14ac:dyDescent="0.3">
      <c r="A9" t="s">
        <v>48</v>
      </c>
      <c r="B9">
        <v>7</v>
      </c>
      <c r="C9" t="s">
        <v>8</v>
      </c>
      <c r="D9">
        <v>5000</v>
      </c>
      <c r="E9" t="s">
        <v>9</v>
      </c>
      <c r="F9">
        <v>0.85806451612903201</v>
      </c>
      <c r="G9">
        <v>42</v>
      </c>
    </row>
    <row r="10" spans="1:7" x14ac:dyDescent="0.3">
      <c r="A10" t="s">
        <v>48</v>
      </c>
      <c r="B10">
        <v>7</v>
      </c>
      <c r="C10" t="s">
        <v>8</v>
      </c>
      <c r="D10">
        <v>10000</v>
      </c>
      <c r="E10" t="s">
        <v>9</v>
      </c>
      <c r="F10">
        <v>0.80645161290322498</v>
      </c>
      <c r="G10">
        <v>42</v>
      </c>
    </row>
    <row r="11" spans="1:7" x14ac:dyDescent="0.3">
      <c r="A11" t="s">
        <v>49</v>
      </c>
      <c r="B11">
        <v>7</v>
      </c>
      <c r="C11" t="s">
        <v>8</v>
      </c>
      <c r="D11">
        <v>1000</v>
      </c>
      <c r="E11" t="s">
        <v>9</v>
      </c>
      <c r="F11">
        <v>0.92903225806451595</v>
      </c>
      <c r="G11">
        <v>42</v>
      </c>
    </row>
    <row r="12" spans="1:7" x14ac:dyDescent="0.3">
      <c r="A12" t="s">
        <v>49</v>
      </c>
      <c r="B12">
        <v>7</v>
      </c>
      <c r="C12" t="s">
        <v>8</v>
      </c>
      <c r="D12">
        <v>5000</v>
      </c>
      <c r="E12" t="s">
        <v>9</v>
      </c>
      <c r="F12">
        <v>0.67741935483870896</v>
      </c>
      <c r="G12">
        <v>42</v>
      </c>
    </row>
    <row r="13" spans="1:7" x14ac:dyDescent="0.3">
      <c r="A13" t="s">
        <v>49</v>
      </c>
      <c r="B13">
        <v>7</v>
      </c>
      <c r="C13" t="s">
        <v>8</v>
      </c>
      <c r="D13">
        <v>10000</v>
      </c>
      <c r="E13" t="s">
        <v>9</v>
      </c>
      <c r="F13">
        <v>0.64516129032257996</v>
      </c>
      <c r="G13">
        <v>42</v>
      </c>
    </row>
    <row r="14" spans="1:7" x14ac:dyDescent="0.3">
      <c r="A14" t="s">
        <v>48</v>
      </c>
      <c r="B14">
        <v>7</v>
      </c>
      <c r="C14" t="s">
        <v>8</v>
      </c>
      <c r="D14">
        <v>1000</v>
      </c>
      <c r="E14" t="s">
        <v>9</v>
      </c>
      <c r="F14">
        <v>1.34306569343065</v>
      </c>
      <c r="G14">
        <v>42</v>
      </c>
    </row>
    <row r="15" spans="1:7" x14ac:dyDescent="0.3">
      <c r="A15" t="s">
        <v>48</v>
      </c>
      <c r="B15">
        <v>7</v>
      </c>
      <c r="C15" t="s">
        <v>8</v>
      </c>
      <c r="D15">
        <v>5000</v>
      </c>
      <c r="E15" t="s">
        <v>9</v>
      </c>
      <c r="F15">
        <v>0.95620437956204296</v>
      </c>
      <c r="G15">
        <v>42</v>
      </c>
    </row>
    <row r="16" spans="1:7" x14ac:dyDescent="0.3">
      <c r="A16" t="s">
        <v>48</v>
      </c>
      <c r="B16">
        <v>7</v>
      </c>
      <c r="C16" t="s">
        <v>8</v>
      </c>
      <c r="D16">
        <v>10000</v>
      </c>
      <c r="E16" t="s">
        <v>9</v>
      </c>
      <c r="F16">
        <v>0.81021897810218901</v>
      </c>
      <c r="G16">
        <v>42</v>
      </c>
    </row>
    <row r="17" spans="1:7" x14ac:dyDescent="0.3">
      <c r="A17" t="s">
        <v>49</v>
      </c>
      <c r="B17">
        <v>7</v>
      </c>
      <c r="C17" t="s">
        <v>8</v>
      </c>
      <c r="D17">
        <v>1000</v>
      </c>
      <c r="E17" t="s">
        <v>9</v>
      </c>
      <c r="F17">
        <v>0.82658959537572196</v>
      </c>
      <c r="G17">
        <v>42</v>
      </c>
    </row>
    <row r="18" spans="1:7" x14ac:dyDescent="0.3">
      <c r="A18" t="s">
        <v>49</v>
      </c>
      <c r="B18">
        <v>7</v>
      </c>
      <c r="C18" t="s">
        <v>8</v>
      </c>
      <c r="D18">
        <v>5000</v>
      </c>
      <c r="E18" t="s">
        <v>9</v>
      </c>
      <c r="F18">
        <v>0.76878612716762995</v>
      </c>
      <c r="G18">
        <v>42</v>
      </c>
    </row>
    <row r="19" spans="1:7" x14ac:dyDescent="0.3">
      <c r="A19" t="s">
        <v>49</v>
      </c>
      <c r="B19">
        <v>7</v>
      </c>
      <c r="C19" t="s">
        <v>8</v>
      </c>
      <c r="D19">
        <v>10000</v>
      </c>
      <c r="E19" t="s">
        <v>9</v>
      </c>
      <c r="F19">
        <v>0.57803468208092401</v>
      </c>
      <c r="G19">
        <v>42</v>
      </c>
    </row>
    <row r="20" spans="1:7" x14ac:dyDescent="0.3">
      <c r="A20" t="s">
        <v>48</v>
      </c>
      <c r="B20">
        <v>7</v>
      </c>
      <c r="C20" t="s">
        <v>8</v>
      </c>
      <c r="D20">
        <v>1000</v>
      </c>
      <c r="E20" t="s">
        <v>12</v>
      </c>
      <c r="F20">
        <v>1.0559440559440501</v>
      </c>
      <c r="G20">
        <v>42</v>
      </c>
    </row>
    <row r="21" spans="1:7" x14ac:dyDescent="0.3">
      <c r="A21" t="s">
        <v>48</v>
      </c>
      <c r="B21">
        <v>7</v>
      </c>
      <c r="C21" t="s">
        <v>8</v>
      </c>
      <c r="D21">
        <v>5000</v>
      </c>
      <c r="E21" t="s">
        <v>12</v>
      </c>
      <c r="F21">
        <v>0.88111888111888104</v>
      </c>
      <c r="G21">
        <v>42</v>
      </c>
    </row>
    <row r="22" spans="1:7" x14ac:dyDescent="0.3">
      <c r="A22" t="s">
        <v>48</v>
      </c>
      <c r="B22">
        <v>7</v>
      </c>
      <c r="C22" t="s">
        <v>8</v>
      </c>
      <c r="D22">
        <v>10000</v>
      </c>
      <c r="E22" t="s">
        <v>12</v>
      </c>
      <c r="F22">
        <v>0.87412587412587395</v>
      </c>
      <c r="G22">
        <v>42</v>
      </c>
    </row>
    <row r="23" spans="1:7" x14ac:dyDescent="0.3">
      <c r="A23" t="s">
        <v>49</v>
      </c>
      <c r="B23">
        <v>7</v>
      </c>
      <c r="C23" t="s">
        <v>8</v>
      </c>
      <c r="D23">
        <v>1000</v>
      </c>
      <c r="E23" t="s">
        <v>12</v>
      </c>
      <c r="F23">
        <v>1.0489510489510401</v>
      </c>
      <c r="G23">
        <v>42</v>
      </c>
    </row>
    <row r="24" spans="1:7" x14ac:dyDescent="0.3">
      <c r="A24" t="s">
        <v>49</v>
      </c>
      <c r="B24">
        <v>7</v>
      </c>
      <c r="C24" t="s">
        <v>8</v>
      </c>
      <c r="D24">
        <v>5000</v>
      </c>
      <c r="E24" t="s">
        <v>12</v>
      </c>
      <c r="F24">
        <v>0.95104895104895104</v>
      </c>
      <c r="G24">
        <v>42</v>
      </c>
    </row>
    <row r="25" spans="1:7" x14ac:dyDescent="0.3">
      <c r="A25" t="s">
        <v>49</v>
      </c>
      <c r="B25">
        <v>7</v>
      </c>
      <c r="C25" t="s">
        <v>8</v>
      </c>
      <c r="D25">
        <v>10000</v>
      </c>
      <c r="E25" t="s">
        <v>12</v>
      </c>
      <c r="F25">
        <v>0.85314685314685301</v>
      </c>
      <c r="G25">
        <v>42</v>
      </c>
    </row>
    <row r="26" spans="1:7" x14ac:dyDescent="0.3">
      <c r="A26" t="s">
        <v>48</v>
      </c>
      <c r="B26">
        <v>7</v>
      </c>
      <c r="C26" t="s">
        <v>8</v>
      </c>
      <c r="D26">
        <v>1000</v>
      </c>
      <c r="E26" t="s">
        <v>10</v>
      </c>
      <c r="F26">
        <f>4190/3673</f>
        <v>1.140756874489518</v>
      </c>
      <c r="G26">
        <v>42</v>
      </c>
    </row>
    <row r="27" spans="1:7" x14ac:dyDescent="0.3">
      <c r="A27" t="s">
        <v>48</v>
      </c>
      <c r="B27">
        <v>7</v>
      </c>
      <c r="C27" t="s">
        <v>8</v>
      </c>
      <c r="D27">
        <v>5000</v>
      </c>
      <c r="E27" t="s">
        <v>10</v>
      </c>
      <c r="F27">
        <f>3602/3673</f>
        <v>0.9806697522461203</v>
      </c>
      <c r="G27">
        <v>42</v>
      </c>
    </row>
    <row r="28" spans="1:7" x14ac:dyDescent="0.3">
      <c r="A28" t="s">
        <v>48</v>
      </c>
      <c r="B28">
        <v>7</v>
      </c>
      <c r="C28" t="s">
        <v>8</v>
      </c>
      <c r="D28">
        <v>10000</v>
      </c>
      <c r="E28" t="s">
        <v>10</v>
      </c>
      <c r="F28">
        <f>3348/3673</f>
        <v>0.91151647154914239</v>
      </c>
      <c r="G28">
        <v>42</v>
      </c>
    </row>
    <row r="29" spans="1:7" x14ac:dyDescent="0.3">
      <c r="A29" t="s">
        <v>49</v>
      </c>
      <c r="B29">
        <v>7</v>
      </c>
      <c r="C29" t="s">
        <v>8</v>
      </c>
      <c r="D29">
        <v>1000</v>
      </c>
      <c r="E29" t="s">
        <v>10</v>
      </c>
      <c r="F29">
        <f>4903/3673</f>
        <v>1.3348761230601689</v>
      </c>
      <c r="G29">
        <v>42</v>
      </c>
    </row>
    <row r="30" spans="1:7" x14ac:dyDescent="0.3">
      <c r="A30" t="s">
        <v>49</v>
      </c>
      <c r="B30">
        <v>7</v>
      </c>
      <c r="C30" t="s">
        <v>8</v>
      </c>
      <c r="D30">
        <v>5000</v>
      </c>
      <c r="E30" t="s">
        <v>10</v>
      </c>
      <c r="F30">
        <f>3544/3673</f>
        <v>0.96487884563027493</v>
      </c>
      <c r="G30">
        <v>42</v>
      </c>
    </row>
    <row r="31" spans="1:7" x14ac:dyDescent="0.3">
      <c r="A31" t="s">
        <v>49</v>
      </c>
      <c r="B31">
        <v>7</v>
      </c>
      <c r="C31" t="s">
        <v>8</v>
      </c>
      <c r="D31">
        <v>10000</v>
      </c>
      <c r="E31" t="s">
        <v>10</v>
      </c>
      <c r="F31">
        <f>3285/3673</f>
        <v>0.89436427988020695</v>
      </c>
      <c r="G31">
        <v>42</v>
      </c>
    </row>
    <row r="32" spans="1:7" x14ac:dyDescent="0.3">
      <c r="A32" t="s">
        <v>48</v>
      </c>
      <c r="B32">
        <v>14</v>
      </c>
      <c r="C32" t="s">
        <v>8</v>
      </c>
      <c r="D32">
        <v>1000</v>
      </c>
      <c r="E32" t="s">
        <v>10</v>
      </c>
      <c r="F32">
        <f>15238/14817</f>
        <v>1.028413309036917</v>
      </c>
      <c r="G32">
        <v>42</v>
      </c>
    </row>
    <row r="33" spans="1:7" x14ac:dyDescent="0.3">
      <c r="A33" t="s">
        <v>48</v>
      </c>
      <c r="B33">
        <v>14</v>
      </c>
      <c r="C33" t="s">
        <v>8</v>
      </c>
      <c r="D33">
        <v>5000</v>
      </c>
      <c r="E33" t="s">
        <v>10</v>
      </c>
      <c r="F33">
        <f>14001/14917</f>
        <v>0.93859355098210095</v>
      </c>
      <c r="G33">
        <v>42</v>
      </c>
    </row>
    <row r="34" spans="1:7" x14ac:dyDescent="0.3">
      <c r="A34" t="s">
        <v>48</v>
      </c>
      <c r="B34">
        <v>14</v>
      </c>
      <c r="C34" t="s">
        <v>8</v>
      </c>
      <c r="D34">
        <v>10000</v>
      </c>
      <c r="E34" t="s">
        <v>10</v>
      </c>
      <c r="F34">
        <f>13864/14917</f>
        <v>0.92940939867265537</v>
      </c>
      <c r="G34">
        <v>42</v>
      </c>
    </row>
    <row r="35" spans="1:7" x14ac:dyDescent="0.3">
      <c r="A35" t="s">
        <v>49</v>
      </c>
      <c r="B35">
        <v>14</v>
      </c>
      <c r="C35" t="s">
        <v>8</v>
      </c>
      <c r="D35">
        <v>1000</v>
      </c>
      <c r="E35" t="s">
        <v>10</v>
      </c>
      <c r="F35">
        <f>15120/14817</f>
        <v>1.0204494837011542</v>
      </c>
      <c r="G35">
        <v>42</v>
      </c>
    </row>
    <row r="36" spans="1:7" x14ac:dyDescent="0.3">
      <c r="A36" t="s">
        <v>49</v>
      </c>
      <c r="B36">
        <v>14</v>
      </c>
      <c r="C36" t="s">
        <v>8</v>
      </c>
      <c r="D36">
        <v>5000</v>
      </c>
      <c r="E36" t="s">
        <v>10</v>
      </c>
      <c r="F36">
        <f>13629/14917</f>
        <v>0.91365556076959176</v>
      </c>
      <c r="G36">
        <v>42</v>
      </c>
    </row>
    <row r="37" spans="1:7" x14ac:dyDescent="0.3">
      <c r="A37" t="s">
        <v>49</v>
      </c>
      <c r="B37">
        <v>14</v>
      </c>
      <c r="C37" t="s">
        <v>8</v>
      </c>
      <c r="D37">
        <v>10000</v>
      </c>
      <c r="E37" t="s">
        <v>10</v>
      </c>
      <c r="F37">
        <f>13211/14917</f>
        <v>0.88563384058456796</v>
      </c>
      <c r="G37">
        <v>42</v>
      </c>
    </row>
    <row r="38" spans="1:7" x14ac:dyDescent="0.3">
      <c r="A38" t="s">
        <v>48</v>
      </c>
      <c r="B38">
        <v>7</v>
      </c>
      <c r="C38" t="s">
        <v>8</v>
      </c>
      <c r="D38">
        <v>1000</v>
      </c>
      <c r="E38" t="s">
        <v>10</v>
      </c>
      <c r="F38">
        <f>30757/20253</f>
        <v>1.5186392139436133</v>
      </c>
      <c r="G38">
        <v>42</v>
      </c>
    </row>
    <row r="39" spans="1:7" x14ac:dyDescent="0.3">
      <c r="A39" t="s">
        <v>48</v>
      </c>
      <c r="B39">
        <v>7</v>
      </c>
      <c r="C39" t="s">
        <v>8</v>
      </c>
      <c r="D39">
        <v>5000</v>
      </c>
      <c r="E39" t="s">
        <v>10</v>
      </c>
      <c r="F39">
        <f>34407/20253</f>
        <v>1.6988594282328544</v>
      </c>
      <c r="G39">
        <v>42</v>
      </c>
    </row>
    <row r="40" spans="1:7" x14ac:dyDescent="0.3">
      <c r="A40" t="s">
        <v>48</v>
      </c>
      <c r="B40">
        <v>7</v>
      </c>
      <c r="C40" t="s">
        <v>8</v>
      </c>
      <c r="D40">
        <v>10000</v>
      </c>
      <c r="E40" t="s">
        <v>10</v>
      </c>
      <c r="F40">
        <f>13780/20253</f>
        <v>0.68039302819335412</v>
      </c>
      <c r="G40">
        <v>42</v>
      </c>
    </row>
    <row r="41" spans="1:7" x14ac:dyDescent="0.3">
      <c r="A41" t="s">
        <v>49</v>
      </c>
      <c r="B41">
        <v>7</v>
      </c>
      <c r="C41" t="s">
        <v>8</v>
      </c>
      <c r="D41">
        <v>1000</v>
      </c>
      <c r="E41" t="s">
        <v>10</v>
      </c>
      <c r="F41">
        <f>28847/20253</f>
        <v>1.4243321976991064</v>
      </c>
      <c r="G41">
        <v>42</v>
      </c>
    </row>
    <row r="42" spans="1:7" x14ac:dyDescent="0.3">
      <c r="A42" t="s">
        <v>49</v>
      </c>
      <c r="B42">
        <v>7</v>
      </c>
      <c r="C42" t="s">
        <v>8</v>
      </c>
      <c r="D42">
        <v>5000</v>
      </c>
      <c r="E42" t="s">
        <v>10</v>
      </c>
      <c r="F42">
        <f>32940/20253</f>
        <v>1.626425714708932</v>
      </c>
      <c r="G42">
        <v>42</v>
      </c>
    </row>
    <row r="43" spans="1:7" x14ac:dyDescent="0.3">
      <c r="A43" t="s">
        <v>49</v>
      </c>
      <c r="B43">
        <v>7</v>
      </c>
      <c r="C43" t="s">
        <v>8</v>
      </c>
      <c r="D43">
        <v>10000</v>
      </c>
      <c r="E43" t="s">
        <v>10</v>
      </c>
      <c r="F43">
        <f>12593/20253</f>
        <v>0.62178442699846936</v>
      </c>
      <c r="G43">
        <v>42</v>
      </c>
    </row>
    <row r="44" spans="1:7" x14ac:dyDescent="0.3">
      <c r="A44" t="s">
        <v>48</v>
      </c>
      <c r="B44">
        <v>14</v>
      </c>
      <c r="C44" t="s">
        <v>8</v>
      </c>
      <c r="D44">
        <v>1000</v>
      </c>
      <c r="E44" t="s">
        <v>10</v>
      </c>
      <c r="F44">
        <f>25643/26330</f>
        <v>0.97390808963159892</v>
      </c>
      <c r="G44">
        <v>42</v>
      </c>
    </row>
    <row r="45" spans="1:7" x14ac:dyDescent="0.3">
      <c r="A45" t="s">
        <v>48</v>
      </c>
      <c r="B45">
        <v>14</v>
      </c>
      <c r="C45" t="s">
        <v>8</v>
      </c>
      <c r="D45">
        <v>5000</v>
      </c>
      <c r="E45" t="s">
        <v>10</v>
      </c>
      <c r="F45">
        <f>25643/26330</f>
        <v>0.97390808963159892</v>
      </c>
      <c r="G45">
        <v>42</v>
      </c>
    </row>
    <row r="46" spans="1:7" x14ac:dyDescent="0.3">
      <c r="A46" t="s">
        <v>48</v>
      </c>
      <c r="B46">
        <v>14</v>
      </c>
      <c r="C46" t="s">
        <v>8</v>
      </c>
      <c r="D46">
        <v>10000</v>
      </c>
      <c r="E46" t="s">
        <v>10</v>
      </c>
      <c r="F46">
        <f>16803/26330</f>
        <v>0.63816938853019367</v>
      </c>
      <c r="G46">
        <v>42</v>
      </c>
    </row>
    <row r="47" spans="1:7" x14ac:dyDescent="0.3">
      <c r="A47" t="s">
        <v>49</v>
      </c>
      <c r="B47">
        <v>14</v>
      </c>
      <c r="C47" t="s">
        <v>8</v>
      </c>
      <c r="D47">
        <v>1000</v>
      </c>
      <c r="E47" t="s">
        <v>10</v>
      </c>
      <c r="F47">
        <f>25270/26330</f>
        <v>0.95974173946069119</v>
      </c>
      <c r="G47">
        <v>42</v>
      </c>
    </row>
    <row r="48" spans="1:7" x14ac:dyDescent="0.3">
      <c r="A48" t="s">
        <v>49</v>
      </c>
      <c r="B48">
        <v>14</v>
      </c>
      <c r="C48" t="s">
        <v>8</v>
      </c>
      <c r="D48">
        <v>5000</v>
      </c>
      <c r="E48" t="s">
        <v>10</v>
      </c>
      <c r="F48">
        <f>14327/26330</f>
        <v>0.54413216862894043</v>
      </c>
      <c r="G48">
        <v>42</v>
      </c>
    </row>
    <row r="49" spans="1:8" x14ac:dyDescent="0.3">
      <c r="A49" t="s">
        <v>49</v>
      </c>
      <c r="B49">
        <v>14</v>
      </c>
      <c r="C49" t="s">
        <v>8</v>
      </c>
      <c r="D49">
        <v>10000</v>
      </c>
      <c r="E49" t="s">
        <v>10</v>
      </c>
      <c r="F49">
        <f>21640/26330</f>
        <v>0.82187618685909614</v>
      </c>
      <c r="G49">
        <v>42</v>
      </c>
    </row>
    <row r="50" spans="1:8" x14ac:dyDescent="0.3">
      <c r="A50" t="s">
        <v>48</v>
      </c>
      <c r="B50">
        <v>21</v>
      </c>
      <c r="C50" t="s">
        <v>8</v>
      </c>
      <c r="D50">
        <v>1000</v>
      </c>
      <c r="E50" t="s">
        <v>10</v>
      </c>
      <c r="F50">
        <f>15343/22310</f>
        <v>0.68771851187808153</v>
      </c>
      <c r="G50">
        <v>42</v>
      </c>
    </row>
    <row r="51" spans="1:8" x14ac:dyDescent="0.3">
      <c r="A51" t="s">
        <v>48</v>
      </c>
      <c r="B51">
        <v>21</v>
      </c>
      <c r="C51" t="s">
        <v>8</v>
      </c>
      <c r="D51">
        <v>5000</v>
      </c>
      <c r="E51" t="s">
        <v>10</v>
      </c>
      <c r="F51">
        <f>21557/22310</f>
        <v>0.96624831913939935</v>
      </c>
      <c r="G51">
        <v>42</v>
      </c>
    </row>
    <row r="52" spans="1:8" x14ac:dyDescent="0.3">
      <c r="A52" t="s">
        <v>48</v>
      </c>
      <c r="B52">
        <v>21</v>
      </c>
      <c r="C52" t="s">
        <v>8</v>
      </c>
      <c r="D52">
        <v>10000</v>
      </c>
      <c r="E52" t="s">
        <v>10</v>
      </c>
      <c r="F52">
        <f>14450/22310</f>
        <v>0.64769161810847153</v>
      </c>
      <c r="G52">
        <v>42</v>
      </c>
    </row>
    <row r="53" spans="1:8" x14ac:dyDescent="0.3">
      <c r="A53" t="s">
        <v>49</v>
      </c>
      <c r="B53">
        <v>21</v>
      </c>
      <c r="C53" t="s">
        <v>8</v>
      </c>
      <c r="D53">
        <v>1000</v>
      </c>
      <c r="E53" t="s">
        <v>10</v>
      </c>
      <c r="F53">
        <f>14873/22310</f>
        <v>0.66665172568355002</v>
      </c>
      <c r="G53">
        <v>42</v>
      </c>
    </row>
    <row r="54" spans="1:8" x14ac:dyDescent="0.3">
      <c r="A54" t="s">
        <v>49</v>
      </c>
      <c r="B54">
        <v>21</v>
      </c>
      <c r="C54" t="s">
        <v>8</v>
      </c>
      <c r="D54">
        <v>5000</v>
      </c>
      <c r="E54" t="s">
        <v>10</v>
      </c>
      <c r="F54">
        <f>19820/22310</f>
        <v>0.88839085611833257</v>
      </c>
      <c r="G54">
        <v>42</v>
      </c>
    </row>
    <row r="55" spans="1:8" x14ac:dyDescent="0.3">
      <c r="A55" t="s">
        <v>49</v>
      </c>
      <c r="B55">
        <v>21</v>
      </c>
      <c r="C55" t="s">
        <v>8</v>
      </c>
      <c r="D55">
        <v>10000</v>
      </c>
      <c r="E55" t="s">
        <v>10</v>
      </c>
      <c r="F55">
        <f>13193/22310</f>
        <v>0.59134917077543703</v>
      </c>
      <c r="G55">
        <v>42</v>
      </c>
    </row>
    <row r="56" spans="1:8" x14ac:dyDescent="0.3">
      <c r="A56" t="s">
        <v>48</v>
      </c>
      <c r="B56">
        <v>21</v>
      </c>
      <c r="C56" t="s">
        <v>8</v>
      </c>
      <c r="D56">
        <v>1000</v>
      </c>
      <c r="E56" t="s">
        <v>10</v>
      </c>
      <c r="F56">
        <f>13089/13582</f>
        <v>0.9637019584744515</v>
      </c>
      <c r="G56">
        <v>42</v>
      </c>
    </row>
    <row r="57" spans="1:8" x14ac:dyDescent="0.3">
      <c r="A57" t="s">
        <v>48</v>
      </c>
      <c r="B57">
        <v>21</v>
      </c>
      <c r="C57" t="s">
        <v>8</v>
      </c>
      <c r="D57">
        <v>5000</v>
      </c>
      <c r="E57" t="s">
        <v>10</v>
      </c>
      <c r="F57">
        <f>12831/13582</f>
        <v>0.94470622883227806</v>
      </c>
      <c r="G57">
        <v>42</v>
      </c>
    </row>
    <row r="58" spans="1:8" x14ac:dyDescent="0.3">
      <c r="A58" t="s">
        <v>48</v>
      </c>
      <c r="B58">
        <v>21</v>
      </c>
      <c r="C58" t="s">
        <v>8</v>
      </c>
      <c r="D58">
        <v>10000</v>
      </c>
      <c r="E58" t="s">
        <v>10</v>
      </c>
      <c r="F58">
        <f>13690/13582</f>
        <v>1.0079517007804446</v>
      </c>
      <c r="G58">
        <v>42</v>
      </c>
    </row>
    <row r="59" spans="1:8" x14ac:dyDescent="0.3">
      <c r="A59" t="s">
        <v>49</v>
      </c>
      <c r="B59">
        <v>21</v>
      </c>
      <c r="C59" t="s">
        <v>8</v>
      </c>
      <c r="D59">
        <v>1000</v>
      </c>
      <c r="E59" t="s">
        <v>10</v>
      </c>
      <c r="F59">
        <f>15535/13582</f>
        <v>1.1437932557797084</v>
      </c>
      <c r="G59">
        <v>42</v>
      </c>
    </row>
    <row r="60" spans="1:8" x14ac:dyDescent="0.3">
      <c r="A60" t="s">
        <v>49</v>
      </c>
      <c r="B60">
        <v>21</v>
      </c>
      <c r="C60" t="s">
        <v>8</v>
      </c>
      <c r="D60">
        <v>5000</v>
      </c>
      <c r="E60" t="s">
        <v>10</v>
      </c>
      <c r="F60">
        <f>17437/13582</f>
        <v>1.283831541746429</v>
      </c>
      <c r="G60">
        <v>42</v>
      </c>
    </row>
    <row r="61" spans="1:8" s="1" customFormat="1" ht="13.9" thickBot="1" x14ac:dyDescent="0.35">
      <c r="A61" s="1" t="s">
        <v>49</v>
      </c>
      <c r="B61" s="1">
        <v>21</v>
      </c>
      <c r="C61" s="1" t="s">
        <v>8</v>
      </c>
      <c r="D61" s="1">
        <v>10000</v>
      </c>
      <c r="E61" s="1" t="s">
        <v>10</v>
      </c>
      <c r="F61" s="1">
        <f>15584/13582</f>
        <v>1.1474009718745399</v>
      </c>
      <c r="G61" s="1">
        <v>42</v>
      </c>
      <c r="H61"/>
    </row>
    <row r="62" spans="1:8" x14ac:dyDescent="0.3">
      <c r="A62" t="s">
        <v>48</v>
      </c>
      <c r="B62" s="2">
        <v>14</v>
      </c>
      <c r="C62" t="s">
        <v>8</v>
      </c>
      <c r="D62" s="2">
        <v>1000</v>
      </c>
      <c r="E62" s="2" t="s">
        <v>12</v>
      </c>
      <c r="F62">
        <v>1.27734375</v>
      </c>
      <c r="G62" s="2">
        <v>43</v>
      </c>
    </row>
    <row r="63" spans="1:8" x14ac:dyDescent="0.3">
      <c r="A63" t="s">
        <v>48</v>
      </c>
      <c r="B63" s="2">
        <v>14</v>
      </c>
      <c r="C63" t="s">
        <v>8</v>
      </c>
      <c r="D63" s="2">
        <v>2000</v>
      </c>
      <c r="E63" s="2" t="s">
        <v>12</v>
      </c>
      <c r="F63">
        <v>1.1875</v>
      </c>
      <c r="G63" s="2">
        <v>43</v>
      </c>
    </row>
    <row r="64" spans="1:8" x14ac:dyDescent="0.3">
      <c r="A64" t="s">
        <v>48</v>
      </c>
      <c r="B64" s="2">
        <v>14</v>
      </c>
      <c r="C64" t="s">
        <v>8</v>
      </c>
      <c r="D64" s="2">
        <v>4000</v>
      </c>
      <c r="E64" s="2" t="s">
        <v>12</v>
      </c>
      <c r="F64">
        <v>0.91015625</v>
      </c>
      <c r="G64" s="2">
        <v>43</v>
      </c>
    </row>
    <row r="65" spans="1:7" x14ac:dyDescent="0.3">
      <c r="A65" t="s">
        <v>48</v>
      </c>
      <c r="B65" s="2">
        <v>14</v>
      </c>
      <c r="C65" t="s">
        <v>8</v>
      </c>
      <c r="D65" s="2">
        <v>8000</v>
      </c>
      <c r="E65" s="2" t="s">
        <v>12</v>
      </c>
      <c r="F65">
        <v>0.8359375</v>
      </c>
      <c r="G65" s="2">
        <v>43</v>
      </c>
    </row>
    <row r="66" spans="1:7" x14ac:dyDescent="0.3">
      <c r="A66" t="s">
        <v>50</v>
      </c>
      <c r="B66" s="2">
        <v>14</v>
      </c>
      <c r="C66" t="s">
        <v>8</v>
      </c>
      <c r="D66" s="2">
        <v>1000</v>
      </c>
      <c r="E66" s="2" t="s">
        <v>12</v>
      </c>
      <c r="F66">
        <v>0.75086505190311403</v>
      </c>
      <c r="G66" s="2">
        <v>43</v>
      </c>
    </row>
    <row r="67" spans="1:7" x14ac:dyDescent="0.3">
      <c r="A67" t="s">
        <v>50</v>
      </c>
      <c r="B67" s="2">
        <v>14</v>
      </c>
      <c r="C67" t="s">
        <v>8</v>
      </c>
      <c r="D67" s="2">
        <v>2000</v>
      </c>
      <c r="E67" s="2" t="s">
        <v>12</v>
      </c>
      <c r="F67">
        <v>0.98961937716262904</v>
      </c>
      <c r="G67" s="2">
        <v>43</v>
      </c>
    </row>
    <row r="68" spans="1:7" x14ac:dyDescent="0.3">
      <c r="A68" t="s">
        <v>50</v>
      </c>
      <c r="B68" s="2">
        <v>14</v>
      </c>
      <c r="C68" t="s">
        <v>8</v>
      </c>
      <c r="D68" s="2">
        <v>4000</v>
      </c>
      <c r="E68" s="2" t="s">
        <v>12</v>
      </c>
      <c r="F68">
        <v>0.95501730103806204</v>
      </c>
      <c r="G68" s="2">
        <v>43</v>
      </c>
    </row>
    <row r="69" spans="1:7" x14ac:dyDescent="0.3">
      <c r="A69" t="s">
        <v>50</v>
      </c>
      <c r="B69" s="2">
        <v>14</v>
      </c>
      <c r="C69" t="s">
        <v>8</v>
      </c>
      <c r="D69" s="2">
        <v>8000</v>
      </c>
      <c r="E69" s="2" t="s">
        <v>12</v>
      </c>
      <c r="F69">
        <v>0.68166089965397902</v>
      </c>
      <c r="G69" s="2">
        <v>43</v>
      </c>
    </row>
    <row r="70" spans="1:7" x14ac:dyDescent="0.3">
      <c r="A70" t="s">
        <v>48</v>
      </c>
      <c r="B70" s="2">
        <v>14</v>
      </c>
      <c r="C70" t="s">
        <v>8</v>
      </c>
      <c r="D70" s="2">
        <v>1000</v>
      </c>
      <c r="E70" s="2" t="s">
        <v>12</v>
      </c>
      <c r="F70">
        <v>1.24081632653061</v>
      </c>
      <c r="G70" s="2">
        <v>43</v>
      </c>
    </row>
    <row r="71" spans="1:7" x14ac:dyDescent="0.3">
      <c r="A71" t="s">
        <v>48</v>
      </c>
      <c r="B71" s="2">
        <v>14</v>
      </c>
      <c r="C71" t="s">
        <v>8</v>
      </c>
      <c r="D71" s="2">
        <v>2000</v>
      </c>
      <c r="E71" s="2" t="s">
        <v>12</v>
      </c>
      <c r="F71">
        <v>1.0040816326530599</v>
      </c>
      <c r="G71" s="2">
        <v>43</v>
      </c>
    </row>
    <row r="72" spans="1:7" x14ac:dyDescent="0.3">
      <c r="A72" t="s">
        <v>48</v>
      </c>
      <c r="B72" s="2">
        <v>14</v>
      </c>
      <c r="C72" t="s">
        <v>8</v>
      </c>
      <c r="D72" s="2">
        <v>4000</v>
      </c>
      <c r="E72" s="2" t="s">
        <v>12</v>
      </c>
      <c r="F72">
        <v>0.93061224489795902</v>
      </c>
      <c r="G72" s="2">
        <v>43</v>
      </c>
    </row>
    <row r="73" spans="1:7" x14ac:dyDescent="0.3">
      <c r="A73" t="s">
        <v>48</v>
      </c>
      <c r="B73" s="2">
        <v>14</v>
      </c>
      <c r="C73" t="s">
        <v>8</v>
      </c>
      <c r="D73" s="2">
        <v>8000</v>
      </c>
      <c r="E73" s="2" t="s">
        <v>12</v>
      </c>
      <c r="F73">
        <v>0.85714285714285698</v>
      </c>
      <c r="G73" s="2">
        <v>43</v>
      </c>
    </row>
    <row r="74" spans="1:7" x14ac:dyDescent="0.3">
      <c r="A74" t="s">
        <v>50</v>
      </c>
      <c r="B74" s="2">
        <v>14</v>
      </c>
      <c r="C74" t="s">
        <v>8</v>
      </c>
      <c r="D74" s="2">
        <v>1000</v>
      </c>
      <c r="E74" s="2" t="s">
        <v>12</v>
      </c>
      <c r="F74">
        <v>0.74285714285714199</v>
      </c>
      <c r="G74" s="2">
        <v>43</v>
      </c>
    </row>
    <row r="75" spans="1:7" x14ac:dyDescent="0.3">
      <c r="A75" t="s">
        <v>50</v>
      </c>
      <c r="B75" s="2">
        <v>14</v>
      </c>
      <c r="C75" t="s">
        <v>8</v>
      </c>
      <c r="D75" s="2">
        <v>2000</v>
      </c>
      <c r="E75" s="2" t="s">
        <v>12</v>
      </c>
      <c r="F75">
        <v>1.01632653061224</v>
      </c>
      <c r="G75" s="2">
        <v>43</v>
      </c>
    </row>
    <row r="76" spans="1:7" x14ac:dyDescent="0.3">
      <c r="A76" t="s">
        <v>50</v>
      </c>
      <c r="B76" s="2">
        <v>14</v>
      </c>
      <c r="C76" t="s">
        <v>8</v>
      </c>
      <c r="D76" s="2">
        <v>4000</v>
      </c>
      <c r="E76" s="2" t="s">
        <v>12</v>
      </c>
      <c r="F76">
        <v>0.95918367346938704</v>
      </c>
      <c r="G76" s="2">
        <v>43</v>
      </c>
    </row>
    <row r="77" spans="1:7" x14ac:dyDescent="0.3">
      <c r="A77" t="s">
        <v>50</v>
      </c>
      <c r="B77" s="2">
        <v>14</v>
      </c>
      <c r="C77" t="s">
        <v>8</v>
      </c>
      <c r="D77" s="2">
        <v>8000</v>
      </c>
      <c r="E77" s="2" t="s">
        <v>12</v>
      </c>
      <c r="F77">
        <v>0.79591836734693799</v>
      </c>
      <c r="G77" s="2">
        <v>43</v>
      </c>
    </row>
    <row r="78" spans="1:7" x14ac:dyDescent="0.3">
      <c r="A78" t="s">
        <v>48</v>
      </c>
      <c r="B78" s="2">
        <v>14</v>
      </c>
      <c r="C78" t="s">
        <v>8</v>
      </c>
      <c r="D78" s="2">
        <v>1000</v>
      </c>
      <c r="E78" s="2" t="s">
        <v>10</v>
      </c>
      <c r="F78">
        <v>1.1260504201680599</v>
      </c>
      <c r="G78" s="2">
        <v>43</v>
      </c>
    </row>
    <row r="79" spans="1:7" x14ac:dyDescent="0.3">
      <c r="A79" t="s">
        <v>48</v>
      </c>
      <c r="B79" s="2">
        <v>14</v>
      </c>
      <c r="C79" t="s">
        <v>8</v>
      </c>
      <c r="D79" s="2">
        <v>2000</v>
      </c>
      <c r="E79" s="2" t="s">
        <v>10</v>
      </c>
      <c r="F79">
        <v>1.3361344537815101</v>
      </c>
      <c r="G79" s="2">
        <v>43</v>
      </c>
    </row>
    <row r="80" spans="1:7" x14ac:dyDescent="0.3">
      <c r="A80" t="s">
        <v>48</v>
      </c>
      <c r="B80" s="2">
        <v>14</v>
      </c>
      <c r="C80" t="s">
        <v>8</v>
      </c>
      <c r="D80" s="2">
        <v>4000</v>
      </c>
      <c r="E80" s="2" t="s">
        <v>10</v>
      </c>
      <c r="F80">
        <v>1.4033613445378099</v>
      </c>
      <c r="G80" s="2">
        <v>43</v>
      </c>
    </row>
    <row r="81" spans="1:7" x14ac:dyDescent="0.3">
      <c r="A81" t="s">
        <v>48</v>
      </c>
      <c r="B81" s="2">
        <v>14</v>
      </c>
      <c r="C81" t="s">
        <v>8</v>
      </c>
      <c r="D81" s="2">
        <v>8000</v>
      </c>
      <c r="E81" s="2" t="s">
        <v>10</v>
      </c>
      <c r="F81">
        <v>1.6218487394957899</v>
      </c>
      <c r="G81" s="2">
        <v>43</v>
      </c>
    </row>
    <row r="82" spans="1:7" x14ac:dyDescent="0.3">
      <c r="A82" t="s">
        <v>50</v>
      </c>
      <c r="B82" s="2">
        <v>14</v>
      </c>
      <c r="C82" t="s">
        <v>8</v>
      </c>
      <c r="D82" s="2">
        <v>1000</v>
      </c>
      <c r="E82" s="2" t="s">
        <v>10</v>
      </c>
      <c r="F82">
        <v>1.20588235294117</v>
      </c>
      <c r="G82" s="2">
        <v>43</v>
      </c>
    </row>
    <row r="83" spans="1:7" x14ac:dyDescent="0.3">
      <c r="A83" t="s">
        <v>50</v>
      </c>
      <c r="B83" s="2">
        <v>14</v>
      </c>
      <c r="C83" t="s">
        <v>8</v>
      </c>
      <c r="D83" s="2">
        <v>2000</v>
      </c>
      <c r="E83" s="2" t="s">
        <v>10</v>
      </c>
      <c r="F83">
        <v>1.3088235294117601</v>
      </c>
      <c r="G83" s="2">
        <v>43</v>
      </c>
    </row>
    <row r="84" spans="1:7" x14ac:dyDescent="0.3">
      <c r="A84" t="s">
        <v>50</v>
      </c>
      <c r="B84" s="2">
        <v>14</v>
      </c>
      <c r="C84" t="s">
        <v>8</v>
      </c>
      <c r="D84" s="2">
        <v>4000</v>
      </c>
      <c r="E84" s="2" t="s">
        <v>10</v>
      </c>
      <c r="F84">
        <v>1.1764705882352899</v>
      </c>
      <c r="G84" s="2">
        <v>43</v>
      </c>
    </row>
    <row r="85" spans="1:7" x14ac:dyDescent="0.3">
      <c r="A85" t="s">
        <v>50</v>
      </c>
      <c r="B85" s="2">
        <v>14</v>
      </c>
      <c r="C85" t="s">
        <v>8</v>
      </c>
      <c r="D85" s="2">
        <v>8000</v>
      </c>
      <c r="E85" s="2" t="s">
        <v>10</v>
      </c>
      <c r="F85">
        <v>1.3529411764705801</v>
      </c>
      <c r="G85" s="2">
        <v>43</v>
      </c>
    </row>
    <row r="86" spans="1:7" x14ac:dyDescent="0.3">
      <c r="A86" t="s">
        <v>48</v>
      </c>
      <c r="B86" s="2">
        <v>14</v>
      </c>
      <c r="C86" t="s">
        <v>8</v>
      </c>
      <c r="D86" s="2">
        <v>1000</v>
      </c>
      <c r="E86" s="2" t="s">
        <v>10</v>
      </c>
      <c r="F86">
        <v>0.97560975609756095</v>
      </c>
      <c r="G86" s="2">
        <v>43</v>
      </c>
    </row>
    <row r="87" spans="1:7" x14ac:dyDescent="0.3">
      <c r="A87" t="s">
        <v>48</v>
      </c>
      <c r="B87" s="2">
        <v>14</v>
      </c>
      <c r="C87" t="s">
        <v>8</v>
      </c>
      <c r="D87" s="2">
        <v>2000</v>
      </c>
      <c r="E87" s="2" t="s">
        <v>10</v>
      </c>
      <c r="F87">
        <v>1.0569105691056899</v>
      </c>
      <c r="G87" s="2">
        <v>43</v>
      </c>
    </row>
    <row r="88" spans="1:7" x14ac:dyDescent="0.3">
      <c r="A88" t="s">
        <v>48</v>
      </c>
      <c r="B88" s="2">
        <v>14</v>
      </c>
      <c r="C88" t="s">
        <v>8</v>
      </c>
      <c r="D88" s="2">
        <v>4000</v>
      </c>
      <c r="E88" s="2" t="s">
        <v>10</v>
      </c>
      <c r="F88">
        <v>1.0487804878048701</v>
      </c>
      <c r="G88" s="2">
        <v>43</v>
      </c>
    </row>
    <row r="89" spans="1:7" x14ac:dyDescent="0.3">
      <c r="A89" t="s">
        <v>48</v>
      </c>
      <c r="B89" s="2">
        <v>14</v>
      </c>
      <c r="C89" t="s">
        <v>8</v>
      </c>
      <c r="D89" s="2">
        <v>8000</v>
      </c>
      <c r="E89" s="2" t="s">
        <v>10</v>
      </c>
      <c r="F89">
        <v>1.6097560975609699</v>
      </c>
      <c r="G89" s="2">
        <v>43</v>
      </c>
    </row>
    <row r="90" spans="1:7" x14ac:dyDescent="0.3">
      <c r="A90" t="s">
        <v>50</v>
      </c>
      <c r="B90" s="2">
        <v>14</v>
      </c>
      <c r="C90" t="s">
        <v>8</v>
      </c>
      <c r="D90" s="2">
        <v>1000</v>
      </c>
      <c r="E90" s="2" t="s">
        <v>10</v>
      </c>
      <c r="F90">
        <v>1.4636363636363601</v>
      </c>
      <c r="G90" s="2">
        <v>43</v>
      </c>
    </row>
    <row r="91" spans="1:7" x14ac:dyDescent="0.3">
      <c r="A91" t="s">
        <v>50</v>
      </c>
      <c r="B91" s="2">
        <v>14</v>
      </c>
      <c r="C91" t="s">
        <v>8</v>
      </c>
      <c r="D91" s="2">
        <v>2000</v>
      </c>
      <c r="E91" s="2" t="s">
        <v>10</v>
      </c>
      <c r="F91">
        <v>1.5454545454545401</v>
      </c>
      <c r="G91" s="2">
        <v>43</v>
      </c>
    </row>
    <row r="92" spans="1:7" x14ac:dyDescent="0.3">
      <c r="A92" t="s">
        <v>50</v>
      </c>
      <c r="B92" s="2">
        <v>14</v>
      </c>
      <c r="C92" t="s">
        <v>8</v>
      </c>
      <c r="D92" s="2">
        <v>4000</v>
      </c>
      <c r="E92" s="2" t="s">
        <v>10</v>
      </c>
      <c r="F92">
        <v>1.8727272727272699</v>
      </c>
      <c r="G92" s="2">
        <v>43</v>
      </c>
    </row>
    <row r="93" spans="1:7" x14ac:dyDescent="0.3">
      <c r="A93" t="s">
        <v>50</v>
      </c>
      <c r="B93" s="2">
        <v>14</v>
      </c>
      <c r="C93" t="s">
        <v>8</v>
      </c>
      <c r="D93" s="2">
        <v>8000</v>
      </c>
      <c r="E93" s="2" t="s">
        <v>10</v>
      </c>
      <c r="F93">
        <v>1.5636363636363599</v>
      </c>
      <c r="G93" s="2">
        <v>43</v>
      </c>
    </row>
    <row r="94" spans="1:7" x14ac:dyDescent="0.3">
      <c r="A94" t="s">
        <v>48</v>
      </c>
      <c r="B94" s="2">
        <v>14</v>
      </c>
      <c r="C94" t="s">
        <v>8</v>
      </c>
      <c r="D94" s="2">
        <v>1000</v>
      </c>
      <c r="E94" s="2" t="s">
        <v>10</v>
      </c>
      <c r="F94">
        <v>1.07792207792207</v>
      </c>
      <c r="G94" s="2">
        <v>43</v>
      </c>
    </row>
    <row r="95" spans="1:7" x14ac:dyDescent="0.3">
      <c r="A95" t="s">
        <v>48</v>
      </c>
      <c r="B95" s="2">
        <v>14</v>
      </c>
      <c r="C95" t="s">
        <v>8</v>
      </c>
      <c r="D95" s="2">
        <v>2000</v>
      </c>
      <c r="E95" s="2" t="s">
        <v>10</v>
      </c>
      <c r="F95">
        <v>0.993506493506493</v>
      </c>
      <c r="G95" s="2">
        <v>43</v>
      </c>
    </row>
    <row r="96" spans="1:7" x14ac:dyDescent="0.3">
      <c r="A96" t="s">
        <v>48</v>
      </c>
      <c r="B96" s="2">
        <v>14</v>
      </c>
      <c r="C96" t="s">
        <v>8</v>
      </c>
      <c r="D96" s="2">
        <v>4000</v>
      </c>
      <c r="E96" s="2" t="s">
        <v>10</v>
      </c>
      <c r="F96">
        <v>0.88961038961038896</v>
      </c>
      <c r="G96" s="2">
        <v>43</v>
      </c>
    </row>
    <row r="97" spans="1:7" x14ac:dyDescent="0.3">
      <c r="A97" t="s">
        <v>48</v>
      </c>
      <c r="B97" s="2">
        <v>14</v>
      </c>
      <c r="C97" t="s">
        <v>8</v>
      </c>
      <c r="D97" s="2">
        <v>8000</v>
      </c>
      <c r="E97" s="2" t="s">
        <v>10</v>
      </c>
      <c r="F97">
        <v>1.1168831168831099</v>
      </c>
      <c r="G97" s="2">
        <v>43</v>
      </c>
    </row>
    <row r="98" spans="1:7" x14ac:dyDescent="0.3">
      <c r="A98" t="s">
        <v>50</v>
      </c>
      <c r="B98" s="2">
        <v>14</v>
      </c>
      <c r="C98" t="s">
        <v>8</v>
      </c>
      <c r="D98" s="2">
        <v>1000</v>
      </c>
      <c r="E98" s="2" t="s">
        <v>10</v>
      </c>
      <c r="F98">
        <v>0.98947368421052595</v>
      </c>
      <c r="G98" s="2">
        <v>43</v>
      </c>
    </row>
    <row r="99" spans="1:7" x14ac:dyDescent="0.3">
      <c r="A99" t="s">
        <v>50</v>
      </c>
      <c r="B99" s="2">
        <v>14</v>
      </c>
      <c r="C99" t="s">
        <v>8</v>
      </c>
      <c r="D99" s="2">
        <v>2000</v>
      </c>
      <c r="E99" s="2" t="s">
        <v>10</v>
      </c>
      <c r="F99">
        <v>0.86842105263157898</v>
      </c>
      <c r="G99" s="2">
        <v>43</v>
      </c>
    </row>
    <row r="100" spans="1:7" x14ac:dyDescent="0.3">
      <c r="A100" t="s">
        <v>50</v>
      </c>
      <c r="B100" s="2">
        <v>14</v>
      </c>
      <c r="C100" t="s">
        <v>8</v>
      </c>
      <c r="D100" s="2">
        <v>4000</v>
      </c>
      <c r="E100" s="2" t="s">
        <v>10</v>
      </c>
      <c r="F100">
        <v>0.95789473684210502</v>
      </c>
      <c r="G100" s="2">
        <v>43</v>
      </c>
    </row>
    <row r="101" spans="1:7" x14ac:dyDescent="0.3">
      <c r="A101" t="s">
        <v>50</v>
      </c>
      <c r="B101" s="2">
        <v>14</v>
      </c>
      <c r="C101" t="s">
        <v>8</v>
      </c>
      <c r="D101" s="2">
        <v>8000</v>
      </c>
      <c r="E101" s="2" t="s">
        <v>10</v>
      </c>
      <c r="F101">
        <v>0.93684210526315703</v>
      </c>
      <c r="G101" s="2">
        <v>43</v>
      </c>
    </row>
    <row r="102" spans="1:7" x14ac:dyDescent="0.3">
      <c r="A102" t="s">
        <v>48</v>
      </c>
      <c r="B102" s="2">
        <v>14</v>
      </c>
      <c r="C102" t="s">
        <v>8</v>
      </c>
      <c r="D102" s="2">
        <v>1000</v>
      </c>
      <c r="E102" s="2" t="s">
        <v>9</v>
      </c>
      <c r="F102">
        <v>1.0457516339869199</v>
      </c>
      <c r="G102" s="2">
        <v>43</v>
      </c>
    </row>
    <row r="103" spans="1:7" x14ac:dyDescent="0.3">
      <c r="A103" t="s">
        <v>48</v>
      </c>
      <c r="B103" s="2">
        <v>14</v>
      </c>
      <c r="C103" t="s">
        <v>8</v>
      </c>
      <c r="D103" s="2">
        <v>2000</v>
      </c>
      <c r="E103" s="2" t="s">
        <v>9</v>
      </c>
      <c r="F103">
        <v>1.1503267973856199</v>
      </c>
      <c r="G103" s="2">
        <v>43</v>
      </c>
    </row>
    <row r="104" spans="1:7" x14ac:dyDescent="0.3">
      <c r="A104" t="s">
        <v>48</v>
      </c>
      <c r="B104" s="2">
        <v>14</v>
      </c>
      <c r="C104" t="s">
        <v>8</v>
      </c>
      <c r="D104" s="2">
        <v>4000</v>
      </c>
      <c r="E104" s="2" t="s">
        <v>9</v>
      </c>
      <c r="F104">
        <v>1.05228758169934</v>
      </c>
      <c r="G104" s="2">
        <v>43</v>
      </c>
    </row>
    <row r="105" spans="1:7" x14ac:dyDescent="0.3">
      <c r="A105" t="s">
        <v>48</v>
      </c>
      <c r="B105" s="2">
        <v>14</v>
      </c>
      <c r="C105" t="s">
        <v>8</v>
      </c>
      <c r="D105" s="2">
        <v>8000</v>
      </c>
      <c r="E105" s="2" t="s">
        <v>9</v>
      </c>
      <c r="F105">
        <v>0.947712418300653</v>
      </c>
      <c r="G105" s="2">
        <v>43</v>
      </c>
    </row>
    <row r="106" spans="1:7" x14ac:dyDescent="0.3">
      <c r="A106" t="s">
        <v>50</v>
      </c>
      <c r="B106" s="2">
        <v>14</v>
      </c>
      <c r="C106" t="s">
        <v>8</v>
      </c>
      <c r="D106" s="2">
        <v>1000</v>
      </c>
      <c r="E106" s="2" t="s">
        <v>9</v>
      </c>
      <c r="F106">
        <v>1.11643835616438</v>
      </c>
      <c r="G106" s="2">
        <v>43</v>
      </c>
    </row>
    <row r="107" spans="1:7" x14ac:dyDescent="0.3">
      <c r="A107" t="s">
        <v>50</v>
      </c>
      <c r="B107" s="2">
        <v>14</v>
      </c>
      <c r="C107" t="s">
        <v>8</v>
      </c>
      <c r="D107" s="2">
        <v>2000</v>
      </c>
      <c r="E107" s="2" t="s">
        <v>9</v>
      </c>
      <c r="F107">
        <v>1.0958904109589001</v>
      </c>
      <c r="G107" s="2">
        <v>43</v>
      </c>
    </row>
    <row r="108" spans="1:7" x14ac:dyDescent="0.3">
      <c r="A108" t="s">
        <v>50</v>
      </c>
      <c r="B108" s="2">
        <v>14</v>
      </c>
      <c r="C108" t="s">
        <v>8</v>
      </c>
      <c r="D108" s="2">
        <v>4000</v>
      </c>
      <c r="E108" s="2" t="s">
        <v>9</v>
      </c>
      <c r="F108">
        <v>1.20547945205479</v>
      </c>
      <c r="G108" s="2">
        <v>43</v>
      </c>
    </row>
    <row r="109" spans="1:7" x14ac:dyDescent="0.3">
      <c r="A109" t="s">
        <v>50</v>
      </c>
      <c r="B109" s="2">
        <v>14</v>
      </c>
      <c r="C109" t="s">
        <v>8</v>
      </c>
      <c r="D109" s="2">
        <v>8000</v>
      </c>
      <c r="E109" s="2" t="s">
        <v>9</v>
      </c>
      <c r="F109">
        <v>1.24657534246575</v>
      </c>
      <c r="G109" s="2">
        <v>43</v>
      </c>
    </row>
    <row r="110" spans="1:7" x14ac:dyDescent="0.3">
      <c r="A110" t="s">
        <v>48</v>
      </c>
      <c r="B110" s="2">
        <v>14</v>
      </c>
      <c r="C110" t="s">
        <v>8</v>
      </c>
      <c r="D110" s="2">
        <v>1000</v>
      </c>
      <c r="E110" s="2" t="s">
        <v>9</v>
      </c>
      <c r="F110">
        <v>1.01136363636363</v>
      </c>
      <c r="G110" s="2">
        <v>43</v>
      </c>
    </row>
    <row r="111" spans="1:7" x14ac:dyDescent="0.3">
      <c r="A111" t="s">
        <v>48</v>
      </c>
      <c r="B111" s="2">
        <v>14</v>
      </c>
      <c r="C111" t="s">
        <v>8</v>
      </c>
      <c r="D111" s="2">
        <v>2000</v>
      </c>
      <c r="E111" s="2" t="s">
        <v>9</v>
      </c>
      <c r="F111">
        <v>1.0909090909090899</v>
      </c>
      <c r="G111" s="2">
        <v>43</v>
      </c>
    </row>
    <row r="112" spans="1:7" x14ac:dyDescent="0.3">
      <c r="A112" t="s">
        <v>48</v>
      </c>
      <c r="B112" s="2">
        <v>14</v>
      </c>
      <c r="C112" t="s">
        <v>8</v>
      </c>
      <c r="D112" s="2">
        <v>4000</v>
      </c>
      <c r="E112" s="2" t="s">
        <v>9</v>
      </c>
      <c r="F112">
        <v>1.0795454545454499</v>
      </c>
      <c r="G112" s="2">
        <v>43</v>
      </c>
    </row>
    <row r="113" spans="1:8" x14ac:dyDescent="0.3">
      <c r="A113" t="s">
        <v>48</v>
      </c>
      <c r="B113" s="2">
        <v>14</v>
      </c>
      <c r="C113" t="s">
        <v>8</v>
      </c>
      <c r="D113" s="2">
        <v>8000</v>
      </c>
      <c r="E113" s="2" t="s">
        <v>9</v>
      </c>
      <c r="F113">
        <v>1.0965909090909001</v>
      </c>
      <c r="G113" s="2">
        <v>43</v>
      </c>
    </row>
    <row r="114" spans="1:8" x14ac:dyDescent="0.3">
      <c r="A114" t="s">
        <v>50</v>
      </c>
      <c r="B114" s="2">
        <v>14</v>
      </c>
      <c r="C114" t="s">
        <v>8</v>
      </c>
      <c r="D114" s="2">
        <v>1000</v>
      </c>
      <c r="E114" s="2" t="s">
        <v>9</v>
      </c>
      <c r="F114">
        <v>0.92822966507176996</v>
      </c>
      <c r="G114" s="2">
        <v>43</v>
      </c>
    </row>
    <row r="115" spans="1:8" x14ac:dyDescent="0.3">
      <c r="A115" t="s">
        <v>50</v>
      </c>
      <c r="B115" s="2">
        <v>14</v>
      </c>
      <c r="C115" t="s">
        <v>8</v>
      </c>
      <c r="D115" s="2">
        <v>2000</v>
      </c>
      <c r="E115" s="2" t="s">
        <v>9</v>
      </c>
      <c r="F115">
        <v>0.82296650717703301</v>
      </c>
      <c r="G115" s="2">
        <v>43</v>
      </c>
    </row>
    <row r="116" spans="1:8" x14ac:dyDescent="0.3">
      <c r="A116" t="s">
        <v>50</v>
      </c>
      <c r="B116" s="2">
        <v>14</v>
      </c>
      <c r="C116" t="s">
        <v>8</v>
      </c>
      <c r="D116" s="2">
        <v>4000</v>
      </c>
      <c r="E116" s="2" t="s">
        <v>9</v>
      </c>
      <c r="F116">
        <v>0.89952153110047794</v>
      </c>
      <c r="G116" s="2">
        <v>43</v>
      </c>
    </row>
    <row r="117" spans="1:8" s="1" customFormat="1" ht="13.9" thickBot="1" x14ac:dyDescent="0.35">
      <c r="A117" s="1" t="s">
        <v>50</v>
      </c>
      <c r="B117" s="3">
        <v>14</v>
      </c>
      <c r="C117" s="1" t="s">
        <v>8</v>
      </c>
      <c r="D117" s="3">
        <v>8000</v>
      </c>
      <c r="E117" s="3" t="s">
        <v>9</v>
      </c>
      <c r="F117" s="1">
        <v>0.89952153110047794</v>
      </c>
      <c r="G117" s="3">
        <v>43</v>
      </c>
      <c r="H117"/>
    </row>
    <row r="118" spans="1:8" x14ac:dyDescent="0.3">
      <c r="A118" t="s">
        <v>69</v>
      </c>
      <c r="B118">
        <v>10</v>
      </c>
      <c r="C118" t="s">
        <v>8</v>
      </c>
      <c r="D118">
        <v>200</v>
      </c>
      <c r="E118" t="s">
        <v>12</v>
      </c>
      <c r="F118">
        <v>1.07</v>
      </c>
      <c r="G118">
        <v>14</v>
      </c>
    </row>
    <row r="119" spans="1:8" x14ac:dyDescent="0.3">
      <c r="A119" t="s">
        <v>69</v>
      </c>
      <c r="B119">
        <v>10</v>
      </c>
      <c r="C119" t="s">
        <v>8</v>
      </c>
      <c r="D119">
        <v>2000</v>
      </c>
      <c r="E119" t="s">
        <v>12</v>
      </c>
      <c r="F119">
        <v>0.9</v>
      </c>
      <c r="G119">
        <v>14</v>
      </c>
    </row>
    <row r="120" spans="1:8" x14ac:dyDescent="0.3">
      <c r="A120" t="s">
        <v>69</v>
      </c>
      <c r="B120">
        <v>10</v>
      </c>
      <c r="C120" t="s">
        <v>8</v>
      </c>
      <c r="D120">
        <v>10000</v>
      </c>
      <c r="E120" t="s">
        <v>12</v>
      </c>
      <c r="F120">
        <v>1.06</v>
      </c>
      <c r="G120">
        <v>14</v>
      </c>
    </row>
    <row r="121" spans="1:8" x14ac:dyDescent="0.3">
      <c r="A121" t="s">
        <v>69</v>
      </c>
      <c r="B121">
        <v>10</v>
      </c>
      <c r="C121" t="s">
        <v>8</v>
      </c>
      <c r="D121">
        <v>40000</v>
      </c>
      <c r="E121" t="s">
        <v>12</v>
      </c>
      <c r="F121">
        <v>0.6</v>
      </c>
      <c r="G121">
        <v>14</v>
      </c>
    </row>
    <row r="122" spans="1:8" x14ac:dyDescent="0.3">
      <c r="A122" t="s">
        <v>69</v>
      </c>
      <c r="B122">
        <v>10</v>
      </c>
      <c r="C122" t="s">
        <v>11</v>
      </c>
      <c r="D122">
        <v>200</v>
      </c>
      <c r="E122" t="s">
        <v>12</v>
      </c>
      <c r="F122">
        <v>1.02</v>
      </c>
      <c r="G122">
        <v>14</v>
      </c>
    </row>
    <row r="123" spans="1:8" x14ac:dyDescent="0.3">
      <c r="A123" t="s">
        <v>69</v>
      </c>
      <c r="B123">
        <v>10</v>
      </c>
      <c r="C123" t="s">
        <v>11</v>
      </c>
      <c r="D123">
        <v>2000</v>
      </c>
      <c r="E123" t="s">
        <v>12</v>
      </c>
      <c r="F123">
        <v>0.96</v>
      </c>
      <c r="G123">
        <v>14</v>
      </c>
    </row>
    <row r="124" spans="1:8" x14ac:dyDescent="0.3">
      <c r="A124" t="s">
        <v>69</v>
      </c>
      <c r="B124">
        <v>10</v>
      </c>
      <c r="C124" t="s">
        <v>11</v>
      </c>
      <c r="D124">
        <v>10000</v>
      </c>
      <c r="E124" t="s">
        <v>12</v>
      </c>
      <c r="F124">
        <v>0.99</v>
      </c>
      <c r="G124">
        <v>14</v>
      </c>
    </row>
    <row r="125" spans="1:8" x14ac:dyDescent="0.3">
      <c r="A125" t="s">
        <v>69</v>
      </c>
      <c r="B125">
        <v>10</v>
      </c>
      <c r="C125" t="s">
        <v>11</v>
      </c>
      <c r="D125">
        <v>40000</v>
      </c>
      <c r="E125" t="s">
        <v>12</v>
      </c>
      <c r="F125">
        <v>0.62</v>
      </c>
      <c r="G125">
        <v>14</v>
      </c>
    </row>
    <row r="126" spans="1:8" x14ac:dyDescent="0.3">
      <c r="A126" t="s">
        <v>50</v>
      </c>
      <c r="B126">
        <v>10</v>
      </c>
      <c r="C126" t="s">
        <v>8</v>
      </c>
      <c r="D126">
        <v>200</v>
      </c>
      <c r="E126" t="s">
        <v>12</v>
      </c>
      <c r="F126">
        <v>0.85</v>
      </c>
      <c r="G126">
        <v>14</v>
      </c>
    </row>
    <row r="127" spans="1:8" x14ac:dyDescent="0.3">
      <c r="A127" t="s">
        <v>50</v>
      </c>
      <c r="B127">
        <v>10</v>
      </c>
      <c r="C127" t="s">
        <v>8</v>
      </c>
      <c r="D127">
        <v>2000</v>
      </c>
      <c r="E127" t="s">
        <v>12</v>
      </c>
      <c r="F127">
        <v>0.76</v>
      </c>
      <c r="G127">
        <v>14</v>
      </c>
    </row>
    <row r="128" spans="1:8" x14ac:dyDescent="0.3">
      <c r="A128" t="s">
        <v>50</v>
      </c>
      <c r="B128">
        <v>10</v>
      </c>
      <c r="C128" t="s">
        <v>8</v>
      </c>
      <c r="D128">
        <v>10000</v>
      </c>
      <c r="E128" t="s">
        <v>12</v>
      </c>
      <c r="F128">
        <v>0.74</v>
      </c>
      <c r="G128">
        <v>14</v>
      </c>
    </row>
    <row r="129" spans="1:7" x14ac:dyDescent="0.3">
      <c r="A129" t="s">
        <v>50</v>
      </c>
      <c r="B129">
        <v>10</v>
      </c>
      <c r="C129" t="s">
        <v>8</v>
      </c>
      <c r="D129">
        <v>40000</v>
      </c>
      <c r="E129" t="s">
        <v>12</v>
      </c>
      <c r="F129">
        <v>0.755</v>
      </c>
      <c r="G129">
        <v>14</v>
      </c>
    </row>
    <row r="130" spans="1:7" x14ac:dyDescent="0.3">
      <c r="A130" t="s">
        <v>50</v>
      </c>
      <c r="B130">
        <v>10</v>
      </c>
      <c r="C130" t="s">
        <v>11</v>
      </c>
      <c r="D130">
        <v>200</v>
      </c>
      <c r="E130" t="s">
        <v>12</v>
      </c>
      <c r="F130">
        <v>0.92</v>
      </c>
      <c r="G130">
        <v>14</v>
      </c>
    </row>
    <row r="131" spans="1:7" x14ac:dyDescent="0.3">
      <c r="A131" t="s">
        <v>50</v>
      </c>
      <c r="B131">
        <v>10</v>
      </c>
      <c r="C131" t="s">
        <v>11</v>
      </c>
      <c r="D131">
        <v>2000</v>
      </c>
      <c r="E131" t="s">
        <v>12</v>
      </c>
      <c r="F131">
        <v>0.93</v>
      </c>
      <c r="G131">
        <v>14</v>
      </c>
    </row>
    <row r="132" spans="1:7" x14ac:dyDescent="0.3">
      <c r="A132" t="s">
        <v>50</v>
      </c>
      <c r="B132">
        <v>10</v>
      </c>
      <c r="C132" t="s">
        <v>11</v>
      </c>
      <c r="D132">
        <v>10000</v>
      </c>
      <c r="E132" t="s">
        <v>12</v>
      </c>
      <c r="F132">
        <v>0.73</v>
      </c>
      <c r="G132">
        <v>14</v>
      </c>
    </row>
    <row r="133" spans="1:7" x14ac:dyDescent="0.3">
      <c r="A133" t="s">
        <v>50</v>
      </c>
      <c r="B133">
        <v>10</v>
      </c>
      <c r="C133" t="s">
        <v>11</v>
      </c>
      <c r="D133">
        <v>40000</v>
      </c>
      <c r="E133" t="s">
        <v>12</v>
      </c>
      <c r="F133">
        <v>0.74</v>
      </c>
      <c r="G133">
        <v>14</v>
      </c>
    </row>
    <row r="134" spans="1:7" x14ac:dyDescent="0.3">
      <c r="A134" t="s">
        <v>70</v>
      </c>
      <c r="B134">
        <v>10</v>
      </c>
      <c r="C134" t="s">
        <v>8</v>
      </c>
      <c r="D134">
        <v>200</v>
      </c>
      <c r="E134" t="s">
        <v>12</v>
      </c>
      <c r="F134">
        <v>0.94</v>
      </c>
      <c r="G134">
        <v>14</v>
      </c>
    </row>
    <row r="135" spans="1:7" x14ac:dyDescent="0.3">
      <c r="A135" t="s">
        <v>70</v>
      </c>
      <c r="B135">
        <v>10</v>
      </c>
      <c r="C135" t="s">
        <v>8</v>
      </c>
      <c r="D135">
        <v>2000</v>
      </c>
      <c r="E135" t="s">
        <v>12</v>
      </c>
      <c r="F135">
        <v>0.92</v>
      </c>
      <c r="G135">
        <v>14</v>
      </c>
    </row>
    <row r="136" spans="1:7" x14ac:dyDescent="0.3">
      <c r="A136" t="s">
        <v>70</v>
      </c>
      <c r="B136">
        <v>10</v>
      </c>
      <c r="C136" t="s">
        <v>8</v>
      </c>
      <c r="D136">
        <v>10000</v>
      </c>
      <c r="E136" t="s">
        <v>12</v>
      </c>
      <c r="F136">
        <v>0.755</v>
      </c>
      <c r="G136">
        <v>14</v>
      </c>
    </row>
    <row r="137" spans="1:7" x14ac:dyDescent="0.3">
      <c r="A137" t="s">
        <v>70</v>
      </c>
      <c r="B137">
        <v>10</v>
      </c>
      <c r="C137" t="s">
        <v>8</v>
      </c>
      <c r="D137">
        <v>40000</v>
      </c>
      <c r="E137" t="s">
        <v>12</v>
      </c>
      <c r="F137">
        <v>0.5</v>
      </c>
      <c r="G137">
        <v>14</v>
      </c>
    </row>
    <row r="138" spans="1:7" x14ac:dyDescent="0.3">
      <c r="A138" t="s">
        <v>70</v>
      </c>
      <c r="B138">
        <v>10</v>
      </c>
      <c r="C138" t="s">
        <v>11</v>
      </c>
      <c r="D138">
        <v>200</v>
      </c>
      <c r="E138" t="s">
        <v>12</v>
      </c>
      <c r="F138">
        <v>1.1000000000000001</v>
      </c>
      <c r="G138">
        <v>14</v>
      </c>
    </row>
    <row r="139" spans="1:7" x14ac:dyDescent="0.3">
      <c r="A139" t="s">
        <v>70</v>
      </c>
      <c r="B139">
        <v>10</v>
      </c>
      <c r="C139" t="s">
        <v>11</v>
      </c>
      <c r="D139">
        <v>2000</v>
      </c>
      <c r="E139" t="s">
        <v>12</v>
      </c>
      <c r="F139">
        <v>0.94</v>
      </c>
      <c r="G139">
        <v>14</v>
      </c>
    </row>
    <row r="140" spans="1:7" x14ac:dyDescent="0.3">
      <c r="A140" t="s">
        <v>70</v>
      </c>
      <c r="B140">
        <v>10</v>
      </c>
      <c r="C140" t="s">
        <v>11</v>
      </c>
      <c r="D140">
        <v>10000</v>
      </c>
      <c r="E140" t="s">
        <v>12</v>
      </c>
      <c r="F140">
        <v>0.71</v>
      </c>
      <c r="G140">
        <v>14</v>
      </c>
    </row>
    <row r="141" spans="1:7" x14ac:dyDescent="0.3">
      <c r="A141" t="s">
        <v>70</v>
      </c>
      <c r="B141">
        <v>10</v>
      </c>
      <c r="C141" t="s">
        <v>11</v>
      </c>
      <c r="D141">
        <v>40000</v>
      </c>
      <c r="E141" t="s">
        <v>12</v>
      </c>
      <c r="F141">
        <v>0.51</v>
      </c>
      <c r="G141">
        <v>14</v>
      </c>
    </row>
    <row r="142" spans="1:7" x14ac:dyDescent="0.3">
      <c r="A142" t="s">
        <v>71</v>
      </c>
      <c r="B142">
        <v>10</v>
      </c>
      <c r="C142" t="s">
        <v>8</v>
      </c>
      <c r="D142">
        <v>200</v>
      </c>
      <c r="E142" t="s">
        <v>12</v>
      </c>
      <c r="F142">
        <v>0.97</v>
      </c>
      <c r="G142">
        <v>14</v>
      </c>
    </row>
    <row r="143" spans="1:7" x14ac:dyDescent="0.3">
      <c r="A143" t="s">
        <v>71</v>
      </c>
      <c r="B143">
        <v>10</v>
      </c>
      <c r="C143" t="s">
        <v>8</v>
      </c>
      <c r="D143">
        <v>2000</v>
      </c>
      <c r="E143" t="s">
        <v>12</v>
      </c>
      <c r="F143">
        <v>0.64</v>
      </c>
      <c r="G143">
        <v>14</v>
      </c>
    </row>
    <row r="144" spans="1:7" x14ac:dyDescent="0.3">
      <c r="A144" t="s">
        <v>71</v>
      </c>
      <c r="B144">
        <v>10</v>
      </c>
      <c r="C144" t="s">
        <v>8</v>
      </c>
      <c r="D144">
        <v>10000</v>
      </c>
      <c r="E144" t="s">
        <v>12</v>
      </c>
      <c r="F144">
        <v>0.28999999999999998</v>
      </c>
      <c r="G144">
        <v>14</v>
      </c>
    </row>
    <row r="145" spans="1:7" x14ac:dyDescent="0.3">
      <c r="A145" t="s">
        <v>71</v>
      </c>
      <c r="B145">
        <v>10</v>
      </c>
      <c r="C145" t="s">
        <v>8</v>
      </c>
      <c r="D145">
        <v>40000</v>
      </c>
      <c r="E145" t="s">
        <v>12</v>
      </c>
      <c r="F145">
        <v>0.33</v>
      </c>
      <c r="G145">
        <v>14</v>
      </c>
    </row>
    <row r="146" spans="1:7" x14ac:dyDescent="0.3">
      <c r="A146" t="s">
        <v>71</v>
      </c>
      <c r="B146">
        <v>10</v>
      </c>
      <c r="C146" t="s">
        <v>11</v>
      </c>
      <c r="D146">
        <v>200</v>
      </c>
      <c r="E146" t="s">
        <v>12</v>
      </c>
      <c r="F146">
        <v>0.6</v>
      </c>
      <c r="G146">
        <v>14</v>
      </c>
    </row>
    <row r="147" spans="1:7" x14ac:dyDescent="0.3">
      <c r="A147" t="s">
        <v>71</v>
      </c>
      <c r="B147">
        <v>10</v>
      </c>
      <c r="C147" t="s">
        <v>11</v>
      </c>
      <c r="D147">
        <v>2000</v>
      </c>
      <c r="E147" t="s">
        <v>12</v>
      </c>
      <c r="F147">
        <v>0.71</v>
      </c>
      <c r="G147">
        <v>14</v>
      </c>
    </row>
    <row r="148" spans="1:7" x14ac:dyDescent="0.3">
      <c r="A148" t="s">
        <v>71</v>
      </c>
      <c r="B148">
        <v>10</v>
      </c>
      <c r="C148" t="s">
        <v>11</v>
      </c>
      <c r="D148">
        <v>10000</v>
      </c>
      <c r="E148" t="s">
        <v>12</v>
      </c>
      <c r="F148">
        <v>0.27</v>
      </c>
      <c r="G148">
        <v>14</v>
      </c>
    </row>
    <row r="149" spans="1:7" x14ac:dyDescent="0.3">
      <c r="A149" t="s">
        <v>71</v>
      </c>
      <c r="B149">
        <v>10</v>
      </c>
      <c r="C149" t="s">
        <v>11</v>
      </c>
      <c r="D149">
        <v>40000</v>
      </c>
      <c r="E149" t="s">
        <v>12</v>
      </c>
      <c r="F149">
        <v>0.3</v>
      </c>
      <c r="G149">
        <v>14</v>
      </c>
    </row>
    <row r="150" spans="1:7" x14ac:dyDescent="0.3">
      <c r="A150" t="s">
        <v>69</v>
      </c>
      <c r="B150">
        <v>10</v>
      </c>
      <c r="C150" t="s">
        <v>8</v>
      </c>
      <c r="D150">
        <v>200</v>
      </c>
      <c r="E150" t="s">
        <v>12</v>
      </c>
      <c r="F150">
        <v>0.91</v>
      </c>
      <c r="G150">
        <v>14</v>
      </c>
    </row>
    <row r="151" spans="1:7" x14ac:dyDescent="0.3">
      <c r="A151" t="s">
        <v>69</v>
      </c>
      <c r="B151">
        <v>10</v>
      </c>
      <c r="C151" t="s">
        <v>8</v>
      </c>
      <c r="D151">
        <v>2000</v>
      </c>
      <c r="E151" t="s">
        <v>12</v>
      </c>
      <c r="F151">
        <v>1</v>
      </c>
      <c r="G151">
        <v>14</v>
      </c>
    </row>
    <row r="152" spans="1:7" x14ac:dyDescent="0.3">
      <c r="A152" t="s">
        <v>69</v>
      </c>
      <c r="B152">
        <v>10</v>
      </c>
      <c r="C152" t="s">
        <v>8</v>
      </c>
      <c r="D152">
        <v>10000</v>
      </c>
      <c r="E152" t="s">
        <v>12</v>
      </c>
      <c r="F152">
        <v>0.97499999999999998</v>
      </c>
      <c r="G152">
        <v>14</v>
      </c>
    </row>
    <row r="153" spans="1:7" x14ac:dyDescent="0.3">
      <c r="A153" t="s">
        <v>69</v>
      </c>
      <c r="B153">
        <v>10</v>
      </c>
      <c r="C153" t="s">
        <v>8</v>
      </c>
      <c r="D153">
        <v>40000</v>
      </c>
      <c r="E153" t="s">
        <v>12</v>
      </c>
      <c r="F153">
        <v>0.98499999999999999</v>
      </c>
      <c r="G153">
        <v>14</v>
      </c>
    </row>
    <row r="154" spans="1:7" x14ac:dyDescent="0.3">
      <c r="A154" t="s">
        <v>69</v>
      </c>
      <c r="B154">
        <v>10</v>
      </c>
      <c r="C154" t="s">
        <v>11</v>
      </c>
      <c r="D154">
        <v>200</v>
      </c>
      <c r="E154" t="s">
        <v>12</v>
      </c>
      <c r="F154">
        <v>0.95499999999999996</v>
      </c>
      <c r="G154">
        <v>14</v>
      </c>
    </row>
    <row r="155" spans="1:7" x14ac:dyDescent="0.3">
      <c r="A155" t="s">
        <v>69</v>
      </c>
      <c r="B155">
        <v>10</v>
      </c>
      <c r="C155" t="s">
        <v>11</v>
      </c>
      <c r="D155">
        <v>2000</v>
      </c>
      <c r="E155" t="s">
        <v>12</v>
      </c>
      <c r="F155">
        <v>0.96499999999999997</v>
      </c>
      <c r="G155">
        <v>14</v>
      </c>
    </row>
    <row r="156" spans="1:7" x14ac:dyDescent="0.3">
      <c r="A156" t="s">
        <v>69</v>
      </c>
      <c r="B156">
        <v>10</v>
      </c>
      <c r="C156" t="s">
        <v>11</v>
      </c>
      <c r="D156">
        <v>10000</v>
      </c>
      <c r="E156" t="s">
        <v>12</v>
      </c>
      <c r="F156">
        <v>0.98</v>
      </c>
      <c r="G156">
        <v>14</v>
      </c>
    </row>
    <row r="157" spans="1:7" x14ac:dyDescent="0.3">
      <c r="A157" t="s">
        <v>69</v>
      </c>
      <c r="B157">
        <v>10</v>
      </c>
      <c r="C157" t="s">
        <v>11</v>
      </c>
      <c r="D157">
        <v>40000</v>
      </c>
      <c r="E157" t="s">
        <v>12</v>
      </c>
      <c r="F157">
        <v>1.0049999999999999</v>
      </c>
      <c r="G157">
        <v>14</v>
      </c>
    </row>
    <row r="158" spans="1:7" x14ac:dyDescent="0.3">
      <c r="A158" t="s">
        <v>50</v>
      </c>
      <c r="B158">
        <v>10</v>
      </c>
      <c r="C158" t="s">
        <v>8</v>
      </c>
      <c r="D158">
        <v>200</v>
      </c>
      <c r="E158" t="s">
        <v>12</v>
      </c>
      <c r="F158">
        <v>1</v>
      </c>
      <c r="G158">
        <v>14</v>
      </c>
    </row>
    <row r="159" spans="1:7" x14ac:dyDescent="0.3">
      <c r="A159" t="s">
        <v>50</v>
      </c>
      <c r="B159">
        <v>10</v>
      </c>
      <c r="C159" t="s">
        <v>8</v>
      </c>
      <c r="D159">
        <v>2000</v>
      </c>
      <c r="E159" t="s">
        <v>12</v>
      </c>
      <c r="F159">
        <v>0.98</v>
      </c>
      <c r="G159">
        <v>14</v>
      </c>
    </row>
    <row r="160" spans="1:7" x14ac:dyDescent="0.3">
      <c r="A160" t="s">
        <v>50</v>
      </c>
      <c r="B160">
        <v>10</v>
      </c>
      <c r="C160" t="s">
        <v>8</v>
      </c>
      <c r="D160">
        <v>10000</v>
      </c>
      <c r="E160" t="s">
        <v>12</v>
      </c>
      <c r="F160">
        <v>0.98</v>
      </c>
      <c r="G160">
        <v>14</v>
      </c>
    </row>
    <row r="161" spans="1:7" x14ac:dyDescent="0.3">
      <c r="A161" t="s">
        <v>50</v>
      </c>
      <c r="B161">
        <v>10</v>
      </c>
      <c r="C161" t="s">
        <v>8</v>
      </c>
      <c r="D161">
        <v>40000</v>
      </c>
      <c r="E161" t="s">
        <v>12</v>
      </c>
      <c r="F161">
        <v>0.89</v>
      </c>
      <c r="G161">
        <v>14</v>
      </c>
    </row>
    <row r="162" spans="1:7" x14ac:dyDescent="0.3">
      <c r="A162" t="s">
        <v>50</v>
      </c>
      <c r="B162">
        <v>10</v>
      </c>
      <c r="C162" t="s">
        <v>11</v>
      </c>
      <c r="D162">
        <v>200</v>
      </c>
      <c r="E162" t="s">
        <v>12</v>
      </c>
      <c r="F162">
        <v>1</v>
      </c>
      <c r="G162">
        <v>14</v>
      </c>
    </row>
    <row r="163" spans="1:7" x14ac:dyDescent="0.3">
      <c r="A163" t="s">
        <v>50</v>
      </c>
      <c r="B163">
        <v>10</v>
      </c>
      <c r="C163" t="s">
        <v>11</v>
      </c>
      <c r="D163">
        <v>2000</v>
      </c>
      <c r="E163" t="s">
        <v>12</v>
      </c>
      <c r="F163">
        <v>0.96</v>
      </c>
      <c r="G163">
        <v>14</v>
      </c>
    </row>
    <row r="164" spans="1:7" x14ac:dyDescent="0.3">
      <c r="A164" t="s">
        <v>50</v>
      </c>
      <c r="B164">
        <v>10</v>
      </c>
      <c r="C164" t="s">
        <v>11</v>
      </c>
      <c r="D164">
        <v>10000</v>
      </c>
      <c r="E164" t="s">
        <v>12</v>
      </c>
      <c r="F164">
        <v>1</v>
      </c>
      <c r="G164">
        <v>14</v>
      </c>
    </row>
    <row r="165" spans="1:7" x14ac:dyDescent="0.3">
      <c r="A165" t="s">
        <v>50</v>
      </c>
      <c r="B165">
        <v>10</v>
      </c>
      <c r="C165" t="s">
        <v>11</v>
      </c>
      <c r="D165">
        <v>40000</v>
      </c>
      <c r="E165" t="s">
        <v>12</v>
      </c>
      <c r="F165">
        <v>0.95</v>
      </c>
      <c r="G165">
        <v>14</v>
      </c>
    </row>
    <row r="166" spans="1:7" x14ac:dyDescent="0.3">
      <c r="A166" t="s">
        <v>70</v>
      </c>
      <c r="B166">
        <v>10</v>
      </c>
      <c r="C166" t="s">
        <v>8</v>
      </c>
      <c r="D166">
        <v>200</v>
      </c>
      <c r="E166" t="s">
        <v>12</v>
      </c>
      <c r="F166">
        <v>0.95</v>
      </c>
      <c r="G166">
        <v>14</v>
      </c>
    </row>
    <row r="167" spans="1:7" x14ac:dyDescent="0.3">
      <c r="A167" t="s">
        <v>70</v>
      </c>
      <c r="B167">
        <v>10</v>
      </c>
      <c r="C167" t="s">
        <v>8</v>
      </c>
      <c r="D167">
        <v>2000</v>
      </c>
      <c r="E167" t="s">
        <v>12</v>
      </c>
      <c r="F167">
        <v>1</v>
      </c>
      <c r="G167">
        <v>14</v>
      </c>
    </row>
    <row r="168" spans="1:7" x14ac:dyDescent="0.3">
      <c r="A168" t="s">
        <v>70</v>
      </c>
      <c r="B168">
        <v>10</v>
      </c>
      <c r="C168" t="s">
        <v>8</v>
      </c>
      <c r="D168">
        <v>10000</v>
      </c>
      <c r="E168" t="s">
        <v>12</v>
      </c>
      <c r="F168">
        <v>0.88</v>
      </c>
      <c r="G168">
        <v>14</v>
      </c>
    </row>
    <row r="169" spans="1:7" x14ac:dyDescent="0.3">
      <c r="A169" t="s">
        <v>70</v>
      </c>
      <c r="B169">
        <v>10</v>
      </c>
      <c r="C169" t="s">
        <v>8</v>
      </c>
      <c r="D169">
        <v>40000</v>
      </c>
      <c r="E169" t="s">
        <v>12</v>
      </c>
      <c r="F169">
        <v>0.98</v>
      </c>
      <c r="G169">
        <v>14</v>
      </c>
    </row>
    <row r="170" spans="1:7" x14ac:dyDescent="0.3">
      <c r="A170" t="s">
        <v>70</v>
      </c>
      <c r="B170">
        <v>10</v>
      </c>
      <c r="C170" t="s">
        <v>11</v>
      </c>
      <c r="D170">
        <v>200</v>
      </c>
      <c r="E170" t="s">
        <v>12</v>
      </c>
      <c r="F170">
        <v>1.0015000000000001</v>
      </c>
      <c r="G170">
        <v>14</v>
      </c>
    </row>
    <row r="171" spans="1:7" x14ac:dyDescent="0.3">
      <c r="A171" t="s">
        <v>70</v>
      </c>
      <c r="B171">
        <v>10</v>
      </c>
      <c r="C171" t="s">
        <v>11</v>
      </c>
      <c r="D171">
        <v>2000</v>
      </c>
      <c r="E171" t="s">
        <v>12</v>
      </c>
      <c r="F171">
        <v>1</v>
      </c>
      <c r="G171">
        <v>14</v>
      </c>
    </row>
    <row r="172" spans="1:7" x14ac:dyDescent="0.3">
      <c r="A172" t="s">
        <v>70</v>
      </c>
      <c r="B172">
        <v>10</v>
      </c>
      <c r="C172" t="s">
        <v>11</v>
      </c>
      <c r="D172">
        <v>10000</v>
      </c>
      <c r="E172" t="s">
        <v>12</v>
      </c>
      <c r="F172">
        <v>0.99</v>
      </c>
      <c r="G172">
        <v>14</v>
      </c>
    </row>
    <row r="173" spans="1:7" x14ac:dyDescent="0.3">
      <c r="A173" t="s">
        <v>70</v>
      </c>
      <c r="B173">
        <v>10</v>
      </c>
      <c r="C173" t="s">
        <v>11</v>
      </c>
      <c r="D173">
        <v>40000</v>
      </c>
      <c r="E173" t="s">
        <v>12</v>
      </c>
      <c r="F173">
        <v>1.01</v>
      </c>
      <c r="G173">
        <v>14</v>
      </c>
    </row>
    <row r="174" spans="1:7" x14ac:dyDescent="0.3">
      <c r="A174" t="s">
        <v>71</v>
      </c>
      <c r="B174">
        <v>10</v>
      </c>
      <c r="C174" t="s">
        <v>8</v>
      </c>
      <c r="D174">
        <v>200</v>
      </c>
      <c r="E174" t="s">
        <v>12</v>
      </c>
      <c r="F174">
        <v>0.99</v>
      </c>
      <c r="G174">
        <v>14</v>
      </c>
    </row>
    <row r="175" spans="1:7" x14ac:dyDescent="0.3">
      <c r="A175" t="s">
        <v>71</v>
      </c>
      <c r="B175">
        <v>10</v>
      </c>
      <c r="C175" t="s">
        <v>8</v>
      </c>
      <c r="D175">
        <v>2000</v>
      </c>
      <c r="E175" t="s">
        <v>12</v>
      </c>
      <c r="F175">
        <v>1.0009999999999999</v>
      </c>
      <c r="G175">
        <v>14</v>
      </c>
    </row>
    <row r="176" spans="1:7" x14ac:dyDescent="0.3">
      <c r="A176" t="s">
        <v>71</v>
      </c>
      <c r="B176">
        <v>10</v>
      </c>
      <c r="C176" t="s">
        <v>8</v>
      </c>
      <c r="D176">
        <v>10000</v>
      </c>
      <c r="E176" t="s">
        <v>12</v>
      </c>
      <c r="F176">
        <v>0.88</v>
      </c>
      <c r="G176">
        <v>14</v>
      </c>
    </row>
    <row r="177" spans="1:7" x14ac:dyDescent="0.3">
      <c r="A177" t="s">
        <v>71</v>
      </c>
      <c r="B177">
        <v>10</v>
      </c>
      <c r="C177" t="s">
        <v>8</v>
      </c>
      <c r="D177">
        <v>40000</v>
      </c>
      <c r="E177" t="s">
        <v>12</v>
      </c>
      <c r="F177">
        <v>0.98</v>
      </c>
      <c r="G177">
        <v>14</v>
      </c>
    </row>
    <row r="178" spans="1:7" x14ac:dyDescent="0.3">
      <c r="A178" t="s">
        <v>71</v>
      </c>
      <c r="B178">
        <v>10</v>
      </c>
      <c r="C178" t="s">
        <v>11</v>
      </c>
      <c r="D178">
        <v>200</v>
      </c>
      <c r="E178" t="s">
        <v>12</v>
      </c>
      <c r="F178">
        <v>1.0004999999999999</v>
      </c>
      <c r="G178">
        <v>14</v>
      </c>
    </row>
    <row r="179" spans="1:7" x14ac:dyDescent="0.3">
      <c r="A179" t="s">
        <v>71</v>
      </c>
      <c r="B179">
        <v>10</v>
      </c>
      <c r="C179" t="s">
        <v>11</v>
      </c>
      <c r="D179">
        <v>2000</v>
      </c>
      <c r="E179" t="s">
        <v>12</v>
      </c>
      <c r="F179">
        <v>1</v>
      </c>
      <c r="G179">
        <v>14</v>
      </c>
    </row>
    <row r="180" spans="1:7" x14ac:dyDescent="0.3">
      <c r="A180" t="s">
        <v>71</v>
      </c>
      <c r="B180">
        <v>10</v>
      </c>
      <c r="C180" t="s">
        <v>11</v>
      </c>
      <c r="D180">
        <v>10000</v>
      </c>
      <c r="E180" t="s">
        <v>12</v>
      </c>
      <c r="F180">
        <v>1.0149999999999999</v>
      </c>
      <c r="G180">
        <v>14</v>
      </c>
    </row>
    <row r="181" spans="1:7" x14ac:dyDescent="0.3">
      <c r="A181" t="s">
        <v>71</v>
      </c>
      <c r="B181">
        <v>10</v>
      </c>
      <c r="C181" t="s">
        <v>11</v>
      </c>
      <c r="D181">
        <v>40000</v>
      </c>
      <c r="E181" t="s">
        <v>12</v>
      </c>
      <c r="F181">
        <v>0.99</v>
      </c>
      <c r="G181">
        <v>14</v>
      </c>
    </row>
    <row r="182" spans="1:7" x14ac:dyDescent="0.3">
      <c r="A182" t="s">
        <v>72</v>
      </c>
      <c r="B182">
        <v>14</v>
      </c>
      <c r="C182" t="s">
        <v>11</v>
      </c>
      <c r="D182">
        <v>1000</v>
      </c>
      <c r="E182" t="s">
        <v>12</v>
      </c>
      <c r="F182">
        <v>0.83870967699999999</v>
      </c>
      <c r="G182">
        <v>15</v>
      </c>
    </row>
    <row r="183" spans="1:7" x14ac:dyDescent="0.3">
      <c r="A183" t="s">
        <v>72</v>
      </c>
      <c r="B183">
        <v>14</v>
      </c>
      <c r="C183" t="s">
        <v>11</v>
      </c>
      <c r="D183">
        <v>5000</v>
      </c>
      <c r="E183" t="s">
        <v>12</v>
      </c>
      <c r="F183">
        <v>0.82258064500000005</v>
      </c>
      <c r="G183">
        <v>15</v>
      </c>
    </row>
    <row r="184" spans="1:7" x14ac:dyDescent="0.3">
      <c r="A184" t="s">
        <v>72</v>
      </c>
      <c r="B184">
        <v>14</v>
      </c>
      <c r="C184" t="s">
        <v>11</v>
      </c>
      <c r="D184">
        <v>10000</v>
      </c>
      <c r="E184" t="s">
        <v>12</v>
      </c>
      <c r="F184">
        <v>0.77419354799999995</v>
      </c>
      <c r="G184">
        <v>15</v>
      </c>
    </row>
    <row r="185" spans="1:7" x14ac:dyDescent="0.3">
      <c r="A185" t="s">
        <v>72</v>
      </c>
      <c r="B185">
        <v>14</v>
      </c>
      <c r="C185" t="s">
        <v>11</v>
      </c>
      <c r="D185">
        <v>25000</v>
      </c>
      <c r="E185" t="s">
        <v>12</v>
      </c>
      <c r="F185">
        <v>0.76129032299999999</v>
      </c>
      <c r="G185">
        <v>15</v>
      </c>
    </row>
    <row r="186" spans="1:7" x14ac:dyDescent="0.3">
      <c r="A186" t="s">
        <v>72</v>
      </c>
      <c r="B186">
        <v>14</v>
      </c>
      <c r="C186" t="s">
        <v>11</v>
      </c>
      <c r="D186">
        <v>40000</v>
      </c>
      <c r="E186" t="s">
        <v>12</v>
      </c>
      <c r="F186">
        <v>0.74193548399999998</v>
      </c>
      <c r="G186">
        <v>15</v>
      </c>
    </row>
    <row r="187" spans="1:7" x14ac:dyDescent="0.3">
      <c r="A187" t="s">
        <v>72</v>
      </c>
      <c r="B187">
        <v>14</v>
      </c>
      <c r="C187" t="s">
        <v>11</v>
      </c>
      <c r="D187">
        <v>50000</v>
      </c>
      <c r="E187" t="s">
        <v>12</v>
      </c>
      <c r="F187">
        <v>0.72580645200000005</v>
      </c>
      <c r="G187">
        <v>15</v>
      </c>
    </row>
    <row r="188" spans="1:7" x14ac:dyDescent="0.3">
      <c r="A188" t="s">
        <v>73</v>
      </c>
      <c r="B188">
        <v>14</v>
      </c>
      <c r="C188" t="s">
        <v>11</v>
      </c>
      <c r="D188">
        <v>1000</v>
      </c>
      <c r="E188" t="s">
        <v>12</v>
      </c>
      <c r="F188">
        <v>0.48387096800000001</v>
      </c>
      <c r="G188">
        <v>15</v>
      </c>
    </row>
    <row r="189" spans="1:7" x14ac:dyDescent="0.3">
      <c r="A189" t="s">
        <v>73</v>
      </c>
      <c r="B189">
        <v>14</v>
      </c>
      <c r="C189" t="s">
        <v>11</v>
      </c>
      <c r="D189">
        <v>5000</v>
      </c>
      <c r="E189" t="s">
        <v>12</v>
      </c>
      <c r="F189">
        <v>0.45161290300000001</v>
      </c>
      <c r="G189">
        <v>15</v>
      </c>
    </row>
    <row r="190" spans="1:7" x14ac:dyDescent="0.3">
      <c r="A190" t="s">
        <v>73</v>
      </c>
      <c r="B190">
        <v>14</v>
      </c>
      <c r="C190" t="s">
        <v>11</v>
      </c>
      <c r="D190">
        <v>10000</v>
      </c>
      <c r="E190" t="s">
        <v>12</v>
      </c>
      <c r="F190">
        <v>0.41935483899999998</v>
      </c>
      <c r="G190">
        <v>15</v>
      </c>
    </row>
    <row r="191" spans="1:7" x14ac:dyDescent="0.3">
      <c r="A191" t="s">
        <v>73</v>
      </c>
      <c r="B191">
        <v>14</v>
      </c>
      <c r="C191" t="s">
        <v>11</v>
      </c>
      <c r="D191">
        <v>25000</v>
      </c>
      <c r="E191" t="s">
        <v>12</v>
      </c>
      <c r="F191">
        <v>0.41935483899999998</v>
      </c>
      <c r="G191">
        <v>15</v>
      </c>
    </row>
    <row r="192" spans="1:7" x14ac:dyDescent="0.3">
      <c r="A192" t="s">
        <v>73</v>
      </c>
      <c r="B192">
        <v>14</v>
      </c>
      <c r="C192" t="s">
        <v>11</v>
      </c>
      <c r="D192">
        <v>40000</v>
      </c>
      <c r="E192" t="s">
        <v>12</v>
      </c>
      <c r="F192">
        <v>0.45161290300000001</v>
      </c>
      <c r="G192">
        <v>15</v>
      </c>
    </row>
    <row r="193" spans="1:7" x14ac:dyDescent="0.3">
      <c r="A193" t="s">
        <v>73</v>
      </c>
      <c r="B193">
        <v>14</v>
      </c>
      <c r="C193" t="s">
        <v>11</v>
      </c>
      <c r="D193">
        <v>50000</v>
      </c>
      <c r="E193" t="s">
        <v>12</v>
      </c>
      <c r="F193">
        <v>0.41935483899999998</v>
      </c>
      <c r="G193">
        <v>15</v>
      </c>
    </row>
    <row r="194" spans="1:7" x14ac:dyDescent="0.3">
      <c r="A194" t="s">
        <v>74</v>
      </c>
      <c r="B194">
        <v>14</v>
      </c>
      <c r="C194" t="s">
        <v>11</v>
      </c>
      <c r="D194">
        <v>1000</v>
      </c>
      <c r="E194" t="s">
        <v>12</v>
      </c>
      <c r="F194">
        <v>0.88709677399999998</v>
      </c>
      <c r="G194">
        <v>15</v>
      </c>
    </row>
    <row r="195" spans="1:7" x14ac:dyDescent="0.3">
      <c r="A195" t="s">
        <v>74</v>
      </c>
      <c r="B195">
        <v>14</v>
      </c>
      <c r="C195" t="s">
        <v>11</v>
      </c>
      <c r="D195">
        <v>5000</v>
      </c>
      <c r="E195" t="s">
        <v>12</v>
      </c>
      <c r="F195">
        <v>0.83870967699999999</v>
      </c>
      <c r="G195">
        <v>15</v>
      </c>
    </row>
    <row r="196" spans="1:7" x14ac:dyDescent="0.3">
      <c r="A196" t="s">
        <v>74</v>
      </c>
      <c r="B196">
        <v>14</v>
      </c>
      <c r="C196" t="s">
        <v>11</v>
      </c>
      <c r="D196">
        <v>10000</v>
      </c>
      <c r="E196" t="s">
        <v>12</v>
      </c>
      <c r="F196">
        <v>0.8</v>
      </c>
      <c r="G196">
        <v>15</v>
      </c>
    </row>
    <row r="197" spans="1:7" x14ac:dyDescent="0.3">
      <c r="A197" t="s">
        <v>74</v>
      </c>
      <c r="B197">
        <v>14</v>
      </c>
      <c r="C197" t="s">
        <v>11</v>
      </c>
      <c r="D197">
        <v>25000</v>
      </c>
      <c r="E197" t="s">
        <v>12</v>
      </c>
      <c r="F197">
        <v>0.77419354799999995</v>
      </c>
      <c r="G197">
        <v>15</v>
      </c>
    </row>
    <row r="198" spans="1:7" x14ac:dyDescent="0.3">
      <c r="A198" t="s">
        <v>74</v>
      </c>
      <c r="B198">
        <v>14</v>
      </c>
      <c r="C198" t="s">
        <v>11</v>
      </c>
      <c r="D198">
        <v>40000</v>
      </c>
      <c r="E198" t="s">
        <v>12</v>
      </c>
      <c r="F198">
        <v>0.79032258099999997</v>
      </c>
      <c r="G198">
        <v>15</v>
      </c>
    </row>
    <row r="199" spans="1:7" x14ac:dyDescent="0.3">
      <c r="A199" t="s">
        <v>74</v>
      </c>
      <c r="B199">
        <v>14</v>
      </c>
      <c r="C199" t="s">
        <v>11</v>
      </c>
      <c r="D199">
        <v>50000</v>
      </c>
      <c r="E199" t="s">
        <v>12</v>
      </c>
      <c r="F199">
        <v>0.70967741900000003</v>
      </c>
      <c r="G199">
        <v>15</v>
      </c>
    </row>
    <row r="200" spans="1:7" x14ac:dyDescent="0.3">
      <c r="A200" t="s">
        <v>72</v>
      </c>
      <c r="B200">
        <v>14</v>
      </c>
      <c r="C200" t="s">
        <v>8</v>
      </c>
      <c r="D200">
        <v>1000</v>
      </c>
      <c r="E200" t="s">
        <v>12</v>
      </c>
      <c r="F200">
        <v>0.86363636399999999</v>
      </c>
      <c r="G200">
        <v>15</v>
      </c>
    </row>
    <row r="201" spans="1:7" x14ac:dyDescent="0.3">
      <c r="A201" t="s">
        <v>72</v>
      </c>
      <c r="B201">
        <v>14</v>
      </c>
      <c r="C201" t="s">
        <v>8</v>
      </c>
      <c r="D201">
        <v>5000</v>
      </c>
      <c r="E201" t="s">
        <v>12</v>
      </c>
      <c r="F201">
        <v>0.81818181800000001</v>
      </c>
      <c r="G201">
        <v>15</v>
      </c>
    </row>
    <row r="202" spans="1:7" x14ac:dyDescent="0.3">
      <c r="A202" t="s">
        <v>72</v>
      </c>
      <c r="B202">
        <v>14</v>
      </c>
      <c r="C202" t="s">
        <v>8</v>
      </c>
      <c r="D202">
        <v>10000</v>
      </c>
      <c r="E202" t="s">
        <v>12</v>
      </c>
      <c r="F202">
        <v>0.83181818200000002</v>
      </c>
      <c r="G202">
        <v>15</v>
      </c>
    </row>
    <row r="203" spans="1:7" x14ac:dyDescent="0.3">
      <c r="A203" t="s">
        <v>72</v>
      </c>
      <c r="B203">
        <v>14</v>
      </c>
      <c r="C203" t="s">
        <v>8</v>
      </c>
      <c r="D203">
        <v>25000</v>
      </c>
      <c r="E203" t="s">
        <v>12</v>
      </c>
      <c r="F203">
        <v>0.79545454500000001</v>
      </c>
      <c r="G203">
        <v>15</v>
      </c>
    </row>
    <row r="204" spans="1:7" x14ac:dyDescent="0.3">
      <c r="A204" t="s">
        <v>72</v>
      </c>
      <c r="B204">
        <v>14</v>
      </c>
      <c r="C204" t="s">
        <v>8</v>
      </c>
      <c r="D204">
        <v>40000</v>
      </c>
      <c r="E204" t="s">
        <v>12</v>
      </c>
      <c r="F204">
        <v>0.79090909099999995</v>
      </c>
      <c r="G204">
        <v>15</v>
      </c>
    </row>
    <row r="205" spans="1:7" x14ac:dyDescent="0.3">
      <c r="A205" t="s">
        <v>72</v>
      </c>
      <c r="B205">
        <v>14</v>
      </c>
      <c r="C205" t="s">
        <v>8</v>
      </c>
      <c r="D205">
        <v>50000</v>
      </c>
      <c r="E205" t="s">
        <v>12</v>
      </c>
      <c r="F205">
        <v>0.77272727299999999</v>
      </c>
      <c r="G205">
        <v>15</v>
      </c>
    </row>
    <row r="206" spans="1:7" x14ac:dyDescent="0.3">
      <c r="A206" t="s">
        <v>73</v>
      </c>
      <c r="B206">
        <v>14</v>
      </c>
      <c r="C206" t="s">
        <v>8</v>
      </c>
      <c r="D206">
        <v>1000</v>
      </c>
      <c r="E206" t="s">
        <v>12</v>
      </c>
      <c r="F206">
        <v>0.79545454500000001</v>
      </c>
      <c r="G206">
        <v>15</v>
      </c>
    </row>
    <row r="207" spans="1:7" x14ac:dyDescent="0.3">
      <c r="A207" t="s">
        <v>73</v>
      </c>
      <c r="B207">
        <v>14</v>
      </c>
      <c r="C207" t="s">
        <v>8</v>
      </c>
      <c r="D207">
        <v>5000</v>
      </c>
      <c r="E207" t="s">
        <v>12</v>
      </c>
      <c r="F207">
        <v>0.78181818199999997</v>
      </c>
      <c r="G207">
        <v>15</v>
      </c>
    </row>
    <row r="208" spans="1:7" x14ac:dyDescent="0.3">
      <c r="A208" t="s">
        <v>73</v>
      </c>
      <c r="B208">
        <v>14</v>
      </c>
      <c r="C208" t="s">
        <v>8</v>
      </c>
      <c r="D208">
        <v>10000</v>
      </c>
      <c r="E208" t="s">
        <v>12</v>
      </c>
      <c r="F208">
        <v>0.77272727299999999</v>
      </c>
      <c r="G208">
        <v>15</v>
      </c>
    </row>
    <row r="209" spans="1:7" x14ac:dyDescent="0.3">
      <c r="A209" t="s">
        <v>73</v>
      </c>
      <c r="B209">
        <v>14</v>
      </c>
      <c r="C209" t="s">
        <v>8</v>
      </c>
      <c r="D209">
        <v>25000</v>
      </c>
      <c r="E209" t="s">
        <v>12</v>
      </c>
      <c r="F209">
        <v>0.76363636400000001</v>
      </c>
      <c r="G209">
        <v>15</v>
      </c>
    </row>
    <row r="210" spans="1:7" x14ac:dyDescent="0.3">
      <c r="A210" t="s">
        <v>73</v>
      </c>
      <c r="B210">
        <v>14</v>
      </c>
      <c r="C210" t="s">
        <v>8</v>
      </c>
      <c r="D210">
        <v>40000</v>
      </c>
      <c r="E210" t="s">
        <v>12</v>
      </c>
      <c r="F210">
        <v>0.75454545500000003</v>
      </c>
      <c r="G210">
        <v>15</v>
      </c>
    </row>
    <row r="211" spans="1:7" x14ac:dyDescent="0.3">
      <c r="A211" t="s">
        <v>73</v>
      </c>
      <c r="B211">
        <v>14</v>
      </c>
      <c r="C211" t="s">
        <v>8</v>
      </c>
      <c r="D211">
        <v>50000</v>
      </c>
      <c r="E211" t="s">
        <v>12</v>
      </c>
      <c r="F211">
        <v>0.74090909100000002</v>
      </c>
      <c r="G211">
        <v>15</v>
      </c>
    </row>
    <row r="212" spans="1:7" x14ac:dyDescent="0.3">
      <c r="A212" t="s">
        <v>74</v>
      </c>
      <c r="B212">
        <v>14</v>
      </c>
      <c r="C212" t="s">
        <v>8</v>
      </c>
      <c r="D212">
        <v>1000</v>
      </c>
      <c r="E212" t="s">
        <v>12</v>
      </c>
      <c r="F212">
        <v>0.95454545499999999</v>
      </c>
      <c r="G212">
        <v>15</v>
      </c>
    </row>
    <row r="213" spans="1:7" x14ac:dyDescent="0.3">
      <c r="A213" t="s">
        <v>74</v>
      </c>
      <c r="B213">
        <v>14</v>
      </c>
      <c r="C213" t="s">
        <v>8</v>
      </c>
      <c r="D213">
        <v>5000</v>
      </c>
      <c r="E213" t="s">
        <v>12</v>
      </c>
      <c r="F213">
        <v>0.909090909</v>
      </c>
      <c r="G213">
        <v>15</v>
      </c>
    </row>
    <row r="214" spans="1:7" x14ac:dyDescent="0.3">
      <c r="A214" t="s">
        <v>74</v>
      </c>
      <c r="B214">
        <v>14</v>
      </c>
      <c r="C214" t="s">
        <v>8</v>
      </c>
      <c r="D214">
        <v>10000</v>
      </c>
      <c r="E214" t="s">
        <v>12</v>
      </c>
      <c r="F214">
        <v>0.81818181800000001</v>
      </c>
      <c r="G214">
        <v>15</v>
      </c>
    </row>
    <row r="215" spans="1:7" x14ac:dyDescent="0.3">
      <c r="A215" t="s">
        <v>74</v>
      </c>
      <c r="B215">
        <v>14</v>
      </c>
      <c r="C215" t="s">
        <v>8</v>
      </c>
      <c r="D215">
        <v>25000</v>
      </c>
      <c r="E215" t="s">
        <v>12</v>
      </c>
      <c r="F215">
        <v>1.2954545449999999</v>
      </c>
      <c r="G215">
        <v>15</v>
      </c>
    </row>
    <row r="216" spans="1:7" x14ac:dyDescent="0.3">
      <c r="A216" t="s">
        <v>74</v>
      </c>
      <c r="B216">
        <v>14</v>
      </c>
      <c r="C216" t="s">
        <v>8</v>
      </c>
      <c r="D216">
        <v>40000</v>
      </c>
      <c r="E216" t="s">
        <v>12</v>
      </c>
      <c r="F216">
        <v>0.80454545499999996</v>
      </c>
      <c r="G216">
        <v>15</v>
      </c>
    </row>
    <row r="217" spans="1:7" x14ac:dyDescent="0.3">
      <c r="A217" t="s">
        <v>74</v>
      </c>
      <c r="B217">
        <v>14</v>
      </c>
      <c r="C217" t="s">
        <v>8</v>
      </c>
      <c r="D217">
        <v>50000</v>
      </c>
      <c r="E217" t="s">
        <v>12</v>
      </c>
      <c r="F217">
        <v>0.79545454500000001</v>
      </c>
      <c r="G217">
        <v>15</v>
      </c>
    </row>
    <row r="218" spans="1:7" x14ac:dyDescent="0.3">
      <c r="A218" t="s">
        <v>72</v>
      </c>
      <c r="B218">
        <v>14</v>
      </c>
      <c r="C218" t="s">
        <v>11</v>
      </c>
      <c r="D218">
        <v>1000</v>
      </c>
      <c r="E218" t="s">
        <v>10</v>
      </c>
      <c r="F218">
        <v>1.0045454549999999</v>
      </c>
      <c r="G218">
        <v>15</v>
      </c>
    </row>
    <row r="219" spans="1:7" x14ac:dyDescent="0.3">
      <c r="A219" t="s">
        <v>72</v>
      </c>
      <c r="B219">
        <v>14</v>
      </c>
      <c r="C219" t="s">
        <v>11</v>
      </c>
      <c r="D219">
        <v>5000</v>
      </c>
      <c r="E219" t="s">
        <v>10</v>
      </c>
      <c r="F219">
        <v>1.681818182</v>
      </c>
      <c r="G219">
        <v>15</v>
      </c>
    </row>
    <row r="220" spans="1:7" x14ac:dyDescent="0.3">
      <c r="A220" t="s">
        <v>72</v>
      </c>
      <c r="B220">
        <v>14</v>
      </c>
      <c r="C220" t="s">
        <v>11</v>
      </c>
      <c r="D220">
        <v>10000</v>
      </c>
      <c r="E220" t="s">
        <v>10</v>
      </c>
      <c r="F220">
        <v>1.818181818</v>
      </c>
      <c r="G220">
        <v>15</v>
      </c>
    </row>
    <row r="221" spans="1:7" x14ac:dyDescent="0.3">
      <c r="A221" t="s">
        <v>72</v>
      </c>
      <c r="B221">
        <v>14</v>
      </c>
      <c r="C221" t="s">
        <v>11</v>
      </c>
      <c r="D221">
        <v>25000</v>
      </c>
      <c r="E221" t="s">
        <v>10</v>
      </c>
      <c r="F221">
        <v>2.136363636</v>
      </c>
      <c r="G221">
        <v>15</v>
      </c>
    </row>
    <row r="222" spans="1:7" x14ac:dyDescent="0.3">
      <c r="A222" t="s">
        <v>72</v>
      </c>
      <c r="B222">
        <v>14</v>
      </c>
      <c r="C222" t="s">
        <v>11</v>
      </c>
      <c r="D222">
        <v>40000</v>
      </c>
      <c r="E222" t="s">
        <v>10</v>
      </c>
      <c r="F222">
        <v>2.4090909090000001</v>
      </c>
      <c r="G222">
        <v>15</v>
      </c>
    </row>
    <row r="223" spans="1:7" x14ac:dyDescent="0.3">
      <c r="A223" t="s">
        <v>72</v>
      </c>
      <c r="B223">
        <v>14</v>
      </c>
      <c r="C223" t="s">
        <v>11</v>
      </c>
      <c r="D223">
        <v>50000</v>
      </c>
      <c r="E223" t="s">
        <v>10</v>
      </c>
      <c r="F223">
        <v>2.7272727269999999</v>
      </c>
      <c r="G223">
        <v>15</v>
      </c>
    </row>
    <row r="224" spans="1:7" x14ac:dyDescent="0.3">
      <c r="A224" t="s">
        <v>73</v>
      </c>
      <c r="B224">
        <v>14</v>
      </c>
      <c r="C224" t="s">
        <v>11</v>
      </c>
      <c r="D224">
        <v>1000</v>
      </c>
      <c r="E224" t="s">
        <v>10</v>
      </c>
      <c r="F224">
        <v>1.136363636</v>
      </c>
      <c r="G224">
        <v>15</v>
      </c>
    </row>
    <row r="225" spans="1:7" x14ac:dyDescent="0.3">
      <c r="A225" t="s">
        <v>73</v>
      </c>
      <c r="B225">
        <v>14</v>
      </c>
      <c r="C225" t="s">
        <v>11</v>
      </c>
      <c r="D225">
        <v>5000</v>
      </c>
      <c r="E225" t="s">
        <v>10</v>
      </c>
      <c r="F225">
        <v>1.9090909089999999</v>
      </c>
      <c r="G225">
        <v>15</v>
      </c>
    </row>
    <row r="226" spans="1:7" x14ac:dyDescent="0.3">
      <c r="A226" t="s">
        <v>73</v>
      </c>
      <c r="B226">
        <v>14</v>
      </c>
      <c r="C226" t="s">
        <v>11</v>
      </c>
      <c r="D226">
        <v>10000</v>
      </c>
      <c r="E226" t="s">
        <v>10</v>
      </c>
      <c r="F226">
        <v>2.7272727269999999</v>
      </c>
      <c r="G226">
        <v>15</v>
      </c>
    </row>
    <row r="227" spans="1:7" x14ac:dyDescent="0.3">
      <c r="A227" t="s">
        <v>73</v>
      </c>
      <c r="B227">
        <v>14</v>
      </c>
      <c r="C227" t="s">
        <v>11</v>
      </c>
      <c r="D227">
        <v>25000</v>
      </c>
      <c r="E227" t="s">
        <v>10</v>
      </c>
      <c r="F227">
        <v>2.9545454549999999</v>
      </c>
      <c r="G227">
        <v>15</v>
      </c>
    </row>
    <row r="228" spans="1:7" x14ac:dyDescent="0.3">
      <c r="A228" t="s">
        <v>73</v>
      </c>
      <c r="B228">
        <v>14</v>
      </c>
      <c r="C228" t="s">
        <v>11</v>
      </c>
      <c r="D228">
        <v>40000</v>
      </c>
      <c r="E228" t="s">
        <v>10</v>
      </c>
      <c r="F228">
        <v>3.5</v>
      </c>
      <c r="G228">
        <v>15</v>
      </c>
    </row>
    <row r="229" spans="1:7" x14ac:dyDescent="0.3">
      <c r="A229" t="s">
        <v>73</v>
      </c>
      <c r="B229">
        <v>14</v>
      </c>
      <c r="C229" t="s">
        <v>11</v>
      </c>
      <c r="D229">
        <v>50000</v>
      </c>
      <c r="E229" t="s">
        <v>10</v>
      </c>
      <c r="F229">
        <v>3.8181818179999998</v>
      </c>
      <c r="G229">
        <v>15</v>
      </c>
    </row>
    <row r="230" spans="1:7" x14ac:dyDescent="0.3">
      <c r="A230" t="s">
        <v>74</v>
      </c>
      <c r="B230">
        <v>14</v>
      </c>
      <c r="C230" t="s">
        <v>11</v>
      </c>
      <c r="D230">
        <v>1000</v>
      </c>
      <c r="E230" t="s">
        <v>10</v>
      </c>
      <c r="F230">
        <v>0.95454545499999999</v>
      </c>
      <c r="G230">
        <v>15</v>
      </c>
    </row>
    <row r="231" spans="1:7" x14ac:dyDescent="0.3">
      <c r="A231" t="s">
        <v>74</v>
      </c>
      <c r="B231">
        <v>14</v>
      </c>
      <c r="C231" t="s">
        <v>11</v>
      </c>
      <c r="D231">
        <v>5000</v>
      </c>
      <c r="E231" t="s">
        <v>10</v>
      </c>
      <c r="F231">
        <v>1.363636364</v>
      </c>
      <c r="G231">
        <v>15</v>
      </c>
    </row>
    <row r="232" spans="1:7" x14ac:dyDescent="0.3">
      <c r="A232" t="s">
        <v>74</v>
      </c>
      <c r="B232">
        <v>14</v>
      </c>
      <c r="C232" t="s">
        <v>11</v>
      </c>
      <c r="D232">
        <v>10000</v>
      </c>
      <c r="E232" t="s">
        <v>10</v>
      </c>
      <c r="F232">
        <v>1.818181818</v>
      </c>
      <c r="G232">
        <v>15</v>
      </c>
    </row>
    <row r="233" spans="1:7" x14ac:dyDescent="0.3">
      <c r="A233" t="s">
        <v>74</v>
      </c>
      <c r="B233">
        <v>14</v>
      </c>
      <c r="C233" t="s">
        <v>11</v>
      </c>
      <c r="D233">
        <v>25000</v>
      </c>
      <c r="E233" t="s">
        <v>10</v>
      </c>
      <c r="F233">
        <v>2</v>
      </c>
      <c r="G233">
        <v>15</v>
      </c>
    </row>
    <row r="234" spans="1:7" x14ac:dyDescent="0.3">
      <c r="A234" t="s">
        <v>74</v>
      </c>
      <c r="B234">
        <v>14</v>
      </c>
      <c r="C234" t="s">
        <v>11</v>
      </c>
      <c r="D234">
        <v>40000</v>
      </c>
      <c r="E234" t="s">
        <v>10</v>
      </c>
      <c r="F234">
        <v>1.9545454550000001</v>
      </c>
      <c r="G234">
        <v>15</v>
      </c>
    </row>
    <row r="235" spans="1:7" x14ac:dyDescent="0.3">
      <c r="A235" t="s">
        <v>74</v>
      </c>
      <c r="B235">
        <v>14</v>
      </c>
      <c r="C235" t="s">
        <v>11</v>
      </c>
      <c r="D235">
        <v>50000</v>
      </c>
      <c r="E235" t="s">
        <v>10</v>
      </c>
      <c r="F235">
        <v>2.2727272730000001</v>
      </c>
      <c r="G235">
        <v>15</v>
      </c>
    </row>
    <row r="236" spans="1:7" x14ac:dyDescent="0.3">
      <c r="A236" t="s">
        <v>72</v>
      </c>
      <c r="B236">
        <v>14</v>
      </c>
      <c r="C236" t="s">
        <v>8</v>
      </c>
      <c r="D236">
        <v>1000</v>
      </c>
      <c r="E236" t="s">
        <v>10</v>
      </c>
      <c r="F236">
        <v>1.0333333330000001</v>
      </c>
      <c r="G236">
        <v>15</v>
      </c>
    </row>
    <row r="237" spans="1:7" x14ac:dyDescent="0.3">
      <c r="A237" t="s">
        <v>72</v>
      </c>
      <c r="B237">
        <v>14</v>
      </c>
      <c r="C237" t="s">
        <v>8</v>
      </c>
      <c r="D237">
        <v>5000</v>
      </c>
      <c r="E237" t="s">
        <v>10</v>
      </c>
      <c r="F237">
        <v>1.2</v>
      </c>
      <c r="G237">
        <v>15</v>
      </c>
    </row>
    <row r="238" spans="1:7" x14ac:dyDescent="0.3">
      <c r="A238" t="s">
        <v>72</v>
      </c>
      <c r="B238">
        <v>14</v>
      </c>
      <c r="C238" t="s">
        <v>8</v>
      </c>
      <c r="D238">
        <v>10000</v>
      </c>
      <c r="E238" t="s">
        <v>10</v>
      </c>
      <c r="F238">
        <v>1.266666667</v>
      </c>
      <c r="G238">
        <v>15</v>
      </c>
    </row>
    <row r="239" spans="1:7" x14ac:dyDescent="0.3">
      <c r="A239" t="s">
        <v>72</v>
      </c>
      <c r="B239">
        <v>14</v>
      </c>
      <c r="C239" t="s">
        <v>8</v>
      </c>
      <c r="D239">
        <v>25000</v>
      </c>
      <c r="E239" t="s">
        <v>10</v>
      </c>
      <c r="F239">
        <v>1.511111111</v>
      </c>
      <c r="G239">
        <v>15</v>
      </c>
    </row>
    <row r="240" spans="1:7" x14ac:dyDescent="0.3">
      <c r="A240" t="s">
        <v>72</v>
      </c>
      <c r="B240">
        <v>14</v>
      </c>
      <c r="C240" t="s">
        <v>8</v>
      </c>
      <c r="D240">
        <v>40000</v>
      </c>
      <c r="E240" t="s">
        <v>10</v>
      </c>
      <c r="F240">
        <v>1.488888889</v>
      </c>
      <c r="G240">
        <v>15</v>
      </c>
    </row>
    <row r="241" spans="1:7" x14ac:dyDescent="0.3">
      <c r="A241" t="s">
        <v>72</v>
      </c>
      <c r="B241">
        <v>14</v>
      </c>
      <c r="C241" t="s">
        <v>8</v>
      </c>
      <c r="D241">
        <v>50000</v>
      </c>
      <c r="E241" t="s">
        <v>10</v>
      </c>
      <c r="F241">
        <v>1.6444444439999999</v>
      </c>
      <c r="G241">
        <v>15</v>
      </c>
    </row>
    <row r="242" spans="1:7" x14ac:dyDescent="0.3">
      <c r="A242" t="s">
        <v>73</v>
      </c>
      <c r="B242">
        <v>14</v>
      </c>
      <c r="C242" t="s">
        <v>8</v>
      </c>
      <c r="D242">
        <v>1000</v>
      </c>
      <c r="E242" t="s">
        <v>10</v>
      </c>
      <c r="F242">
        <v>0.88888888899999996</v>
      </c>
      <c r="G242">
        <v>15</v>
      </c>
    </row>
    <row r="243" spans="1:7" x14ac:dyDescent="0.3">
      <c r="A243" t="s">
        <v>73</v>
      </c>
      <c r="B243">
        <v>14</v>
      </c>
      <c r="C243" t="s">
        <v>8</v>
      </c>
      <c r="D243">
        <v>5000</v>
      </c>
      <c r="E243" t="s">
        <v>10</v>
      </c>
      <c r="F243">
        <v>1.3333333329999999</v>
      </c>
      <c r="G243">
        <v>15</v>
      </c>
    </row>
    <row r="244" spans="1:7" x14ac:dyDescent="0.3">
      <c r="A244" t="s">
        <v>73</v>
      </c>
      <c r="B244">
        <v>14</v>
      </c>
      <c r="C244" t="s">
        <v>8</v>
      </c>
      <c r="D244">
        <v>10000</v>
      </c>
      <c r="E244" t="s">
        <v>10</v>
      </c>
      <c r="F244">
        <v>1.733333333</v>
      </c>
      <c r="G244">
        <v>15</v>
      </c>
    </row>
    <row r="245" spans="1:7" x14ac:dyDescent="0.3">
      <c r="A245" t="s">
        <v>73</v>
      </c>
      <c r="B245">
        <v>14</v>
      </c>
      <c r="C245" t="s">
        <v>8</v>
      </c>
      <c r="D245">
        <v>25000</v>
      </c>
      <c r="E245" t="s">
        <v>10</v>
      </c>
      <c r="F245">
        <v>1.622222222</v>
      </c>
      <c r="G245">
        <v>15</v>
      </c>
    </row>
    <row r="246" spans="1:7" x14ac:dyDescent="0.3">
      <c r="A246" t="s">
        <v>73</v>
      </c>
      <c r="B246">
        <v>14</v>
      </c>
      <c r="C246" t="s">
        <v>8</v>
      </c>
      <c r="D246">
        <v>40000</v>
      </c>
      <c r="E246" t="s">
        <v>10</v>
      </c>
      <c r="F246">
        <v>1.744444444</v>
      </c>
      <c r="G246">
        <v>15</v>
      </c>
    </row>
    <row r="247" spans="1:7" x14ac:dyDescent="0.3">
      <c r="A247" t="s">
        <v>73</v>
      </c>
      <c r="B247">
        <v>14</v>
      </c>
      <c r="C247" t="s">
        <v>8</v>
      </c>
      <c r="D247">
        <v>50000</v>
      </c>
      <c r="E247" t="s">
        <v>10</v>
      </c>
      <c r="F247">
        <v>2</v>
      </c>
      <c r="G247">
        <v>15</v>
      </c>
    </row>
    <row r="248" spans="1:7" x14ac:dyDescent="0.3">
      <c r="A248" t="s">
        <v>74</v>
      </c>
      <c r="B248">
        <v>14</v>
      </c>
      <c r="C248" t="s">
        <v>8</v>
      </c>
      <c r="D248">
        <v>1000</v>
      </c>
      <c r="E248" t="s">
        <v>10</v>
      </c>
      <c r="F248">
        <v>1.0222222219999999</v>
      </c>
      <c r="G248">
        <v>15</v>
      </c>
    </row>
    <row r="249" spans="1:7" x14ac:dyDescent="0.3">
      <c r="A249" t="s">
        <v>74</v>
      </c>
      <c r="B249">
        <v>14</v>
      </c>
      <c r="C249" t="s">
        <v>8</v>
      </c>
      <c r="D249">
        <v>5000</v>
      </c>
      <c r="E249" t="s">
        <v>10</v>
      </c>
      <c r="F249">
        <v>1.1000000000000001</v>
      </c>
      <c r="G249">
        <v>15</v>
      </c>
    </row>
    <row r="250" spans="1:7" x14ac:dyDescent="0.3">
      <c r="A250" t="s">
        <v>74</v>
      </c>
      <c r="B250">
        <v>14</v>
      </c>
      <c r="C250" t="s">
        <v>8</v>
      </c>
      <c r="D250">
        <v>10000</v>
      </c>
      <c r="E250" t="s">
        <v>10</v>
      </c>
      <c r="F250">
        <v>1.2888888890000001</v>
      </c>
      <c r="G250">
        <v>15</v>
      </c>
    </row>
    <row r="251" spans="1:7" x14ac:dyDescent="0.3">
      <c r="A251" t="s">
        <v>74</v>
      </c>
      <c r="B251">
        <v>14</v>
      </c>
      <c r="C251" t="s">
        <v>8</v>
      </c>
      <c r="D251">
        <v>25000</v>
      </c>
      <c r="E251" t="s">
        <v>10</v>
      </c>
      <c r="F251">
        <v>1.266666667</v>
      </c>
      <c r="G251">
        <v>15</v>
      </c>
    </row>
    <row r="252" spans="1:7" x14ac:dyDescent="0.3">
      <c r="A252" t="s">
        <v>74</v>
      </c>
      <c r="B252">
        <v>14</v>
      </c>
      <c r="C252" t="s">
        <v>8</v>
      </c>
      <c r="D252">
        <v>40000</v>
      </c>
      <c r="E252" t="s">
        <v>10</v>
      </c>
      <c r="F252">
        <v>1.377777778</v>
      </c>
      <c r="G252">
        <v>15</v>
      </c>
    </row>
    <row r="253" spans="1:7" x14ac:dyDescent="0.3">
      <c r="A253" t="s">
        <v>74</v>
      </c>
      <c r="B253">
        <v>14</v>
      </c>
      <c r="C253" t="s">
        <v>8</v>
      </c>
      <c r="D253">
        <v>50000</v>
      </c>
      <c r="E253" t="s">
        <v>10</v>
      </c>
      <c r="F253">
        <v>1.4444444439999999</v>
      </c>
      <c r="G253">
        <v>15</v>
      </c>
    </row>
    <row r="254" spans="1:7" x14ac:dyDescent="0.3">
      <c r="A254" t="s">
        <v>50</v>
      </c>
      <c r="B254">
        <v>14</v>
      </c>
      <c r="C254" t="s">
        <v>8</v>
      </c>
      <c r="D254">
        <v>5000</v>
      </c>
      <c r="E254" t="s">
        <v>12</v>
      </c>
      <c r="F254">
        <v>0.98</v>
      </c>
      <c r="G254">
        <v>15</v>
      </c>
    </row>
    <row r="255" spans="1:7" x14ac:dyDescent="0.3">
      <c r="A255" t="s">
        <v>50</v>
      </c>
      <c r="B255">
        <v>14</v>
      </c>
      <c r="C255" t="s">
        <v>8</v>
      </c>
      <c r="D255">
        <v>10000</v>
      </c>
      <c r="E255" t="s">
        <v>12</v>
      </c>
      <c r="F255">
        <v>0.95</v>
      </c>
      <c r="G255">
        <v>15</v>
      </c>
    </row>
    <row r="256" spans="1:7" x14ac:dyDescent="0.3">
      <c r="A256" t="s">
        <v>50</v>
      </c>
      <c r="B256">
        <v>14</v>
      </c>
      <c r="C256" t="s">
        <v>8</v>
      </c>
      <c r="D256">
        <v>20000</v>
      </c>
      <c r="E256" t="s">
        <v>12</v>
      </c>
      <c r="F256">
        <v>0.9</v>
      </c>
      <c r="G256">
        <v>15</v>
      </c>
    </row>
    <row r="257" spans="1:7" x14ac:dyDescent="0.3">
      <c r="A257" t="s">
        <v>50</v>
      </c>
      <c r="B257">
        <v>14</v>
      </c>
      <c r="C257" t="s">
        <v>8</v>
      </c>
      <c r="D257">
        <v>40000</v>
      </c>
      <c r="E257" t="s">
        <v>12</v>
      </c>
      <c r="F257">
        <v>0.85</v>
      </c>
      <c r="G257">
        <v>15</v>
      </c>
    </row>
    <row r="258" spans="1:7" x14ac:dyDescent="0.3">
      <c r="A258" t="s">
        <v>50</v>
      </c>
      <c r="B258">
        <v>14</v>
      </c>
      <c r="C258" t="s">
        <v>8</v>
      </c>
      <c r="D258">
        <v>80000</v>
      </c>
      <c r="E258" t="s">
        <v>12</v>
      </c>
      <c r="F258">
        <v>0.75</v>
      </c>
      <c r="G258">
        <v>15</v>
      </c>
    </row>
    <row r="259" spans="1:7" x14ac:dyDescent="0.3">
      <c r="A259" t="s">
        <v>50</v>
      </c>
      <c r="B259">
        <v>14</v>
      </c>
      <c r="C259" t="s">
        <v>8</v>
      </c>
      <c r="D259">
        <v>5000</v>
      </c>
      <c r="E259" t="s">
        <v>12</v>
      </c>
      <c r="F259">
        <v>0.98</v>
      </c>
      <c r="G259">
        <v>15</v>
      </c>
    </row>
    <row r="260" spans="1:7" x14ac:dyDescent="0.3">
      <c r="A260" t="s">
        <v>50</v>
      </c>
      <c r="B260">
        <v>14</v>
      </c>
      <c r="C260" t="s">
        <v>8</v>
      </c>
      <c r="D260">
        <v>10000</v>
      </c>
      <c r="E260" t="s">
        <v>12</v>
      </c>
      <c r="F260">
        <v>0.97</v>
      </c>
      <c r="G260">
        <v>15</v>
      </c>
    </row>
    <row r="261" spans="1:7" x14ac:dyDescent="0.3">
      <c r="A261" t="s">
        <v>50</v>
      </c>
      <c r="B261">
        <v>14</v>
      </c>
      <c r="C261" t="s">
        <v>8</v>
      </c>
      <c r="D261">
        <v>20000</v>
      </c>
      <c r="E261" t="s">
        <v>12</v>
      </c>
      <c r="F261">
        <v>0.91</v>
      </c>
      <c r="G261">
        <v>15</v>
      </c>
    </row>
    <row r="262" spans="1:7" x14ac:dyDescent="0.3">
      <c r="A262" t="s">
        <v>50</v>
      </c>
      <c r="B262">
        <v>14</v>
      </c>
      <c r="C262" t="s">
        <v>8</v>
      </c>
      <c r="D262">
        <v>40000</v>
      </c>
      <c r="E262" t="s">
        <v>12</v>
      </c>
      <c r="F262">
        <v>0.88</v>
      </c>
      <c r="G262">
        <v>15</v>
      </c>
    </row>
    <row r="263" spans="1:7" x14ac:dyDescent="0.3">
      <c r="A263" t="s">
        <v>50</v>
      </c>
      <c r="B263">
        <v>14</v>
      </c>
      <c r="C263" t="s">
        <v>8</v>
      </c>
      <c r="D263">
        <v>80000</v>
      </c>
      <c r="E263" t="s">
        <v>12</v>
      </c>
      <c r="F263">
        <v>0.78</v>
      </c>
      <c r="G263">
        <v>15</v>
      </c>
    </row>
    <row r="264" spans="1:7" x14ac:dyDescent="0.3">
      <c r="A264" t="s">
        <v>50</v>
      </c>
      <c r="B264">
        <v>14</v>
      </c>
      <c r="C264" t="s">
        <v>8</v>
      </c>
      <c r="D264">
        <v>10000</v>
      </c>
      <c r="E264" t="s">
        <v>12</v>
      </c>
      <c r="F264">
        <v>0.75960000000000005</v>
      </c>
      <c r="G264">
        <v>15</v>
      </c>
    </row>
    <row r="265" spans="1:7" x14ac:dyDescent="0.3">
      <c r="A265" t="s">
        <v>50</v>
      </c>
      <c r="B265">
        <v>14</v>
      </c>
      <c r="C265" t="s">
        <v>8</v>
      </c>
      <c r="D265">
        <v>20000</v>
      </c>
      <c r="E265" t="s">
        <v>12</v>
      </c>
      <c r="F265">
        <v>1.0444</v>
      </c>
      <c r="G265">
        <v>15</v>
      </c>
    </row>
    <row r="266" spans="1:7" x14ac:dyDescent="0.3">
      <c r="A266" t="s">
        <v>50</v>
      </c>
      <c r="B266">
        <v>14</v>
      </c>
      <c r="C266" t="s">
        <v>8</v>
      </c>
      <c r="D266">
        <v>40000</v>
      </c>
      <c r="E266" t="s">
        <v>12</v>
      </c>
      <c r="F266">
        <v>0.98519999999999996</v>
      </c>
      <c r="G266">
        <v>15</v>
      </c>
    </row>
    <row r="267" spans="1:7" x14ac:dyDescent="0.3">
      <c r="A267" t="s">
        <v>50</v>
      </c>
      <c r="B267">
        <v>14</v>
      </c>
      <c r="C267" t="s">
        <v>8</v>
      </c>
      <c r="D267">
        <v>80000</v>
      </c>
      <c r="E267" t="s">
        <v>12</v>
      </c>
      <c r="F267">
        <v>0.82040000000000002</v>
      </c>
      <c r="G267">
        <v>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2"/>
  <sheetViews>
    <sheetView workbookViewId="0">
      <pane ySplit="1" topLeftCell="A203" activePane="bottomLeft" state="frozen"/>
      <selection pane="bottomLeft" activeCell="H1" sqref="H1:H1048576"/>
    </sheetView>
  </sheetViews>
  <sheetFormatPr defaultRowHeight="13.5" x14ac:dyDescent="0.3"/>
  <cols>
    <col min="1" max="1" width="27.19921875" customWidth="1"/>
  </cols>
  <sheetData>
    <row r="1" spans="1:7" s="5" customFormat="1" ht="13.9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51</v>
      </c>
      <c r="B2">
        <v>15</v>
      </c>
      <c r="C2" t="s">
        <v>8</v>
      </c>
      <c r="D2">
        <v>1000</v>
      </c>
      <c r="E2" t="s">
        <v>12</v>
      </c>
      <c r="F2">
        <f>4155/4190</f>
        <v>0.99164677804295942</v>
      </c>
      <c r="G2">
        <v>44</v>
      </c>
    </row>
    <row r="3" spans="1:7" x14ac:dyDescent="0.3">
      <c r="A3" t="s">
        <v>51</v>
      </c>
      <c r="B3">
        <v>15</v>
      </c>
      <c r="C3" t="s">
        <v>8</v>
      </c>
      <c r="D3">
        <v>2000</v>
      </c>
      <c r="E3" t="s">
        <v>12</v>
      </c>
      <c r="F3">
        <f>4015/4190</f>
        <v>0.9582338902147971</v>
      </c>
      <c r="G3">
        <v>44</v>
      </c>
    </row>
    <row r="4" spans="1:7" x14ac:dyDescent="0.3">
      <c r="A4" t="s">
        <v>51</v>
      </c>
      <c r="B4">
        <v>15</v>
      </c>
      <c r="C4" t="s">
        <v>8</v>
      </c>
      <c r="D4">
        <v>4000</v>
      </c>
      <c r="E4" t="s">
        <v>12</v>
      </c>
      <c r="F4">
        <f>3730/4190</f>
        <v>0.89021479713603824</v>
      </c>
      <c r="G4">
        <v>44</v>
      </c>
    </row>
    <row r="5" spans="1:7" x14ac:dyDescent="0.3">
      <c r="A5" t="s">
        <v>51</v>
      </c>
      <c r="B5">
        <v>15</v>
      </c>
      <c r="C5" t="s">
        <v>8</v>
      </c>
      <c r="D5">
        <v>8000</v>
      </c>
      <c r="E5" t="s">
        <v>12</v>
      </c>
      <c r="F5">
        <f>3460/4190</f>
        <v>0.82577565632458239</v>
      </c>
      <c r="G5">
        <v>44</v>
      </c>
    </row>
    <row r="6" spans="1:7" x14ac:dyDescent="0.3">
      <c r="A6" t="s">
        <v>51</v>
      </c>
      <c r="B6">
        <v>15</v>
      </c>
      <c r="C6" t="s">
        <v>8</v>
      </c>
      <c r="D6">
        <v>1000</v>
      </c>
      <c r="E6" t="s">
        <v>12</v>
      </c>
      <c r="F6">
        <f>365/386</f>
        <v>0.94559585492227982</v>
      </c>
      <c r="G6">
        <v>44</v>
      </c>
    </row>
    <row r="7" spans="1:7" x14ac:dyDescent="0.3">
      <c r="A7" t="s">
        <v>51</v>
      </c>
      <c r="B7">
        <v>15</v>
      </c>
      <c r="C7" t="s">
        <v>8</v>
      </c>
      <c r="D7">
        <v>2000</v>
      </c>
      <c r="E7" t="s">
        <v>12</v>
      </c>
      <c r="F7">
        <f>290/386</f>
        <v>0.75129533678756477</v>
      </c>
      <c r="G7">
        <v>44</v>
      </c>
    </row>
    <row r="8" spans="1:7" x14ac:dyDescent="0.3">
      <c r="A8" t="s">
        <v>51</v>
      </c>
      <c r="B8">
        <v>15</v>
      </c>
      <c r="C8" t="s">
        <v>8</v>
      </c>
      <c r="D8">
        <v>4000</v>
      </c>
      <c r="E8" t="s">
        <v>12</v>
      </c>
      <c r="F8">
        <f>220/386</f>
        <v>0.56994818652849744</v>
      </c>
      <c r="G8">
        <v>44</v>
      </c>
    </row>
    <row r="9" spans="1:7" x14ac:dyDescent="0.3">
      <c r="A9" t="s">
        <v>51</v>
      </c>
      <c r="B9">
        <v>15</v>
      </c>
      <c r="C9" t="s">
        <v>8</v>
      </c>
      <c r="D9">
        <v>8000</v>
      </c>
      <c r="E9" t="s">
        <v>12</v>
      </c>
      <c r="F9">
        <f>170/386</f>
        <v>0.44041450777202074</v>
      </c>
      <c r="G9">
        <v>44</v>
      </c>
    </row>
    <row r="10" spans="1:7" x14ac:dyDescent="0.3">
      <c r="A10" t="s">
        <v>51</v>
      </c>
      <c r="B10">
        <v>15</v>
      </c>
      <c r="C10" t="s">
        <v>11</v>
      </c>
      <c r="D10">
        <v>1000</v>
      </c>
      <c r="E10" t="s">
        <v>12</v>
      </c>
      <c r="F10">
        <f>0.95</f>
        <v>0.95</v>
      </c>
      <c r="G10">
        <v>44</v>
      </c>
    </row>
    <row r="11" spans="1:7" x14ac:dyDescent="0.3">
      <c r="A11" t="s">
        <v>51</v>
      </c>
      <c r="B11">
        <v>15</v>
      </c>
      <c r="C11" t="s">
        <v>11</v>
      </c>
      <c r="D11">
        <v>2000</v>
      </c>
      <c r="E11" t="s">
        <v>12</v>
      </c>
      <c r="F11">
        <f>0.75</f>
        <v>0.75</v>
      </c>
      <c r="G11">
        <v>44</v>
      </c>
    </row>
    <row r="12" spans="1:7" x14ac:dyDescent="0.3">
      <c r="A12" t="s">
        <v>51</v>
      </c>
      <c r="B12">
        <v>15</v>
      </c>
      <c r="C12" t="s">
        <v>11</v>
      </c>
      <c r="D12">
        <v>4000</v>
      </c>
      <c r="E12" t="s">
        <v>12</v>
      </c>
      <c r="F12">
        <v>0.6</v>
      </c>
      <c r="G12">
        <v>44</v>
      </c>
    </row>
    <row r="13" spans="1:7" x14ac:dyDescent="0.3">
      <c r="A13" t="s">
        <v>51</v>
      </c>
      <c r="B13">
        <v>15</v>
      </c>
      <c r="C13" t="s">
        <v>11</v>
      </c>
      <c r="D13">
        <v>8000</v>
      </c>
      <c r="E13" t="s">
        <v>12</v>
      </c>
      <c r="F13">
        <v>0.45</v>
      </c>
      <c r="G13">
        <v>44</v>
      </c>
    </row>
    <row r="14" spans="1:7" x14ac:dyDescent="0.3">
      <c r="A14" t="s">
        <v>51</v>
      </c>
      <c r="B14">
        <v>15</v>
      </c>
      <c r="C14" t="s">
        <v>8</v>
      </c>
      <c r="D14">
        <v>1000</v>
      </c>
      <c r="E14" t="s">
        <v>9</v>
      </c>
      <c r="F14">
        <v>1.15915119363395</v>
      </c>
      <c r="G14">
        <v>44</v>
      </c>
    </row>
    <row r="15" spans="1:7" x14ac:dyDescent="0.3">
      <c r="A15" t="s">
        <v>51</v>
      </c>
      <c r="B15">
        <v>15</v>
      </c>
      <c r="C15" t="s">
        <v>8</v>
      </c>
      <c r="D15">
        <v>2000</v>
      </c>
      <c r="E15" t="s">
        <v>9</v>
      </c>
      <c r="F15">
        <v>0.96021220159151099</v>
      </c>
      <c r="G15">
        <v>44</v>
      </c>
    </row>
    <row r="16" spans="1:7" x14ac:dyDescent="0.3">
      <c r="A16" t="s">
        <v>51</v>
      </c>
      <c r="B16">
        <v>15</v>
      </c>
      <c r="C16" t="s">
        <v>8</v>
      </c>
      <c r="D16">
        <v>4000</v>
      </c>
      <c r="E16" t="s">
        <v>9</v>
      </c>
      <c r="F16">
        <v>0.843501326259947</v>
      </c>
      <c r="G16">
        <v>44</v>
      </c>
    </row>
    <row r="17" spans="1:8" x14ac:dyDescent="0.3">
      <c r="A17" t="s">
        <v>51</v>
      </c>
      <c r="B17">
        <v>15</v>
      </c>
      <c r="C17" t="s">
        <v>8</v>
      </c>
      <c r="D17">
        <v>8000</v>
      </c>
      <c r="E17" t="s">
        <v>9</v>
      </c>
      <c r="F17">
        <v>0.55968169761273201</v>
      </c>
      <c r="G17">
        <v>44</v>
      </c>
    </row>
    <row r="18" spans="1:8" x14ac:dyDescent="0.3">
      <c r="A18" t="s">
        <v>51</v>
      </c>
      <c r="B18">
        <v>15</v>
      </c>
      <c r="C18" t="s">
        <v>11</v>
      </c>
      <c r="D18">
        <v>1000</v>
      </c>
      <c r="E18" t="s">
        <v>12</v>
      </c>
      <c r="F18">
        <v>1.0771929824561399</v>
      </c>
      <c r="G18">
        <v>44</v>
      </c>
    </row>
    <row r="19" spans="1:8" x14ac:dyDescent="0.3">
      <c r="A19" t="s">
        <v>51</v>
      </c>
      <c r="B19">
        <v>15</v>
      </c>
      <c r="C19" t="s">
        <v>11</v>
      </c>
      <c r="D19">
        <v>2000</v>
      </c>
      <c r="E19" t="s">
        <v>12</v>
      </c>
      <c r="F19">
        <v>0.929824561403508</v>
      </c>
      <c r="G19">
        <v>44</v>
      </c>
    </row>
    <row r="20" spans="1:8" x14ac:dyDescent="0.3">
      <c r="A20" t="s">
        <v>51</v>
      </c>
      <c r="B20">
        <v>15</v>
      </c>
      <c r="C20" t="s">
        <v>11</v>
      </c>
      <c r="D20">
        <v>4000</v>
      </c>
      <c r="E20" t="s">
        <v>12</v>
      </c>
      <c r="F20">
        <v>0.68421052631578905</v>
      </c>
      <c r="G20">
        <v>44</v>
      </c>
    </row>
    <row r="21" spans="1:8" x14ac:dyDescent="0.3">
      <c r="A21" t="s">
        <v>51</v>
      </c>
      <c r="B21">
        <v>15</v>
      </c>
      <c r="C21" t="s">
        <v>11</v>
      </c>
      <c r="D21">
        <v>8000</v>
      </c>
      <c r="E21" t="s">
        <v>12</v>
      </c>
      <c r="F21">
        <v>0.50175438596491195</v>
      </c>
      <c r="G21">
        <v>44</v>
      </c>
    </row>
    <row r="22" spans="1:8" x14ac:dyDescent="0.3">
      <c r="A22" t="s">
        <v>51</v>
      </c>
      <c r="B22">
        <v>15</v>
      </c>
      <c r="C22" t="s">
        <v>8</v>
      </c>
      <c r="D22">
        <v>1000</v>
      </c>
      <c r="E22" t="s">
        <v>10</v>
      </c>
      <c r="F22">
        <v>1.0201465201465201</v>
      </c>
      <c r="G22">
        <v>44</v>
      </c>
    </row>
    <row r="23" spans="1:8" x14ac:dyDescent="0.3">
      <c r="A23" t="s">
        <v>51</v>
      </c>
      <c r="B23">
        <v>15</v>
      </c>
      <c r="C23" t="s">
        <v>8</v>
      </c>
      <c r="D23">
        <v>2000</v>
      </c>
      <c r="E23" t="s">
        <v>10</v>
      </c>
      <c r="F23">
        <v>1.04212454212454</v>
      </c>
      <c r="G23">
        <v>44</v>
      </c>
    </row>
    <row r="24" spans="1:8" x14ac:dyDescent="0.3">
      <c r="A24" t="s">
        <v>51</v>
      </c>
      <c r="B24">
        <v>15</v>
      </c>
      <c r="C24" t="s">
        <v>8</v>
      </c>
      <c r="D24">
        <v>4000</v>
      </c>
      <c r="E24" t="s">
        <v>10</v>
      </c>
      <c r="F24">
        <v>0.84432234432234399</v>
      </c>
      <c r="G24">
        <v>44</v>
      </c>
    </row>
    <row r="25" spans="1:8" x14ac:dyDescent="0.3">
      <c r="A25" t="s">
        <v>51</v>
      </c>
      <c r="B25">
        <v>15</v>
      </c>
      <c r="C25" t="s">
        <v>8</v>
      </c>
      <c r="D25">
        <v>8000</v>
      </c>
      <c r="E25" t="s">
        <v>10</v>
      </c>
      <c r="F25">
        <v>0.78754578754578697</v>
      </c>
      <c r="G25">
        <v>44</v>
      </c>
    </row>
    <row r="26" spans="1:8" x14ac:dyDescent="0.3">
      <c r="A26" t="s">
        <v>51</v>
      </c>
      <c r="B26">
        <v>15</v>
      </c>
      <c r="C26" t="s">
        <v>8</v>
      </c>
      <c r="D26">
        <v>1000</v>
      </c>
      <c r="E26" t="s">
        <v>10</v>
      </c>
      <c r="F26">
        <v>1.07636363636363</v>
      </c>
      <c r="G26">
        <v>44</v>
      </c>
    </row>
    <row r="27" spans="1:8" x14ac:dyDescent="0.3">
      <c r="A27" t="s">
        <v>51</v>
      </c>
      <c r="B27">
        <v>15</v>
      </c>
      <c r="C27" t="s">
        <v>8</v>
      </c>
      <c r="D27">
        <v>2000</v>
      </c>
      <c r="E27" t="s">
        <v>10</v>
      </c>
      <c r="F27">
        <v>1.2763636363636299</v>
      </c>
      <c r="G27">
        <v>44</v>
      </c>
    </row>
    <row r="28" spans="1:8" x14ac:dyDescent="0.3">
      <c r="A28" t="s">
        <v>51</v>
      </c>
      <c r="B28">
        <v>15</v>
      </c>
      <c r="C28" t="s">
        <v>8</v>
      </c>
      <c r="D28">
        <v>4000</v>
      </c>
      <c r="E28" t="s">
        <v>10</v>
      </c>
      <c r="F28">
        <v>1.1418181818181801</v>
      </c>
      <c r="G28">
        <v>44</v>
      </c>
    </row>
    <row r="29" spans="1:8" s="1" customFormat="1" ht="13.9" thickBot="1" x14ac:dyDescent="0.35">
      <c r="A29" s="1" t="s">
        <v>51</v>
      </c>
      <c r="B29" s="1">
        <v>15</v>
      </c>
      <c r="C29" s="1" t="s">
        <v>8</v>
      </c>
      <c r="D29" s="1">
        <v>8000</v>
      </c>
      <c r="E29" s="1" t="s">
        <v>10</v>
      </c>
      <c r="F29" s="1">
        <v>0.77818181818181797</v>
      </c>
      <c r="G29" s="1">
        <v>44</v>
      </c>
      <c r="H29"/>
    </row>
    <row r="30" spans="1:8" x14ac:dyDescent="0.3">
      <c r="A30" t="s">
        <v>52</v>
      </c>
      <c r="B30" s="2">
        <v>3</v>
      </c>
      <c r="C30" s="2" t="s">
        <v>8</v>
      </c>
      <c r="D30" s="2">
        <v>10000</v>
      </c>
      <c r="E30" s="2" t="s">
        <v>12</v>
      </c>
      <c r="F30">
        <v>0.97142857142857097</v>
      </c>
      <c r="G30" s="2">
        <v>45</v>
      </c>
    </row>
    <row r="31" spans="1:8" x14ac:dyDescent="0.3">
      <c r="A31" t="s">
        <v>52</v>
      </c>
      <c r="B31" s="2">
        <v>3</v>
      </c>
      <c r="C31" s="2" t="s">
        <v>8</v>
      </c>
      <c r="D31" s="2">
        <v>50000</v>
      </c>
      <c r="E31" s="2" t="s">
        <v>12</v>
      </c>
      <c r="F31">
        <v>1.0979591836734599</v>
      </c>
      <c r="G31" s="2">
        <v>45</v>
      </c>
    </row>
    <row r="32" spans="1:8" x14ac:dyDescent="0.3">
      <c r="A32" t="s">
        <v>52</v>
      </c>
      <c r="B32" s="2">
        <v>3</v>
      </c>
      <c r="C32" s="2" t="s">
        <v>8</v>
      </c>
      <c r="D32" s="2">
        <v>100000</v>
      </c>
      <c r="E32" s="2" t="s">
        <v>12</v>
      </c>
      <c r="F32">
        <v>0.93877551020408101</v>
      </c>
      <c r="G32" s="2">
        <v>45</v>
      </c>
    </row>
    <row r="33" spans="1:7" x14ac:dyDescent="0.3">
      <c r="A33" t="s">
        <v>52</v>
      </c>
      <c r="B33" s="2">
        <v>3</v>
      </c>
      <c r="C33" s="2" t="s">
        <v>8</v>
      </c>
      <c r="D33" s="2">
        <v>10000</v>
      </c>
      <c r="E33" s="2" t="s">
        <v>10</v>
      </c>
      <c r="F33">
        <v>1.36601307189542</v>
      </c>
      <c r="G33" s="2">
        <v>45</v>
      </c>
    </row>
    <row r="34" spans="1:7" x14ac:dyDescent="0.3">
      <c r="A34" t="s">
        <v>52</v>
      </c>
      <c r="B34" s="2">
        <v>3</v>
      </c>
      <c r="C34" s="2" t="s">
        <v>8</v>
      </c>
      <c r="D34" s="2">
        <v>50000</v>
      </c>
      <c r="E34" s="2" t="s">
        <v>10</v>
      </c>
      <c r="F34">
        <v>1.88888888888888</v>
      </c>
      <c r="G34" s="2">
        <v>45</v>
      </c>
    </row>
    <row r="35" spans="1:7" x14ac:dyDescent="0.3">
      <c r="A35" t="s">
        <v>52</v>
      </c>
      <c r="B35" s="2">
        <v>3</v>
      </c>
      <c r="C35" s="2" t="s">
        <v>8</v>
      </c>
      <c r="D35" s="2">
        <v>100000</v>
      </c>
      <c r="E35" s="2" t="s">
        <v>10</v>
      </c>
      <c r="F35">
        <v>1.9934640522875799</v>
      </c>
      <c r="G35" s="2">
        <v>45</v>
      </c>
    </row>
    <row r="36" spans="1:7" x14ac:dyDescent="0.3">
      <c r="A36" t="s">
        <v>52</v>
      </c>
      <c r="B36" s="2">
        <v>3</v>
      </c>
      <c r="C36" s="2" t="s">
        <v>8</v>
      </c>
      <c r="D36" s="2">
        <v>10000</v>
      </c>
      <c r="E36" s="2" t="s">
        <v>10</v>
      </c>
      <c r="F36">
        <v>2.0634920634920602</v>
      </c>
      <c r="G36" s="2">
        <v>45</v>
      </c>
    </row>
    <row r="37" spans="1:7" x14ac:dyDescent="0.3">
      <c r="A37" t="s">
        <v>52</v>
      </c>
      <c r="B37" s="2">
        <v>3</v>
      </c>
      <c r="C37" s="2" t="s">
        <v>8</v>
      </c>
      <c r="D37" s="2">
        <v>50000</v>
      </c>
      <c r="E37" s="2" t="s">
        <v>10</v>
      </c>
      <c r="F37">
        <v>0.76984126984126899</v>
      </c>
      <c r="G37" s="2">
        <v>45</v>
      </c>
    </row>
    <row r="38" spans="1:7" x14ac:dyDescent="0.3">
      <c r="A38" t="s">
        <v>52</v>
      </c>
      <c r="B38" s="2">
        <v>3</v>
      </c>
      <c r="C38" s="2" t="s">
        <v>8</v>
      </c>
      <c r="D38" s="2">
        <v>100000</v>
      </c>
      <c r="E38" s="2" t="s">
        <v>10</v>
      </c>
      <c r="F38">
        <v>1.63492063492063</v>
      </c>
      <c r="G38" s="2">
        <v>45</v>
      </c>
    </row>
    <row r="39" spans="1:7" x14ac:dyDescent="0.3">
      <c r="A39" t="s">
        <v>52</v>
      </c>
      <c r="B39" s="2">
        <v>3</v>
      </c>
      <c r="C39" s="2" t="s">
        <v>8</v>
      </c>
      <c r="D39" s="2">
        <v>10000</v>
      </c>
      <c r="E39" s="2" t="s">
        <v>9</v>
      </c>
      <c r="F39">
        <v>0.848101265822784</v>
      </c>
      <c r="G39" s="2">
        <v>45</v>
      </c>
    </row>
    <row r="40" spans="1:7" x14ac:dyDescent="0.3">
      <c r="A40" t="s">
        <v>52</v>
      </c>
      <c r="B40" s="2">
        <v>3</v>
      </c>
      <c r="C40" s="2" t="s">
        <v>8</v>
      </c>
      <c r="D40" s="2">
        <v>50000</v>
      </c>
      <c r="E40" s="2" t="s">
        <v>9</v>
      </c>
      <c r="F40">
        <v>0.386075949367088</v>
      </c>
      <c r="G40" s="2">
        <v>45</v>
      </c>
    </row>
    <row r="41" spans="1:7" s="1" customFormat="1" ht="13.9" thickBot="1" x14ac:dyDescent="0.35">
      <c r="A41" s="1" t="s">
        <v>52</v>
      </c>
      <c r="B41" s="3">
        <v>3</v>
      </c>
      <c r="C41" s="3" t="s">
        <v>8</v>
      </c>
      <c r="D41" s="2">
        <v>100000</v>
      </c>
      <c r="E41" s="3" t="s">
        <v>9</v>
      </c>
      <c r="F41" s="1">
        <v>1.75316455696202</v>
      </c>
      <c r="G41" s="3">
        <v>45</v>
      </c>
    </row>
    <row r="42" spans="1:7" x14ac:dyDescent="0.3">
      <c r="A42" t="s">
        <v>75</v>
      </c>
      <c r="B42">
        <v>3</v>
      </c>
      <c r="C42" t="s">
        <v>8</v>
      </c>
      <c r="D42">
        <v>1000</v>
      </c>
      <c r="E42" t="s">
        <v>12</v>
      </c>
      <c r="F42">
        <v>0.4</v>
      </c>
      <c r="G42">
        <v>6</v>
      </c>
    </row>
    <row r="43" spans="1:7" x14ac:dyDescent="0.3">
      <c r="A43" t="s">
        <v>75</v>
      </c>
      <c r="B43">
        <v>3</v>
      </c>
      <c r="C43" t="s">
        <v>8</v>
      </c>
      <c r="D43">
        <v>5000</v>
      </c>
      <c r="E43" t="s">
        <v>12</v>
      </c>
      <c r="F43">
        <v>0.3</v>
      </c>
      <c r="G43">
        <v>6</v>
      </c>
    </row>
    <row r="44" spans="1:7" x14ac:dyDescent="0.3">
      <c r="A44" t="s">
        <v>75</v>
      </c>
      <c r="B44">
        <v>3</v>
      </c>
      <c r="C44" t="s">
        <v>8</v>
      </c>
      <c r="D44">
        <v>10000</v>
      </c>
      <c r="E44" t="s">
        <v>12</v>
      </c>
      <c r="F44">
        <v>0.2</v>
      </c>
      <c r="G44">
        <v>6</v>
      </c>
    </row>
    <row r="45" spans="1:7" x14ac:dyDescent="0.3">
      <c r="A45" t="s">
        <v>75</v>
      </c>
      <c r="B45">
        <v>6</v>
      </c>
      <c r="C45" t="s">
        <v>8</v>
      </c>
      <c r="D45">
        <v>1000</v>
      </c>
      <c r="E45" t="s">
        <v>12</v>
      </c>
      <c r="F45">
        <v>0.27</v>
      </c>
      <c r="G45">
        <v>6</v>
      </c>
    </row>
    <row r="46" spans="1:7" x14ac:dyDescent="0.3">
      <c r="A46" t="s">
        <v>75</v>
      </c>
      <c r="B46">
        <v>6</v>
      </c>
      <c r="C46" t="s">
        <v>8</v>
      </c>
      <c r="D46">
        <v>5000</v>
      </c>
      <c r="E46" t="s">
        <v>12</v>
      </c>
      <c r="F46">
        <v>0.68</v>
      </c>
      <c r="G46">
        <v>6</v>
      </c>
    </row>
    <row r="47" spans="1:7" x14ac:dyDescent="0.3">
      <c r="A47" t="s">
        <v>75</v>
      </c>
      <c r="B47">
        <v>6</v>
      </c>
      <c r="C47" t="s">
        <v>8</v>
      </c>
      <c r="D47">
        <v>10000</v>
      </c>
      <c r="E47" t="s">
        <v>12</v>
      </c>
      <c r="F47">
        <v>0.32</v>
      </c>
      <c r="G47">
        <v>6</v>
      </c>
    </row>
    <row r="48" spans="1:7" x14ac:dyDescent="0.3">
      <c r="A48" t="s">
        <v>75</v>
      </c>
      <c r="B48">
        <v>9</v>
      </c>
      <c r="C48" t="s">
        <v>8</v>
      </c>
      <c r="D48">
        <v>1000</v>
      </c>
      <c r="E48" t="s">
        <v>12</v>
      </c>
      <c r="F48">
        <v>0.36</v>
      </c>
      <c r="G48">
        <v>6</v>
      </c>
    </row>
    <row r="49" spans="1:7" x14ac:dyDescent="0.3">
      <c r="A49" t="s">
        <v>75</v>
      </c>
      <c r="B49">
        <v>9</v>
      </c>
      <c r="C49" t="s">
        <v>8</v>
      </c>
      <c r="D49">
        <v>5000</v>
      </c>
      <c r="E49" t="s">
        <v>12</v>
      </c>
      <c r="F49">
        <v>0.64</v>
      </c>
      <c r="G49">
        <v>6</v>
      </c>
    </row>
    <row r="50" spans="1:7" s="1" customFormat="1" ht="13.9" thickBot="1" x14ac:dyDescent="0.35">
      <c r="A50" s="1" t="s">
        <v>75</v>
      </c>
      <c r="B50" s="1">
        <v>9</v>
      </c>
      <c r="C50" s="1" t="s">
        <v>8</v>
      </c>
      <c r="D50" s="1">
        <v>10000</v>
      </c>
      <c r="E50" s="1" t="s">
        <v>12</v>
      </c>
      <c r="F50" s="1">
        <v>0.39</v>
      </c>
      <c r="G50" s="1">
        <v>6</v>
      </c>
    </row>
    <row r="51" spans="1:7" x14ac:dyDescent="0.3">
      <c r="A51" t="s">
        <v>76</v>
      </c>
      <c r="B51">
        <v>14</v>
      </c>
      <c r="C51" t="s">
        <v>11</v>
      </c>
      <c r="D51">
        <v>10</v>
      </c>
      <c r="E51" t="s">
        <v>12</v>
      </c>
      <c r="F51">
        <v>0.91071428600000004</v>
      </c>
      <c r="G51">
        <v>22</v>
      </c>
    </row>
    <row r="52" spans="1:7" x14ac:dyDescent="0.3">
      <c r="A52" t="s">
        <v>76</v>
      </c>
      <c r="B52">
        <v>14</v>
      </c>
      <c r="C52" t="s">
        <v>11</v>
      </c>
      <c r="D52">
        <v>50</v>
      </c>
      <c r="E52" t="s">
        <v>12</v>
      </c>
      <c r="F52">
        <v>0.821428571</v>
      </c>
      <c r="G52">
        <v>22</v>
      </c>
    </row>
    <row r="53" spans="1:7" x14ac:dyDescent="0.3">
      <c r="A53" t="s">
        <v>76</v>
      </c>
      <c r="B53">
        <v>14</v>
      </c>
      <c r="C53" t="s">
        <v>11</v>
      </c>
      <c r="D53">
        <v>100</v>
      </c>
      <c r="E53" t="s">
        <v>12</v>
      </c>
      <c r="F53">
        <v>0.81428571400000005</v>
      </c>
      <c r="G53">
        <v>22</v>
      </c>
    </row>
    <row r="54" spans="1:7" x14ac:dyDescent="0.3">
      <c r="A54" t="s">
        <v>76</v>
      </c>
      <c r="B54">
        <v>14</v>
      </c>
      <c r="C54" t="s">
        <v>11</v>
      </c>
      <c r="D54">
        <v>500</v>
      </c>
      <c r="E54" t="s">
        <v>12</v>
      </c>
      <c r="F54">
        <v>0.678571429</v>
      </c>
      <c r="G54">
        <v>22</v>
      </c>
    </row>
    <row r="55" spans="1:7" x14ac:dyDescent="0.3">
      <c r="A55" t="s">
        <v>77</v>
      </c>
      <c r="B55">
        <v>14</v>
      </c>
      <c r="C55" t="s">
        <v>11</v>
      </c>
      <c r="D55">
        <v>10</v>
      </c>
      <c r="E55" t="s">
        <v>12</v>
      </c>
      <c r="F55">
        <v>0.85714285700000004</v>
      </c>
      <c r="G55">
        <v>23</v>
      </c>
    </row>
    <row r="56" spans="1:7" x14ac:dyDescent="0.3">
      <c r="A56" t="s">
        <v>77</v>
      </c>
      <c r="B56">
        <v>14</v>
      </c>
      <c r="C56" t="s">
        <v>11</v>
      </c>
      <c r="D56">
        <v>50</v>
      </c>
      <c r="E56" t="s">
        <v>12</v>
      </c>
      <c r="F56">
        <v>0.75</v>
      </c>
      <c r="G56">
        <v>23</v>
      </c>
    </row>
    <row r="57" spans="1:7" x14ac:dyDescent="0.3">
      <c r="A57" t="s">
        <v>77</v>
      </c>
      <c r="B57">
        <v>14</v>
      </c>
      <c r="C57" t="s">
        <v>11</v>
      </c>
      <c r="D57">
        <v>100</v>
      </c>
      <c r="E57" t="s">
        <v>12</v>
      </c>
      <c r="F57">
        <v>0.55714285699999999</v>
      </c>
      <c r="G57">
        <v>23</v>
      </c>
    </row>
    <row r="58" spans="1:7" x14ac:dyDescent="0.3">
      <c r="A58" t="s">
        <v>77</v>
      </c>
      <c r="B58">
        <v>14</v>
      </c>
      <c r="C58" t="s">
        <v>11</v>
      </c>
      <c r="D58">
        <v>500</v>
      </c>
      <c r="E58" t="s">
        <v>12</v>
      </c>
      <c r="F58">
        <v>0.46428571400000002</v>
      </c>
      <c r="G58">
        <v>23</v>
      </c>
    </row>
    <row r="59" spans="1:7" x14ac:dyDescent="0.3">
      <c r="A59" t="s">
        <v>78</v>
      </c>
      <c r="B59">
        <v>14</v>
      </c>
      <c r="C59" t="s">
        <v>11</v>
      </c>
      <c r="D59">
        <v>10</v>
      </c>
      <c r="E59" t="s">
        <v>12</v>
      </c>
      <c r="F59">
        <v>0.821428571</v>
      </c>
      <c r="G59">
        <v>24</v>
      </c>
    </row>
    <row r="60" spans="1:7" x14ac:dyDescent="0.3">
      <c r="A60" t="s">
        <v>78</v>
      </c>
      <c r="B60">
        <v>14</v>
      </c>
      <c r="C60" t="s">
        <v>11</v>
      </c>
      <c r="D60">
        <v>50</v>
      </c>
      <c r="E60" t="s">
        <v>12</v>
      </c>
      <c r="F60">
        <v>0.60714285700000004</v>
      </c>
      <c r="G60">
        <v>24</v>
      </c>
    </row>
    <row r="61" spans="1:7" x14ac:dyDescent="0.3">
      <c r="A61" t="s">
        <v>78</v>
      </c>
      <c r="B61">
        <v>14</v>
      </c>
      <c r="C61" t="s">
        <v>11</v>
      </c>
      <c r="D61">
        <v>100</v>
      </c>
      <c r="E61" t="s">
        <v>12</v>
      </c>
      <c r="F61">
        <v>0.36428571399999998</v>
      </c>
      <c r="G61">
        <v>24</v>
      </c>
    </row>
    <row r="62" spans="1:7" x14ac:dyDescent="0.3">
      <c r="A62" t="s">
        <v>78</v>
      </c>
      <c r="B62">
        <v>14</v>
      </c>
      <c r="C62" t="s">
        <v>11</v>
      </c>
      <c r="D62">
        <v>500</v>
      </c>
      <c r="E62" t="s">
        <v>12</v>
      </c>
      <c r="F62">
        <v>0.35714285699999998</v>
      </c>
      <c r="G62">
        <v>24</v>
      </c>
    </row>
    <row r="63" spans="1:7" x14ac:dyDescent="0.3">
      <c r="A63" t="s">
        <v>76</v>
      </c>
      <c r="B63">
        <v>14</v>
      </c>
      <c r="C63" t="s">
        <v>8</v>
      </c>
      <c r="D63">
        <v>10</v>
      </c>
      <c r="E63" t="s">
        <v>12</v>
      </c>
      <c r="F63">
        <v>0.85416666699999999</v>
      </c>
      <c r="G63">
        <v>22</v>
      </c>
    </row>
    <row r="64" spans="1:7" x14ac:dyDescent="0.3">
      <c r="A64" t="s">
        <v>76</v>
      </c>
      <c r="B64">
        <v>14</v>
      </c>
      <c r="C64" t="s">
        <v>8</v>
      </c>
      <c r="D64">
        <v>50</v>
      </c>
      <c r="E64" t="s">
        <v>12</v>
      </c>
      <c r="F64">
        <v>0.84375</v>
      </c>
      <c r="G64">
        <v>22</v>
      </c>
    </row>
    <row r="65" spans="1:7" x14ac:dyDescent="0.3">
      <c r="A65" t="s">
        <v>76</v>
      </c>
      <c r="B65">
        <v>14</v>
      </c>
      <c r="C65" t="s">
        <v>8</v>
      </c>
      <c r="D65">
        <v>100</v>
      </c>
      <c r="E65" t="s">
        <v>12</v>
      </c>
      <c r="F65">
        <v>0.80208333300000001</v>
      </c>
      <c r="G65">
        <v>22</v>
      </c>
    </row>
    <row r="66" spans="1:7" x14ac:dyDescent="0.3">
      <c r="A66" t="s">
        <v>76</v>
      </c>
      <c r="B66">
        <v>14</v>
      </c>
      <c r="C66" t="s">
        <v>8</v>
      </c>
      <c r="D66">
        <v>500</v>
      </c>
      <c r="E66" t="s">
        <v>12</v>
      </c>
      <c r="F66">
        <v>0.75</v>
      </c>
      <c r="G66">
        <v>22</v>
      </c>
    </row>
    <row r="67" spans="1:7" x14ac:dyDescent="0.3">
      <c r="A67" t="s">
        <v>77</v>
      </c>
      <c r="B67">
        <v>14</v>
      </c>
      <c r="C67" t="s">
        <v>8</v>
      </c>
      <c r="D67">
        <v>10</v>
      </c>
      <c r="E67" t="s">
        <v>12</v>
      </c>
      <c r="F67">
        <v>0.79166666699999999</v>
      </c>
      <c r="G67">
        <v>23</v>
      </c>
    </row>
    <row r="68" spans="1:7" x14ac:dyDescent="0.3">
      <c r="A68" t="s">
        <v>77</v>
      </c>
      <c r="B68">
        <v>14</v>
      </c>
      <c r="C68" t="s">
        <v>8</v>
      </c>
      <c r="D68">
        <v>50</v>
      </c>
      <c r="E68" t="s">
        <v>12</v>
      </c>
      <c r="F68">
        <v>0.78645833300000001</v>
      </c>
      <c r="G68">
        <v>23</v>
      </c>
    </row>
    <row r="69" spans="1:7" x14ac:dyDescent="0.3">
      <c r="A69" t="s">
        <v>77</v>
      </c>
      <c r="B69">
        <v>14</v>
      </c>
      <c r="C69" t="s">
        <v>8</v>
      </c>
      <c r="D69">
        <v>100</v>
      </c>
      <c r="E69" t="s">
        <v>12</v>
      </c>
      <c r="F69">
        <v>0.77916666700000003</v>
      </c>
      <c r="G69">
        <v>23</v>
      </c>
    </row>
    <row r="70" spans="1:7" x14ac:dyDescent="0.3">
      <c r="A70" t="s">
        <v>77</v>
      </c>
      <c r="B70">
        <v>14</v>
      </c>
      <c r="C70" t="s">
        <v>8</v>
      </c>
      <c r="D70">
        <v>500</v>
      </c>
      <c r="E70" t="s">
        <v>12</v>
      </c>
      <c r="F70">
        <v>0.65104166699999999</v>
      </c>
      <c r="G70">
        <v>23</v>
      </c>
    </row>
    <row r="71" spans="1:7" x14ac:dyDescent="0.3">
      <c r="A71" t="s">
        <v>78</v>
      </c>
      <c r="B71">
        <v>14</v>
      </c>
      <c r="C71" t="s">
        <v>8</v>
      </c>
      <c r="D71">
        <v>10</v>
      </c>
      <c r="E71" t="s">
        <v>12</v>
      </c>
      <c r="F71">
        <v>0.80208333300000001</v>
      </c>
      <c r="G71">
        <v>24</v>
      </c>
    </row>
    <row r="72" spans="1:7" x14ac:dyDescent="0.3">
      <c r="A72" t="s">
        <v>78</v>
      </c>
      <c r="B72">
        <v>14</v>
      </c>
      <c r="C72" t="s">
        <v>8</v>
      </c>
      <c r="D72">
        <v>50</v>
      </c>
      <c r="E72" t="s">
        <v>12</v>
      </c>
      <c r="F72">
        <v>0.78125</v>
      </c>
      <c r="G72">
        <v>24</v>
      </c>
    </row>
    <row r="73" spans="1:7" x14ac:dyDescent="0.3">
      <c r="A73" t="s">
        <v>78</v>
      </c>
      <c r="B73">
        <v>14</v>
      </c>
      <c r="C73" t="s">
        <v>8</v>
      </c>
      <c r="D73">
        <v>100</v>
      </c>
      <c r="E73" t="s">
        <v>12</v>
      </c>
      <c r="F73">
        <v>0.73958333300000001</v>
      </c>
      <c r="G73">
        <v>24</v>
      </c>
    </row>
    <row r="74" spans="1:7" x14ac:dyDescent="0.3">
      <c r="A74" t="s">
        <v>78</v>
      </c>
      <c r="B74">
        <v>14</v>
      </c>
      <c r="C74" t="s">
        <v>8</v>
      </c>
      <c r="D74">
        <v>500</v>
      </c>
      <c r="E74" t="s">
        <v>12</v>
      </c>
      <c r="F74">
        <v>0.66145833300000001</v>
      </c>
      <c r="G74">
        <v>24</v>
      </c>
    </row>
    <row r="75" spans="1:7" x14ac:dyDescent="0.3">
      <c r="A75" t="s">
        <v>76</v>
      </c>
      <c r="B75">
        <v>14</v>
      </c>
      <c r="C75" t="s">
        <v>11</v>
      </c>
      <c r="D75">
        <v>10</v>
      </c>
      <c r="E75" t="s">
        <v>10</v>
      </c>
      <c r="F75">
        <v>0.84745762700000005</v>
      </c>
      <c r="G75">
        <v>22</v>
      </c>
    </row>
    <row r="76" spans="1:7" x14ac:dyDescent="0.3">
      <c r="A76" t="s">
        <v>76</v>
      </c>
      <c r="B76">
        <v>14</v>
      </c>
      <c r="C76" t="s">
        <v>11</v>
      </c>
      <c r="D76">
        <v>50</v>
      </c>
      <c r="E76" t="s">
        <v>10</v>
      </c>
      <c r="F76">
        <v>0.793220339</v>
      </c>
      <c r="G76">
        <v>22</v>
      </c>
    </row>
    <row r="77" spans="1:7" x14ac:dyDescent="0.3">
      <c r="A77" t="s">
        <v>76</v>
      </c>
      <c r="B77">
        <v>14</v>
      </c>
      <c r="C77" t="s">
        <v>11</v>
      </c>
      <c r="D77">
        <v>100</v>
      </c>
      <c r="E77" t="s">
        <v>10</v>
      </c>
      <c r="F77">
        <v>0.793220339</v>
      </c>
      <c r="G77">
        <v>22</v>
      </c>
    </row>
    <row r="78" spans="1:7" x14ac:dyDescent="0.3">
      <c r="A78" t="s">
        <v>76</v>
      </c>
      <c r="B78">
        <v>14</v>
      </c>
      <c r="C78" t="s">
        <v>11</v>
      </c>
      <c r="D78">
        <v>500</v>
      </c>
      <c r="E78" t="s">
        <v>10</v>
      </c>
      <c r="F78">
        <v>0.77966101700000001</v>
      </c>
      <c r="G78">
        <v>22</v>
      </c>
    </row>
    <row r="79" spans="1:7" x14ac:dyDescent="0.3">
      <c r="A79" t="s">
        <v>77</v>
      </c>
      <c r="B79">
        <v>14</v>
      </c>
      <c r="C79" t="s">
        <v>11</v>
      </c>
      <c r="D79">
        <v>10</v>
      </c>
      <c r="E79" t="s">
        <v>10</v>
      </c>
      <c r="F79">
        <v>0.84745762700000005</v>
      </c>
      <c r="G79">
        <v>23</v>
      </c>
    </row>
    <row r="80" spans="1:7" x14ac:dyDescent="0.3">
      <c r="A80" t="s">
        <v>77</v>
      </c>
      <c r="B80">
        <v>14</v>
      </c>
      <c r="C80" t="s">
        <v>11</v>
      </c>
      <c r="D80">
        <v>50</v>
      </c>
      <c r="E80" t="s">
        <v>10</v>
      </c>
      <c r="F80">
        <v>0.81355932200000003</v>
      </c>
      <c r="G80">
        <v>23</v>
      </c>
    </row>
    <row r="81" spans="1:7" x14ac:dyDescent="0.3">
      <c r="A81" t="s">
        <v>77</v>
      </c>
      <c r="B81">
        <v>14</v>
      </c>
      <c r="C81" t="s">
        <v>11</v>
      </c>
      <c r="D81">
        <v>100</v>
      </c>
      <c r="E81" t="s">
        <v>10</v>
      </c>
      <c r="F81">
        <v>0.74576271199999999</v>
      </c>
      <c r="G81">
        <v>23</v>
      </c>
    </row>
    <row r="82" spans="1:7" x14ac:dyDescent="0.3">
      <c r="A82" t="s">
        <v>77</v>
      </c>
      <c r="B82">
        <v>14</v>
      </c>
      <c r="C82" t="s">
        <v>11</v>
      </c>
      <c r="D82">
        <v>500</v>
      </c>
      <c r="E82" t="s">
        <v>10</v>
      </c>
      <c r="F82">
        <v>0.67796610199999996</v>
      </c>
      <c r="G82">
        <v>23</v>
      </c>
    </row>
    <row r="83" spans="1:7" x14ac:dyDescent="0.3">
      <c r="A83" t="s">
        <v>78</v>
      </c>
      <c r="B83">
        <v>14</v>
      </c>
      <c r="C83" t="s">
        <v>11</v>
      </c>
      <c r="D83">
        <v>10</v>
      </c>
      <c r="E83" t="s">
        <v>10</v>
      </c>
      <c r="F83">
        <v>0.85423728799999998</v>
      </c>
      <c r="G83">
        <v>24</v>
      </c>
    </row>
    <row r="84" spans="1:7" x14ac:dyDescent="0.3">
      <c r="A84" t="s">
        <v>78</v>
      </c>
      <c r="B84">
        <v>14</v>
      </c>
      <c r="C84" t="s">
        <v>11</v>
      </c>
      <c r="D84">
        <v>50</v>
      </c>
      <c r="E84" t="s">
        <v>10</v>
      </c>
      <c r="F84">
        <v>0.77966101700000001</v>
      </c>
      <c r="G84">
        <v>24</v>
      </c>
    </row>
    <row r="85" spans="1:7" x14ac:dyDescent="0.3">
      <c r="A85" t="s">
        <v>78</v>
      </c>
      <c r="B85">
        <v>14</v>
      </c>
      <c r="C85" t="s">
        <v>11</v>
      </c>
      <c r="D85">
        <v>100</v>
      </c>
      <c r="E85" t="s">
        <v>10</v>
      </c>
      <c r="F85">
        <v>0.74576271199999999</v>
      </c>
      <c r="G85">
        <v>24</v>
      </c>
    </row>
    <row r="86" spans="1:7" x14ac:dyDescent="0.3">
      <c r="A86" t="s">
        <v>78</v>
      </c>
      <c r="B86">
        <v>14</v>
      </c>
      <c r="C86" t="s">
        <v>11</v>
      </c>
      <c r="D86">
        <v>500</v>
      </c>
      <c r="E86" t="s">
        <v>10</v>
      </c>
      <c r="F86">
        <v>0.61016949200000004</v>
      </c>
      <c r="G86">
        <v>24</v>
      </c>
    </row>
    <row r="87" spans="1:7" x14ac:dyDescent="0.3">
      <c r="A87" t="s">
        <v>76</v>
      </c>
      <c r="B87">
        <v>14</v>
      </c>
      <c r="C87" t="s">
        <v>11</v>
      </c>
      <c r="D87">
        <v>10</v>
      </c>
      <c r="E87" t="s">
        <v>10</v>
      </c>
      <c r="F87">
        <v>0.95</v>
      </c>
      <c r="G87">
        <v>22</v>
      </c>
    </row>
    <row r="88" spans="1:7" x14ac:dyDescent="0.3">
      <c r="A88" t="s">
        <v>76</v>
      </c>
      <c r="B88">
        <v>14</v>
      </c>
      <c r="C88" t="s">
        <v>11</v>
      </c>
      <c r="D88">
        <v>50</v>
      </c>
      <c r="E88" t="s">
        <v>10</v>
      </c>
      <c r="F88">
        <v>0.96078431399999997</v>
      </c>
      <c r="G88">
        <v>22</v>
      </c>
    </row>
    <row r="89" spans="1:7" x14ac:dyDescent="0.3">
      <c r="A89" t="s">
        <v>76</v>
      </c>
      <c r="B89">
        <v>14</v>
      </c>
      <c r="C89" t="s">
        <v>11</v>
      </c>
      <c r="D89">
        <v>100</v>
      </c>
      <c r="E89" t="s">
        <v>10</v>
      </c>
      <c r="F89">
        <v>0.64705882400000003</v>
      </c>
      <c r="G89">
        <v>22</v>
      </c>
    </row>
    <row r="90" spans="1:7" x14ac:dyDescent="0.3">
      <c r="A90" t="s">
        <v>76</v>
      </c>
      <c r="B90">
        <v>14</v>
      </c>
      <c r="C90" t="s">
        <v>11</v>
      </c>
      <c r="D90">
        <v>500</v>
      </c>
      <c r="E90" t="s">
        <v>10</v>
      </c>
      <c r="F90">
        <v>0.49019607799999998</v>
      </c>
      <c r="G90">
        <v>22</v>
      </c>
    </row>
    <row r="91" spans="1:7" x14ac:dyDescent="0.3">
      <c r="A91" t="s">
        <v>77</v>
      </c>
      <c r="B91">
        <v>14</v>
      </c>
      <c r="C91" t="s">
        <v>11</v>
      </c>
      <c r="D91">
        <v>10</v>
      </c>
      <c r="E91" t="s">
        <v>10</v>
      </c>
      <c r="F91">
        <v>0.84313725500000003</v>
      </c>
      <c r="G91">
        <v>23</v>
      </c>
    </row>
    <row r="92" spans="1:7" x14ac:dyDescent="0.3">
      <c r="A92" t="s">
        <v>77</v>
      </c>
      <c r="B92">
        <v>14</v>
      </c>
      <c r="C92" t="s">
        <v>11</v>
      </c>
      <c r="D92">
        <v>50</v>
      </c>
      <c r="E92" t="s">
        <v>10</v>
      </c>
      <c r="F92">
        <v>0.72549019599999998</v>
      </c>
      <c r="G92">
        <v>23</v>
      </c>
    </row>
    <row r="93" spans="1:7" x14ac:dyDescent="0.3">
      <c r="A93" t="s">
        <v>77</v>
      </c>
      <c r="B93">
        <v>14</v>
      </c>
      <c r="C93" t="s">
        <v>11</v>
      </c>
      <c r="D93">
        <v>100</v>
      </c>
      <c r="E93" t="s">
        <v>10</v>
      </c>
      <c r="F93">
        <v>0.66666666699999999</v>
      </c>
      <c r="G93">
        <v>23</v>
      </c>
    </row>
    <row r="94" spans="1:7" x14ac:dyDescent="0.3">
      <c r="A94" t="s">
        <v>77</v>
      </c>
      <c r="B94">
        <v>14</v>
      </c>
      <c r="C94" t="s">
        <v>11</v>
      </c>
      <c r="D94">
        <v>500</v>
      </c>
      <c r="E94" t="s">
        <v>10</v>
      </c>
      <c r="F94">
        <v>0.41176470599999998</v>
      </c>
      <c r="G94">
        <v>23</v>
      </c>
    </row>
    <row r="95" spans="1:7" x14ac:dyDescent="0.3">
      <c r="A95" t="s">
        <v>78</v>
      </c>
      <c r="B95">
        <v>14</v>
      </c>
      <c r="C95" t="s">
        <v>11</v>
      </c>
      <c r="D95">
        <v>10</v>
      </c>
      <c r="E95" t="s">
        <v>10</v>
      </c>
      <c r="F95">
        <v>0.803921569</v>
      </c>
      <c r="G95">
        <v>24</v>
      </c>
    </row>
    <row r="96" spans="1:7" x14ac:dyDescent="0.3">
      <c r="A96" t="s">
        <v>78</v>
      </c>
      <c r="B96">
        <v>14</v>
      </c>
      <c r="C96" t="s">
        <v>11</v>
      </c>
      <c r="D96">
        <v>50</v>
      </c>
      <c r="E96" t="s">
        <v>10</v>
      </c>
      <c r="F96">
        <v>0.62745097999999999</v>
      </c>
      <c r="G96">
        <v>24</v>
      </c>
    </row>
    <row r="97" spans="1:7" x14ac:dyDescent="0.3">
      <c r="A97" t="s">
        <v>78</v>
      </c>
      <c r="B97">
        <v>14</v>
      </c>
      <c r="C97" t="s">
        <v>11</v>
      </c>
      <c r="D97">
        <v>100</v>
      </c>
      <c r="E97" t="s">
        <v>10</v>
      </c>
      <c r="F97">
        <v>0.58823529399999996</v>
      </c>
      <c r="G97">
        <v>24</v>
      </c>
    </row>
    <row r="98" spans="1:7" x14ac:dyDescent="0.3">
      <c r="A98" t="s">
        <v>78</v>
      </c>
      <c r="B98">
        <v>14</v>
      </c>
      <c r="C98" t="s">
        <v>11</v>
      </c>
      <c r="D98">
        <v>500</v>
      </c>
      <c r="E98" t="s">
        <v>10</v>
      </c>
      <c r="F98">
        <v>0.31372549</v>
      </c>
      <c r="G98">
        <v>24</v>
      </c>
    </row>
    <row r="99" spans="1:7" x14ac:dyDescent="0.3">
      <c r="A99" t="s">
        <v>76</v>
      </c>
      <c r="B99">
        <v>14</v>
      </c>
      <c r="C99" t="s">
        <v>8</v>
      </c>
      <c r="D99">
        <v>10</v>
      </c>
      <c r="E99" t="s">
        <v>10</v>
      </c>
      <c r="F99">
        <v>0.96</v>
      </c>
      <c r="G99">
        <v>22</v>
      </c>
    </row>
    <row r="100" spans="1:7" x14ac:dyDescent="0.3">
      <c r="A100" t="s">
        <v>76</v>
      </c>
      <c r="B100">
        <v>14</v>
      </c>
      <c r="C100" t="s">
        <v>8</v>
      </c>
      <c r="D100">
        <v>50</v>
      </c>
      <c r="E100" t="s">
        <v>10</v>
      </c>
      <c r="F100">
        <v>0.88</v>
      </c>
      <c r="G100">
        <v>22</v>
      </c>
    </row>
    <row r="101" spans="1:7" x14ac:dyDescent="0.3">
      <c r="A101" t="s">
        <v>76</v>
      </c>
      <c r="B101">
        <v>14</v>
      </c>
      <c r="C101" t="s">
        <v>8</v>
      </c>
      <c r="D101">
        <v>100</v>
      </c>
      <c r="E101" t="s">
        <v>10</v>
      </c>
      <c r="F101">
        <v>0.84</v>
      </c>
      <c r="G101">
        <v>22</v>
      </c>
    </row>
    <row r="102" spans="1:7" x14ac:dyDescent="0.3">
      <c r="A102" t="s">
        <v>76</v>
      </c>
      <c r="B102">
        <v>14</v>
      </c>
      <c r="C102" t="s">
        <v>8</v>
      </c>
      <c r="D102">
        <v>500</v>
      </c>
      <c r="E102" t="s">
        <v>10</v>
      </c>
      <c r="F102">
        <v>0.80400000000000005</v>
      </c>
      <c r="G102">
        <v>22</v>
      </c>
    </row>
    <row r="103" spans="1:7" x14ac:dyDescent="0.3">
      <c r="A103" t="s">
        <v>77</v>
      </c>
      <c r="B103">
        <v>14</v>
      </c>
      <c r="C103" t="s">
        <v>8</v>
      </c>
      <c r="D103">
        <v>10</v>
      </c>
      <c r="E103" t="s">
        <v>10</v>
      </c>
      <c r="F103">
        <v>1.1599999999999999</v>
      </c>
      <c r="G103">
        <v>23</v>
      </c>
    </row>
    <row r="104" spans="1:7" x14ac:dyDescent="0.3">
      <c r="A104" t="s">
        <v>77</v>
      </c>
      <c r="B104">
        <v>14</v>
      </c>
      <c r="C104" t="s">
        <v>8</v>
      </c>
      <c r="D104">
        <v>50</v>
      </c>
      <c r="E104" t="s">
        <v>10</v>
      </c>
      <c r="F104">
        <v>0.92</v>
      </c>
      <c r="G104">
        <v>23</v>
      </c>
    </row>
    <row r="105" spans="1:7" x14ac:dyDescent="0.3">
      <c r="A105" t="s">
        <v>77</v>
      </c>
      <c r="B105">
        <v>14</v>
      </c>
      <c r="C105" t="s">
        <v>8</v>
      </c>
      <c r="D105">
        <v>100</v>
      </c>
      <c r="E105" t="s">
        <v>10</v>
      </c>
      <c r="F105">
        <v>0.72</v>
      </c>
      <c r="G105">
        <v>23</v>
      </c>
    </row>
    <row r="106" spans="1:7" x14ac:dyDescent="0.3">
      <c r="A106" t="s">
        <v>77</v>
      </c>
      <c r="B106">
        <v>14</v>
      </c>
      <c r="C106" t="s">
        <v>8</v>
      </c>
      <c r="D106">
        <v>500</v>
      </c>
      <c r="E106" t="s">
        <v>10</v>
      </c>
      <c r="F106">
        <v>0.6</v>
      </c>
      <c r="G106">
        <v>23</v>
      </c>
    </row>
    <row r="107" spans="1:7" x14ac:dyDescent="0.3">
      <c r="A107" t="s">
        <v>78</v>
      </c>
      <c r="B107">
        <v>14</v>
      </c>
      <c r="C107" t="s">
        <v>8</v>
      </c>
      <c r="D107">
        <v>10</v>
      </c>
      <c r="E107" t="s">
        <v>10</v>
      </c>
      <c r="F107">
        <v>0.72</v>
      </c>
      <c r="G107">
        <v>24</v>
      </c>
    </row>
    <row r="108" spans="1:7" x14ac:dyDescent="0.3">
      <c r="A108" t="s">
        <v>78</v>
      </c>
      <c r="B108">
        <v>14</v>
      </c>
      <c r="C108" t="s">
        <v>8</v>
      </c>
      <c r="D108">
        <v>50</v>
      </c>
      <c r="E108" t="s">
        <v>10</v>
      </c>
      <c r="F108">
        <v>0.64</v>
      </c>
      <c r="G108">
        <v>24</v>
      </c>
    </row>
    <row r="109" spans="1:7" x14ac:dyDescent="0.3">
      <c r="A109" t="s">
        <v>78</v>
      </c>
      <c r="B109">
        <v>14</v>
      </c>
      <c r="C109" t="s">
        <v>8</v>
      </c>
      <c r="D109">
        <v>100</v>
      </c>
      <c r="E109" t="s">
        <v>10</v>
      </c>
      <c r="F109">
        <v>0.56000000000000005</v>
      </c>
      <c r="G109">
        <v>24</v>
      </c>
    </row>
    <row r="110" spans="1:7" x14ac:dyDescent="0.3">
      <c r="A110" t="s">
        <v>78</v>
      </c>
      <c r="B110">
        <v>14</v>
      </c>
      <c r="C110" t="s">
        <v>8</v>
      </c>
      <c r="D110">
        <v>500</v>
      </c>
      <c r="E110" t="s">
        <v>10</v>
      </c>
      <c r="F110">
        <v>0.52</v>
      </c>
      <c r="G110">
        <v>24</v>
      </c>
    </row>
    <row r="111" spans="1:7" x14ac:dyDescent="0.3">
      <c r="A111" t="s">
        <v>76</v>
      </c>
      <c r="B111">
        <v>14</v>
      </c>
      <c r="C111" t="s">
        <v>8</v>
      </c>
      <c r="D111">
        <v>10</v>
      </c>
      <c r="E111" t="s">
        <v>10</v>
      </c>
      <c r="F111">
        <v>1.0153846150000001</v>
      </c>
      <c r="G111">
        <v>22</v>
      </c>
    </row>
    <row r="112" spans="1:7" x14ac:dyDescent="0.3">
      <c r="A112" t="s">
        <v>76</v>
      </c>
      <c r="B112">
        <v>14</v>
      </c>
      <c r="C112" t="s">
        <v>8</v>
      </c>
      <c r="D112">
        <v>50</v>
      </c>
      <c r="E112" t="s">
        <v>10</v>
      </c>
      <c r="F112">
        <v>1.115384615</v>
      </c>
      <c r="G112">
        <v>22</v>
      </c>
    </row>
    <row r="113" spans="1:7" x14ac:dyDescent="0.3">
      <c r="A113" t="s">
        <v>76</v>
      </c>
      <c r="B113">
        <v>14</v>
      </c>
      <c r="C113" t="s">
        <v>8</v>
      </c>
      <c r="D113">
        <v>100</v>
      </c>
      <c r="E113" t="s">
        <v>10</v>
      </c>
      <c r="F113">
        <v>1.307692308</v>
      </c>
      <c r="G113">
        <v>22</v>
      </c>
    </row>
    <row r="114" spans="1:7" x14ac:dyDescent="0.3">
      <c r="A114" t="s">
        <v>76</v>
      </c>
      <c r="B114">
        <v>14</v>
      </c>
      <c r="C114" t="s">
        <v>8</v>
      </c>
      <c r="D114">
        <v>500</v>
      </c>
      <c r="E114" t="s">
        <v>10</v>
      </c>
      <c r="F114">
        <v>1.230769231</v>
      </c>
      <c r="G114">
        <v>22</v>
      </c>
    </row>
    <row r="115" spans="1:7" x14ac:dyDescent="0.3">
      <c r="A115" t="s">
        <v>77</v>
      </c>
      <c r="B115">
        <v>14</v>
      </c>
      <c r="C115" t="s">
        <v>8</v>
      </c>
      <c r="D115">
        <v>10</v>
      </c>
      <c r="E115" t="s">
        <v>10</v>
      </c>
      <c r="F115">
        <v>1.038461538</v>
      </c>
      <c r="G115">
        <v>23</v>
      </c>
    </row>
    <row r="116" spans="1:7" x14ac:dyDescent="0.3">
      <c r="A116" t="s">
        <v>77</v>
      </c>
      <c r="B116">
        <v>14</v>
      </c>
      <c r="C116" t="s">
        <v>8</v>
      </c>
      <c r="D116">
        <v>50</v>
      </c>
      <c r="E116" t="s">
        <v>10</v>
      </c>
      <c r="F116">
        <v>1.076923077</v>
      </c>
      <c r="G116">
        <v>23</v>
      </c>
    </row>
    <row r="117" spans="1:7" x14ac:dyDescent="0.3">
      <c r="A117" t="s">
        <v>77</v>
      </c>
      <c r="B117">
        <v>14</v>
      </c>
      <c r="C117" t="s">
        <v>8</v>
      </c>
      <c r="D117">
        <v>100</v>
      </c>
      <c r="E117" t="s">
        <v>10</v>
      </c>
      <c r="F117">
        <v>1.307692308</v>
      </c>
      <c r="G117">
        <v>23</v>
      </c>
    </row>
    <row r="118" spans="1:7" x14ac:dyDescent="0.3">
      <c r="A118" t="s">
        <v>77</v>
      </c>
      <c r="B118">
        <v>14</v>
      </c>
      <c r="C118" t="s">
        <v>8</v>
      </c>
      <c r="D118">
        <v>500</v>
      </c>
      <c r="E118" t="s">
        <v>10</v>
      </c>
      <c r="F118">
        <v>0.92307692299999999</v>
      </c>
      <c r="G118">
        <v>23</v>
      </c>
    </row>
    <row r="119" spans="1:7" x14ac:dyDescent="0.3">
      <c r="A119" t="s">
        <v>78</v>
      </c>
      <c r="B119">
        <v>14</v>
      </c>
      <c r="C119" t="s">
        <v>8</v>
      </c>
      <c r="D119">
        <v>10</v>
      </c>
      <c r="E119" t="s">
        <v>10</v>
      </c>
      <c r="F119">
        <v>1.0307692310000001</v>
      </c>
      <c r="G119">
        <v>24</v>
      </c>
    </row>
    <row r="120" spans="1:7" x14ac:dyDescent="0.3">
      <c r="A120" t="s">
        <v>78</v>
      </c>
      <c r="B120">
        <v>14</v>
      </c>
      <c r="C120" t="s">
        <v>8</v>
      </c>
      <c r="D120">
        <v>50</v>
      </c>
      <c r="E120" t="s">
        <v>10</v>
      </c>
      <c r="F120">
        <v>1.153846154</v>
      </c>
      <c r="G120">
        <v>24</v>
      </c>
    </row>
    <row r="121" spans="1:7" x14ac:dyDescent="0.3">
      <c r="A121" t="s">
        <v>78</v>
      </c>
      <c r="B121">
        <v>14</v>
      </c>
      <c r="C121" t="s">
        <v>8</v>
      </c>
      <c r="D121">
        <v>100</v>
      </c>
      <c r="E121" t="s">
        <v>10</v>
      </c>
      <c r="F121">
        <v>1.115384615</v>
      </c>
      <c r="G121">
        <v>24</v>
      </c>
    </row>
    <row r="122" spans="1:7" x14ac:dyDescent="0.3">
      <c r="A122" t="s">
        <v>78</v>
      </c>
      <c r="B122">
        <v>14</v>
      </c>
      <c r="C122" t="s">
        <v>8</v>
      </c>
      <c r="D122">
        <v>500</v>
      </c>
      <c r="E122" t="s">
        <v>10</v>
      </c>
      <c r="F122">
        <v>1.038461538</v>
      </c>
      <c r="G122">
        <v>24</v>
      </c>
    </row>
    <row r="123" spans="1:7" x14ac:dyDescent="0.3">
      <c r="A123" t="s">
        <v>76</v>
      </c>
      <c r="B123">
        <v>14</v>
      </c>
      <c r="C123" t="s">
        <v>11</v>
      </c>
      <c r="D123">
        <v>10</v>
      </c>
      <c r="E123" t="s">
        <v>10</v>
      </c>
      <c r="F123">
        <v>1.095238095</v>
      </c>
      <c r="G123">
        <v>22</v>
      </c>
    </row>
    <row r="124" spans="1:7" x14ac:dyDescent="0.3">
      <c r="A124" t="s">
        <v>76</v>
      </c>
      <c r="B124">
        <v>14</v>
      </c>
      <c r="C124" t="s">
        <v>11</v>
      </c>
      <c r="D124">
        <v>50</v>
      </c>
      <c r="E124" t="s">
        <v>10</v>
      </c>
      <c r="F124">
        <v>1.428571429</v>
      </c>
      <c r="G124">
        <v>22</v>
      </c>
    </row>
    <row r="125" spans="1:7" x14ac:dyDescent="0.3">
      <c r="A125" t="s">
        <v>76</v>
      </c>
      <c r="B125">
        <v>14</v>
      </c>
      <c r="C125" t="s">
        <v>11</v>
      </c>
      <c r="D125">
        <v>100</v>
      </c>
      <c r="E125" t="s">
        <v>10</v>
      </c>
      <c r="F125">
        <v>1.9523809519999999</v>
      </c>
      <c r="G125">
        <v>22</v>
      </c>
    </row>
    <row r="126" spans="1:7" x14ac:dyDescent="0.3">
      <c r="A126" t="s">
        <v>76</v>
      </c>
      <c r="B126">
        <v>14</v>
      </c>
      <c r="C126" t="s">
        <v>11</v>
      </c>
      <c r="D126">
        <v>500</v>
      </c>
      <c r="E126" t="s">
        <v>10</v>
      </c>
      <c r="F126">
        <v>1.523809524</v>
      </c>
      <c r="G126">
        <v>22</v>
      </c>
    </row>
    <row r="127" spans="1:7" x14ac:dyDescent="0.3">
      <c r="A127" t="s">
        <v>77</v>
      </c>
      <c r="B127">
        <v>14</v>
      </c>
      <c r="C127" t="s">
        <v>11</v>
      </c>
      <c r="D127">
        <v>10</v>
      </c>
      <c r="E127" t="s">
        <v>10</v>
      </c>
      <c r="F127">
        <v>1.2380952380000001</v>
      </c>
      <c r="G127">
        <v>23</v>
      </c>
    </row>
    <row r="128" spans="1:7" x14ac:dyDescent="0.3">
      <c r="A128" t="s">
        <v>77</v>
      </c>
      <c r="B128">
        <v>14</v>
      </c>
      <c r="C128" t="s">
        <v>11</v>
      </c>
      <c r="D128">
        <v>50</v>
      </c>
      <c r="E128" t="s">
        <v>10</v>
      </c>
      <c r="F128">
        <v>1.523809524</v>
      </c>
      <c r="G128">
        <v>23</v>
      </c>
    </row>
    <row r="129" spans="1:7" x14ac:dyDescent="0.3">
      <c r="A129" t="s">
        <v>77</v>
      </c>
      <c r="B129">
        <v>14</v>
      </c>
      <c r="C129" t="s">
        <v>11</v>
      </c>
      <c r="D129">
        <v>100</v>
      </c>
      <c r="E129" t="s">
        <v>10</v>
      </c>
      <c r="F129">
        <v>1.80952381</v>
      </c>
      <c r="G129">
        <v>23</v>
      </c>
    </row>
    <row r="130" spans="1:7" x14ac:dyDescent="0.3">
      <c r="A130" t="s">
        <v>77</v>
      </c>
      <c r="B130">
        <v>14</v>
      </c>
      <c r="C130" t="s">
        <v>11</v>
      </c>
      <c r="D130">
        <v>500</v>
      </c>
      <c r="E130" t="s">
        <v>10</v>
      </c>
      <c r="F130">
        <v>1.80952381</v>
      </c>
      <c r="G130">
        <v>23</v>
      </c>
    </row>
    <row r="131" spans="1:7" x14ac:dyDescent="0.3">
      <c r="A131" t="s">
        <v>78</v>
      </c>
      <c r="B131">
        <v>14</v>
      </c>
      <c r="C131" t="s">
        <v>11</v>
      </c>
      <c r="D131">
        <v>10</v>
      </c>
      <c r="E131" t="s">
        <v>10</v>
      </c>
      <c r="F131">
        <v>1.3761904760000001</v>
      </c>
      <c r="G131">
        <v>24</v>
      </c>
    </row>
    <row r="132" spans="1:7" x14ac:dyDescent="0.3">
      <c r="A132" t="s">
        <v>78</v>
      </c>
      <c r="B132">
        <v>14</v>
      </c>
      <c r="C132" t="s">
        <v>11</v>
      </c>
      <c r="D132">
        <v>50</v>
      </c>
      <c r="E132" t="s">
        <v>10</v>
      </c>
      <c r="F132">
        <v>2.2857142860000002</v>
      </c>
      <c r="G132">
        <v>24</v>
      </c>
    </row>
    <row r="133" spans="1:7" x14ac:dyDescent="0.3">
      <c r="A133" t="s">
        <v>78</v>
      </c>
      <c r="B133">
        <v>14</v>
      </c>
      <c r="C133" t="s">
        <v>11</v>
      </c>
      <c r="D133">
        <v>100</v>
      </c>
      <c r="E133" t="s">
        <v>10</v>
      </c>
      <c r="F133">
        <v>3.4761904760000002</v>
      </c>
      <c r="G133">
        <v>24</v>
      </c>
    </row>
    <row r="134" spans="1:7" x14ac:dyDescent="0.3">
      <c r="A134" t="s">
        <v>78</v>
      </c>
      <c r="B134">
        <v>14</v>
      </c>
      <c r="C134" t="s">
        <v>11</v>
      </c>
      <c r="D134">
        <v>500</v>
      </c>
      <c r="E134" t="s">
        <v>10</v>
      </c>
      <c r="F134">
        <v>1.904761905</v>
      </c>
      <c r="G134">
        <v>24</v>
      </c>
    </row>
    <row r="135" spans="1:7" x14ac:dyDescent="0.3">
      <c r="A135" t="s">
        <v>76</v>
      </c>
      <c r="B135">
        <v>14</v>
      </c>
      <c r="C135" t="s">
        <v>8</v>
      </c>
      <c r="D135">
        <v>10</v>
      </c>
      <c r="E135" t="s">
        <v>10</v>
      </c>
      <c r="F135">
        <v>1.175</v>
      </c>
      <c r="G135">
        <v>22</v>
      </c>
    </row>
    <row r="136" spans="1:7" x14ac:dyDescent="0.3">
      <c r="A136" t="s">
        <v>76</v>
      </c>
      <c r="B136">
        <v>14</v>
      </c>
      <c r="C136" t="s">
        <v>8</v>
      </c>
      <c r="D136">
        <v>50</v>
      </c>
      <c r="E136" t="s">
        <v>10</v>
      </c>
      <c r="F136">
        <v>1.2250000000000001</v>
      </c>
      <c r="G136">
        <v>22</v>
      </c>
    </row>
    <row r="137" spans="1:7" x14ac:dyDescent="0.3">
      <c r="A137" t="s">
        <v>76</v>
      </c>
      <c r="B137">
        <v>14</v>
      </c>
      <c r="C137" t="s">
        <v>8</v>
      </c>
      <c r="D137">
        <v>100</v>
      </c>
      <c r="E137" t="s">
        <v>10</v>
      </c>
      <c r="F137">
        <v>1.3</v>
      </c>
      <c r="G137">
        <v>22</v>
      </c>
    </row>
    <row r="138" spans="1:7" x14ac:dyDescent="0.3">
      <c r="A138" t="s">
        <v>76</v>
      </c>
      <c r="B138">
        <v>14</v>
      </c>
      <c r="C138" t="s">
        <v>8</v>
      </c>
      <c r="D138">
        <v>500</v>
      </c>
      <c r="E138" t="s">
        <v>10</v>
      </c>
      <c r="F138">
        <v>1.5</v>
      </c>
      <c r="G138">
        <v>22</v>
      </c>
    </row>
    <row r="139" spans="1:7" x14ac:dyDescent="0.3">
      <c r="A139" t="s">
        <v>77</v>
      </c>
      <c r="B139">
        <v>14</v>
      </c>
      <c r="C139" t="s">
        <v>8</v>
      </c>
      <c r="D139">
        <v>10</v>
      </c>
      <c r="E139" t="s">
        <v>10</v>
      </c>
      <c r="F139">
        <v>1.05</v>
      </c>
      <c r="G139">
        <v>23</v>
      </c>
    </row>
    <row r="140" spans="1:7" x14ac:dyDescent="0.3">
      <c r="A140" t="s">
        <v>77</v>
      </c>
      <c r="B140">
        <v>14</v>
      </c>
      <c r="C140" t="s">
        <v>8</v>
      </c>
      <c r="D140">
        <v>50</v>
      </c>
      <c r="E140" t="s">
        <v>10</v>
      </c>
      <c r="F140">
        <v>1.4450000000000001</v>
      </c>
      <c r="G140">
        <v>23</v>
      </c>
    </row>
    <row r="141" spans="1:7" x14ac:dyDescent="0.3">
      <c r="A141" t="s">
        <v>77</v>
      </c>
      <c r="B141">
        <v>14</v>
      </c>
      <c r="C141" t="s">
        <v>8</v>
      </c>
      <c r="D141">
        <v>100</v>
      </c>
      <c r="E141" t="s">
        <v>10</v>
      </c>
      <c r="F141">
        <v>1.95</v>
      </c>
      <c r="G141">
        <v>23</v>
      </c>
    </row>
    <row r="142" spans="1:7" x14ac:dyDescent="0.3">
      <c r="A142" t="s">
        <v>77</v>
      </c>
      <c r="B142">
        <v>14</v>
      </c>
      <c r="C142" t="s">
        <v>8</v>
      </c>
      <c r="D142">
        <v>500</v>
      </c>
      <c r="E142" t="s">
        <v>10</v>
      </c>
      <c r="F142">
        <v>1.5249999999999999</v>
      </c>
      <c r="G142">
        <v>23</v>
      </c>
    </row>
    <row r="143" spans="1:7" x14ac:dyDescent="0.3">
      <c r="A143" t="s">
        <v>78</v>
      </c>
      <c r="B143">
        <v>14</v>
      </c>
      <c r="C143" t="s">
        <v>8</v>
      </c>
      <c r="D143">
        <v>10</v>
      </c>
      <c r="E143" t="s">
        <v>10</v>
      </c>
      <c r="F143">
        <v>1.2250000000000001</v>
      </c>
      <c r="G143">
        <v>24</v>
      </c>
    </row>
    <row r="144" spans="1:7" x14ac:dyDescent="0.3">
      <c r="A144" t="s">
        <v>78</v>
      </c>
      <c r="B144">
        <v>14</v>
      </c>
      <c r="C144" t="s">
        <v>8</v>
      </c>
      <c r="D144">
        <v>50</v>
      </c>
      <c r="E144" t="s">
        <v>10</v>
      </c>
      <c r="F144">
        <v>1.4750000000000001</v>
      </c>
      <c r="G144">
        <v>24</v>
      </c>
    </row>
    <row r="145" spans="1:7" x14ac:dyDescent="0.3">
      <c r="A145" t="s">
        <v>78</v>
      </c>
      <c r="B145">
        <v>14</v>
      </c>
      <c r="C145" t="s">
        <v>8</v>
      </c>
      <c r="D145">
        <v>100</v>
      </c>
      <c r="E145" t="s">
        <v>10</v>
      </c>
      <c r="F145">
        <v>1.95</v>
      </c>
      <c r="G145">
        <v>24</v>
      </c>
    </row>
    <row r="146" spans="1:7" s="1" customFormat="1" ht="13.9" thickBot="1" x14ac:dyDescent="0.35">
      <c r="A146" s="1" t="s">
        <v>78</v>
      </c>
      <c r="B146" s="1">
        <v>14</v>
      </c>
      <c r="C146" s="1" t="s">
        <v>8</v>
      </c>
      <c r="D146" s="1">
        <v>500</v>
      </c>
      <c r="E146" s="1" t="s">
        <v>10</v>
      </c>
      <c r="F146" s="1">
        <v>1.075</v>
      </c>
      <c r="G146" s="1">
        <v>24</v>
      </c>
    </row>
    <row r="147" spans="1:7" x14ac:dyDescent="0.3">
      <c r="A147" t="s">
        <v>84</v>
      </c>
      <c r="B147">
        <v>180</v>
      </c>
      <c r="C147" t="s">
        <v>11</v>
      </c>
      <c r="D147">
        <v>10</v>
      </c>
      <c r="E147" t="s">
        <v>12</v>
      </c>
      <c r="F147">
        <v>1.111940299</v>
      </c>
      <c r="G147">
        <v>21</v>
      </c>
    </row>
    <row r="148" spans="1:7" x14ac:dyDescent="0.3">
      <c r="A148" t="s">
        <v>84</v>
      </c>
      <c r="B148">
        <v>180</v>
      </c>
      <c r="C148" t="s">
        <v>11</v>
      </c>
      <c r="D148">
        <v>50</v>
      </c>
      <c r="E148" t="s">
        <v>12</v>
      </c>
      <c r="F148">
        <v>1.054104478</v>
      </c>
      <c r="G148">
        <v>21</v>
      </c>
    </row>
    <row r="149" spans="1:7" x14ac:dyDescent="0.3">
      <c r="A149" t="s">
        <v>84</v>
      </c>
      <c r="B149">
        <v>180</v>
      </c>
      <c r="C149" t="s">
        <v>11</v>
      </c>
      <c r="D149">
        <v>100</v>
      </c>
      <c r="E149" t="s">
        <v>12</v>
      </c>
      <c r="F149">
        <v>0.98134328400000004</v>
      </c>
      <c r="G149">
        <v>21</v>
      </c>
    </row>
    <row r="150" spans="1:7" x14ac:dyDescent="0.3">
      <c r="A150" t="s">
        <v>84</v>
      </c>
      <c r="B150">
        <v>180</v>
      </c>
      <c r="C150" t="s">
        <v>11</v>
      </c>
      <c r="D150">
        <v>500</v>
      </c>
      <c r="E150" t="s">
        <v>12</v>
      </c>
      <c r="F150">
        <v>0.95708955200000001</v>
      </c>
      <c r="G150">
        <v>21</v>
      </c>
    </row>
    <row r="151" spans="1:7" x14ac:dyDescent="0.3">
      <c r="A151" t="s">
        <v>84</v>
      </c>
      <c r="B151">
        <v>180</v>
      </c>
      <c r="C151" t="s">
        <v>11</v>
      </c>
      <c r="D151">
        <v>10</v>
      </c>
      <c r="E151" t="s">
        <v>12</v>
      </c>
      <c r="F151">
        <v>1.176274233</v>
      </c>
      <c r="G151">
        <v>21</v>
      </c>
    </row>
    <row r="152" spans="1:7" x14ac:dyDescent="0.3">
      <c r="A152" t="s">
        <v>84</v>
      </c>
      <c r="B152">
        <v>180</v>
      </c>
      <c r="C152" t="s">
        <v>11</v>
      </c>
      <c r="D152">
        <v>50</v>
      </c>
      <c r="E152" t="s">
        <v>12</v>
      </c>
      <c r="F152">
        <v>0.90396713299999998</v>
      </c>
      <c r="G152">
        <v>21</v>
      </c>
    </row>
    <row r="153" spans="1:7" x14ac:dyDescent="0.3">
      <c r="A153" t="s">
        <v>84</v>
      </c>
      <c r="B153">
        <v>180</v>
      </c>
      <c r="C153" t="s">
        <v>11</v>
      </c>
      <c r="D153">
        <v>100</v>
      </c>
      <c r="E153" t="s">
        <v>12</v>
      </c>
      <c r="F153">
        <v>0.94171267199999997</v>
      </c>
      <c r="G153">
        <v>21</v>
      </c>
    </row>
    <row r="154" spans="1:7" x14ac:dyDescent="0.3">
      <c r="A154" t="s">
        <v>84</v>
      </c>
      <c r="B154">
        <v>180</v>
      </c>
      <c r="C154" t="s">
        <v>11</v>
      </c>
      <c r="D154">
        <v>500</v>
      </c>
      <c r="E154" t="s">
        <v>12</v>
      </c>
      <c r="F154">
        <v>0.81306971400000005</v>
      </c>
      <c r="G154">
        <v>21</v>
      </c>
    </row>
    <row r="155" spans="1:7" x14ac:dyDescent="0.3">
      <c r="A155" t="s">
        <v>84</v>
      </c>
      <c r="B155">
        <v>180</v>
      </c>
      <c r="C155" t="s">
        <v>8</v>
      </c>
      <c r="D155">
        <v>10</v>
      </c>
      <c r="E155" t="s">
        <v>12</v>
      </c>
      <c r="F155">
        <v>1.0211640209999999</v>
      </c>
      <c r="G155">
        <v>21</v>
      </c>
    </row>
    <row r="156" spans="1:7" x14ac:dyDescent="0.3">
      <c r="A156" t="s">
        <v>84</v>
      </c>
      <c r="B156">
        <v>180</v>
      </c>
      <c r="C156" t="s">
        <v>8</v>
      </c>
      <c r="D156">
        <v>50</v>
      </c>
      <c r="E156" t="s">
        <v>12</v>
      </c>
      <c r="F156">
        <v>0.98280423299999997</v>
      </c>
      <c r="G156">
        <v>21</v>
      </c>
    </row>
    <row r="157" spans="1:7" x14ac:dyDescent="0.3">
      <c r="A157" t="s">
        <v>84</v>
      </c>
      <c r="B157">
        <v>180</v>
      </c>
      <c r="C157" t="s">
        <v>8</v>
      </c>
      <c r="D157">
        <v>100</v>
      </c>
      <c r="E157" t="s">
        <v>12</v>
      </c>
      <c r="F157">
        <v>0.96031745999999996</v>
      </c>
      <c r="G157">
        <v>21</v>
      </c>
    </row>
    <row r="158" spans="1:7" x14ac:dyDescent="0.3">
      <c r="A158" t="s">
        <v>84</v>
      </c>
      <c r="B158">
        <v>180</v>
      </c>
      <c r="C158" t="s">
        <v>8</v>
      </c>
      <c r="D158">
        <v>500</v>
      </c>
      <c r="E158" t="s">
        <v>12</v>
      </c>
      <c r="F158">
        <v>0.95238095199999995</v>
      </c>
      <c r="G158">
        <v>21</v>
      </c>
    </row>
    <row r="159" spans="1:7" x14ac:dyDescent="0.3">
      <c r="A159" t="s">
        <v>84</v>
      </c>
      <c r="B159">
        <v>180</v>
      </c>
      <c r="C159" t="s">
        <v>8</v>
      </c>
      <c r="D159">
        <v>10</v>
      </c>
      <c r="E159" t="s">
        <v>12</v>
      </c>
      <c r="F159">
        <v>1.18</v>
      </c>
      <c r="G159">
        <v>21</v>
      </c>
    </row>
    <row r="160" spans="1:7" x14ac:dyDescent="0.3">
      <c r="A160" t="s">
        <v>84</v>
      </c>
      <c r="B160">
        <v>180</v>
      </c>
      <c r="C160" t="s">
        <v>8</v>
      </c>
      <c r="D160">
        <v>50</v>
      </c>
      <c r="E160" t="s">
        <v>12</v>
      </c>
      <c r="F160">
        <v>0.96222222199999996</v>
      </c>
      <c r="G160">
        <v>21</v>
      </c>
    </row>
    <row r="161" spans="1:7" x14ac:dyDescent="0.3">
      <c r="A161" t="s">
        <v>84</v>
      </c>
      <c r="B161">
        <v>180</v>
      </c>
      <c r="C161" t="s">
        <v>8</v>
      </c>
      <c r="D161">
        <v>100</v>
      </c>
      <c r="E161" t="s">
        <v>12</v>
      </c>
      <c r="F161">
        <v>0.96444444399999996</v>
      </c>
      <c r="G161">
        <v>21</v>
      </c>
    </row>
    <row r="162" spans="1:7" x14ac:dyDescent="0.3">
      <c r="A162" t="s">
        <v>84</v>
      </c>
      <c r="B162">
        <v>180</v>
      </c>
      <c r="C162" t="s">
        <v>8</v>
      </c>
      <c r="D162">
        <v>500</v>
      </c>
      <c r="E162" t="s">
        <v>12</v>
      </c>
      <c r="F162">
        <v>0.94074074100000005</v>
      </c>
      <c r="G162">
        <v>21</v>
      </c>
    </row>
    <row r="163" spans="1:7" x14ac:dyDescent="0.3">
      <c r="A163" t="s">
        <v>84</v>
      </c>
      <c r="B163">
        <v>180</v>
      </c>
      <c r="C163" t="s">
        <v>11</v>
      </c>
      <c r="D163">
        <v>10</v>
      </c>
      <c r="E163" t="s">
        <v>10</v>
      </c>
      <c r="F163">
        <v>1.7914875320000001</v>
      </c>
      <c r="G163">
        <v>21</v>
      </c>
    </row>
    <row r="164" spans="1:7" x14ac:dyDescent="0.3">
      <c r="A164" t="s">
        <v>84</v>
      </c>
      <c r="B164">
        <v>180</v>
      </c>
      <c r="C164" t="s">
        <v>11</v>
      </c>
      <c r="D164">
        <v>50</v>
      </c>
      <c r="E164" t="s">
        <v>10</v>
      </c>
      <c r="F164">
        <v>1.4720550299999999</v>
      </c>
      <c r="G164">
        <v>21</v>
      </c>
    </row>
    <row r="165" spans="1:7" x14ac:dyDescent="0.3">
      <c r="A165" t="s">
        <v>84</v>
      </c>
      <c r="B165">
        <v>180</v>
      </c>
      <c r="C165" t="s">
        <v>11</v>
      </c>
      <c r="D165">
        <v>100</v>
      </c>
      <c r="E165" t="s">
        <v>10</v>
      </c>
      <c r="F165">
        <v>3.3284608769999999</v>
      </c>
      <c r="G165">
        <v>21</v>
      </c>
    </row>
    <row r="166" spans="1:7" x14ac:dyDescent="0.3">
      <c r="A166" t="s">
        <v>84</v>
      </c>
      <c r="B166">
        <v>180</v>
      </c>
      <c r="C166" t="s">
        <v>11</v>
      </c>
      <c r="D166">
        <v>500</v>
      </c>
      <c r="E166" t="s">
        <v>10</v>
      </c>
      <c r="F166">
        <v>2.5623387790000001</v>
      </c>
      <c r="G166">
        <v>21</v>
      </c>
    </row>
    <row r="167" spans="1:7" x14ac:dyDescent="0.3">
      <c r="A167" t="s">
        <v>84</v>
      </c>
      <c r="B167">
        <v>180</v>
      </c>
      <c r="C167" t="s">
        <v>11</v>
      </c>
      <c r="D167">
        <v>10</v>
      </c>
      <c r="E167" t="s">
        <v>10</v>
      </c>
      <c r="F167">
        <v>0.90749882500000001</v>
      </c>
      <c r="G167">
        <v>21</v>
      </c>
    </row>
    <row r="168" spans="1:7" x14ac:dyDescent="0.3">
      <c r="A168" t="s">
        <v>84</v>
      </c>
      <c r="B168">
        <v>180</v>
      </c>
      <c r="C168" t="s">
        <v>11</v>
      </c>
      <c r="D168">
        <v>50</v>
      </c>
      <c r="E168" t="s">
        <v>10</v>
      </c>
      <c r="F168">
        <v>1.0302068639999999</v>
      </c>
      <c r="G168">
        <v>21</v>
      </c>
    </row>
    <row r="169" spans="1:7" x14ac:dyDescent="0.3">
      <c r="A169" t="s">
        <v>84</v>
      </c>
      <c r="B169">
        <v>180</v>
      </c>
      <c r="C169" t="s">
        <v>11</v>
      </c>
      <c r="D169">
        <v>100</v>
      </c>
      <c r="E169" t="s">
        <v>10</v>
      </c>
      <c r="F169">
        <v>1.318758815</v>
      </c>
      <c r="G169">
        <v>21</v>
      </c>
    </row>
    <row r="170" spans="1:7" x14ac:dyDescent="0.3">
      <c r="A170" t="s">
        <v>84</v>
      </c>
      <c r="B170">
        <v>180</v>
      </c>
      <c r="C170" t="s">
        <v>11</v>
      </c>
      <c r="D170">
        <v>500</v>
      </c>
      <c r="E170" t="s">
        <v>10</v>
      </c>
      <c r="F170">
        <v>1.331687823</v>
      </c>
      <c r="G170">
        <v>21</v>
      </c>
    </row>
    <row r="171" spans="1:7" x14ac:dyDescent="0.3">
      <c r="A171" t="s">
        <v>84</v>
      </c>
      <c r="B171">
        <v>180</v>
      </c>
      <c r="C171" t="s">
        <v>11</v>
      </c>
      <c r="D171">
        <v>10</v>
      </c>
      <c r="E171" t="s">
        <v>10</v>
      </c>
      <c r="F171">
        <v>1.31087789</v>
      </c>
      <c r="G171">
        <v>21</v>
      </c>
    </row>
    <row r="172" spans="1:7" x14ac:dyDescent="0.3">
      <c r="A172" t="s">
        <v>84</v>
      </c>
      <c r="B172">
        <v>180</v>
      </c>
      <c r="C172" t="s">
        <v>11</v>
      </c>
      <c r="D172">
        <v>50</v>
      </c>
      <c r="E172" t="s">
        <v>10</v>
      </c>
      <c r="F172">
        <v>1.278116579</v>
      </c>
      <c r="G172">
        <v>21</v>
      </c>
    </row>
    <row r="173" spans="1:7" x14ac:dyDescent="0.3">
      <c r="A173" t="s">
        <v>84</v>
      </c>
      <c r="B173">
        <v>180</v>
      </c>
      <c r="C173" t="s">
        <v>11</v>
      </c>
      <c r="D173">
        <v>100</v>
      </c>
      <c r="E173" t="s">
        <v>10</v>
      </c>
      <c r="F173">
        <v>1.1710395689999999</v>
      </c>
      <c r="G173">
        <v>21</v>
      </c>
    </row>
    <row r="174" spans="1:7" x14ac:dyDescent="0.3">
      <c r="A174" t="s">
        <v>84</v>
      </c>
      <c r="B174">
        <v>180</v>
      </c>
      <c r="C174" t="s">
        <v>11</v>
      </c>
      <c r="D174">
        <v>500</v>
      </c>
      <c r="E174" t="s">
        <v>10</v>
      </c>
      <c r="F174">
        <v>1.2284782299999999</v>
      </c>
      <c r="G174">
        <v>21</v>
      </c>
    </row>
    <row r="175" spans="1:7" x14ac:dyDescent="0.3">
      <c r="A175" t="s">
        <v>84</v>
      </c>
      <c r="B175">
        <v>180</v>
      </c>
      <c r="C175" t="s">
        <v>11</v>
      </c>
      <c r="D175">
        <v>10</v>
      </c>
      <c r="E175" t="s">
        <v>10</v>
      </c>
      <c r="F175">
        <v>0.99196373400000004</v>
      </c>
      <c r="G175">
        <v>21</v>
      </c>
    </row>
    <row r="176" spans="1:7" x14ac:dyDescent="0.3">
      <c r="A176" t="s">
        <v>84</v>
      </c>
      <c r="B176">
        <v>180</v>
      </c>
      <c r="C176" t="s">
        <v>11</v>
      </c>
      <c r="D176">
        <v>50</v>
      </c>
      <c r="E176" t="s">
        <v>10</v>
      </c>
      <c r="F176">
        <v>1.0552235729999999</v>
      </c>
      <c r="G176">
        <v>21</v>
      </c>
    </row>
    <row r="177" spans="1:7" x14ac:dyDescent="0.3">
      <c r="A177" t="s">
        <v>84</v>
      </c>
      <c r="B177">
        <v>180</v>
      </c>
      <c r="C177" t="s">
        <v>11</v>
      </c>
      <c r="D177">
        <v>100</v>
      </c>
      <c r="E177" t="s">
        <v>10</v>
      </c>
      <c r="F177">
        <v>1.1256954459999999</v>
      </c>
      <c r="G177">
        <v>21</v>
      </c>
    </row>
    <row r="178" spans="1:7" x14ac:dyDescent="0.3">
      <c r="A178" t="s">
        <v>84</v>
      </c>
      <c r="B178">
        <v>180</v>
      </c>
      <c r="C178" t="s">
        <v>11</v>
      </c>
      <c r="D178">
        <v>500</v>
      </c>
      <c r="E178" t="s">
        <v>10</v>
      </c>
      <c r="F178">
        <v>0.90933443199999997</v>
      </c>
      <c r="G178">
        <v>21</v>
      </c>
    </row>
    <row r="179" spans="1:7" x14ac:dyDescent="0.3">
      <c r="A179" t="s">
        <v>84</v>
      </c>
      <c r="B179">
        <v>180</v>
      </c>
      <c r="C179" t="s">
        <v>8</v>
      </c>
      <c r="D179">
        <v>10</v>
      </c>
      <c r="E179" t="s">
        <v>10</v>
      </c>
      <c r="F179">
        <v>1.179984779</v>
      </c>
      <c r="G179">
        <v>21</v>
      </c>
    </row>
    <row r="180" spans="1:7" x14ac:dyDescent="0.3">
      <c r="A180" t="s">
        <v>84</v>
      </c>
      <c r="B180">
        <v>180</v>
      </c>
      <c r="C180" t="s">
        <v>8</v>
      </c>
      <c r="D180">
        <v>50</v>
      </c>
      <c r="E180" t="s">
        <v>10</v>
      </c>
      <c r="F180">
        <v>1.3489345509999999</v>
      </c>
      <c r="G180">
        <v>21</v>
      </c>
    </row>
    <row r="181" spans="1:7" x14ac:dyDescent="0.3">
      <c r="A181" t="s">
        <v>84</v>
      </c>
      <c r="B181">
        <v>180</v>
      </c>
      <c r="C181" t="s">
        <v>8</v>
      </c>
      <c r="D181">
        <v>100</v>
      </c>
      <c r="E181" t="s">
        <v>10</v>
      </c>
      <c r="F181">
        <v>1.00913242</v>
      </c>
      <c r="G181">
        <v>21</v>
      </c>
    </row>
    <row r="182" spans="1:7" x14ac:dyDescent="0.3">
      <c r="A182" t="s">
        <v>84</v>
      </c>
      <c r="B182">
        <v>180</v>
      </c>
      <c r="C182" t="s">
        <v>8</v>
      </c>
      <c r="D182">
        <v>500</v>
      </c>
      <c r="E182" t="s">
        <v>10</v>
      </c>
      <c r="F182">
        <v>1.469178082</v>
      </c>
      <c r="G182">
        <v>21</v>
      </c>
    </row>
    <row r="183" spans="1:7" x14ac:dyDescent="0.3">
      <c r="A183" t="s">
        <v>84</v>
      </c>
      <c r="B183">
        <v>180</v>
      </c>
      <c r="C183" t="s">
        <v>8</v>
      </c>
      <c r="D183">
        <v>10</v>
      </c>
      <c r="E183" t="s">
        <v>10</v>
      </c>
      <c r="F183">
        <v>0.98369565199999998</v>
      </c>
      <c r="G183">
        <v>21</v>
      </c>
    </row>
    <row r="184" spans="1:7" x14ac:dyDescent="0.3">
      <c r="A184" t="s">
        <v>84</v>
      </c>
      <c r="B184">
        <v>180</v>
      </c>
      <c r="C184" t="s">
        <v>8</v>
      </c>
      <c r="D184">
        <v>50</v>
      </c>
      <c r="E184" t="s">
        <v>10</v>
      </c>
      <c r="F184">
        <v>0.98067632900000001</v>
      </c>
      <c r="G184">
        <v>21</v>
      </c>
    </row>
    <row r="185" spans="1:7" x14ac:dyDescent="0.3">
      <c r="A185" t="s">
        <v>84</v>
      </c>
      <c r="B185">
        <v>180</v>
      </c>
      <c r="C185" t="s">
        <v>8</v>
      </c>
      <c r="D185">
        <v>100</v>
      </c>
      <c r="E185" t="s">
        <v>10</v>
      </c>
      <c r="F185">
        <v>1.203804348</v>
      </c>
      <c r="G185">
        <v>21</v>
      </c>
    </row>
    <row r="186" spans="1:7" x14ac:dyDescent="0.3">
      <c r="A186" t="s">
        <v>84</v>
      </c>
      <c r="B186">
        <v>180</v>
      </c>
      <c r="C186" t="s">
        <v>8</v>
      </c>
      <c r="D186">
        <v>500</v>
      </c>
      <c r="E186" t="s">
        <v>10</v>
      </c>
      <c r="F186">
        <v>1.2192028989999999</v>
      </c>
      <c r="G186">
        <v>21</v>
      </c>
    </row>
    <row r="187" spans="1:7" x14ac:dyDescent="0.3">
      <c r="A187" t="s">
        <v>84</v>
      </c>
      <c r="B187">
        <v>180</v>
      </c>
      <c r="C187" t="s">
        <v>8</v>
      </c>
      <c r="D187">
        <v>10</v>
      </c>
      <c r="E187" t="s">
        <v>10</v>
      </c>
      <c r="F187">
        <v>1.0281236579999999</v>
      </c>
      <c r="G187">
        <v>21</v>
      </c>
    </row>
    <row r="188" spans="1:7" x14ac:dyDescent="0.3">
      <c r="A188" t="s">
        <v>84</v>
      </c>
      <c r="B188">
        <v>180</v>
      </c>
      <c r="C188" t="s">
        <v>8</v>
      </c>
      <c r="D188">
        <v>50</v>
      </c>
      <c r="E188" t="s">
        <v>10</v>
      </c>
      <c r="F188">
        <v>1.199441821</v>
      </c>
      <c r="G188">
        <v>21</v>
      </c>
    </row>
    <row r="189" spans="1:7" x14ac:dyDescent="0.3">
      <c r="A189" t="s">
        <v>84</v>
      </c>
      <c r="B189">
        <v>180</v>
      </c>
      <c r="C189" t="s">
        <v>8</v>
      </c>
      <c r="D189">
        <v>100</v>
      </c>
      <c r="E189" t="s">
        <v>10</v>
      </c>
      <c r="F189">
        <v>1.0429368830000001</v>
      </c>
      <c r="G189">
        <v>21</v>
      </c>
    </row>
    <row r="190" spans="1:7" x14ac:dyDescent="0.3">
      <c r="A190" t="s">
        <v>84</v>
      </c>
      <c r="B190">
        <v>180</v>
      </c>
      <c r="C190" t="s">
        <v>8</v>
      </c>
      <c r="D190">
        <v>500</v>
      </c>
      <c r="E190" t="s">
        <v>10</v>
      </c>
      <c r="F190">
        <v>1.128810648</v>
      </c>
      <c r="G190">
        <v>21</v>
      </c>
    </row>
    <row r="191" spans="1:7" x14ac:dyDescent="0.3">
      <c r="A191" t="s">
        <v>84</v>
      </c>
      <c r="B191">
        <v>180</v>
      </c>
      <c r="C191" t="s">
        <v>8</v>
      </c>
      <c r="D191">
        <v>10</v>
      </c>
      <c r="E191" t="s">
        <v>10</v>
      </c>
      <c r="F191">
        <v>0.78111227699999997</v>
      </c>
      <c r="G191">
        <v>21</v>
      </c>
    </row>
    <row r="192" spans="1:7" x14ac:dyDescent="0.3">
      <c r="A192" t="s">
        <v>84</v>
      </c>
      <c r="B192">
        <v>180</v>
      </c>
      <c r="C192" t="s">
        <v>8</v>
      </c>
      <c r="D192">
        <v>50</v>
      </c>
      <c r="E192" t="s">
        <v>10</v>
      </c>
      <c r="F192">
        <v>0.76453305400000005</v>
      </c>
      <c r="G192">
        <v>21</v>
      </c>
    </row>
    <row r="193" spans="1:7" x14ac:dyDescent="0.3">
      <c r="A193" t="s">
        <v>84</v>
      </c>
      <c r="B193">
        <v>180</v>
      </c>
      <c r="C193" t="s">
        <v>8</v>
      </c>
      <c r="D193">
        <v>100</v>
      </c>
      <c r="E193" t="s">
        <v>10</v>
      </c>
      <c r="F193">
        <v>0.815739769</v>
      </c>
      <c r="G193">
        <v>21</v>
      </c>
    </row>
    <row r="194" spans="1:7" x14ac:dyDescent="0.3">
      <c r="A194" t="s">
        <v>84</v>
      </c>
      <c r="B194">
        <v>180</v>
      </c>
      <c r="C194" t="s">
        <v>8</v>
      </c>
      <c r="D194">
        <v>500</v>
      </c>
      <c r="E194" t="s">
        <v>10</v>
      </c>
      <c r="F194">
        <v>0.67345225600000003</v>
      </c>
      <c r="G194">
        <v>21</v>
      </c>
    </row>
    <row r="195" spans="1:7" x14ac:dyDescent="0.3">
      <c r="A195" t="s">
        <v>85</v>
      </c>
      <c r="B195">
        <v>5</v>
      </c>
      <c r="C195" t="s">
        <v>11</v>
      </c>
      <c r="D195">
        <v>10</v>
      </c>
      <c r="E195" t="s">
        <v>12</v>
      </c>
      <c r="F195">
        <v>1.0020408160000001</v>
      </c>
      <c r="G195">
        <v>34</v>
      </c>
    </row>
    <row r="196" spans="1:7" x14ac:dyDescent="0.3">
      <c r="A196" t="s">
        <v>85</v>
      </c>
      <c r="B196">
        <v>5</v>
      </c>
      <c r="C196" t="s">
        <v>11</v>
      </c>
      <c r="D196">
        <v>50</v>
      </c>
      <c r="E196" t="s">
        <v>12</v>
      </c>
      <c r="F196">
        <v>1.044897959</v>
      </c>
      <c r="G196">
        <v>34</v>
      </c>
    </row>
    <row r="197" spans="1:7" x14ac:dyDescent="0.3">
      <c r="A197" t="s">
        <v>85</v>
      </c>
      <c r="B197">
        <v>5</v>
      </c>
      <c r="C197" t="s">
        <v>11</v>
      </c>
      <c r="D197">
        <v>100</v>
      </c>
      <c r="E197" t="s">
        <v>12</v>
      </c>
      <c r="F197">
        <v>1.134693878</v>
      </c>
      <c r="G197">
        <v>34</v>
      </c>
    </row>
    <row r="198" spans="1:7" x14ac:dyDescent="0.3">
      <c r="A198" t="s">
        <v>85</v>
      </c>
      <c r="B198">
        <v>5</v>
      </c>
      <c r="C198" t="s">
        <v>11</v>
      </c>
      <c r="D198">
        <v>500</v>
      </c>
      <c r="E198" t="s">
        <v>12</v>
      </c>
      <c r="F198">
        <v>0.95306122400000004</v>
      </c>
      <c r="G198">
        <v>34</v>
      </c>
    </row>
    <row r="199" spans="1:7" x14ac:dyDescent="0.3">
      <c r="A199" t="s">
        <v>85</v>
      </c>
      <c r="B199">
        <v>5</v>
      </c>
      <c r="C199" t="s">
        <v>11</v>
      </c>
      <c r="D199">
        <v>10</v>
      </c>
      <c r="E199" t="s">
        <v>12</v>
      </c>
      <c r="F199">
        <v>1.1008950369999999</v>
      </c>
      <c r="G199">
        <v>34</v>
      </c>
    </row>
    <row r="200" spans="1:7" x14ac:dyDescent="0.3">
      <c r="A200" t="s">
        <v>85</v>
      </c>
      <c r="B200">
        <v>5</v>
      </c>
      <c r="C200" t="s">
        <v>11</v>
      </c>
      <c r="D200">
        <v>50</v>
      </c>
      <c r="E200" t="s">
        <v>12</v>
      </c>
      <c r="F200">
        <v>1.1497152159999999</v>
      </c>
      <c r="G200">
        <v>34</v>
      </c>
    </row>
    <row r="201" spans="1:7" x14ac:dyDescent="0.3">
      <c r="A201" t="s">
        <v>85</v>
      </c>
      <c r="B201">
        <v>5</v>
      </c>
      <c r="C201" t="s">
        <v>11</v>
      </c>
      <c r="D201">
        <v>100</v>
      </c>
      <c r="E201" t="s">
        <v>12</v>
      </c>
      <c r="F201">
        <v>1.1236777870000001</v>
      </c>
      <c r="G201">
        <v>34</v>
      </c>
    </row>
    <row r="202" spans="1:7" x14ac:dyDescent="0.3">
      <c r="A202" t="s">
        <v>85</v>
      </c>
      <c r="B202">
        <v>5</v>
      </c>
      <c r="C202" t="s">
        <v>11</v>
      </c>
      <c r="D202">
        <v>500</v>
      </c>
      <c r="E202" t="s">
        <v>12</v>
      </c>
      <c r="F202">
        <v>0.99104963400000001</v>
      </c>
      <c r="G202">
        <v>34</v>
      </c>
    </row>
    <row r="203" spans="1:7" x14ac:dyDescent="0.3">
      <c r="A203" t="s">
        <v>85</v>
      </c>
      <c r="B203">
        <v>5</v>
      </c>
      <c r="C203" t="s">
        <v>8</v>
      </c>
      <c r="D203">
        <v>10</v>
      </c>
      <c r="E203" t="s">
        <v>12</v>
      </c>
      <c r="F203">
        <v>1.087360595</v>
      </c>
      <c r="G203">
        <v>34</v>
      </c>
    </row>
    <row r="204" spans="1:7" x14ac:dyDescent="0.3">
      <c r="A204" t="s">
        <v>85</v>
      </c>
      <c r="B204">
        <v>5</v>
      </c>
      <c r="C204" t="s">
        <v>8</v>
      </c>
      <c r="D204">
        <v>50</v>
      </c>
      <c r="E204" t="s">
        <v>12</v>
      </c>
      <c r="F204">
        <v>1.12267658</v>
      </c>
      <c r="G204">
        <v>34</v>
      </c>
    </row>
    <row r="205" spans="1:7" x14ac:dyDescent="0.3">
      <c r="A205" t="s">
        <v>85</v>
      </c>
      <c r="B205">
        <v>5</v>
      </c>
      <c r="C205" t="s">
        <v>8</v>
      </c>
      <c r="D205">
        <v>100</v>
      </c>
      <c r="E205" t="s">
        <v>12</v>
      </c>
      <c r="F205">
        <v>1.0947955389999999</v>
      </c>
      <c r="G205">
        <v>34</v>
      </c>
    </row>
    <row r="206" spans="1:7" x14ac:dyDescent="0.3">
      <c r="A206" t="s">
        <v>85</v>
      </c>
      <c r="B206">
        <v>5</v>
      </c>
      <c r="C206" t="s">
        <v>8</v>
      </c>
      <c r="D206">
        <v>500</v>
      </c>
      <c r="E206" t="s">
        <v>12</v>
      </c>
      <c r="F206">
        <v>0.99628252799999995</v>
      </c>
      <c r="G206">
        <v>34</v>
      </c>
    </row>
    <row r="207" spans="1:7" x14ac:dyDescent="0.3">
      <c r="A207" t="s">
        <v>85</v>
      </c>
      <c r="B207">
        <v>5</v>
      </c>
      <c r="C207" t="s">
        <v>8</v>
      </c>
      <c r="D207">
        <v>10</v>
      </c>
      <c r="E207" t="s">
        <v>12</v>
      </c>
      <c r="F207">
        <v>1.187134503</v>
      </c>
      <c r="G207">
        <v>34</v>
      </c>
    </row>
    <row r="208" spans="1:7" x14ac:dyDescent="0.3">
      <c r="A208" t="s">
        <v>85</v>
      </c>
      <c r="B208">
        <v>5</v>
      </c>
      <c r="C208" t="s">
        <v>8</v>
      </c>
      <c r="D208">
        <v>50</v>
      </c>
      <c r="E208" t="s">
        <v>12</v>
      </c>
      <c r="F208">
        <v>1.1971595660000001</v>
      </c>
      <c r="G208">
        <v>34</v>
      </c>
    </row>
    <row r="209" spans="1:7" x14ac:dyDescent="0.3">
      <c r="A209" t="s">
        <v>85</v>
      </c>
      <c r="B209">
        <v>5</v>
      </c>
      <c r="C209" t="s">
        <v>8</v>
      </c>
      <c r="D209">
        <v>100</v>
      </c>
      <c r="E209" t="s">
        <v>12</v>
      </c>
      <c r="F209">
        <v>1.1587301590000001</v>
      </c>
      <c r="G209">
        <v>34</v>
      </c>
    </row>
    <row r="210" spans="1:7" s="1" customFormat="1" ht="13.9" thickBot="1" x14ac:dyDescent="0.35">
      <c r="A210" s="1" t="s">
        <v>85</v>
      </c>
      <c r="B210" s="1">
        <v>5</v>
      </c>
      <c r="C210" s="1" t="s">
        <v>8</v>
      </c>
      <c r="D210" s="1">
        <v>500</v>
      </c>
      <c r="E210" s="1" t="s">
        <v>12</v>
      </c>
      <c r="F210" s="1">
        <v>0.97493734300000001</v>
      </c>
      <c r="G210" s="1">
        <v>34</v>
      </c>
    </row>
    <row r="211" spans="1:7" x14ac:dyDescent="0.3">
      <c r="A211" t="s">
        <v>217</v>
      </c>
      <c r="B211" s="2">
        <v>1</v>
      </c>
      <c r="C211" s="2" t="s">
        <v>11</v>
      </c>
      <c r="D211" s="2">
        <v>200</v>
      </c>
      <c r="E211" s="2" t="s">
        <v>10</v>
      </c>
      <c r="F211">
        <v>1.34615384615384</v>
      </c>
      <c r="G211" s="2">
        <v>57</v>
      </c>
    </row>
    <row r="212" spans="1:7" x14ac:dyDescent="0.3">
      <c r="A212" t="s">
        <v>217</v>
      </c>
      <c r="B212" s="2">
        <v>1</v>
      </c>
      <c r="C212" s="2" t="s">
        <v>11</v>
      </c>
      <c r="D212" s="2">
        <v>2000</v>
      </c>
      <c r="E212" s="2" t="s">
        <v>10</v>
      </c>
      <c r="F212">
        <v>3.6153846153846101</v>
      </c>
      <c r="G212" s="2">
        <v>57</v>
      </c>
    </row>
    <row r="213" spans="1:7" x14ac:dyDescent="0.3">
      <c r="A213" t="s">
        <v>217</v>
      </c>
      <c r="B213" s="2">
        <v>3</v>
      </c>
      <c r="C213" s="2" t="s">
        <v>11</v>
      </c>
      <c r="D213" s="2">
        <v>200</v>
      </c>
      <c r="E213" s="2" t="s">
        <v>10</v>
      </c>
      <c r="F213">
        <v>1.7878787878787801</v>
      </c>
      <c r="G213" s="2">
        <v>57</v>
      </c>
    </row>
    <row r="214" spans="1:7" x14ac:dyDescent="0.3">
      <c r="A214" t="s">
        <v>217</v>
      </c>
      <c r="B214" s="2">
        <v>3</v>
      </c>
      <c r="C214" s="2" t="s">
        <v>11</v>
      </c>
      <c r="D214" s="2">
        <v>2000</v>
      </c>
      <c r="E214" s="2" t="s">
        <v>10</v>
      </c>
      <c r="F214">
        <v>3.0606060606060601</v>
      </c>
      <c r="G214" s="2">
        <v>57</v>
      </c>
    </row>
    <row r="215" spans="1:7" x14ac:dyDescent="0.3">
      <c r="A215" t="s">
        <v>217</v>
      </c>
      <c r="B215" s="2">
        <v>5</v>
      </c>
      <c r="C215" s="2" t="s">
        <v>11</v>
      </c>
      <c r="D215" s="2">
        <v>200</v>
      </c>
      <c r="E215" s="2" t="s">
        <v>10</v>
      </c>
      <c r="F215">
        <v>1.0465116279069699</v>
      </c>
      <c r="G215" s="2">
        <v>57</v>
      </c>
    </row>
    <row r="216" spans="1:7" x14ac:dyDescent="0.3">
      <c r="A216" t="s">
        <v>217</v>
      </c>
      <c r="B216" s="2">
        <v>5</v>
      </c>
      <c r="C216" s="2" t="s">
        <v>11</v>
      </c>
      <c r="D216" s="2">
        <v>2000</v>
      </c>
      <c r="E216" s="2" t="s">
        <v>10</v>
      </c>
      <c r="F216">
        <v>2.6279069767441801</v>
      </c>
      <c r="G216" s="2">
        <v>57</v>
      </c>
    </row>
    <row r="217" spans="1:7" x14ac:dyDescent="0.3">
      <c r="A217" t="s">
        <v>217</v>
      </c>
      <c r="B217" s="2">
        <v>1</v>
      </c>
      <c r="C217" s="2" t="s">
        <v>8</v>
      </c>
      <c r="D217" s="2">
        <v>200</v>
      </c>
      <c r="E217" s="2" t="s">
        <v>12</v>
      </c>
      <c r="F217">
        <v>1.10280373831775</v>
      </c>
      <c r="G217" s="2">
        <v>57</v>
      </c>
    </row>
    <row r="218" spans="1:7" x14ac:dyDescent="0.3">
      <c r="A218" t="s">
        <v>217</v>
      </c>
      <c r="B218" s="2">
        <v>1</v>
      </c>
      <c r="C218" s="2" t="s">
        <v>8</v>
      </c>
      <c r="D218" s="2">
        <v>2000</v>
      </c>
      <c r="E218" s="2" t="s">
        <v>12</v>
      </c>
      <c r="F218">
        <v>0.98130841121495305</v>
      </c>
      <c r="G218" s="2">
        <v>57</v>
      </c>
    </row>
    <row r="219" spans="1:7" x14ac:dyDescent="0.3">
      <c r="A219" t="s">
        <v>217</v>
      </c>
      <c r="B219" s="2">
        <v>3</v>
      </c>
      <c r="C219" s="2" t="s">
        <v>8</v>
      </c>
      <c r="D219" s="2">
        <v>200</v>
      </c>
      <c r="E219" s="2" t="s">
        <v>12</v>
      </c>
      <c r="F219">
        <v>0.80924855491329395</v>
      </c>
      <c r="G219" s="2">
        <v>57</v>
      </c>
    </row>
    <row r="220" spans="1:7" x14ac:dyDescent="0.3">
      <c r="A220" t="s">
        <v>217</v>
      </c>
      <c r="B220" s="2">
        <v>3</v>
      </c>
      <c r="C220" s="2" t="s">
        <v>8</v>
      </c>
      <c r="D220" s="2">
        <v>2000</v>
      </c>
      <c r="E220" s="2" t="s">
        <v>12</v>
      </c>
      <c r="F220">
        <v>0.75144508670520205</v>
      </c>
      <c r="G220" s="2">
        <v>57</v>
      </c>
    </row>
    <row r="221" spans="1:7" x14ac:dyDescent="0.3">
      <c r="A221" t="s">
        <v>217</v>
      </c>
      <c r="B221" s="2">
        <v>5</v>
      </c>
      <c r="C221" s="2" t="s">
        <v>8</v>
      </c>
      <c r="D221" s="2">
        <v>200</v>
      </c>
      <c r="E221" s="2" t="s">
        <v>12</v>
      </c>
      <c r="F221">
        <v>0.82010582010582</v>
      </c>
      <c r="G221" s="2">
        <v>57</v>
      </c>
    </row>
    <row r="222" spans="1:7" x14ac:dyDescent="0.3">
      <c r="A222" t="s">
        <v>217</v>
      </c>
      <c r="B222" s="2">
        <v>5</v>
      </c>
      <c r="C222" s="2" t="s">
        <v>8</v>
      </c>
      <c r="D222" s="2">
        <v>2000</v>
      </c>
      <c r="E222" s="2" t="s">
        <v>12</v>
      </c>
      <c r="F222">
        <v>0.772486772486772</v>
      </c>
      <c r="G222" s="2">
        <v>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11"/>
  <sheetViews>
    <sheetView workbookViewId="0">
      <pane ySplit="1" topLeftCell="A690" activePane="bottomLeft" state="frozen"/>
      <selection pane="bottomLeft" activeCell="H1" sqref="H1:H1048576"/>
    </sheetView>
  </sheetViews>
  <sheetFormatPr defaultRowHeight="13.5" x14ac:dyDescent="0.3"/>
  <cols>
    <col min="1" max="1" width="7" customWidth="1"/>
  </cols>
  <sheetData>
    <row r="1" spans="1:7" s="5" customFormat="1" ht="13.9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2" t="s">
        <v>55</v>
      </c>
      <c r="B2" s="2">
        <v>14</v>
      </c>
      <c r="C2" s="2" t="s">
        <v>8</v>
      </c>
      <c r="D2" s="2">
        <v>100</v>
      </c>
      <c r="E2" s="2" t="s">
        <v>10</v>
      </c>
      <c r="F2">
        <v>0.98750000000000004</v>
      </c>
      <c r="G2" s="2">
        <v>48</v>
      </c>
    </row>
    <row r="3" spans="1:7" x14ac:dyDescent="0.3">
      <c r="A3" s="2" t="s">
        <v>55</v>
      </c>
      <c r="B3" s="2">
        <v>14</v>
      </c>
      <c r="C3" s="2" t="s">
        <v>8</v>
      </c>
      <c r="D3" s="2">
        <v>10000</v>
      </c>
      <c r="E3" s="2" t="s">
        <v>10</v>
      </c>
      <c r="F3">
        <v>1.4750000000000001</v>
      </c>
      <c r="G3" s="2">
        <v>48</v>
      </c>
    </row>
    <row r="4" spans="1:7" x14ac:dyDescent="0.3">
      <c r="A4" s="2" t="s">
        <v>55</v>
      </c>
      <c r="B4" s="2">
        <v>14</v>
      </c>
      <c r="C4" s="2" t="s">
        <v>8</v>
      </c>
      <c r="D4" s="2">
        <v>25000</v>
      </c>
      <c r="E4" s="2" t="s">
        <v>10</v>
      </c>
      <c r="F4">
        <v>1.85</v>
      </c>
      <c r="G4" s="2">
        <v>48</v>
      </c>
    </row>
    <row r="5" spans="1:7" x14ac:dyDescent="0.3">
      <c r="A5" s="2" t="s">
        <v>55</v>
      </c>
      <c r="B5" s="2">
        <v>14</v>
      </c>
      <c r="C5" s="2" t="s">
        <v>8</v>
      </c>
      <c r="D5" s="2">
        <v>50000</v>
      </c>
      <c r="E5" s="2" t="s">
        <v>10</v>
      </c>
      <c r="F5">
        <v>2.5375000000000001</v>
      </c>
      <c r="G5" s="2">
        <v>48</v>
      </c>
    </row>
    <row r="6" spans="1:7" x14ac:dyDescent="0.3">
      <c r="A6" s="2" t="s">
        <v>55</v>
      </c>
      <c r="B6" s="2">
        <v>14</v>
      </c>
      <c r="C6" s="2" t="s">
        <v>8</v>
      </c>
      <c r="D6" s="2">
        <v>100000</v>
      </c>
      <c r="E6" s="2" t="s">
        <v>10</v>
      </c>
      <c r="F6">
        <v>2.8250000000000002</v>
      </c>
      <c r="G6" s="2">
        <v>48</v>
      </c>
    </row>
    <row r="7" spans="1:7" x14ac:dyDescent="0.3">
      <c r="A7" s="2" t="s">
        <v>55</v>
      </c>
      <c r="B7" s="2">
        <v>14</v>
      </c>
      <c r="C7" s="2" t="s">
        <v>8</v>
      </c>
      <c r="D7" s="2">
        <v>200000</v>
      </c>
      <c r="E7" s="2" t="s">
        <v>10</v>
      </c>
      <c r="F7">
        <v>2.6625000000000001</v>
      </c>
      <c r="G7" s="2">
        <v>48</v>
      </c>
    </row>
    <row r="8" spans="1:7" x14ac:dyDescent="0.3">
      <c r="A8" s="2" t="s">
        <v>55</v>
      </c>
      <c r="B8" s="2">
        <v>14</v>
      </c>
      <c r="C8" s="2" t="s">
        <v>11</v>
      </c>
      <c r="D8" s="2">
        <v>100</v>
      </c>
      <c r="E8" s="2" t="s">
        <v>10</v>
      </c>
      <c r="F8">
        <v>0.94366197183098499</v>
      </c>
      <c r="G8" s="2">
        <v>48</v>
      </c>
    </row>
    <row r="9" spans="1:7" x14ac:dyDescent="0.3">
      <c r="A9" s="2" t="s">
        <v>55</v>
      </c>
      <c r="B9" s="2">
        <v>14</v>
      </c>
      <c r="C9" s="2" t="s">
        <v>11</v>
      </c>
      <c r="D9" s="2">
        <v>10000</v>
      </c>
      <c r="E9" s="2" t="s">
        <v>10</v>
      </c>
      <c r="F9">
        <v>2.4507042253521099</v>
      </c>
      <c r="G9" s="2">
        <v>48</v>
      </c>
    </row>
    <row r="10" spans="1:7" x14ac:dyDescent="0.3">
      <c r="A10" s="2" t="s">
        <v>55</v>
      </c>
      <c r="B10" s="2">
        <v>14</v>
      </c>
      <c r="C10" s="2" t="s">
        <v>11</v>
      </c>
      <c r="D10" s="2">
        <v>25000</v>
      </c>
      <c r="E10" s="2" t="s">
        <v>10</v>
      </c>
      <c r="F10">
        <v>2.9295774647887298</v>
      </c>
      <c r="G10" s="2">
        <v>48</v>
      </c>
    </row>
    <row r="11" spans="1:7" x14ac:dyDescent="0.3">
      <c r="A11" s="2" t="s">
        <v>55</v>
      </c>
      <c r="B11" s="2">
        <v>14</v>
      </c>
      <c r="C11" s="2" t="s">
        <v>11</v>
      </c>
      <c r="D11" s="2">
        <v>50000</v>
      </c>
      <c r="E11" s="2" t="s">
        <v>10</v>
      </c>
      <c r="F11">
        <v>3.3661971830985902</v>
      </c>
      <c r="G11" s="2">
        <v>48</v>
      </c>
    </row>
    <row r="12" spans="1:7" x14ac:dyDescent="0.3">
      <c r="A12" s="2" t="s">
        <v>55</v>
      </c>
      <c r="B12" s="2">
        <v>14</v>
      </c>
      <c r="C12" s="2" t="s">
        <v>11</v>
      </c>
      <c r="D12" s="2">
        <v>100000</v>
      </c>
      <c r="E12" s="2" t="s">
        <v>10</v>
      </c>
      <c r="F12">
        <v>3.6619718309859102</v>
      </c>
      <c r="G12" s="2">
        <v>48</v>
      </c>
    </row>
    <row r="13" spans="1:7" x14ac:dyDescent="0.3">
      <c r="A13" s="2" t="s">
        <v>55</v>
      </c>
      <c r="B13" s="2">
        <v>14</v>
      </c>
      <c r="C13" s="2" t="s">
        <v>11</v>
      </c>
      <c r="D13" s="2">
        <v>200000</v>
      </c>
      <c r="E13" s="2" t="s">
        <v>10</v>
      </c>
      <c r="F13">
        <v>3.1267605633802802</v>
      </c>
      <c r="G13" s="2">
        <v>48</v>
      </c>
    </row>
    <row r="14" spans="1:7" x14ac:dyDescent="0.3">
      <c r="A14" s="2" t="s">
        <v>55</v>
      </c>
      <c r="B14" s="2">
        <v>14</v>
      </c>
      <c r="C14" s="2" t="s">
        <v>8</v>
      </c>
      <c r="D14" s="2">
        <v>100</v>
      </c>
      <c r="E14" s="2" t="s">
        <v>10</v>
      </c>
      <c r="F14">
        <v>0.9</v>
      </c>
      <c r="G14" s="2">
        <v>48</v>
      </c>
    </row>
    <row r="15" spans="1:7" x14ac:dyDescent="0.3">
      <c r="A15" s="2" t="s">
        <v>55</v>
      </c>
      <c r="B15" s="2">
        <v>14</v>
      </c>
      <c r="C15" s="2" t="s">
        <v>8</v>
      </c>
      <c r="D15" s="2">
        <v>10000</v>
      </c>
      <c r="E15" s="2" t="s">
        <v>10</v>
      </c>
      <c r="F15">
        <v>1.2222222222222201</v>
      </c>
      <c r="G15" s="2">
        <v>48</v>
      </c>
    </row>
    <row r="16" spans="1:7" x14ac:dyDescent="0.3">
      <c r="A16" s="2" t="s">
        <v>55</v>
      </c>
      <c r="B16" s="2">
        <v>14</v>
      </c>
      <c r="C16" s="2" t="s">
        <v>8</v>
      </c>
      <c r="D16" s="2">
        <v>25000</v>
      </c>
      <c r="E16" s="2" t="s">
        <v>10</v>
      </c>
      <c r="F16">
        <v>1.6111111111111101</v>
      </c>
      <c r="G16" s="2">
        <v>48</v>
      </c>
    </row>
    <row r="17" spans="1:7" x14ac:dyDescent="0.3">
      <c r="A17" s="2" t="s">
        <v>55</v>
      </c>
      <c r="B17" s="2">
        <v>14</v>
      </c>
      <c r="C17" s="2" t="s">
        <v>8</v>
      </c>
      <c r="D17" s="2">
        <v>50000</v>
      </c>
      <c r="E17" s="2" t="s">
        <v>10</v>
      </c>
      <c r="F17">
        <v>2.2999999999999998</v>
      </c>
      <c r="G17" s="2">
        <v>48</v>
      </c>
    </row>
    <row r="18" spans="1:7" x14ac:dyDescent="0.3">
      <c r="A18" s="2" t="s">
        <v>55</v>
      </c>
      <c r="B18" s="2">
        <v>14</v>
      </c>
      <c r="C18" s="2" t="s">
        <v>8</v>
      </c>
      <c r="D18" s="2">
        <v>100000</v>
      </c>
      <c r="E18" s="2" t="s">
        <v>10</v>
      </c>
      <c r="F18">
        <v>3.12222222222222</v>
      </c>
      <c r="G18" s="2">
        <v>48</v>
      </c>
    </row>
    <row r="19" spans="1:7" x14ac:dyDescent="0.3">
      <c r="A19" s="2" t="s">
        <v>55</v>
      </c>
      <c r="B19" s="2">
        <v>14</v>
      </c>
      <c r="C19" s="2" t="s">
        <v>8</v>
      </c>
      <c r="D19" s="2">
        <v>200000</v>
      </c>
      <c r="E19" s="2" t="s">
        <v>10</v>
      </c>
      <c r="F19">
        <v>2.7111111111111099</v>
      </c>
      <c r="G19" s="2">
        <v>48</v>
      </c>
    </row>
    <row r="20" spans="1:7" x14ac:dyDescent="0.3">
      <c r="A20" s="2" t="s">
        <v>55</v>
      </c>
      <c r="B20" s="2">
        <v>14</v>
      </c>
      <c r="C20" s="2" t="s">
        <v>11</v>
      </c>
      <c r="D20" s="2">
        <v>100</v>
      </c>
      <c r="E20" s="2" t="s">
        <v>10</v>
      </c>
      <c r="F20">
        <v>0.939393939393939</v>
      </c>
      <c r="G20" s="2">
        <v>48</v>
      </c>
    </row>
    <row r="21" spans="1:7" x14ac:dyDescent="0.3">
      <c r="A21" s="2" t="s">
        <v>55</v>
      </c>
      <c r="B21" s="2">
        <v>14</v>
      </c>
      <c r="C21" s="2" t="s">
        <v>11</v>
      </c>
      <c r="D21" s="2">
        <v>10000</v>
      </c>
      <c r="E21" s="2" t="s">
        <v>10</v>
      </c>
      <c r="F21">
        <v>1.25757575757575</v>
      </c>
      <c r="G21" s="2">
        <v>48</v>
      </c>
    </row>
    <row r="22" spans="1:7" x14ac:dyDescent="0.3">
      <c r="A22" s="2" t="s">
        <v>55</v>
      </c>
      <c r="B22" s="2">
        <v>14</v>
      </c>
      <c r="C22" s="2" t="s">
        <v>11</v>
      </c>
      <c r="D22" s="2">
        <v>25000</v>
      </c>
      <c r="E22" s="2" t="s">
        <v>10</v>
      </c>
      <c r="F22">
        <v>1.62121212121212</v>
      </c>
      <c r="G22" s="2">
        <v>48</v>
      </c>
    </row>
    <row r="23" spans="1:7" x14ac:dyDescent="0.3">
      <c r="A23" s="2" t="s">
        <v>55</v>
      </c>
      <c r="B23" s="2">
        <v>14</v>
      </c>
      <c r="C23" s="2" t="s">
        <v>11</v>
      </c>
      <c r="D23" s="2">
        <v>50000</v>
      </c>
      <c r="E23" s="2" t="s">
        <v>10</v>
      </c>
      <c r="F23">
        <v>2.5757575757575699</v>
      </c>
      <c r="G23" s="2">
        <v>48</v>
      </c>
    </row>
    <row r="24" spans="1:7" x14ac:dyDescent="0.3">
      <c r="A24" s="2" t="s">
        <v>55</v>
      </c>
      <c r="B24" s="2">
        <v>14</v>
      </c>
      <c r="C24" s="2" t="s">
        <v>11</v>
      </c>
      <c r="D24" s="2">
        <v>100000</v>
      </c>
      <c r="E24" s="2" t="s">
        <v>10</v>
      </c>
      <c r="F24">
        <v>3.0303030303030298</v>
      </c>
      <c r="G24" s="2">
        <v>48</v>
      </c>
    </row>
    <row r="25" spans="1:7" x14ac:dyDescent="0.3">
      <c r="A25" s="2" t="s">
        <v>55</v>
      </c>
      <c r="B25" s="2">
        <v>14</v>
      </c>
      <c r="C25" s="2" t="s">
        <v>11</v>
      </c>
      <c r="D25" s="2">
        <v>200000</v>
      </c>
      <c r="E25" s="2" t="s">
        <v>10</v>
      </c>
      <c r="F25">
        <v>2.8484848484848402</v>
      </c>
      <c r="G25" s="2">
        <v>48</v>
      </c>
    </row>
    <row r="26" spans="1:7" x14ac:dyDescent="0.3">
      <c r="A26" s="2" t="s">
        <v>55</v>
      </c>
      <c r="B26" s="2">
        <v>14</v>
      </c>
      <c r="C26" s="2" t="s">
        <v>8</v>
      </c>
      <c r="D26" s="2">
        <v>100</v>
      </c>
      <c r="E26" s="2" t="s">
        <v>10</v>
      </c>
      <c r="F26">
        <v>1.01273885350318</v>
      </c>
      <c r="G26" s="2">
        <v>48</v>
      </c>
    </row>
    <row r="27" spans="1:7" x14ac:dyDescent="0.3">
      <c r="A27" s="2" t="s">
        <v>55</v>
      </c>
      <c r="B27" s="2">
        <v>14</v>
      </c>
      <c r="C27" s="2" t="s">
        <v>8</v>
      </c>
      <c r="D27" s="2">
        <v>10000</v>
      </c>
      <c r="E27" s="2" t="s">
        <v>10</v>
      </c>
      <c r="F27">
        <v>1.05095541401273</v>
      </c>
      <c r="G27" s="2">
        <v>48</v>
      </c>
    </row>
    <row r="28" spans="1:7" x14ac:dyDescent="0.3">
      <c r="A28" s="2" t="s">
        <v>55</v>
      </c>
      <c r="B28" s="2">
        <v>14</v>
      </c>
      <c r="C28" s="2" t="s">
        <v>8</v>
      </c>
      <c r="D28" s="2">
        <v>25000</v>
      </c>
      <c r="E28" s="2" t="s">
        <v>10</v>
      </c>
      <c r="F28">
        <v>1.2802547770700601</v>
      </c>
      <c r="G28" s="2">
        <v>48</v>
      </c>
    </row>
    <row r="29" spans="1:7" x14ac:dyDescent="0.3">
      <c r="A29" s="2" t="s">
        <v>55</v>
      </c>
      <c r="B29" s="2">
        <v>14</v>
      </c>
      <c r="C29" s="2" t="s">
        <v>8</v>
      </c>
      <c r="D29" s="2">
        <v>50000</v>
      </c>
      <c r="E29" s="2" t="s">
        <v>10</v>
      </c>
      <c r="F29">
        <v>1.36305732484076</v>
      </c>
      <c r="G29" s="2">
        <v>48</v>
      </c>
    </row>
    <row r="30" spans="1:7" x14ac:dyDescent="0.3">
      <c r="A30" s="2" t="s">
        <v>55</v>
      </c>
      <c r="B30" s="2">
        <v>14</v>
      </c>
      <c r="C30" s="2" t="s">
        <v>8</v>
      </c>
      <c r="D30" s="2">
        <v>100000</v>
      </c>
      <c r="E30" s="2" t="s">
        <v>10</v>
      </c>
      <c r="F30">
        <v>1.10828025477707</v>
      </c>
      <c r="G30" s="2">
        <v>48</v>
      </c>
    </row>
    <row r="31" spans="1:7" x14ac:dyDescent="0.3">
      <c r="A31" s="2" t="s">
        <v>55</v>
      </c>
      <c r="B31" s="2">
        <v>14</v>
      </c>
      <c r="C31" s="2" t="s">
        <v>8</v>
      </c>
      <c r="D31" s="2">
        <v>200000</v>
      </c>
      <c r="E31" s="2" t="s">
        <v>10</v>
      </c>
      <c r="F31">
        <v>0.71337579617834301</v>
      </c>
      <c r="G31" s="2">
        <v>48</v>
      </c>
    </row>
    <row r="32" spans="1:7" x14ac:dyDescent="0.3">
      <c r="A32" s="2" t="s">
        <v>55</v>
      </c>
      <c r="B32" s="2">
        <v>14</v>
      </c>
      <c r="C32" s="2" t="s">
        <v>11</v>
      </c>
      <c r="D32" s="2">
        <v>100</v>
      </c>
      <c r="E32" s="2" t="s">
        <v>10</v>
      </c>
      <c r="F32">
        <v>1.1428571428571399</v>
      </c>
      <c r="G32" s="2">
        <v>48</v>
      </c>
    </row>
    <row r="33" spans="1:7" x14ac:dyDescent="0.3">
      <c r="A33" s="2" t="s">
        <v>55</v>
      </c>
      <c r="B33" s="2">
        <v>14</v>
      </c>
      <c r="C33" s="2" t="s">
        <v>11</v>
      </c>
      <c r="D33" s="2">
        <v>10000</v>
      </c>
      <c r="E33" s="2" t="s">
        <v>10</v>
      </c>
      <c r="F33">
        <v>1.2410714285714199</v>
      </c>
      <c r="G33" s="2">
        <v>48</v>
      </c>
    </row>
    <row r="34" spans="1:7" x14ac:dyDescent="0.3">
      <c r="A34" s="2" t="s">
        <v>55</v>
      </c>
      <c r="B34" s="2">
        <v>14</v>
      </c>
      <c r="C34" s="2" t="s">
        <v>11</v>
      </c>
      <c r="D34" s="2">
        <v>25000</v>
      </c>
      <c r="E34" s="2" t="s">
        <v>10</v>
      </c>
      <c r="F34">
        <v>1.77678571428571</v>
      </c>
      <c r="G34" s="2">
        <v>48</v>
      </c>
    </row>
    <row r="35" spans="1:7" x14ac:dyDescent="0.3">
      <c r="A35" s="2" t="s">
        <v>55</v>
      </c>
      <c r="B35" s="2">
        <v>14</v>
      </c>
      <c r="C35" s="2" t="s">
        <v>11</v>
      </c>
      <c r="D35" s="2">
        <v>50000</v>
      </c>
      <c r="E35" s="2" t="s">
        <v>10</v>
      </c>
      <c r="F35">
        <v>1.3928571428571399</v>
      </c>
      <c r="G35" s="2">
        <v>48</v>
      </c>
    </row>
    <row r="36" spans="1:7" x14ac:dyDescent="0.3">
      <c r="A36" s="2" t="s">
        <v>55</v>
      </c>
      <c r="B36" s="2">
        <v>14</v>
      </c>
      <c r="C36" s="2" t="s">
        <v>11</v>
      </c>
      <c r="D36" s="2">
        <v>100000</v>
      </c>
      <c r="E36" s="2" t="s">
        <v>10</v>
      </c>
      <c r="F36">
        <v>0.90178571428571397</v>
      </c>
      <c r="G36" s="2">
        <v>48</v>
      </c>
    </row>
    <row r="37" spans="1:7" x14ac:dyDescent="0.3">
      <c r="A37" s="2" t="s">
        <v>55</v>
      </c>
      <c r="B37" s="2">
        <v>14</v>
      </c>
      <c r="C37" s="2" t="s">
        <v>11</v>
      </c>
      <c r="D37" s="2">
        <v>200000</v>
      </c>
      <c r="E37" s="2" t="s">
        <v>10</v>
      </c>
      <c r="F37">
        <v>0.46428571428571402</v>
      </c>
      <c r="G37" s="2">
        <v>48</v>
      </c>
    </row>
    <row r="38" spans="1:7" x14ac:dyDescent="0.3">
      <c r="A38" s="2" t="s">
        <v>55</v>
      </c>
      <c r="B38" s="2">
        <v>14</v>
      </c>
      <c r="C38" s="2" t="s">
        <v>8</v>
      </c>
      <c r="D38" s="2">
        <v>100</v>
      </c>
      <c r="E38" s="2" t="s">
        <v>10</v>
      </c>
      <c r="F38">
        <v>1.03053435114503</v>
      </c>
      <c r="G38" s="2">
        <v>48</v>
      </c>
    </row>
    <row r="39" spans="1:7" x14ac:dyDescent="0.3">
      <c r="A39" s="2" t="s">
        <v>55</v>
      </c>
      <c r="B39" s="2">
        <v>14</v>
      </c>
      <c r="C39" s="2" t="s">
        <v>8</v>
      </c>
      <c r="D39" s="2">
        <v>10000</v>
      </c>
      <c r="E39" s="2" t="s">
        <v>10</v>
      </c>
      <c r="F39">
        <v>1.21374045801526</v>
      </c>
      <c r="G39" s="2">
        <v>48</v>
      </c>
    </row>
    <row r="40" spans="1:7" x14ac:dyDescent="0.3">
      <c r="A40" s="2" t="s">
        <v>55</v>
      </c>
      <c r="B40" s="2">
        <v>14</v>
      </c>
      <c r="C40" s="2" t="s">
        <v>8</v>
      </c>
      <c r="D40" s="2">
        <v>25000</v>
      </c>
      <c r="E40" s="2" t="s">
        <v>10</v>
      </c>
      <c r="F40">
        <v>1.5190839694656399</v>
      </c>
      <c r="G40" s="2">
        <v>48</v>
      </c>
    </row>
    <row r="41" spans="1:7" x14ac:dyDescent="0.3">
      <c r="A41" s="2" t="s">
        <v>55</v>
      </c>
      <c r="B41" s="2">
        <v>14</v>
      </c>
      <c r="C41" s="2" t="s">
        <v>8</v>
      </c>
      <c r="D41" s="2">
        <v>50000</v>
      </c>
      <c r="E41" s="2" t="s">
        <v>10</v>
      </c>
      <c r="F41">
        <v>1.12213740458015</v>
      </c>
      <c r="G41" s="2">
        <v>48</v>
      </c>
    </row>
    <row r="42" spans="1:7" x14ac:dyDescent="0.3">
      <c r="A42" s="2" t="s">
        <v>55</v>
      </c>
      <c r="B42" s="2">
        <v>14</v>
      </c>
      <c r="C42" s="2" t="s">
        <v>8</v>
      </c>
      <c r="D42" s="2">
        <v>100000</v>
      </c>
      <c r="E42" s="2" t="s">
        <v>10</v>
      </c>
      <c r="F42">
        <v>0.93893129770992301</v>
      </c>
      <c r="G42" s="2">
        <v>48</v>
      </c>
    </row>
    <row r="43" spans="1:7" x14ac:dyDescent="0.3">
      <c r="A43" s="2" t="s">
        <v>55</v>
      </c>
      <c r="B43" s="2">
        <v>14</v>
      </c>
      <c r="C43" s="2" t="s">
        <v>8</v>
      </c>
      <c r="D43" s="2">
        <v>200000</v>
      </c>
      <c r="E43" s="2" t="s">
        <v>10</v>
      </c>
      <c r="F43">
        <v>0.64122137404580104</v>
      </c>
      <c r="G43" s="2">
        <v>48</v>
      </c>
    </row>
    <row r="44" spans="1:7" x14ac:dyDescent="0.3">
      <c r="A44" s="2" t="s">
        <v>55</v>
      </c>
      <c r="B44" s="2">
        <v>14</v>
      </c>
      <c r="C44" s="2" t="s">
        <v>11</v>
      </c>
      <c r="D44" s="2">
        <v>100</v>
      </c>
      <c r="E44" s="2" t="s">
        <v>10</v>
      </c>
      <c r="F44">
        <v>1.03157894736842</v>
      </c>
      <c r="G44" s="2">
        <v>48</v>
      </c>
    </row>
    <row r="45" spans="1:7" x14ac:dyDescent="0.3">
      <c r="A45" s="2" t="s">
        <v>55</v>
      </c>
      <c r="B45" s="2">
        <v>14</v>
      </c>
      <c r="C45" s="2" t="s">
        <v>11</v>
      </c>
      <c r="D45" s="2">
        <v>10000</v>
      </c>
      <c r="E45" s="2" t="s">
        <v>10</v>
      </c>
      <c r="F45">
        <v>1.18947368421052</v>
      </c>
      <c r="G45" s="2">
        <v>48</v>
      </c>
    </row>
    <row r="46" spans="1:7" x14ac:dyDescent="0.3">
      <c r="A46" s="2" t="s">
        <v>55</v>
      </c>
      <c r="B46" s="2">
        <v>14</v>
      </c>
      <c r="C46" s="2" t="s">
        <v>11</v>
      </c>
      <c r="D46" s="2">
        <v>25000</v>
      </c>
      <c r="E46" s="2" t="s">
        <v>10</v>
      </c>
      <c r="F46">
        <v>1.9052631578947301</v>
      </c>
      <c r="G46" s="2">
        <v>48</v>
      </c>
    </row>
    <row r="47" spans="1:7" x14ac:dyDescent="0.3">
      <c r="A47" s="2" t="s">
        <v>55</v>
      </c>
      <c r="B47" s="2">
        <v>14</v>
      </c>
      <c r="C47" s="2" t="s">
        <v>11</v>
      </c>
      <c r="D47" s="2">
        <v>50000</v>
      </c>
      <c r="E47" s="2" t="s">
        <v>10</v>
      </c>
      <c r="F47">
        <v>1.69473684210526</v>
      </c>
      <c r="G47" s="2">
        <v>48</v>
      </c>
    </row>
    <row r="48" spans="1:7" x14ac:dyDescent="0.3">
      <c r="A48" s="2" t="s">
        <v>55</v>
      </c>
      <c r="B48" s="2">
        <v>14</v>
      </c>
      <c r="C48" s="2" t="s">
        <v>11</v>
      </c>
      <c r="D48" s="2">
        <v>100000</v>
      </c>
      <c r="E48" s="2" t="s">
        <v>10</v>
      </c>
      <c r="F48">
        <v>0.72631578947368403</v>
      </c>
      <c r="G48" s="2">
        <v>48</v>
      </c>
    </row>
    <row r="49" spans="1:7" x14ac:dyDescent="0.3">
      <c r="A49" s="2" t="s">
        <v>55</v>
      </c>
      <c r="B49" s="2">
        <v>14</v>
      </c>
      <c r="C49" s="2" t="s">
        <v>11</v>
      </c>
      <c r="D49" s="2">
        <v>200000</v>
      </c>
      <c r="E49" s="2" t="s">
        <v>10</v>
      </c>
      <c r="F49">
        <v>0.673684210526315</v>
      </c>
      <c r="G49" s="2">
        <v>48</v>
      </c>
    </row>
    <row r="50" spans="1:7" x14ac:dyDescent="0.3">
      <c r="A50" s="2" t="s">
        <v>55</v>
      </c>
      <c r="B50" s="2">
        <v>14</v>
      </c>
      <c r="C50" s="2" t="s">
        <v>8</v>
      </c>
      <c r="D50" s="2">
        <v>25000</v>
      </c>
      <c r="E50" s="2" t="s">
        <v>9</v>
      </c>
      <c r="F50">
        <v>0.85232067510548504</v>
      </c>
      <c r="G50" s="2">
        <v>48</v>
      </c>
    </row>
    <row r="51" spans="1:7" x14ac:dyDescent="0.3">
      <c r="A51" s="2" t="s">
        <v>55</v>
      </c>
      <c r="B51" s="2">
        <v>14</v>
      </c>
      <c r="C51" s="2" t="s">
        <v>8</v>
      </c>
      <c r="D51" s="2">
        <v>50000</v>
      </c>
      <c r="E51" s="2" t="s">
        <v>9</v>
      </c>
      <c r="F51">
        <v>0.696202531645569</v>
      </c>
      <c r="G51" s="2">
        <v>48</v>
      </c>
    </row>
    <row r="52" spans="1:7" x14ac:dyDescent="0.3">
      <c r="A52" s="2" t="s">
        <v>55</v>
      </c>
      <c r="B52" s="2">
        <v>14</v>
      </c>
      <c r="C52" s="2" t="s">
        <v>8</v>
      </c>
      <c r="D52" s="2">
        <v>100000</v>
      </c>
      <c r="E52" s="2" t="s">
        <v>9</v>
      </c>
      <c r="F52">
        <v>0.56118143459915604</v>
      </c>
      <c r="G52" s="2">
        <v>48</v>
      </c>
    </row>
    <row r="53" spans="1:7" x14ac:dyDescent="0.3">
      <c r="A53" s="2" t="s">
        <v>55</v>
      </c>
      <c r="B53" s="2">
        <v>14</v>
      </c>
      <c r="C53" s="2" t="s">
        <v>8</v>
      </c>
      <c r="D53" s="2">
        <v>200000</v>
      </c>
      <c r="E53" s="2" t="s">
        <v>9</v>
      </c>
      <c r="F53">
        <v>0.50210970464134996</v>
      </c>
      <c r="G53" s="2">
        <v>48</v>
      </c>
    </row>
    <row r="54" spans="1:7" x14ac:dyDescent="0.3">
      <c r="A54" s="2" t="s">
        <v>55</v>
      </c>
      <c r="B54" s="2">
        <v>14</v>
      </c>
      <c r="C54" s="2" t="s">
        <v>8</v>
      </c>
      <c r="D54" s="2">
        <v>25000</v>
      </c>
      <c r="E54" s="2" t="s">
        <v>9</v>
      </c>
      <c r="F54">
        <v>0.66666666666666596</v>
      </c>
      <c r="G54" s="2">
        <v>48</v>
      </c>
    </row>
    <row r="55" spans="1:7" x14ac:dyDescent="0.3">
      <c r="A55" s="2" t="s">
        <v>55</v>
      </c>
      <c r="B55" s="2">
        <v>14</v>
      </c>
      <c r="C55" s="2" t="s">
        <v>8</v>
      </c>
      <c r="D55" s="2">
        <v>50000</v>
      </c>
      <c r="E55" s="2" t="s">
        <v>9</v>
      </c>
      <c r="F55">
        <v>0.88333333333333297</v>
      </c>
      <c r="G55" s="2">
        <v>48</v>
      </c>
    </row>
    <row r="56" spans="1:7" x14ac:dyDescent="0.3">
      <c r="A56" s="2" t="s">
        <v>55</v>
      </c>
      <c r="B56" s="2">
        <v>14</v>
      </c>
      <c r="C56" s="2" t="s">
        <v>8</v>
      </c>
      <c r="D56" s="2">
        <v>100000</v>
      </c>
      <c r="E56" s="2" t="s">
        <v>9</v>
      </c>
      <c r="F56">
        <v>1.3444444444444399</v>
      </c>
      <c r="G56" s="2">
        <v>48</v>
      </c>
    </row>
    <row r="57" spans="1:7" x14ac:dyDescent="0.3">
      <c r="A57" s="2" t="s">
        <v>55</v>
      </c>
      <c r="B57" s="2">
        <v>14</v>
      </c>
      <c r="C57" s="2" t="s">
        <v>8</v>
      </c>
      <c r="D57" s="2">
        <v>200000</v>
      </c>
      <c r="E57" s="2" t="s">
        <v>9</v>
      </c>
      <c r="F57">
        <v>0.91111111111111098</v>
      </c>
      <c r="G57" s="2">
        <v>48</v>
      </c>
    </row>
    <row r="58" spans="1:7" x14ac:dyDescent="0.3">
      <c r="A58" s="2" t="s">
        <v>55</v>
      </c>
      <c r="B58" s="2">
        <v>14</v>
      </c>
      <c r="C58" s="2" t="s">
        <v>8</v>
      </c>
      <c r="D58" s="2">
        <v>25000</v>
      </c>
      <c r="E58" s="2" t="s">
        <v>9</v>
      </c>
      <c r="F58">
        <v>1.08366533864541</v>
      </c>
      <c r="G58" s="2">
        <v>48</v>
      </c>
    </row>
    <row r="59" spans="1:7" x14ac:dyDescent="0.3">
      <c r="A59" s="2" t="s">
        <v>55</v>
      </c>
      <c r="B59" s="2">
        <v>14</v>
      </c>
      <c r="C59" s="2" t="s">
        <v>8</v>
      </c>
      <c r="D59" s="2">
        <v>50000</v>
      </c>
      <c r="E59" s="2" t="s">
        <v>9</v>
      </c>
      <c r="F59">
        <v>0.67330677290836605</v>
      </c>
      <c r="G59" s="2">
        <v>48</v>
      </c>
    </row>
    <row r="60" spans="1:7" x14ac:dyDescent="0.3">
      <c r="A60" s="2" t="s">
        <v>55</v>
      </c>
      <c r="B60" s="2">
        <v>14</v>
      </c>
      <c r="C60" s="2" t="s">
        <v>8</v>
      </c>
      <c r="D60" s="2">
        <v>100000</v>
      </c>
      <c r="E60" s="2" t="s">
        <v>9</v>
      </c>
      <c r="F60">
        <v>0.27091633466135401</v>
      </c>
      <c r="G60" s="2">
        <v>48</v>
      </c>
    </row>
    <row r="61" spans="1:7" x14ac:dyDescent="0.3">
      <c r="A61" s="2" t="s">
        <v>55</v>
      </c>
      <c r="B61" s="2">
        <v>14</v>
      </c>
      <c r="C61" s="2" t="s">
        <v>8</v>
      </c>
      <c r="D61" s="2">
        <v>200000</v>
      </c>
      <c r="E61" s="2" t="s">
        <v>9</v>
      </c>
      <c r="F61">
        <v>0.21912350597609501</v>
      </c>
      <c r="G61" s="2">
        <v>48</v>
      </c>
    </row>
    <row r="62" spans="1:7" x14ac:dyDescent="0.3">
      <c r="A62" s="2" t="s">
        <v>55</v>
      </c>
      <c r="B62" s="2">
        <v>14</v>
      </c>
      <c r="C62" s="2" t="s">
        <v>8</v>
      </c>
      <c r="D62" s="2">
        <v>100</v>
      </c>
      <c r="E62" s="2" t="s">
        <v>12</v>
      </c>
      <c r="F62">
        <v>1.0136518771331</v>
      </c>
      <c r="G62" s="2">
        <v>48</v>
      </c>
    </row>
    <row r="63" spans="1:7" x14ac:dyDescent="0.3">
      <c r="A63" s="2" t="s">
        <v>55</v>
      </c>
      <c r="B63" s="2">
        <v>14</v>
      </c>
      <c r="C63" s="2" t="s">
        <v>8</v>
      </c>
      <c r="D63" s="2">
        <v>10000</v>
      </c>
      <c r="E63" s="2" t="s">
        <v>12</v>
      </c>
      <c r="F63">
        <v>0.85665529010238906</v>
      </c>
      <c r="G63" s="2">
        <v>48</v>
      </c>
    </row>
    <row r="64" spans="1:7" x14ac:dyDescent="0.3">
      <c r="A64" s="2" t="s">
        <v>55</v>
      </c>
      <c r="B64" s="2">
        <v>14</v>
      </c>
      <c r="C64" s="2" t="s">
        <v>8</v>
      </c>
      <c r="D64" s="2">
        <v>25000</v>
      </c>
      <c r="E64" s="2" t="s">
        <v>12</v>
      </c>
      <c r="F64">
        <v>0.77474402730375402</v>
      </c>
      <c r="G64" s="2">
        <v>48</v>
      </c>
    </row>
    <row r="65" spans="1:7" x14ac:dyDescent="0.3">
      <c r="A65" s="2" t="s">
        <v>55</v>
      </c>
      <c r="B65" s="2">
        <v>14</v>
      </c>
      <c r="C65" s="2" t="s">
        <v>8</v>
      </c>
      <c r="D65" s="2">
        <v>50000</v>
      </c>
      <c r="E65" s="2" t="s">
        <v>12</v>
      </c>
      <c r="F65">
        <v>0.66211604095563104</v>
      </c>
      <c r="G65" s="2">
        <v>48</v>
      </c>
    </row>
    <row r="66" spans="1:7" x14ac:dyDescent="0.3">
      <c r="A66" s="2" t="s">
        <v>55</v>
      </c>
      <c r="B66" s="2">
        <v>14</v>
      </c>
      <c r="C66" s="2" t="s">
        <v>8</v>
      </c>
      <c r="D66" s="2">
        <v>100000</v>
      </c>
      <c r="E66" s="2" t="s">
        <v>12</v>
      </c>
      <c r="F66">
        <v>0.50170648464163803</v>
      </c>
      <c r="G66" s="2">
        <v>48</v>
      </c>
    </row>
    <row r="67" spans="1:7" x14ac:dyDescent="0.3">
      <c r="A67" s="2" t="s">
        <v>55</v>
      </c>
      <c r="B67" s="2">
        <v>14</v>
      </c>
      <c r="C67" s="2" t="s">
        <v>8</v>
      </c>
      <c r="D67" s="2">
        <v>200000</v>
      </c>
      <c r="E67" s="2" t="s">
        <v>12</v>
      </c>
      <c r="F67">
        <v>0.30375426621160401</v>
      </c>
      <c r="G67" s="2">
        <v>48</v>
      </c>
    </row>
    <row r="68" spans="1:7" x14ac:dyDescent="0.3">
      <c r="A68" s="2" t="s">
        <v>55</v>
      </c>
      <c r="B68" s="2">
        <v>14</v>
      </c>
      <c r="C68" s="2" t="s">
        <v>11</v>
      </c>
      <c r="D68" s="2">
        <v>100</v>
      </c>
      <c r="E68" s="2" t="s">
        <v>12</v>
      </c>
      <c r="F68">
        <v>0.98496240601503704</v>
      </c>
      <c r="G68" s="2">
        <v>48</v>
      </c>
    </row>
    <row r="69" spans="1:7" x14ac:dyDescent="0.3">
      <c r="A69" s="2" t="s">
        <v>55</v>
      </c>
      <c r="B69" s="2">
        <v>14</v>
      </c>
      <c r="C69" s="2" t="s">
        <v>11</v>
      </c>
      <c r="D69" s="2">
        <v>10000</v>
      </c>
      <c r="E69" s="2" t="s">
        <v>12</v>
      </c>
      <c r="F69">
        <v>0.79323308270676696</v>
      </c>
      <c r="G69" s="2">
        <v>48</v>
      </c>
    </row>
    <row r="70" spans="1:7" x14ac:dyDescent="0.3">
      <c r="A70" s="2" t="s">
        <v>55</v>
      </c>
      <c r="B70" s="2">
        <v>14</v>
      </c>
      <c r="C70" s="2" t="s">
        <v>11</v>
      </c>
      <c r="D70" s="2">
        <v>25000</v>
      </c>
      <c r="E70" s="2" t="s">
        <v>12</v>
      </c>
      <c r="F70">
        <v>0.51503759398496196</v>
      </c>
      <c r="G70" s="2">
        <v>48</v>
      </c>
    </row>
    <row r="71" spans="1:7" x14ac:dyDescent="0.3">
      <c r="A71" s="2" t="s">
        <v>55</v>
      </c>
      <c r="B71" s="2">
        <v>14</v>
      </c>
      <c r="C71" s="2" t="s">
        <v>11</v>
      </c>
      <c r="D71" s="2">
        <v>50000</v>
      </c>
      <c r="E71" s="2" t="s">
        <v>12</v>
      </c>
      <c r="F71">
        <v>0.33082706766917203</v>
      </c>
      <c r="G71" s="2">
        <v>48</v>
      </c>
    </row>
    <row r="72" spans="1:7" x14ac:dyDescent="0.3">
      <c r="A72" s="2" t="s">
        <v>55</v>
      </c>
      <c r="B72" s="2">
        <v>14</v>
      </c>
      <c r="C72" s="2" t="s">
        <v>11</v>
      </c>
      <c r="D72" s="2">
        <v>100000</v>
      </c>
      <c r="E72" s="2" t="s">
        <v>12</v>
      </c>
      <c r="F72">
        <v>0.28947368421052599</v>
      </c>
      <c r="G72" s="2">
        <v>48</v>
      </c>
    </row>
    <row r="73" spans="1:7" x14ac:dyDescent="0.3">
      <c r="A73" s="2" t="s">
        <v>55</v>
      </c>
      <c r="B73" s="2">
        <v>14</v>
      </c>
      <c r="C73" s="2" t="s">
        <v>11</v>
      </c>
      <c r="D73" s="2">
        <v>200000</v>
      </c>
      <c r="E73" s="2" t="s">
        <v>12</v>
      </c>
      <c r="F73">
        <v>0.18421052631578899</v>
      </c>
      <c r="G73" s="2">
        <v>48</v>
      </c>
    </row>
    <row r="74" spans="1:7" x14ac:dyDescent="0.3">
      <c r="A74" s="2" t="s">
        <v>55</v>
      </c>
      <c r="B74" s="2">
        <v>14</v>
      </c>
      <c r="C74" s="2" t="s">
        <v>8</v>
      </c>
      <c r="D74" s="2">
        <v>100</v>
      </c>
      <c r="E74" s="2" t="s">
        <v>12</v>
      </c>
      <c r="F74">
        <v>1</v>
      </c>
      <c r="G74" s="2">
        <v>48</v>
      </c>
    </row>
    <row r="75" spans="1:7" x14ac:dyDescent="0.3">
      <c r="A75" s="2" t="s">
        <v>55</v>
      </c>
      <c r="B75" s="2">
        <v>14</v>
      </c>
      <c r="C75" s="2" t="s">
        <v>8</v>
      </c>
      <c r="D75" s="2">
        <v>10000</v>
      </c>
      <c r="E75" s="2" t="s">
        <v>12</v>
      </c>
      <c r="F75">
        <v>0.91463414634146301</v>
      </c>
      <c r="G75" s="2">
        <v>48</v>
      </c>
    </row>
    <row r="76" spans="1:7" x14ac:dyDescent="0.3">
      <c r="A76" s="2" t="s">
        <v>55</v>
      </c>
      <c r="B76" s="2">
        <v>14</v>
      </c>
      <c r="C76" s="2" t="s">
        <v>8</v>
      </c>
      <c r="D76" s="2">
        <v>25000</v>
      </c>
      <c r="E76" s="2" t="s">
        <v>12</v>
      </c>
      <c r="F76">
        <v>0.75609756097560898</v>
      </c>
      <c r="G76" s="2">
        <v>48</v>
      </c>
    </row>
    <row r="77" spans="1:7" x14ac:dyDescent="0.3">
      <c r="A77" s="2" t="s">
        <v>55</v>
      </c>
      <c r="B77" s="2">
        <v>14</v>
      </c>
      <c r="C77" s="2" t="s">
        <v>8</v>
      </c>
      <c r="D77" s="2">
        <v>50000</v>
      </c>
      <c r="E77" s="2" t="s">
        <v>12</v>
      </c>
      <c r="F77">
        <v>0.66666666666666596</v>
      </c>
      <c r="G77" s="2">
        <v>48</v>
      </c>
    </row>
    <row r="78" spans="1:7" x14ac:dyDescent="0.3">
      <c r="A78" s="2" t="s">
        <v>55</v>
      </c>
      <c r="B78" s="2">
        <v>14</v>
      </c>
      <c r="C78" s="2" t="s">
        <v>8</v>
      </c>
      <c r="D78" s="2">
        <v>100000</v>
      </c>
      <c r="E78" s="2" t="s">
        <v>12</v>
      </c>
      <c r="F78">
        <v>0.46747967479674701</v>
      </c>
      <c r="G78" s="2">
        <v>48</v>
      </c>
    </row>
    <row r="79" spans="1:7" x14ac:dyDescent="0.3">
      <c r="A79" s="2" t="s">
        <v>55</v>
      </c>
      <c r="B79" s="2">
        <v>14</v>
      </c>
      <c r="C79" s="2" t="s">
        <v>8</v>
      </c>
      <c r="D79" s="2">
        <v>200000</v>
      </c>
      <c r="E79" s="2" t="s">
        <v>12</v>
      </c>
      <c r="F79">
        <v>0.34552845528455201</v>
      </c>
      <c r="G79" s="2">
        <v>48</v>
      </c>
    </row>
    <row r="80" spans="1:7" x14ac:dyDescent="0.3">
      <c r="A80" s="2" t="s">
        <v>55</v>
      </c>
      <c r="B80" s="2">
        <v>14</v>
      </c>
      <c r="C80" s="2" t="s">
        <v>11</v>
      </c>
      <c r="D80" s="2">
        <v>100</v>
      </c>
      <c r="E80" s="2" t="s">
        <v>12</v>
      </c>
      <c r="F80">
        <v>0.96250000000000002</v>
      </c>
      <c r="G80" s="2">
        <v>48</v>
      </c>
    </row>
    <row r="81" spans="1:8" x14ac:dyDescent="0.3">
      <c r="A81" s="2" t="s">
        <v>55</v>
      </c>
      <c r="B81" s="2">
        <v>14</v>
      </c>
      <c r="C81" s="2" t="s">
        <v>11</v>
      </c>
      <c r="D81" s="2">
        <v>10000</v>
      </c>
      <c r="E81" s="2" t="s">
        <v>12</v>
      </c>
      <c r="F81">
        <v>0.94166666666666599</v>
      </c>
      <c r="G81" s="2">
        <v>48</v>
      </c>
    </row>
    <row r="82" spans="1:8" x14ac:dyDescent="0.3">
      <c r="A82" s="2" t="s">
        <v>55</v>
      </c>
      <c r="B82" s="2">
        <v>14</v>
      </c>
      <c r="C82" s="2" t="s">
        <v>11</v>
      </c>
      <c r="D82" s="2">
        <v>25000</v>
      </c>
      <c r="E82" s="2" t="s">
        <v>12</v>
      </c>
      <c r="F82">
        <v>0.78749999999999998</v>
      </c>
      <c r="G82" s="2">
        <v>48</v>
      </c>
    </row>
    <row r="83" spans="1:8" x14ac:dyDescent="0.3">
      <c r="A83" s="2" t="s">
        <v>55</v>
      </c>
      <c r="B83" s="2">
        <v>14</v>
      </c>
      <c r="C83" s="2" t="s">
        <v>11</v>
      </c>
      <c r="D83" s="2">
        <v>50000</v>
      </c>
      <c r="E83" s="2" t="s">
        <v>12</v>
      </c>
      <c r="F83">
        <v>0.52916666666666601</v>
      </c>
      <c r="G83" s="2">
        <v>48</v>
      </c>
    </row>
    <row r="84" spans="1:8" x14ac:dyDescent="0.3">
      <c r="A84" s="2" t="s">
        <v>55</v>
      </c>
      <c r="B84" s="2">
        <v>14</v>
      </c>
      <c r="C84" s="2" t="s">
        <v>11</v>
      </c>
      <c r="D84" s="2">
        <v>100000</v>
      </c>
      <c r="E84" s="2" t="s">
        <v>12</v>
      </c>
      <c r="F84">
        <v>0.34166666666666601</v>
      </c>
      <c r="G84" s="2">
        <v>48</v>
      </c>
    </row>
    <row r="85" spans="1:8" s="1" customFormat="1" ht="13.9" thickBot="1" x14ac:dyDescent="0.35">
      <c r="A85" s="3" t="s">
        <v>55</v>
      </c>
      <c r="B85" s="3">
        <v>14</v>
      </c>
      <c r="C85" s="3" t="s">
        <v>11</v>
      </c>
      <c r="D85" s="3">
        <v>200000</v>
      </c>
      <c r="E85" s="3" t="s">
        <v>12</v>
      </c>
      <c r="F85" s="1">
        <v>0.22083333333333299</v>
      </c>
      <c r="G85" s="3">
        <v>48</v>
      </c>
      <c r="H85"/>
    </row>
    <row r="86" spans="1:8" x14ac:dyDescent="0.3">
      <c r="A86" t="s">
        <v>56</v>
      </c>
      <c r="B86" s="2">
        <v>7</v>
      </c>
      <c r="C86" s="2" t="s">
        <v>11</v>
      </c>
      <c r="D86" s="2">
        <v>2500</v>
      </c>
      <c r="E86" s="2" t="s">
        <v>12</v>
      </c>
      <c r="F86">
        <v>0.94464944649446403</v>
      </c>
      <c r="G86" s="2">
        <v>49</v>
      </c>
    </row>
    <row r="87" spans="1:8" x14ac:dyDescent="0.3">
      <c r="A87" t="s">
        <v>56</v>
      </c>
      <c r="B87" s="2">
        <v>7</v>
      </c>
      <c r="C87" s="2" t="s">
        <v>11</v>
      </c>
      <c r="D87" s="2">
        <v>5000</v>
      </c>
      <c r="E87" s="2" t="s">
        <v>12</v>
      </c>
      <c r="F87">
        <v>0.867158671586715</v>
      </c>
      <c r="G87" s="2">
        <v>49</v>
      </c>
    </row>
    <row r="88" spans="1:8" x14ac:dyDescent="0.3">
      <c r="A88" t="s">
        <v>56</v>
      </c>
      <c r="B88" s="2">
        <v>7</v>
      </c>
      <c r="C88" s="2" t="s">
        <v>11</v>
      </c>
      <c r="D88" s="2">
        <v>10000</v>
      </c>
      <c r="E88" s="2" t="s">
        <v>12</v>
      </c>
      <c r="F88">
        <v>0.76383763837638297</v>
      </c>
      <c r="G88" s="2">
        <v>49</v>
      </c>
    </row>
    <row r="89" spans="1:8" x14ac:dyDescent="0.3">
      <c r="A89" t="s">
        <v>56</v>
      </c>
      <c r="B89" s="2">
        <v>7</v>
      </c>
      <c r="C89" s="2" t="s">
        <v>8</v>
      </c>
      <c r="D89" s="2">
        <v>2500</v>
      </c>
      <c r="E89" s="2" t="s">
        <v>12</v>
      </c>
      <c r="F89">
        <v>0.93962264150943398</v>
      </c>
      <c r="G89" s="2">
        <v>49</v>
      </c>
    </row>
    <row r="90" spans="1:8" x14ac:dyDescent="0.3">
      <c r="A90" t="s">
        <v>56</v>
      </c>
      <c r="B90" s="2">
        <v>7</v>
      </c>
      <c r="C90" s="2" t="s">
        <v>8</v>
      </c>
      <c r="D90" s="2">
        <v>5000</v>
      </c>
      <c r="E90" s="2" t="s">
        <v>12</v>
      </c>
      <c r="F90">
        <v>0.83773584905660303</v>
      </c>
      <c r="G90" s="2">
        <v>49</v>
      </c>
    </row>
    <row r="91" spans="1:8" x14ac:dyDescent="0.3">
      <c r="A91" t="s">
        <v>56</v>
      </c>
      <c r="B91" s="2">
        <v>7</v>
      </c>
      <c r="C91" s="2" t="s">
        <v>8</v>
      </c>
      <c r="D91" s="2">
        <v>10000</v>
      </c>
      <c r="E91" s="2" t="s">
        <v>12</v>
      </c>
      <c r="F91">
        <v>0.73962264150943302</v>
      </c>
      <c r="G91" s="2">
        <v>49</v>
      </c>
    </row>
    <row r="92" spans="1:8" x14ac:dyDescent="0.3">
      <c r="A92" t="s">
        <v>56</v>
      </c>
      <c r="B92" s="2">
        <v>7</v>
      </c>
      <c r="C92" s="2" t="s">
        <v>8</v>
      </c>
      <c r="D92" s="2">
        <v>2500</v>
      </c>
      <c r="E92" s="2" t="s">
        <v>9</v>
      </c>
      <c r="F92">
        <v>0.92941176470588205</v>
      </c>
      <c r="G92" s="2">
        <v>49</v>
      </c>
    </row>
    <row r="93" spans="1:8" x14ac:dyDescent="0.3">
      <c r="A93" t="s">
        <v>56</v>
      </c>
      <c r="B93" s="2">
        <v>7</v>
      </c>
      <c r="C93" s="2" t="s">
        <v>8</v>
      </c>
      <c r="D93" s="2">
        <v>5000</v>
      </c>
      <c r="E93" s="2" t="s">
        <v>9</v>
      </c>
      <c r="F93">
        <v>0.71764705882352897</v>
      </c>
      <c r="G93" s="2">
        <v>49</v>
      </c>
    </row>
    <row r="94" spans="1:8" x14ac:dyDescent="0.3">
      <c r="A94" t="s">
        <v>56</v>
      </c>
      <c r="B94" s="2">
        <v>7</v>
      </c>
      <c r="C94" s="2" t="s">
        <v>8</v>
      </c>
      <c r="D94" s="2">
        <v>10000</v>
      </c>
      <c r="E94" s="2" t="s">
        <v>9</v>
      </c>
      <c r="F94">
        <v>0.662745098039215</v>
      </c>
      <c r="G94" s="2">
        <v>49</v>
      </c>
    </row>
    <row r="95" spans="1:8" x14ac:dyDescent="0.3">
      <c r="A95" t="s">
        <v>56</v>
      </c>
      <c r="B95" s="2">
        <v>7</v>
      </c>
      <c r="C95" s="2" t="s">
        <v>8</v>
      </c>
      <c r="D95" s="2">
        <v>2500</v>
      </c>
      <c r="E95" s="2" t="s">
        <v>10</v>
      </c>
      <c r="F95">
        <v>1.3092783505154599</v>
      </c>
      <c r="G95" s="2">
        <v>49</v>
      </c>
    </row>
    <row r="96" spans="1:8" x14ac:dyDescent="0.3">
      <c r="A96" t="s">
        <v>56</v>
      </c>
      <c r="B96" s="2">
        <v>7</v>
      </c>
      <c r="C96" s="2" t="s">
        <v>8</v>
      </c>
      <c r="D96" s="2">
        <v>5000</v>
      </c>
      <c r="E96" s="2" t="s">
        <v>10</v>
      </c>
      <c r="F96">
        <v>1.7938144329896899</v>
      </c>
      <c r="G96" s="2">
        <v>49</v>
      </c>
    </row>
    <row r="97" spans="1:8" s="1" customFormat="1" ht="13.9" thickBot="1" x14ac:dyDescent="0.35">
      <c r="A97" s="1" t="s">
        <v>56</v>
      </c>
      <c r="B97" s="3">
        <v>7</v>
      </c>
      <c r="C97" s="3" t="s">
        <v>8</v>
      </c>
      <c r="D97" s="3">
        <v>10000</v>
      </c>
      <c r="E97" s="3" t="s">
        <v>10</v>
      </c>
      <c r="F97" s="1">
        <v>2.4536082474226801</v>
      </c>
      <c r="G97" s="3">
        <v>49</v>
      </c>
      <c r="H97"/>
    </row>
    <row r="98" spans="1:8" x14ac:dyDescent="0.3">
      <c r="A98" t="s">
        <v>57</v>
      </c>
      <c r="B98" s="2">
        <v>7</v>
      </c>
      <c r="C98" s="2" t="s">
        <v>8</v>
      </c>
      <c r="D98" s="2">
        <v>500</v>
      </c>
      <c r="E98" s="2" t="s">
        <v>12</v>
      </c>
      <c r="F98">
        <f>20.6/19.8</f>
        <v>1.0404040404040404</v>
      </c>
      <c r="G98" s="2">
        <v>50</v>
      </c>
    </row>
    <row r="99" spans="1:8" x14ac:dyDescent="0.3">
      <c r="A99" t="s">
        <v>57</v>
      </c>
      <c r="B99" s="2">
        <v>7</v>
      </c>
      <c r="C99" s="2" t="s">
        <v>8</v>
      </c>
      <c r="D99" s="2">
        <v>5000</v>
      </c>
      <c r="E99" s="2" t="s">
        <v>12</v>
      </c>
      <c r="F99">
        <f>186/198</f>
        <v>0.93939393939393945</v>
      </c>
      <c r="G99" s="2">
        <v>50</v>
      </c>
    </row>
    <row r="100" spans="1:8" x14ac:dyDescent="0.3">
      <c r="A100" t="s">
        <v>57</v>
      </c>
      <c r="B100" s="2">
        <v>7</v>
      </c>
      <c r="C100" s="2" t="s">
        <v>8</v>
      </c>
      <c r="D100" s="2">
        <v>50000</v>
      </c>
      <c r="E100" s="2" t="s">
        <v>12</v>
      </c>
      <c r="F100">
        <f>116/198</f>
        <v>0.58585858585858586</v>
      </c>
      <c r="G100" s="2">
        <v>50</v>
      </c>
    </row>
    <row r="101" spans="1:8" x14ac:dyDescent="0.3">
      <c r="A101" t="s">
        <v>57</v>
      </c>
      <c r="B101" s="2">
        <v>7</v>
      </c>
      <c r="C101" s="2" t="s">
        <v>8</v>
      </c>
      <c r="D101" s="2">
        <v>500000</v>
      </c>
      <c r="E101" s="2" t="s">
        <v>12</v>
      </c>
      <c r="F101">
        <f>81/198</f>
        <v>0.40909090909090912</v>
      </c>
      <c r="G101" s="2">
        <v>50</v>
      </c>
    </row>
    <row r="102" spans="1:8" x14ac:dyDescent="0.3">
      <c r="A102" t="s">
        <v>57</v>
      </c>
      <c r="B102" s="2">
        <v>7</v>
      </c>
      <c r="C102" s="2" t="s">
        <v>8</v>
      </c>
      <c r="D102" s="2">
        <v>500</v>
      </c>
      <c r="E102" s="2" t="s">
        <v>12</v>
      </c>
      <c r="F102">
        <f>251/247</f>
        <v>1.0161943319838056</v>
      </c>
      <c r="G102" s="2">
        <v>50</v>
      </c>
    </row>
    <row r="103" spans="1:8" x14ac:dyDescent="0.3">
      <c r="A103" t="s">
        <v>57</v>
      </c>
      <c r="B103" s="2">
        <v>7</v>
      </c>
      <c r="C103" s="2" t="s">
        <v>8</v>
      </c>
      <c r="D103" s="2">
        <v>5000</v>
      </c>
      <c r="E103" s="2" t="s">
        <v>12</v>
      </c>
      <c r="F103">
        <f>239/247</f>
        <v>0.96761133603238869</v>
      </c>
      <c r="G103" s="2">
        <v>50</v>
      </c>
    </row>
    <row r="104" spans="1:8" x14ac:dyDescent="0.3">
      <c r="A104" t="s">
        <v>57</v>
      </c>
      <c r="B104" s="2">
        <v>7</v>
      </c>
      <c r="C104" s="2" t="s">
        <v>8</v>
      </c>
      <c r="D104" s="2">
        <v>50000</v>
      </c>
      <c r="E104" s="2" t="s">
        <v>12</v>
      </c>
      <c r="F104">
        <f>214/247</f>
        <v>0.8663967611336032</v>
      </c>
      <c r="G104" s="2">
        <v>50</v>
      </c>
    </row>
    <row r="105" spans="1:8" x14ac:dyDescent="0.3">
      <c r="A105" t="s">
        <v>57</v>
      </c>
      <c r="B105" s="2">
        <v>7</v>
      </c>
      <c r="C105" s="2" t="s">
        <v>8</v>
      </c>
      <c r="D105" s="2">
        <v>500000</v>
      </c>
      <c r="E105" s="2" t="s">
        <v>12</v>
      </c>
      <c r="F105">
        <f>196/247</f>
        <v>0.79352226720647778</v>
      </c>
      <c r="G105" s="2">
        <v>50</v>
      </c>
    </row>
    <row r="106" spans="1:8" x14ac:dyDescent="0.3">
      <c r="A106" t="s">
        <v>57</v>
      </c>
      <c r="B106" s="2">
        <v>7</v>
      </c>
      <c r="C106" s="2" t="s">
        <v>11</v>
      </c>
      <c r="D106" s="2">
        <v>500</v>
      </c>
      <c r="E106" s="2" t="s">
        <v>12</v>
      </c>
      <c r="F106">
        <f>341/339</f>
        <v>1.0058997050147493</v>
      </c>
      <c r="G106" s="2">
        <v>50</v>
      </c>
    </row>
    <row r="107" spans="1:8" x14ac:dyDescent="0.3">
      <c r="A107" t="s">
        <v>57</v>
      </c>
      <c r="B107" s="2">
        <v>7</v>
      </c>
      <c r="C107" s="2" t="s">
        <v>11</v>
      </c>
      <c r="D107" s="2">
        <v>5000</v>
      </c>
      <c r="E107" s="2" t="s">
        <v>12</v>
      </c>
      <c r="F107">
        <f>324/339</f>
        <v>0.95575221238938057</v>
      </c>
      <c r="G107" s="2">
        <v>50</v>
      </c>
    </row>
    <row r="108" spans="1:8" x14ac:dyDescent="0.3">
      <c r="A108" t="s">
        <v>57</v>
      </c>
      <c r="B108" s="2">
        <v>7</v>
      </c>
      <c r="C108" s="2" t="s">
        <v>11</v>
      </c>
      <c r="D108" s="2">
        <v>50000</v>
      </c>
      <c r="E108" s="2" t="s">
        <v>12</v>
      </c>
      <c r="F108">
        <f>279/339</f>
        <v>0.82300884955752207</v>
      </c>
      <c r="G108" s="2">
        <v>50</v>
      </c>
    </row>
    <row r="109" spans="1:8" x14ac:dyDescent="0.3">
      <c r="A109" t="s">
        <v>57</v>
      </c>
      <c r="B109" s="2">
        <v>7</v>
      </c>
      <c r="C109" s="2" t="s">
        <v>11</v>
      </c>
      <c r="D109" s="2">
        <v>500000</v>
      </c>
      <c r="E109" s="2" t="s">
        <v>12</v>
      </c>
      <c r="F109">
        <f>247/339</f>
        <v>0.72861356932153387</v>
      </c>
      <c r="G109" s="2">
        <v>50</v>
      </c>
    </row>
    <row r="110" spans="1:8" x14ac:dyDescent="0.3">
      <c r="A110" t="s">
        <v>57</v>
      </c>
      <c r="B110" s="2">
        <v>7</v>
      </c>
      <c r="C110" s="2" t="s">
        <v>11</v>
      </c>
      <c r="D110" s="2">
        <v>500</v>
      </c>
      <c r="E110" s="2" t="s">
        <v>12</v>
      </c>
      <c r="F110">
        <f>223/219</f>
        <v>1.0182648401826484</v>
      </c>
      <c r="G110" s="2">
        <v>50</v>
      </c>
    </row>
    <row r="111" spans="1:8" x14ac:dyDescent="0.3">
      <c r="A111" t="s">
        <v>57</v>
      </c>
      <c r="B111" s="2">
        <v>7</v>
      </c>
      <c r="C111" s="2" t="s">
        <v>11</v>
      </c>
      <c r="D111" s="2">
        <v>5000</v>
      </c>
      <c r="E111" s="2" t="s">
        <v>12</v>
      </c>
      <c r="F111">
        <f>181/219</f>
        <v>0.82648401826484019</v>
      </c>
      <c r="G111" s="2">
        <v>50</v>
      </c>
    </row>
    <row r="112" spans="1:8" x14ac:dyDescent="0.3">
      <c r="A112" t="s">
        <v>57</v>
      </c>
      <c r="B112" s="2">
        <v>7</v>
      </c>
      <c r="C112" s="2" t="s">
        <v>11</v>
      </c>
      <c r="D112" s="2">
        <v>50000</v>
      </c>
      <c r="E112" s="2" t="s">
        <v>12</v>
      </c>
      <c r="F112">
        <f>94/219</f>
        <v>0.42922374429223742</v>
      </c>
      <c r="G112" s="2">
        <v>50</v>
      </c>
    </row>
    <row r="113" spans="1:7" x14ac:dyDescent="0.3">
      <c r="A113" t="s">
        <v>57</v>
      </c>
      <c r="B113" s="2">
        <v>7</v>
      </c>
      <c r="C113" s="2" t="s">
        <v>11</v>
      </c>
      <c r="D113" s="2">
        <v>500000</v>
      </c>
      <c r="E113" s="2" t="s">
        <v>12</v>
      </c>
      <c r="F113">
        <f>88/219</f>
        <v>0.40182648401826482</v>
      </c>
      <c r="G113" s="2">
        <v>50</v>
      </c>
    </row>
    <row r="114" spans="1:7" x14ac:dyDescent="0.3">
      <c r="A114" t="s">
        <v>57</v>
      </c>
      <c r="B114" s="2">
        <v>7</v>
      </c>
      <c r="C114" s="2" t="s">
        <v>8</v>
      </c>
      <c r="D114" s="2">
        <v>500</v>
      </c>
      <c r="E114" s="2" t="s">
        <v>9</v>
      </c>
      <c r="F114">
        <v>1.00444444444444</v>
      </c>
      <c r="G114" s="2">
        <v>50</v>
      </c>
    </row>
    <row r="115" spans="1:7" x14ac:dyDescent="0.3">
      <c r="A115" t="s">
        <v>57</v>
      </c>
      <c r="B115" s="2">
        <v>7</v>
      </c>
      <c r="C115" s="2" t="s">
        <v>8</v>
      </c>
      <c r="D115" s="2">
        <v>5000</v>
      </c>
      <c r="E115" s="2" t="s">
        <v>9</v>
      </c>
      <c r="F115">
        <v>0.88888888888888795</v>
      </c>
      <c r="G115" s="2">
        <v>50</v>
      </c>
    </row>
    <row r="116" spans="1:7" x14ac:dyDescent="0.3">
      <c r="A116" t="s">
        <v>57</v>
      </c>
      <c r="B116" s="2">
        <v>7</v>
      </c>
      <c r="C116" s="2" t="s">
        <v>8</v>
      </c>
      <c r="D116" s="2">
        <v>50000</v>
      </c>
      <c r="E116" s="2" t="s">
        <v>9</v>
      </c>
      <c r="F116">
        <v>0.844444444444444</v>
      </c>
      <c r="G116" s="2">
        <v>50</v>
      </c>
    </row>
    <row r="117" spans="1:7" x14ac:dyDescent="0.3">
      <c r="A117" t="s">
        <v>57</v>
      </c>
      <c r="B117" s="2">
        <v>7</v>
      </c>
      <c r="C117" s="2" t="s">
        <v>8</v>
      </c>
      <c r="D117" s="2">
        <v>500000</v>
      </c>
      <c r="E117" s="2" t="s">
        <v>9</v>
      </c>
      <c r="F117">
        <v>0.76888888888888796</v>
      </c>
      <c r="G117" s="2">
        <v>50</v>
      </c>
    </row>
    <row r="118" spans="1:7" x14ac:dyDescent="0.3">
      <c r="A118" t="s">
        <v>57</v>
      </c>
      <c r="B118" s="2">
        <v>7</v>
      </c>
      <c r="C118" s="2" t="s">
        <v>8</v>
      </c>
      <c r="D118" s="2">
        <v>500</v>
      </c>
      <c r="E118" s="2" t="s">
        <v>9</v>
      </c>
      <c r="F118">
        <v>0.92207792207792205</v>
      </c>
      <c r="G118" s="2">
        <v>50</v>
      </c>
    </row>
    <row r="119" spans="1:7" x14ac:dyDescent="0.3">
      <c r="A119" t="s">
        <v>57</v>
      </c>
      <c r="B119" s="2">
        <v>7</v>
      </c>
      <c r="C119" s="2" t="s">
        <v>8</v>
      </c>
      <c r="D119" s="2">
        <v>5000</v>
      </c>
      <c r="E119" s="2" t="s">
        <v>9</v>
      </c>
      <c r="F119">
        <v>0.74025974025973995</v>
      </c>
      <c r="G119" s="2">
        <v>50</v>
      </c>
    </row>
    <row r="120" spans="1:7" x14ac:dyDescent="0.3">
      <c r="A120" t="s">
        <v>57</v>
      </c>
      <c r="B120" s="2">
        <v>7</v>
      </c>
      <c r="C120" s="2" t="s">
        <v>8</v>
      </c>
      <c r="D120" s="2">
        <v>50000</v>
      </c>
      <c r="E120" s="2" t="s">
        <v>9</v>
      </c>
      <c r="F120">
        <v>0.51948051948051899</v>
      </c>
      <c r="G120" s="2">
        <v>50</v>
      </c>
    </row>
    <row r="121" spans="1:7" x14ac:dyDescent="0.3">
      <c r="A121" t="s">
        <v>57</v>
      </c>
      <c r="B121" s="2">
        <v>7</v>
      </c>
      <c r="C121" s="2" t="s">
        <v>8</v>
      </c>
      <c r="D121" s="2">
        <v>500000</v>
      </c>
      <c r="E121" s="2" t="s">
        <v>9</v>
      </c>
      <c r="F121">
        <v>0.42857142857142799</v>
      </c>
      <c r="G121" s="2">
        <v>50</v>
      </c>
    </row>
    <row r="122" spans="1:7" x14ac:dyDescent="0.3">
      <c r="A122" t="s">
        <v>57</v>
      </c>
      <c r="B122" s="2">
        <v>7</v>
      </c>
      <c r="C122" s="2" t="s">
        <v>8</v>
      </c>
      <c r="D122" s="2">
        <v>500</v>
      </c>
      <c r="E122" s="2" t="s">
        <v>10</v>
      </c>
      <c r="F122">
        <v>0.83582089552238803</v>
      </c>
      <c r="G122" s="2">
        <v>50</v>
      </c>
    </row>
    <row r="123" spans="1:7" x14ac:dyDescent="0.3">
      <c r="A123" t="s">
        <v>57</v>
      </c>
      <c r="B123" s="2">
        <v>7</v>
      </c>
      <c r="C123" s="2" t="s">
        <v>8</v>
      </c>
      <c r="D123" s="2">
        <v>5000</v>
      </c>
      <c r="E123" s="2" t="s">
        <v>10</v>
      </c>
      <c r="F123">
        <v>0.86567164179104406</v>
      </c>
      <c r="G123" s="2">
        <v>50</v>
      </c>
    </row>
    <row r="124" spans="1:7" x14ac:dyDescent="0.3">
      <c r="A124" t="s">
        <v>57</v>
      </c>
      <c r="B124" s="2">
        <v>7</v>
      </c>
      <c r="C124" s="2" t="s">
        <v>8</v>
      </c>
      <c r="D124" s="2">
        <v>50000</v>
      </c>
      <c r="E124" s="2" t="s">
        <v>10</v>
      </c>
      <c r="F124">
        <v>1.31343283582089</v>
      </c>
      <c r="G124" s="2">
        <v>50</v>
      </c>
    </row>
    <row r="125" spans="1:7" x14ac:dyDescent="0.3">
      <c r="A125" t="s">
        <v>57</v>
      </c>
      <c r="B125" s="2">
        <v>7</v>
      </c>
      <c r="C125" s="2" t="s">
        <v>8</v>
      </c>
      <c r="D125" s="2">
        <v>500000</v>
      </c>
      <c r="E125" s="2" t="s">
        <v>10</v>
      </c>
      <c r="F125">
        <v>2.0447761194029801</v>
      </c>
      <c r="G125" s="2">
        <v>50</v>
      </c>
    </row>
    <row r="126" spans="1:7" x14ac:dyDescent="0.3">
      <c r="A126" t="s">
        <v>57</v>
      </c>
      <c r="B126" s="2">
        <v>7</v>
      </c>
      <c r="C126" s="2" t="s">
        <v>8</v>
      </c>
      <c r="D126" s="2">
        <v>500</v>
      </c>
      <c r="E126" s="2" t="s">
        <v>10</v>
      </c>
      <c r="F126">
        <v>0.81967213114754101</v>
      </c>
      <c r="G126" s="2">
        <v>50</v>
      </c>
    </row>
    <row r="127" spans="1:7" x14ac:dyDescent="0.3">
      <c r="A127" t="s">
        <v>57</v>
      </c>
      <c r="B127" s="2">
        <v>7</v>
      </c>
      <c r="C127" s="2" t="s">
        <v>8</v>
      </c>
      <c r="D127" s="2">
        <v>5000</v>
      </c>
      <c r="E127" s="2" t="s">
        <v>10</v>
      </c>
      <c r="F127">
        <v>1.2459016393442599</v>
      </c>
      <c r="G127" s="2">
        <v>50</v>
      </c>
    </row>
    <row r="128" spans="1:7" x14ac:dyDescent="0.3">
      <c r="A128" t="s">
        <v>57</v>
      </c>
      <c r="B128" s="2">
        <v>7</v>
      </c>
      <c r="C128" s="2" t="s">
        <v>8</v>
      </c>
      <c r="D128" s="2">
        <v>50000</v>
      </c>
      <c r="E128" s="2" t="s">
        <v>10</v>
      </c>
      <c r="F128">
        <v>2.3442622950819598</v>
      </c>
      <c r="G128" s="2">
        <v>50</v>
      </c>
    </row>
    <row r="129" spans="1:8" x14ac:dyDescent="0.3">
      <c r="A129" t="s">
        <v>57</v>
      </c>
      <c r="B129" s="2">
        <v>7</v>
      </c>
      <c r="C129" s="2" t="s">
        <v>8</v>
      </c>
      <c r="D129" s="2">
        <v>500000</v>
      </c>
      <c r="E129" s="2" t="s">
        <v>10</v>
      </c>
      <c r="F129">
        <v>1.6721311475409799</v>
      </c>
      <c r="G129" s="2">
        <v>50</v>
      </c>
    </row>
    <row r="130" spans="1:8" x14ac:dyDescent="0.3">
      <c r="A130" t="s">
        <v>57</v>
      </c>
      <c r="B130" s="2">
        <v>7</v>
      </c>
      <c r="C130" s="2" t="s">
        <v>8</v>
      </c>
      <c r="D130" s="2">
        <v>500</v>
      </c>
      <c r="E130" s="2" t="s">
        <v>10</v>
      </c>
      <c r="F130">
        <v>0.89156626506024095</v>
      </c>
      <c r="G130" s="2">
        <v>50</v>
      </c>
    </row>
    <row r="131" spans="1:8" x14ac:dyDescent="0.3">
      <c r="A131" t="s">
        <v>57</v>
      </c>
      <c r="B131" s="2">
        <v>7</v>
      </c>
      <c r="C131" s="2" t="s">
        <v>8</v>
      </c>
      <c r="D131" s="2">
        <v>5000</v>
      </c>
      <c r="E131" s="2" t="s">
        <v>10</v>
      </c>
      <c r="F131">
        <v>0.90361445783132499</v>
      </c>
      <c r="G131" s="2">
        <v>50</v>
      </c>
    </row>
    <row r="132" spans="1:8" x14ac:dyDescent="0.3">
      <c r="A132" t="s">
        <v>57</v>
      </c>
      <c r="B132" s="2">
        <v>7</v>
      </c>
      <c r="C132" s="2" t="s">
        <v>8</v>
      </c>
      <c r="D132" s="2">
        <v>50000</v>
      </c>
      <c r="E132" s="2" t="s">
        <v>10</v>
      </c>
      <c r="F132">
        <v>1.3253012048192701</v>
      </c>
      <c r="G132" s="2">
        <v>50</v>
      </c>
    </row>
    <row r="133" spans="1:8" s="1" customFormat="1" ht="13.9" thickBot="1" x14ac:dyDescent="0.35">
      <c r="A133" s="1" t="s">
        <v>57</v>
      </c>
      <c r="B133" s="3">
        <v>7</v>
      </c>
      <c r="C133" s="3" t="s">
        <v>8</v>
      </c>
      <c r="D133" s="3">
        <v>500000</v>
      </c>
      <c r="E133" s="3" t="s">
        <v>10</v>
      </c>
      <c r="F133" s="1">
        <v>1.0361445783132499</v>
      </c>
      <c r="G133" s="3">
        <v>50</v>
      </c>
      <c r="H133"/>
    </row>
    <row r="134" spans="1:8" x14ac:dyDescent="0.3">
      <c r="A134" t="s">
        <v>61</v>
      </c>
      <c r="B134">
        <v>5</v>
      </c>
      <c r="C134" s="2" t="s">
        <v>11</v>
      </c>
      <c r="D134" s="2">
        <v>100</v>
      </c>
      <c r="E134" s="2" t="s">
        <v>12</v>
      </c>
      <c r="F134">
        <f>198/170</f>
        <v>1.1647058823529413</v>
      </c>
      <c r="G134" s="2">
        <v>51</v>
      </c>
    </row>
    <row r="135" spans="1:8" x14ac:dyDescent="0.3">
      <c r="A135" t="s">
        <v>61</v>
      </c>
      <c r="B135">
        <v>5</v>
      </c>
      <c r="C135" s="2" t="s">
        <v>11</v>
      </c>
      <c r="D135" s="2">
        <v>200</v>
      </c>
      <c r="E135" s="2" t="s">
        <v>12</v>
      </c>
      <c r="F135">
        <f>77/170</f>
        <v>0.45294117647058824</v>
      </c>
      <c r="G135" s="2">
        <v>51</v>
      </c>
    </row>
    <row r="136" spans="1:8" x14ac:dyDescent="0.3">
      <c r="A136" t="s">
        <v>61</v>
      </c>
      <c r="B136">
        <v>5</v>
      </c>
      <c r="C136" s="2" t="s">
        <v>11</v>
      </c>
      <c r="D136" s="2">
        <v>400</v>
      </c>
      <c r="E136" s="2" t="s">
        <v>12</v>
      </c>
      <c r="F136">
        <f>75/170</f>
        <v>0.44117647058823528</v>
      </c>
      <c r="G136" s="2">
        <v>51</v>
      </c>
    </row>
    <row r="137" spans="1:8" x14ac:dyDescent="0.3">
      <c r="A137" t="s">
        <v>61</v>
      </c>
      <c r="B137">
        <v>5</v>
      </c>
      <c r="C137" s="2" t="s">
        <v>11</v>
      </c>
      <c r="D137" s="2">
        <v>600</v>
      </c>
      <c r="E137" s="2" t="s">
        <v>12</v>
      </c>
      <c r="F137">
        <f>67/170</f>
        <v>0.39411764705882352</v>
      </c>
      <c r="G137" s="2">
        <v>51</v>
      </c>
    </row>
    <row r="138" spans="1:8" x14ac:dyDescent="0.3">
      <c r="A138" t="s">
        <v>61</v>
      </c>
      <c r="B138">
        <v>5</v>
      </c>
      <c r="C138" s="2" t="s">
        <v>11</v>
      </c>
      <c r="D138" s="2">
        <v>800</v>
      </c>
      <c r="E138" s="2" t="s">
        <v>12</v>
      </c>
      <c r="F138">
        <f>56/170</f>
        <v>0.32941176470588235</v>
      </c>
      <c r="G138" s="2">
        <v>51</v>
      </c>
    </row>
    <row r="139" spans="1:8" x14ac:dyDescent="0.3">
      <c r="A139" t="s">
        <v>61</v>
      </c>
      <c r="B139">
        <v>5</v>
      </c>
      <c r="C139" s="2" t="s">
        <v>11</v>
      </c>
      <c r="D139" s="2">
        <v>1200</v>
      </c>
      <c r="E139" s="2" t="s">
        <v>12</v>
      </c>
      <c r="F139">
        <f>53/170</f>
        <v>0.31176470588235294</v>
      </c>
      <c r="G139" s="2">
        <v>51</v>
      </c>
    </row>
    <row r="140" spans="1:8" x14ac:dyDescent="0.3">
      <c r="A140" t="s">
        <v>61</v>
      </c>
      <c r="B140">
        <v>5</v>
      </c>
      <c r="C140" s="2" t="s">
        <v>11</v>
      </c>
      <c r="D140" s="2">
        <v>2000</v>
      </c>
      <c r="E140" s="2" t="s">
        <v>12</v>
      </c>
      <c r="F140">
        <f>48/170</f>
        <v>0.28235294117647058</v>
      </c>
      <c r="G140" s="2">
        <v>51</v>
      </c>
    </row>
    <row r="141" spans="1:8" x14ac:dyDescent="0.3">
      <c r="A141" t="s">
        <v>61</v>
      </c>
      <c r="B141">
        <v>5</v>
      </c>
      <c r="C141" s="2" t="s">
        <v>11</v>
      </c>
      <c r="D141" s="2">
        <v>3000</v>
      </c>
      <c r="E141" s="2" t="s">
        <v>12</v>
      </c>
      <c r="F141">
        <f>44/170</f>
        <v>0.25882352941176473</v>
      </c>
      <c r="G141" s="2">
        <v>51</v>
      </c>
    </row>
    <row r="142" spans="1:8" x14ac:dyDescent="0.3">
      <c r="A142" t="s">
        <v>61</v>
      </c>
      <c r="B142">
        <v>5</v>
      </c>
      <c r="C142" s="2" t="s">
        <v>11</v>
      </c>
      <c r="D142" s="2">
        <v>5000</v>
      </c>
      <c r="E142" s="2" t="s">
        <v>12</v>
      </c>
      <c r="F142">
        <f>18/170</f>
        <v>0.10588235294117647</v>
      </c>
      <c r="G142" s="2">
        <v>51</v>
      </c>
    </row>
    <row r="143" spans="1:8" x14ac:dyDescent="0.3">
      <c r="A143" t="s">
        <v>61</v>
      </c>
      <c r="B143">
        <v>5</v>
      </c>
      <c r="C143" s="2" t="s">
        <v>11</v>
      </c>
      <c r="D143" s="2">
        <v>10000</v>
      </c>
      <c r="E143" s="2" t="s">
        <v>12</v>
      </c>
      <c r="F143">
        <f>4/170</f>
        <v>2.3529411764705882E-2</v>
      </c>
      <c r="G143" s="2">
        <v>51</v>
      </c>
    </row>
    <row r="144" spans="1:8" x14ac:dyDescent="0.3">
      <c r="A144" t="s">
        <v>61</v>
      </c>
      <c r="B144">
        <v>5</v>
      </c>
      <c r="C144" s="2" t="s">
        <v>8</v>
      </c>
      <c r="D144" s="2">
        <v>100</v>
      </c>
      <c r="E144" s="2" t="s">
        <v>12</v>
      </c>
      <c r="F144">
        <f>190/196</f>
        <v>0.96938775510204078</v>
      </c>
      <c r="G144" s="2">
        <v>51</v>
      </c>
    </row>
    <row r="145" spans="1:7" x14ac:dyDescent="0.3">
      <c r="A145" t="s">
        <v>61</v>
      </c>
      <c r="B145">
        <v>5</v>
      </c>
      <c r="C145" s="2" t="s">
        <v>8</v>
      </c>
      <c r="D145" s="2">
        <v>200</v>
      </c>
      <c r="E145" s="2" t="s">
        <v>12</v>
      </c>
      <c r="F145">
        <f>133/196</f>
        <v>0.6785714285714286</v>
      </c>
      <c r="G145" s="2">
        <v>51</v>
      </c>
    </row>
    <row r="146" spans="1:7" x14ac:dyDescent="0.3">
      <c r="A146" t="s">
        <v>61</v>
      </c>
      <c r="B146">
        <v>5</v>
      </c>
      <c r="C146" s="2" t="s">
        <v>8</v>
      </c>
      <c r="D146" s="2">
        <v>400</v>
      </c>
      <c r="E146" s="2" t="s">
        <v>12</v>
      </c>
      <c r="F146">
        <f>127/196</f>
        <v>0.64795918367346939</v>
      </c>
      <c r="G146" s="2">
        <v>51</v>
      </c>
    </row>
    <row r="147" spans="1:7" x14ac:dyDescent="0.3">
      <c r="A147" t="s">
        <v>61</v>
      </c>
      <c r="B147">
        <v>5</v>
      </c>
      <c r="C147" s="2" t="s">
        <v>8</v>
      </c>
      <c r="D147" s="2">
        <v>600</v>
      </c>
      <c r="E147" s="2" t="s">
        <v>12</v>
      </c>
      <c r="F147">
        <f>115/196</f>
        <v>0.58673469387755106</v>
      </c>
      <c r="G147" s="2">
        <v>51</v>
      </c>
    </row>
    <row r="148" spans="1:7" x14ac:dyDescent="0.3">
      <c r="A148" t="s">
        <v>61</v>
      </c>
      <c r="B148">
        <v>5</v>
      </c>
      <c r="C148" s="2" t="s">
        <v>8</v>
      </c>
      <c r="D148" s="2">
        <v>800</v>
      </c>
      <c r="E148" s="2" t="s">
        <v>12</v>
      </c>
      <c r="F148">
        <f>107/196</f>
        <v>0.54591836734693877</v>
      </c>
      <c r="G148" s="2">
        <v>51</v>
      </c>
    </row>
    <row r="149" spans="1:7" x14ac:dyDescent="0.3">
      <c r="A149" t="s">
        <v>61</v>
      </c>
      <c r="B149">
        <v>5</v>
      </c>
      <c r="C149" s="2" t="s">
        <v>8</v>
      </c>
      <c r="D149" s="2">
        <v>1200</v>
      </c>
      <c r="E149" s="2" t="s">
        <v>12</v>
      </c>
      <c r="F149">
        <f>105/196</f>
        <v>0.5357142857142857</v>
      </c>
      <c r="G149" s="2">
        <v>51</v>
      </c>
    </row>
    <row r="150" spans="1:7" x14ac:dyDescent="0.3">
      <c r="A150" t="s">
        <v>61</v>
      </c>
      <c r="B150">
        <v>5</v>
      </c>
      <c r="C150" s="2" t="s">
        <v>8</v>
      </c>
      <c r="D150" s="2">
        <v>2000</v>
      </c>
      <c r="E150" s="2" t="s">
        <v>12</v>
      </c>
      <c r="F150">
        <f>105/196</f>
        <v>0.5357142857142857</v>
      </c>
      <c r="G150" s="2">
        <v>51</v>
      </c>
    </row>
    <row r="151" spans="1:7" x14ac:dyDescent="0.3">
      <c r="A151" t="s">
        <v>61</v>
      </c>
      <c r="B151">
        <v>5</v>
      </c>
      <c r="C151" s="2" t="s">
        <v>8</v>
      </c>
      <c r="D151" s="2">
        <v>3000</v>
      </c>
      <c r="E151" s="2" t="s">
        <v>12</v>
      </c>
      <c r="F151">
        <f>104/196</f>
        <v>0.53061224489795922</v>
      </c>
      <c r="G151" s="2">
        <v>51</v>
      </c>
    </row>
    <row r="152" spans="1:7" x14ac:dyDescent="0.3">
      <c r="A152" t="s">
        <v>61</v>
      </c>
      <c r="B152">
        <v>5</v>
      </c>
      <c r="C152" s="2" t="s">
        <v>8</v>
      </c>
      <c r="D152" s="2">
        <v>5000</v>
      </c>
      <c r="E152" s="2" t="s">
        <v>12</v>
      </c>
      <c r="F152">
        <f>101/196</f>
        <v>0.51530612244897955</v>
      </c>
      <c r="G152" s="2">
        <v>51</v>
      </c>
    </row>
    <row r="153" spans="1:7" x14ac:dyDescent="0.3">
      <c r="A153" t="s">
        <v>61</v>
      </c>
      <c r="B153">
        <v>5</v>
      </c>
      <c r="C153" s="2" t="s">
        <v>8</v>
      </c>
      <c r="D153" s="2">
        <v>10000</v>
      </c>
      <c r="E153" s="2" t="s">
        <v>12</v>
      </c>
      <c r="F153">
        <f>52/196</f>
        <v>0.26530612244897961</v>
      </c>
      <c r="G153" s="2">
        <v>51</v>
      </c>
    </row>
    <row r="154" spans="1:7" x14ac:dyDescent="0.3">
      <c r="A154" t="s">
        <v>58</v>
      </c>
      <c r="B154">
        <v>5</v>
      </c>
      <c r="C154" s="2" t="s">
        <v>8</v>
      </c>
      <c r="D154" s="2">
        <v>30</v>
      </c>
      <c r="E154" s="2" t="s">
        <v>12</v>
      </c>
      <c r="F154">
        <f>116/120</f>
        <v>0.96666666666666667</v>
      </c>
      <c r="G154" s="2">
        <v>51</v>
      </c>
    </row>
    <row r="155" spans="1:7" x14ac:dyDescent="0.3">
      <c r="A155" t="s">
        <v>58</v>
      </c>
      <c r="B155">
        <v>5</v>
      </c>
      <c r="C155" s="2" t="s">
        <v>8</v>
      </c>
      <c r="D155" s="2">
        <v>60</v>
      </c>
      <c r="E155" s="2" t="s">
        <v>12</v>
      </c>
      <c r="F155">
        <f>101/120</f>
        <v>0.84166666666666667</v>
      </c>
      <c r="G155" s="2">
        <v>51</v>
      </c>
    </row>
    <row r="156" spans="1:7" x14ac:dyDescent="0.3">
      <c r="A156" t="s">
        <v>58</v>
      </c>
      <c r="B156">
        <v>5</v>
      </c>
      <c r="C156" s="2" t="s">
        <v>8</v>
      </c>
      <c r="D156" s="2">
        <v>80</v>
      </c>
      <c r="E156" s="2" t="s">
        <v>12</v>
      </c>
      <c r="F156">
        <f>97/120</f>
        <v>0.80833333333333335</v>
      </c>
      <c r="G156" s="2">
        <v>51</v>
      </c>
    </row>
    <row r="157" spans="1:7" x14ac:dyDescent="0.3">
      <c r="A157" t="s">
        <v>58</v>
      </c>
      <c r="B157">
        <v>5</v>
      </c>
      <c r="C157" s="2" t="s">
        <v>8</v>
      </c>
      <c r="D157" s="2">
        <v>100</v>
      </c>
      <c r="E157" s="2" t="s">
        <v>12</v>
      </c>
      <c r="F157">
        <f>83/120</f>
        <v>0.69166666666666665</v>
      </c>
      <c r="G157" s="2">
        <v>51</v>
      </c>
    </row>
    <row r="158" spans="1:7" x14ac:dyDescent="0.3">
      <c r="A158" t="s">
        <v>58</v>
      </c>
      <c r="B158">
        <v>5</v>
      </c>
      <c r="C158" s="2" t="s">
        <v>8</v>
      </c>
      <c r="D158" s="2">
        <v>150</v>
      </c>
      <c r="E158" s="2" t="s">
        <v>12</v>
      </c>
      <c r="F158">
        <f>50/120</f>
        <v>0.41666666666666669</v>
      </c>
      <c r="G158" s="2">
        <v>51</v>
      </c>
    </row>
    <row r="159" spans="1:7" x14ac:dyDescent="0.3">
      <c r="A159" t="s">
        <v>58</v>
      </c>
      <c r="B159">
        <v>5</v>
      </c>
      <c r="C159" s="2" t="s">
        <v>8</v>
      </c>
      <c r="D159" s="2">
        <v>200</v>
      </c>
      <c r="E159" s="2" t="s">
        <v>12</v>
      </c>
      <c r="F159">
        <f>44/120</f>
        <v>0.36666666666666664</v>
      </c>
      <c r="G159" s="2">
        <v>51</v>
      </c>
    </row>
    <row r="160" spans="1:7" x14ac:dyDescent="0.3">
      <c r="A160" t="s">
        <v>58</v>
      </c>
      <c r="B160">
        <v>5</v>
      </c>
      <c r="C160" s="2" t="s">
        <v>8</v>
      </c>
      <c r="D160" s="2">
        <v>500</v>
      </c>
      <c r="E160" s="2" t="s">
        <v>12</v>
      </c>
      <c r="F160">
        <f>36/120</f>
        <v>0.3</v>
      </c>
      <c r="G160" s="2">
        <v>51</v>
      </c>
    </row>
    <row r="161" spans="1:7" x14ac:dyDescent="0.3">
      <c r="A161" t="s">
        <v>58</v>
      </c>
      <c r="B161">
        <v>5</v>
      </c>
      <c r="C161" s="2" t="s">
        <v>8</v>
      </c>
      <c r="D161" s="2">
        <v>800</v>
      </c>
      <c r="E161" s="2" t="s">
        <v>12</v>
      </c>
      <c r="F161">
        <f>28/120</f>
        <v>0.23333333333333334</v>
      </c>
      <c r="G161" s="2">
        <v>51</v>
      </c>
    </row>
    <row r="162" spans="1:7" x14ac:dyDescent="0.3">
      <c r="A162" t="s">
        <v>58</v>
      </c>
      <c r="B162">
        <v>5</v>
      </c>
      <c r="C162" s="2" t="s">
        <v>8</v>
      </c>
      <c r="D162" s="2">
        <v>1000</v>
      </c>
      <c r="E162" s="2" t="s">
        <v>12</v>
      </c>
      <c r="F162">
        <f>18/120</f>
        <v>0.15</v>
      </c>
      <c r="G162" s="2">
        <v>51</v>
      </c>
    </row>
    <row r="163" spans="1:7" x14ac:dyDescent="0.3">
      <c r="A163" t="s">
        <v>58</v>
      </c>
      <c r="B163">
        <v>5</v>
      </c>
      <c r="C163" s="2" t="s">
        <v>8</v>
      </c>
      <c r="D163" s="2">
        <v>2000</v>
      </c>
      <c r="E163" s="2" t="s">
        <v>12</v>
      </c>
      <c r="F163">
        <f>8/120</f>
        <v>6.6666666666666666E-2</v>
      </c>
      <c r="G163" s="2">
        <v>51</v>
      </c>
    </row>
    <row r="164" spans="1:7" x14ac:dyDescent="0.3">
      <c r="A164" t="s">
        <v>59</v>
      </c>
      <c r="B164">
        <v>5</v>
      </c>
      <c r="C164" s="2" t="s">
        <v>8</v>
      </c>
      <c r="D164" s="2">
        <v>5</v>
      </c>
      <c r="E164" s="2" t="s">
        <v>12</v>
      </c>
      <c r="F164">
        <f>121/127</f>
        <v>0.952755905511811</v>
      </c>
      <c r="G164" s="2">
        <v>51</v>
      </c>
    </row>
    <row r="165" spans="1:7" x14ac:dyDescent="0.3">
      <c r="A165" t="s">
        <v>59</v>
      </c>
      <c r="B165">
        <v>5</v>
      </c>
      <c r="C165" s="2" t="s">
        <v>8</v>
      </c>
      <c r="D165" s="2">
        <v>10</v>
      </c>
      <c r="E165" s="2" t="s">
        <v>12</v>
      </c>
      <c r="F165">
        <f>115/127</f>
        <v>0.90551181102362199</v>
      </c>
      <c r="G165" s="2">
        <v>51</v>
      </c>
    </row>
    <row r="166" spans="1:7" x14ac:dyDescent="0.3">
      <c r="A166" t="s">
        <v>59</v>
      </c>
      <c r="B166">
        <v>5</v>
      </c>
      <c r="C166" s="2" t="s">
        <v>8</v>
      </c>
      <c r="D166" s="2">
        <v>20</v>
      </c>
      <c r="E166" s="2" t="s">
        <v>12</v>
      </c>
      <c r="F166">
        <f>104/127</f>
        <v>0.81889763779527558</v>
      </c>
      <c r="G166" s="2">
        <v>51</v>
      </c>
    </row>
    <row r="167" spans="1:7" x14ac:dyDescent="0.3">
      <c r="A167" t="s">
        <v>59</v>
      </c>
      <c r="B167">
        <v>5</v>
      </c>
      <c r="C167" s="2" t="s">
        <v>8</v>
      </c>
      <c r="D167" s="2">
        <v>40</v>
      </c>
      <c r="E167" s="2" t="s">
        <v>12</v>
      </c>
      <c r="F167">
        <f>90/127</f>
        <v>0.70866141732283461</v>
      </c>
      <c r="G167" s="2">
        <v>51</v>
      </c>
    </row>
    <row r="168" spans="1:7" x14ac:dyDescent="0.3">
      <c r="A168" t="s">
        <v>59</v>
      </c>
      <c r="B168">
        <v>5</v>
      </c>
      <c r="C168" s="2" t="s">
        <v>8</v>
      </c>
      <c r="D168" s="2">
        <v>80</v>
      </c>
      <c r="E168" s="2" t="s">
        <v>12</v>
      </c>
      <c r="F168">
        <f>67/127</f>
        <v>0.52755905511811019</v>
      </c>
      <c r="G168" s="2">
        <v>51</v>
      </c>
    </row>
    <row r="169" spans="1:7" x14ac:dyDescent="0.3">
      <c r="A169" t="s">
        <v>59</v>
      </c>
      <c r="B169">
        <v>5</v>
      </c>
      <c r="C169" s="2" t="s">
        <v>8</v>
      </c>
      <c r="D169" s="2">
        <v>100</v>
      </c>
      <c r="E169" s="2" t="s">
        <v>12</v>
      </c>
      <c r="F169">
        <f>58/127</f>
        <v>0.45669291338582679</v>
      </c>
      <c r="G169" s="2">
        <v>51</v>
      </c>
    </row>
    <row r="170" spans="1:7" x14ac:dyDescent="0.3">
      <c r="A170" t="s">
        <v>59</v>
      </c>
      <c r="B170">
        <v>5</v>
      </c>
      <c r="C170" s="2" t="s">
        <v>8</v>
      </c>
      <c r="D170" s="2">
        <v>200</v>
      </c>
      <c r="E170" s="2" t="s">
        <v>12</v>
      </c>
      <c r="F170">
        <f>49/127</f>
        <v>0.38582677165354329</v>
      </c>
      <c r="G170" s="2">
        <v>51</v>
      </c>
    </row>
    <row r="171" spans="1:7" x14ac:dyDescent="0.3">
      <c r="A171" t="s">
        <v>59</v>
      </c>
      <c r="B171">
        <v>5</v>
      </c>
      <c r="C171" s="2" t="s">
        <v>8</v>
      </c>
      <c r="D171" s="2">
        <v>300</v>
      </c>
      <c r="E171" s="2" t="s">
        <v>12</v>
      </c>
      <c r="F171">
        <f>38/127</f>
        <v>0.29921259842519687</v>
      </c>
      <c r="G171" s="2">
        <v>51</v>
      </c>
    </row>
    <row r="172" spans="1:7" x14ac:dyDescent="0.3">
      <c r="A172" t="s">
        <v>59</v>
      </c>
      <c r="B172">
        <v>5</v>
      </c>
      <c r="C172" s="2" t="s">
        <v>8</v>
      </c>
      <c r="D172" s="2">
        <v>400</v>
      </c>
      <c r="E172" s="2" t="s">
        <v>12</v>
      </c>
      <c r="F172">
        <f>31/127</f>
        <v>0.24409448818897639</v>
      </c>
      <c r="G172" s="2">
        <v>51</v>
      </c>
    </row>
    <row r="173" spans="1:7" x14ac:dyDescent="0.3">
      <c r="A173" t="s">
        <v>59</v>
      </c>
      <c r="B173">
        <v>5</v>
      </c>
      <c r="C173" s="2" t="s">
        <v>8</v>
      </c>
      <c r="D173" s="2">
        <v>500</v>
      </c>
      <c r="E173" s="2" t="s">
        <v>12</v>
      </c>
      <c r="F173">
        <f>23/127</f>
        <v>0.18110236220472442</v>
      </c>
      <c r="G173" s="2">
        <v>51</v>
      </c>
    </row>
    <row r="174" spans="1:7" x14ac:dyDescent="0.3">
      <c r="A174" t="s">
        <v>61</v>
      </c>
      <c r="B174">
        <v>5</v>
      </c>
      <c r="C174" s="2" t="s">
        <v>11</v>
      </c>
      <c r="D174" s="2">
        <v>100</v>
      </c>
      <c r="E174" s="2" t="s">
        <v>10</v>
      </c>
      <c r="F174">
        <v>0.95726495726495697</v>
      </c>
      <c r="G174" s="2">
        <v>51</v>
      </c>
    </row>
    <row r="175" spans="1:7" x14ac:dyDescent="0.3">
      <c r="A175" t="s">
        <v>61</v>
      </c>
      <c r="B175">
        <v>5</v>
      </c>
      <c r="C175" s="2" t="s">
        <v>11</v>
      </c>
      <c r="D175" s="2">
        <v>200</v>
      </c>
      <c r="E175" s="2" t="s">
        <v>10</v>
      </c>
      <c r="F175">
        <v>0.854700854700854</v>
      </c>
      <c r="G175" s="2">
        <v>51</v>
      </c>
    </row>
    <row r="176" spans="1:7" x14ac:dyDescent="0.3">
      <c r="A176" t="s">
        <v>61</v>
      </c>
      <c r="B176">
        <v>5</v>
      </c>
      <c r="C176" s="2" t="s">
        <v>11</v>
      </c>
      <c r="D176" s="2">
        <v>400</v>
      </c>
      <c r="E176" s="2" t="s">
        <v>10</v>
      </c>
      <c r="F176">
        <v>0.76068376068375998</v>
      </c>
      <c r="G176" s="2">
        <v>51</v>
      </c>
    </row>
    <row r="177" spans="1:7" x14ac:dyDescent="0.3">
      <c r="A177" t="s">
        <v>61</v>
      </c>
      <c r="B177">
        <v>5</v>
      </c>
      <c r="C177" s="2" t="s">
        <v>11</v>
      </c>
      <c r="D177" s="2">
        <v>600</v>
      </c>
      <c r="E177" s="2" t="s">
        <v>10</v>
      </c>
      <c r="F177">
        <v>0.47863247863247799</v>
      </c>
      <c r="G177" s="2">
        <v>51</v>
      </c>
    </row>
    <row r="178" spans="1:7" x14ac:dyDescent="0.3">
      <c r="A178" t="s">
        <v>61</v>
      </c>
      <c r="B178">
        <v>5</v>
      </c>
      <c r="C178" s="2" t="s">
        <v>11</v>
      </c>
      <c r="D178" s="2">
        <v>800</v>
      </c>
      <c r="E178" s="2" t="s">
        <v>10</v>
      </c>
      <c r="F178">
        <v>0.39316239316239299</v>
      </c>
      <c r="G178" s="2">
        <v>51</v>
      </c>
    </row>
    <row r="179" spans="1:7" x14ac:dyDescent="0.3">
      <c r="A179" t="s">
        <v>61</v>
      </c>
      <c r="B179">
        <v>5</v>
      </c>
      <c r="C179" s="2" t="s">
        <v>8</v>
      </c>
      <c r="D179" s="2">
        <v>100</v>
      </c>
      <c r="E179" s="2" t="s">
        <v>10</v>
      </c>
      <c r="F179">
        <v>1.0689655172413699</v>
      </c>
      <c r="G179" s="2">
        <v>51</v>
      </c>
    </row>
    <row r="180" spans="1:7" x14ac:dyDescent="0.3">
      <c r="A180" t="s">
        <v>61</v>
      </c>
      <c r="B180">
        <v>5</v>
      </c>
      <c r="C180" s="2" t="s">
        <v>8</v>
      </c>
      <c r="D180" s="2">
        <v>200</v>
      </c>
      <c r="E180" s="2" t="s">
        <v>10</v>
      </c>
      <c r="F180">
        <v>1.0818965517241299</v>
      </c>
      <c r="G180" s="2">
        <v>51</v>
      </c>
    </row>
    <row r="181" spans="1:7" x14ac:dyDescent="0.3">
      <c r="A181" t="s">
        <v>61</v>
      </c>
      <c r="B181">
        <v>5</v>
      </c>
      <c r="C181" s="2" t="s">
        <v>8</v>
      </c>
      <c r="D181" s="2">
        <v>400</v>
      </c>
      <c r="E181" s="2" t="s">
        <v>10</v>
      </c>
      <c r="F181">
        <v>1.2155172413793101</v>
      </c>
      <c r="G181" s="2">
        <v>51</v>
      </c>
    </row>
    <row r="182" spans="1:7" x14ac:dyDescent="0.3">
      <c r="A182" t="s">
        <v>61</v>
      </c>
      <c r="B182">
        <v>5</v>
      </c>
      <c r="C182" s="2" t="s">
        <v>8</v>
      </c>
      <c r="D182" s="2">
        <v>600</v>
      </c>
      <c r="E182" s="2" t="s">
        <v>10</v>
      </c>
      <c r="F182">
        <v>1.0560344827586201</v>
      </c>
      <c r="G182" s="2">
        <v>51</v>
      </c>
    </row>
    <row r="183" spans="1:7" x14ac:dyDescent="0.3">
      <c r="A183" t="s">
        <v>61</v>
      </c>
      <c r="B183">
        <v>5</v>
      </c>
      <c r="C183" s="2" t="s">
        <v>8</v>
      </c>
      <c r="D183" s="2">
        <v>800</v>
      </c>
      <c r="E183" s="2" t="s">
        <v>10</v>
      </c>
      <c r="F183">
        <v>0.78017241379310298</v>
      </c>
      <c r="G183" s="2">
        <v>51</v>
      </c>
    </row>
    <row r="184" spans="1:7" x14ac:dyDescent="0.3">
      <c r="A184" t="s">
        <v>58</v>
      </c>
      <c r="B184">
        <v>5</v>
      </c>
      <c r="C184" s="2" t="s">
        <v>8</v>
      </c>
      <c r="D184" s="2">
        <v>30</v>
      </c>
      <c r="E184" s="2" t="s">
        <v>10</v>
      </c>
      <c r="F184">
        <v>1.06137184115523</v>
      </c>
      <c r="G184" s="2">
        <v>51</v>
      </c>
    </row>
    <row r="185" spans="1:7" x14ac:dyDescent="0.3">
      <c r="A185" t="s">
        <v>58</v>
      </c>
      <c r="B185">
        <v>5</v>
      </c>
      <c r="C185" s="2" t="s">
        <v>8</v>
      </c>
      <c r="D185" s="2">
        <v>60</v>
      </c>
      <c r="E185" s="2" t="s">
        <v>10</v>
      </c>
      <c r="F185">
        <v>1.0974729241877199</v>
      </c>
      <c r="G185" s="2">
        <v>51</v>
      </c>
    </row>
    <row r="186" spans="1:7" x14ac:dyDescent="0.3">
      <c r="A186" t="s">
        <v>58</v>
      </c>
      <c r="B186">
        <v>5</v>
      </c>
      <c r="C186" s="2" t="s">
        <v>8</v>
      </c>
      <c r="D186" s="2">
        <v>80</v>
      </c>
      <c r="E186" s="2" t="s">
        <v>10</v>
      </c>
      <c r="F186">
        <v>1.1588447653429601</v>
      </c>
      <c r="G186" s="2">
        <v>51</v>
      </c>
    </row>
    <row r="187" spans="1:7" x14ac:dyDescent="0.3">
      <c r="A187" t="s">
        <v>58</v>
      </c>
      <c r="B187">
        <v>5</v>
      </c>
      <c r="C187" s="2" t="s">
        <v>8</v>
      </c>
      <c r="D187" s="2">
        <v>100</v>
      </c>
      <c r="E187" s="2" t="s">
        <v>10</v>
      </c>
      <c r="F187">
        <v>0.96028880866425903</v>
      </c>
      <c r="G187" s="2">
        <v>51</v>
      </c>
    </row>
    <row r="188" spans="1:7" x14ac:dyDescent="0.3">
      <c r="A188" t="s">
        <v>58</v>
      </c>
      <c r="B188">
        <v>5</v>
      </c>
      <c r="C188" s="2" t="s">
        <v>8</v>
      </c>
      <c r="D188" s="2">
        <v>150</v>
      </c>
      <c r="E188" s="2" t="s">
        <v>10</v>
      </c>
      <c r="F188">
        <v>0.808664259927797</v>
      </c>
      <c r="G188" s="2">
        <v>51</v>
      </c>
    </row>
    <row r="189" spans="1:7" x14ac:dyDescent="0.3">
      <c r="A189" t="s">
        <v>59</v>
      </c>
      <c r="B189">
        <v>5</v>
      </c>
      <c r="C189" s="2" t="s">
        <v>8</v>
      </c>
      <c r="D189" s="2">
        <v>5</v>
      </c>
      <c r="E189" s="2" t="s">
        <v>10</v>
      </c>
      <c r="F189">
        <v>1.02803738317757</v>
      </c>
      <c r="G189" s="2">
        <v>51</v>
      </c>
    </row>
    <row r="190" spans="1:7" x14ac:dyDescent="0.3">
      <c r="A190" t="s">
        <v>59</v>
      </c>
      <c r="B190">
        <v>5</v>
      </c>
      <c r="C190" s="2" t="s">
        <v>8</v>
      </c>
      <c r="D190" s="2">
        <v>10</v>
      </c>
      <c r="E190" s="2" t="s">
        <v>10</v>
      </c>
      <c r="F190">
        <v>1.1915887850467199</v>
      </c>
      <c r="G190" s="2">
        <v>51</v>
      </c>
    </row>
    <row r="191" spans="1:7" x14ac:dyDescent="0.3">
      <c r="A191" t="s">
        <v>59</v>
      </c>
      <c r="B191">
        <v>5</v>
      </c>
      <c r="C191" s="2" t="s">
        <v>8</v>
      </c>
      <c r="D191" s="2">
        <v>20</v>
      </c>
      <c r="E191" s="2" t="s">
        <v>10</v>
      </c>
      <c r="F191">
        <v>1.21495327102803</v>
      </c>
      <c r="G191" s="2">
        <v>51</v>
      </c>
    </row>
    <row r="192" spans="1:7" x14ac:dyDescent="0.3">
      <c r="A192" t="s">
        <v>59</v>
      </c>
      <c r="B192">
        <v>5</v>
      </c>
      <c r="C192" s="2" t="s">
        <v>8</v>
      </c>
      <c r="D192" s="2">
        <v>40</v>
      </c>
      <c r="E192" s="2" t="s">
        <v>10</v>
      </c>
      <c r="F192">
        <v>1.3878504672897101</v>
      </c>
      <c r="G192" s="2">
        <v>51</v>
      </c>
    </row>
    <row r="193" spans="1:7" x14ac:dyDescent="0.3">
      <c r="A193" t="s">
        <v>59</v>
      </c>
      <c r="B193">
        <v>5</v>
      </c>
      <c r="C193" s="2" t="s">
        <v>8</v>
      </c>
      <c r="D193" s="2">
        <v>80</v>
      </c>
      <c r="E193" s="2" t="s">
        <v>10</v>
      </c>
      <c r="F193">
        <v>1.15420560747663</v>
      </c>
      <c r="G193" s="2">
        <v>51</v>
      </c>
    </row>
    <row r="194" spans="1:7" x14ac:dyDescent="0.3">
      <c r="A194" t="s">
        <v>61</v>
      </c>
      <c r="B194">
        <v>5</v>
      </c>
      <c r="C194" s="2" t="s">
        <v>11</v>
      </c>
      <c r="D194" s="2">
        <v>100</v>
      </c>
      <c r="E194" s="2" t="s">
        <v>10</v>
      </c>
      <c r="F194">
        <v>0.91056910569105598</v>
      </c>
      <c r="G194" s="2">
        <v>51</v>
      </c>
    </row>
    <row r="195" spans="1:7" x14ac:dyDescent="0.3">
      <c r="A195" t="s">
        <v>61</v>
      </c>
      <c r="B195">
        <v>5</v>
      </c>
      <c r="C195" s="2" t="s">
        <v>11</v>
      </c>
      <c r="D195" s="2">
        <v>200</v>
      </c>
      <c r="E195" s="2" t="s">
        <v>10</v>
      </c>
      <c r="F195">
        <v>0.79674796747967402</v>
      </c>
      <c r="G195" s="2">
        <v>51</v>
      </c>
    </row>
    <row r="196" spans="1:7" x14ac:dyDescent="0.3">
      <c r="A196" t="s">
        <v>61</v>
      </c>
      <c r="B196">
        <v>5</v>
      </c>
      <c r="C196" s="2" t="s">
        <v>11</v>
      </c>
      <c r="D196" s="2">
        <v>400</v>
      </c>
      <c r="E196" s="2" t="s">
        <v>10</v>
      </c>
      <c r="F196">
        <v>0.61788617886178798</v>
      </c>
      <c r="G196" s="2">
        <v>51</v>
      </c>
    </row>
    <row r="197" spans="1:7" x14ac:dyDescent="0.3">
      <c r="A197" t="s">
        <v>61</v>
      </c>
      <c r="B197">
        <v>5</v>
      </c>
      <c r="C197" s="2" t="s">
        <v>11</v>
      </c>
      <c r="D197" s="2">
        <v>600</v>
      </c>
      <c r="E197" s="2" t="s">
        <v>10</v>
      </c>
      <c r="F197">
        <v>0.57723577235772305</v>
      </c>
      <c r="G197" s="2">
        <v>51</v>
      </c>
    </row>
    <row r="198" spans="1:7" x14ac:dyDescent="0.3">
      <c r="A198" t="s">
        <v>61</v>
      </c>
      <c r="B198">
        <v>5</v>
      </c>
      <c r="C198" s="2" t="s">
        <v>11</v>
      </c>
      <c r="D198" s="2">
        <v>800</v>
      </c>
      <c r="E198" s="2" t="s">
        <v>10</v>
      </c>
      <c r="F198">
        <v>0.47154471544715398</v>
      </c>
      <c r="G198" s="2">
        <v>51</v>
      </c>
    </row>
    <row r="199" spans="1:7" x14ac:dyDescent="0.3">
      <c r="A199" t="s">
        <v>61</v>
      </c>
      <c r="B199">
        <v>5</v>
      </c>
      <c r="C199" s="2" t="s">
        <v>8</v>
      </c>
      <c r="D199" s="2">
        <v>100</v>
      </c>
      <c r="E199" s="2" t="s">
        <v>10</v>
      </c>
      <c r="F199">
        <v>1.07407407407407</v>
      </c>
      <c r="G199" s="2">
        <v>51</v>
      </c>
    </row>
    <row r="200" spans="1:7" x14ac:dyDescent="0.3">
      <c r="A200" t="s">
        <v>61</v>
      </c>
      <c r="B200">
        <v>5</v>
      </c>
      <c r="C200" s="2" t="s">
        <v>8</v>
      </c>
      <c r="D200" s="2">
        <v>200</v>
      </c>
      <c r="E200" s="2" t="s">
        <v>10</v>
      </c>
      <c r="F200">
        <v>1.3456790123456699</v>
      </c>
      <c r="G200" s="2">
        <v>51</v>
      </c>
    </row>
    <row r="201" spans="1:7" x14ac:dyDescent="0.3">
      <c r="A201" t="s">
        <v>61</v>
      </c>
      <c r="B201">
        <v>5</v>
      </c>
      <c r="C201" s="2" t="s">
        <v>8</v>
      </c>
      <c r="D201" s="2">
        <v>400</v>
      </c>
      <c r="E201" s="2" t="s">
        <v>10</v>
      </c>
      <c r="F201">
        <v>1.3950617283950599</v>
      </c>
      <c r="G201" s="2">
        <v>51</v>
      </c>
    </row>
    <row r="202" spans="1:7" x14ac:dyDescent="0.3">
      <c r="A202" t="s">
        <v>61</v>
      </c>
      <c r="B202">
        <v>5</v>
      </c>
      <c r="C202" s="2" t="s">
        <v>8</v>
      </c>
      <c r="D202" s="2">
        <v>600</v>
      </c>
      <c r="E202" s="2" t="s">
        <v>10</v>
      </c>
      <c r="F202">
        <v>1.7222222222222201</v>
      </c>
      <c r="G202" s="2">
        <v>51</v>
      </c>
    </row>
    <row r="203" spans="1:7" x14ac:dyDescent="0.3">
      <c r="A203" t="s">
        <v>61</v>
      </c>
      <c r="B203">
        <v>5</v>
      </c>
      <c r="C203" s="2" t="s">
        <v>8</v>
      </c>
      <c r="D203" s="2">
        <v>800</v>
      </c>
      <c r="E203" s="2" t="s">
        <v>10</v>
      </c>
      <c r="F203">
        <v>1.1358024691358</v>
      </c>
      <c r="G203" s="2">
        <v>51</v>
      </c>
    </row>
    <row r="204" spans="1:7" x14ac:dyDescent="0.3">
      <c r="A204" t="s">
        <v>58</v>
      </c>
      <c r="B204">
        <v>5</v>
      </c>
      <c r="C204" s="2" t="s">
        <v>11</v>
      </c>
      <c r="D204" s="2">
        <v>30</v>
      </c>
      <c r="E204" s="2" t="s">
        <v>12</v>
      </c>
      <c r="F204">
        <f>192/152</f>
        <v>1.263157894736842</v>
      </c>
      <c r="G204" s="2">
        <v>51</v>
      </c>
    </row>
    <row r="205" spans="1:7" x14ac:dyDescent="0.3">
      <c r="A205" t="s">
        <v>58</v>
      </c>
      <c r="B205">
        <v>5</v>
      </c>
      <c r="C205" s="2" t="s">
        <v>11</v>
      </c>
      <c r="D205" s="2">
        <v>60</v>
      </c>
      <c r="E205" s="2" t="s">
        <v>12</v>
      </c>
      <c r="F205">
        <f>113/152</f>
        <v>0.74342105263157898</v>
      </c>
      <c r="G205" s="2">
        <v>51</v>
      </c>
    </row>
    <row r="206" spans="1:7" x14ac:dyDescent="0.3">
      <c r="A206" t="s">
        <v>58</v>
      </c>
      <c r="B206">
        <v>5</v>
      </c>
      <c r="C206" s="2" t="s">
        <v>11</v>
      </c>
      <c r="D206" s="2">
        <v>80</v>
      </c>
      <c r="E206" s="2" t="s">
        <v>12</v>
      </c>
      <c r="F206">
        <f>106/152</f>
        <v>0.69736842105263153</v>
      </c>
      <c r="G206" s="2">
        <v>51</v>
      </c>
    </row>
    <row r="207" spans="1:7" x14ac:dyDescent="0.3">
      <c r="A207" t="s">
        <v>58</v>
      </c>
      <c r="B207">
        <v>5</v>
      </c>
      <c r="C207" s="2" t="s">
        <v>11</v>
      </c>
      <c r="D207" s="2">
        <v>100</v>
      </c>
      <c r="E207" s="2" t="s">
        <v>12</v>
      </c>
      <c r="F207">
        <f>82/152</f>
        <v>0.53947368421052633</v>
      </c>
      <c r="G207" s="2">
        <v>51</v>
      </c>
    </row>
    <row r="208" spans="1:7" x14ac:dyDescent="0.3">
      <c r="A208" t="s">
        <v>58</v>
      </c>
      <c r="B208">
        <v>5</v>
      </c>
      <c r="C208" s="2" t="s">
        <v>11</v>
      </c>
      <c r="D208" s="2">
        <v>150</v>
      </c>
      <c r="E208" s="2" t="s">
        <v>12</v>
      </c>
      <c r="F208">
        <f>81/152</f>
        <v>0.53289473684210531</v>
      </c>
      <c r="G208" s="2">
        <v>51</v>
      </c>
    </row>
    <row r="209" spans="1:7" x14ac:dyDescent="0.3">
      <c r="A209" t="s">
        <v>58</v>
      </c>
      <c r="B209">
        <v>5</v>
      </c>
      <c r="C209" s="2" t="s">
        <v>11</v>
      </c>
      <c r="D209" s="2">
        <v>200</v>
      </c>
      <c r="E209" s="2" t="s">
        <v>12</v>
      </c>
      <c r="F209">
        <f>72/152</f>
        <v>0.47368421052631576</v>
      </c>
      <c r="G209" s="2">
        <v>51</v>
      </c>
    </row>
    <row r="210" spans="1:7" x14ac:dyDescent="0.3">
      <c r="A210" t="s">
        <v>58</v>
      </c>
      <c r="B210">
        <v>5</v>
      </c>
      <c r="C210" s="2" t="s">
        <v>11</v>
      </c>
      <c r="D210" s="2">
        <v>500</v>
      </c>
      <c r="E210" s="2" t="s">
        <v>12</v>
      </c>
      <c r="F210">
        <f>65/152</f>
        <v>0.42763157894736842</v>
      </c>
      <c r="G210" s="2">
        <v>51</v>
      </c>
    </row>
    <row r="211" spans="1:7" x14ac:dyDescent="0.3">
      <c r="A211" t="s">
        <v>58</v>
      </c>
      <c r="B211">
        <v>5</v>
      </c>
      <c r="C211" s="2" t="s">
        <v>11</v>
      </c>
      <c r="D211" s="2">
        <v>800</v>
      </c>
      <c r="E211" s="2" t="s">
        <v>12</v>
      </c>
      <c r="F211">
        <f>57/152</f>
        <v>0.375</v>
      </c>
      <c r="G211" s="2">
        <v>51</v>
      </c>
    </row>
    <row r="212" spans="1:7" x14ac:dyDescent="0.3">
      <c r="A212" t="s">
        <v>58</v>
      </c>
      <c r="B212">
        <v>5</v>
      </c>
      <c r="C212" s="2" t="s">
        <v>11</v>
      </c>
      <c r="D212" s="2">
        <v>1000</v>
      </c>
      <c r="E212" s="2" t="s">
        <v>12</v>
      </c>
      <c r="F212">
        <f>47/152</f>
        <v>0.30921052631578949</v>
      </c>
      <c r="G212" s="2">
        <v>51</v>
      </c>
    </row>
    <row r="213" spans="1:7" x14ac:dyDescent="0.3">
      <c r="A213" t="s">
        <v>58</v>
      </c>
      <c r="B213">
        <v>5</v>
      </c>
      <c r="C213" s="2" t="s">
        <v>11</v>
      </c>
      <c r="D213" s="2">
        <v>2000</v>
      </c>
      <c r="E213" s="2" t="s">
        <v>12</v>
      </c>
      <c r="F213">
        <f>13/152</f>
        <v>8.5526315789473686E-2</v>
      </c>
      <c r="G213" s="2">
        <v>51</v>
      </c>
    </row>
    <row r="214" spans="1:7" x14ac:dyDescent="0.3">
      <c r="A214" t="s">
        <v>59</v>
      </c>
      <c r="B214">
        <v>5</v>
      </c>
      <c r="C214" s="2" t="s">
        <v>11</v>
      </c>
      <c r="D214" s="2">
        <v>30</v>
      </c>
      <c r="E214" s="2" t="s">
        <v>12</v>
      </c>
      <c r="F214">
        <f>140/129</f>
        <v>1.0852713178294573</v>
      </c>
      <c r="G214" s="2">
        <v>51</v>
      </c>
    </row>
    <row r="215" spans="1:7" x14ac:dyDescent="0.3">
      <c r="A215" t="s">
        <v>59</v>
      </c>
      <c r="B215">
        <v>5</v>
      </c>
      <c r="C215" s="2" t="s">
        <v>11</v>
      </c>
      <c r="D215" s="2">
        <v>60</v>
      </c>
      <c r="E215" s="2" t="s">
        <v>12</v>
      </c>
      <c r="F215">
        <f>120/129</f>
        <v>0.93023255813953487</v>
      </c>
      <c r="G215" s="2">
        <v>51</v>
      </c>
    </row>
    <row r="216" spans="1:7" x14ac:dyDescent="0.3">
      <c r="A216" t="s">
        <v>59</v>
      </c>
      <c r="B216">
        <v>5</v>
      </c>
      <c r="C216" s="2" t="s">
        <v>11</v>
      </c>
      <c r="D216" s="2">
        <v>80</v>
      </c>
      <c r="E216" s="2" t="s">
        <v>12</v>
      </c>
      <c r="F216">
        <f>110/129</f>
        <v>0.8527131782945736</v>
      </c>
      <c r="G216" s="2">
        <v>51</v>
      </c>
    </row>
    <row r="217" spans="1:7" x14ac:dyDescent="0.3">
      <c r="A217" t="s">
        <v>59</v>
      </c>
      <c r="B217">
        <v>5</v>
      </c>
      <c r="C217" s="2" t="s">
        <v>11</v>
      </c>
      <c r="D217" s="2">
        <v>100</v>
      </c>
      <c r="E217" s="2" t="s">
        <v>12</v>
      </c>
      <c r="F217">
        <f>89/129</f>
        <v>0.68992248062015504</v>
      </c>
      <c r="G217" s="2">
        <v>51</v>
      </c>
    </row>
    <row r="218" spans="1:7" x14ac:dyDescent="0.3">
      <c r="A218" t="s">
        <v>59</v>
      </c>
      <c r="B218">
        <v>5</v>
      </c>
      <c r="C218" s="2" t="s">
        <v>11</v>
      </c>
      <c r="D218" s="2">
        <v>150</v>
      </c>
      <c r="E218" s="2" t="s">
        <v>12</v>
      </c>
      <c r="F218">
        <f>61/129</f>
        <v>0.47286821705426357</v>
      </c>
      <c r="G218" s="2">
        <v>51</v>
      </c>
    </row>
    <row r="219" spans="1:7" x14ac:dyDescent="0.3">
      <c r="A219" t="s">
        <v>59</v>
      </c>
      <c r="B219">
        <v>5</v>
      </c>
      <c r="C219" s="2" t="s">
        <v>11</v>
      </c>
      <c r="D219" s="2">
        <v>200</v>
      </c>
      <c r="E219" s="2" t="s">
        <v>12</v>
      </c>
      <c r="F219">
        <f>51/129</f>
        <v>0.39534883720930231</v>
      </c>
      <c r="G219" s="2">
        <v>51</v>
      </c>
    </row>
    <row r="220" spans="1:7" x14ac:dyDescent="0.3">
      <c r="A220" t="s">
        <v>59</v>
      </c>
      <c r="B220">
        <v>5</v>
      </c>
      <c r="C220" s="2" t="s">
        <v>11</v>
      </c>
      <c r="D220" s="2">
        <v>500</v>
      </c>
      <c r="E220" s="2" t="s">
        <v>12</v>
      </c>
      <c r="F220">
        <f>38/129</f>
        <v>0.29457364341085274</v>
      </c>
      <c r="G220" s="2">
        <v>51</v>
      </c>
    </row>
    <row r="221" spans="1:7" x14ac:dyDescent="0.3">
      <c r="A221" t="s">
        <v>59</v>
      </c>
      <c r="B221">
        <v>5</v>
      </c>
      <c r="C221" s="2" t="s">
        <v>11</v>
      </c>
      <c r="D221" s="2">
        <v>800</v>
      </c>
      <c r="E221" s="2" t="s">
        <v>12</v>
      </c>
      <c r="F221">
        <f>29/129</f>
        <v>0.22480620155038761</v>
      </c>
      <c r="G221" s="2">
        <v>51</v>
      </c>
    </row>
    <row r="222" spans="1:7" x14ac:dyDescent="0.3">
      <c r="A222" t="s">
        <v>59</v>
      </c>
      <c r="B222">
        <v>5</v>
      </c>
      <c r="C222" s="2" t="s">
        <v>11</v>
      </c>
      <c r="D222" s="2">
        <v>1000</v>
      </c>
      <c r="E222" s="2" t="s">
        <v>12</v>
      </c>
      <c r="F222">
        <f>17/129</f>
        <v>0.13178294573643412</v>
      </c>
      <c r="G222" s="2">
        <v>51</v>
      </c>
    </row>
    <row r="223" spans="1:7" x14ac:dyDescent="0.3">
      <c r="A223" t="s">
        <v>59</v>
      </c>
      <c r="B223">
        <v>5</v>
      </c>
      <c r="C223" s="2" t="s">
        <v>11</v>
      </c>
      <c r="D223" s="2">
        <v>2000</v>
      </c>
      <c r="E223" s="2" t="s">
        <v>12</v>
      </c>
      <c r="F223">
        <f>7/129</f>
        <v>5.4263565891472867E-2</v>
      </c>
      <c r="G223" s="2">
        <v>51</v>
      </c>
    </row>
    <row r="224" spans="1:7" x14ac:dyDescent="0.3">
      <c r="A224" t="s">
        <v>58</v>
      </c>
      <c r="B224">
        <v>5</v>
      </c>
      <c r="C224" s="2" t="s">
        <v>8</v>
      </c>
      <c r="D224" s="2">
        <v>30</v>
      </c>
      <c r="E224" s="2" t="s">
        <v>10</v>
      </c>
      <c r="F224">
        <v>1.2644628099173501</v>
      </c>
      <c r="G224" s="2">
        <v>51</v>
      </c>
    </row>
    <row r="225" spans="1:7" x14ac:dyDescent="0.3">
      <c r="A225" t="s">
        <v>58</v>
      </c>
      <c r="B225">
        <v>5</v>
      </c>
      <c r="C225" s="2" t="s">
        <v>8</v>
      </c>
      <c r="D225" s="2">
        <v>60</v>
      </c>
      <c r="E225" s="2" t="s">
        <v>10</v>
      </c>
      <c r="F225">
        <v>2.4214876033057799</v>
      </c>
      <c r="G225" s="2">
        <v>51</v>
      </c>
    </row>
    <row r="226" spans="1:7" x14ac:dyDescent="0.3">
      <c r="A226" t="s">
        <v>58</v>
      </c>
      <c r="B226">
        <v>5</v>
      </c>
      <c r="C226" s="2" t="s">
        <v>8</v>
      </c>
      <c r="D226" s="2">
        <v>80</v>
      </c>
      <c r="E226" s="2" t="s">
        <v>10</v>
      </c>
      <c r="F226">
        <v>1.2396694214876001</v>
      </c>
      <c r="G226" s="2">
        <v>51</v>
      </c>
    </row>
    <row r="227" spans="1:7" x14ac:dyDescent="0.3">
      <c r="A227" t="s">
        <v>58</v>
      </c>
      <c r="B227">
        <v>5</v>
      </c>
      <c r="C227" s="2" t="s">
        <v>8</v>
      </c>
      <c r="D227" s="2">
        <v>100</v>
      </c>
      <c r="E227" s="2" t="s">
        <v>10</v>
      </c>
      <c r="F227">
        <v>0.90909090909090895</v>
      </c>
      <c r="G227" s="2">
        <v>51</v>
      </c>
    </row>
    <row r="228" spans="1:7" x14ac:dyDescent="0.3">
      <c r="A228" t="s">
        <v>58</v>
      </c>
      <c r="B228">
        <v>5</v>
      </c>
      <c r="C228" s="2" t="s">
        <v>8</v>
      </c>
      <c r="D228" s="2">
        <v>150</v>
      </c>
      <c r="E228" s="2" t="s">
        <v>10</v>
      </c>
      <c r="F228">
        <v>0.55371900826446196</v>
      </c>
      <c r="G228" s="2">
        <v>51</v>
      </c>
    </row>
    <row r="229" spans="1:7" x14ac:dyDescent="0.3">
      <c r="A229" t="s">
        <v>59</v>
      </c>
      <c r="B229">
        <v>5</v>
      </c>
      <c r="C229" s="2" t="s">
        <v>8</v>
      </c>
      <c r="D229" s="2">
        <v>5</v>
      </c>
      <c r="E229" s="2" t="s">
        <v>10</v>
      </c>
      <c r="F229">
        <v>0.85472972972972905</v>
      </c>
      <c r="G229" s="2">
        <v>51</v>
      </c>
    </row>
    <row r="230" spans="1:7" x14ac:dyDescent="0.3">
      <c r="A230" t="s">
        <v>59</v>
      </c>
      <c r="B230">
        <v>5</v>
      </c>
      <c r="C230" s="2" t="s">
        <v>8</v>
      </c>
      <c r="D230" s="2">
        <v>10</v>
      </c>
      <c r="E230" s="2" t="s">
        <v>10</v>
      </c>
      <c r="F230">
        <v>0.60135135135135098</v>
      </c>
      <c r="G230" s="2">
        <v>51</v>
      </c>
    </row>
    <row r="231" spans="1:7" x14ac:dyDescent="0.3">
      <c r="A231" t="s">
        <v>59</v>
      </c>
      <c r="B231">
        <v>5</v>
      </c>
      <c r="C231" s="2" t="s">
        <v>8</v>
      </c>
      <c r="D231" s="2">
        <v>20</v>
      </c>
      <c r="E231" s="2" t="s">
        <v>10</v>
      </c>
      <c r="F231">
        <v>0.375</v>
      </c>
      <c r="G231" s="2">
        <v>51</v>
      </c>
    </row>
    <row r="232" spans="1:7" x14ac:dyDescent="0.3">
      <c r="A232" t="s">
        <v>59</v>
      </c>
      <c r="B232">
        <v>5</v>
      </c>
      <c r="C232" s="2" t="s">
        <v>8</v>
      </c>
      <c r="D232" s="2">
        <v>40</v>
      </c>
      <c r="E232" s="2" t="s">
        <v>10</v>
      </c>
      <c r="F232">
        <v>0.33108108108108097</v>
      </c>
      <c r="G232" s="2">
        <v>51</v>
      </c>
    </row>
    <row r="233" spans="1:7" x14ac:dyDescent="0.3">
      <c r="A233" t="s">
        <v>59</v>
      </c>
      <c r="B233">
        <v>5</v>
      </c>
      <c r="C233" s="2" t="s">
        <v>8</v>
      </c>
      <c r="D233" s="2">
        <v>80</v>
      </c>
      <c r="E233" s="2" t="s">
        <v>10</v>
      </c>
      <c r="F233">
        <v>0.31756756756756699</v>
      </c>
      <c r="G233" s="2">
        <v>51</v>
      </c>
    </row>
    <row r="234" spans="1:7" x14ac:dyDescent="0.3">
      <c r="A234" t="s">
        <v>58</v>
      </c>
      <c r="B234">
        <v>5</v>
      </c>
      <c r="C234" s="2" t="s">
        <v>8</v>
      </c>
      <c r="D234" s="2">
        <v>30</v>
      </c>
      <c r="E234" s="2" t="s">
        <v>10</v>
      </c>
      <c r="F234">
        <v>1.1170212765957399</v>
      </c>
      <c r="G234" s="2">
        <v>51</v>
      </c>
    </row>
    <row r="235" spans="1:7" x14ac:dyDescent="0.3">
      <c r="A235" t="s">
        <v>58</v>
      </c>
      <c r="B235">
        <v>5</v>
      </c>
      <c r="C235" s="2" t="s">
        <v>8</v>
      </c>
      <c r="D235" s="2">
        <v>60</v>
      </c>
      <c r="E235" s="2" t="s">
        <v>10</v>
      </c>
      <c r="F235">
        <v>1.09574468085106</v>
      </c>
      <c r="G235" s="2">
        <v>51</v>
      </c>
    </row>
    <row r="236" spans="1:7" x14ac:dyDescent="0.3">
      <c r="A236" t="s">
        <v>58</v>
      </c>
      <c r="B236">
        <v>5</v>
      </c>
      <c r="C236" s="2" t="s">
        <v>8</v>
      </c>
      <c r="D236" s="2">
        <v>80</v>
      </c>
      <c r="E236" s="2" t="s">
        <v>10</v>
      </c>
      <c r="F236">
        <v>1.13829787234042</v>
      </c>
      <c r="G236" s="2">
        <v>51</v>
      </c>
    </row>
    <row r="237" spans="1:7" x14ac:dyDescent="0.3">
      <c r="A237" t="s">
        <v>58</v>
      </c>
      <c r="B237">
        <v>5</v>
      </c>
      <c r="C237" s="2" t="s">
        <v>8</v>
      </c>
      <c r="D237" s="2">
        <v>100</v>
      </c>
      <c r="E237" s="2" t="s">
        <v>10</v>
      </c>
      <c r="F237">
        <v>1.0106382978723401</v>
      </c>
      <c r="G237" s="2">
        <v>51</v>
      </c>
    </row>
    <row r="238" spans="1:7" x14ac:dyDescent="0.3">
      <c r="A238" t="s">
        <v>58</v>
      </c>
      <c r="B238">
        <v>5</v>
      </c>
      <c r="C238" s="2" t="s">
        <v>8</v>
      </c>
      <c r="D238" s="2">
        <v>150</v>
      </c>
      <c r="E238" s="2" t="s">
        <v>10</v>
      </c>
      <c r="F238">
        <v>0.91489361702127603</v>
      </c>
      <c r="G238" s="2">
        <v>51</v>
      </c>
    </row>
    <row r="239" spans="1:7" x14ac:dyDescent="0.3">
      <c r="A239" t="s">
        <v>59</v>
      </c>
      <c r="B239">
        <v>5</v>
      </c>
      <c r="C239" s="2" t="s">
        <v>8</v>
      </c>
      <c r="D239" s="2">
        <v>5</v>
      </c>
      <c r="E239" s="2" t="s">
        <v>10</v>
      </c>
      <c r="F239">
        <v>1.03125</v>
      </c>
      <c r="G239" s="2">
        <v>51</v>
      </c>
    </row>
    <row r="240" spans="1:7" x14ac:dyDescent="0.3">
      <c r="A240" t="s">
        <v>59</v>
      </c>
      <c r="B240">
        <v>5</v>
      </c>
      <c r="C240" s="2" t="s">
        <v>8</v>
      </c>
      <c r="D240" s="2">
        <v>10</v>
      </c>
      <c r="E240" s="2" t="s">
        <v>10</v>
      </c>
      <c r="F240">
        <v>0.9375</v>
      </c>
      <c r="G240" s="2">
        <v>51</v>
      </c>
    </row>
    <row r="241" spans="1:7" x14ac:dyDescent="0.3">
      <c r="A241" t="s">
        <v>59</v>
      </c>
      <c r="B241">
        <v>5</v>
      </c>
      <c r="C241" s="2" t="s">
        <v>8</v>
      </c>
      <c r="D241" s="2">
        <v>20</v>
      </c>
      <c r="E241" s="2" t="s">
        <v>10</v>
      </c>
      <c r="F241">
        <v>0.9375</v>
      </c>
      <c r="G241" s="2">
        <v>51</v>
      </c>
    </row>
    <row r="242" spans="1:7" x14ac:dyDescent="0.3">
      <c r="A242" t="s">
        <v>59</v>
      </c>
      <c r="B242">
        <v>5</v>
      </c>
      <c r="C242" s="2" t="s">
        <v>8</v>
      </c>
      <c r="D242" s="2">
        <v>40</v>
      </c>
      <c r="E242" s="2" t="s">
        <v>10</v>
      </c>
      <c r="F242">
        <v>0.91666666666666596</v>
      </c>
      <c r="G242" s="2">
        <v>51</v>
      </c>
    </row>
    <row r="243" spans="1:7" x14ac:dyDescent="0.3">
      <c r="A243" t="s">
        <v>59</v>
      </c>
      <c r="B243">
        <v>5</v>
      </c>
      <c r="C243" s="2" t="s">
        <v>8</v>
      </c>
      <c r="D243" s="2">
        <v>80</v>
      </c>
      <c r="E243" s="2" t="s">
        <v>10</v>
      </c>
      <c r="F243">
        <v>0.91666666666666596</v>
      </c>
      <c r="G243" s="2">
        <v>51</v>
      </c>
    </row>
    <row r="244" spans="1:7" x14ac:dyDescent="0.3">
      <c r="A244" t="s">
        <v>58</v>
      </c>
      <c r="B244">
        <v>5</v>
      </c>
      <c r="C244" s="2" t="s">
        <v>8</v>
      </c>
      <c r="D244" s="2">
        <v>30</v>
      </c>
      <c r="E244" s="2" t="s">
        <v>10</v>
      </c>
      <c r="F244">
        <v>2.3235294117646998</v>
      </c>
      <c r="G244" s="2">
        <v>51</v>
      </c>
    </row>
    <row r="245" spans="1:7" x14ac:dyDescent="0.3">
      <c r="A245" t="s">
        <v>58</v>
      </c>
      <c r="B245">
        <v>5</v>
      </c>
      <c r="C245" s="2" t="s">
        <v>8</v>
      </c>
      <c r="D245" s="2">
        <v>60</v>
      </c>
      <c r="E245" s="2" t="s">
        <v>10</v>
      </c>
      <c r="F245">
        <v>2.5882352941176401</v>
      </c>
      <c r="G245" s="2">
        <v>51</v>
      </c>
    </row>
    <row r="246" spans="1:7" x14ac:dyDescent="0.3">
      <c r="A246" t="s">
        <v>58</v>
      </c>
      <c r="B246">
        <v>5</v>
      </c>
      <c r="C246" s="2" t="s">
        <v>8</v>
      </c>
      <c r="D246" s="2">
        <v>80</v>
      </c>
      <c r="E246" s="2" t="s">
        <v>10</v>
      </c>
      <c r="F246">
        <v>2.9411764705882302</v>
      </c>
      <c r="G246" s="2">
        <v>51</v>
      </c>
    </row>
    <row r="247" spans="1:7" x14ac:dyDescent="0.3">
      <c r="A247" t="s">
        <v>58</v>
      </c>
      <c r="B247">
        <v>5</v>
      </c>
      <c r="C247" s="2" t="s">
        <v>8</v>
      </c>
      <c r="D247" s="2">
        <v>100</v>
      </c>
      <c r="E247" s="2" t="s">
        <v>10</v>
      </c>
      <c r="F247">
        <v>4.1176470588235201</v>
      </c>
      <c r="G247" s="2">
        <v>51</v>
      </c>
    </row>
    <row r="248" spans="1:7" x14ac:dyDescent="0.3">
      <c r="A248" t="s">
        <v>58</v>
      </c>
      <c r="B248">
        <v>5</v>
      </c>
      <c r="C248" s="2" t="s">
        <v>8</v>
      </c>
      <c r="D248" s="2">
        <v>150</v>
      </c>
      <c r="E248" s="2" t="s">
        <v>10</v>
      </c>
      <c r="F248">
        <v>4.6470588235294104</v>
      </c>
      <c r="G248" s="2">
        <v>51</v>
      </c>
    </row>
    <row r="249" spans="1:7" x14ac:dyDescent="0.3">
      <c r="A249" t="s">
        <v>59</v>
      </c>
      <c r="B249">
        <v>5</v>
      </c>
      <c r="C249" s="2" t="s">
        <v>8</v>
      </c>
      <c r="D249" s="2">
        <v>5</v>
      </c>
      <c r="E249" s="2" t="s">
        <v>10</v>
      </c>
      <c r="F249">
        <v>1.4</v>
      </c>
      <c r="G249" s="2">
        <v>51</v>
      </c>
    </row>
    <row r="250" spans="1:7" x14ac:dyDescent="0.3">
      <c r="A250" t="s">
        <v>59</v>
      </c>
      <c r="B250">
        <v>5</v>
      </c>
      <c r="C250" s="2" t="s">
        <v>8</v>
      </c>
      <c r="D250" s="2">
        <v>10</v>
      </c>
      <c r="E250" s="2" t="s">
        <v>10</v>
      </c>
      <c r="F250">
        <v>2.5499999999999998</v>
      </c>
      <c r="G250" s="2">
        <v>51</v>
      </c>
    </row>
    <row r="251" spans="1:7" x14ac:dyDescent="0.3">
      <c r="A251" t="s">
        <v>59</v>
      </c>
      <c r="B251">
        <v>5</v>
      </c>
      <c r="C251" s="2" t="s">
        <v>8</v>
      </c>
      <c r="D251" s="2">
        <v>20</v>
      </c>
      <c r="E251" s="2" t="s">
        <v>10</v>
      </c>
      <c r="F251">
        <v>3.15</v>
      </c>
      <c r="G251" s="2">
        <v>51</v>
      </c>
    </row>
    <row r="252" spans="1:7" x14ac:dyDescent="0.3">
      <c r="A252" t="s">
        <v>59</v>
      </c>
      <c r="B252">
        <v>5</v>
      </c>
      <c r="C252" s="2" t="s">
        <v>8</v>
      </c>
      <c r="D252" s="2">
        <v>40</v>
      </c>
      <c r="E252" s="2" t="s">
        <v>10</v>
      </c>
      <c r="F252">
        <v>3.6124999999999998</v>
      </c>
      <c r="G252" s="2">
        <v>51</v>
      </c>
    </row>
    <row r="253" spans="1:7" x14ac:dyDescent="0.3">
      <c r="A253" t="s">
        <v>59</v>
      </c>
      <c r="B253">
        <v>5</v>
      </c>
      <c r="C253" s="2" t="s">
        <v>8</v>
      </c>
      <c r="D253" s="2">
        <v>80</v>
      </c>
      <c r="E253" s="2" t="s">
        <v>10</v>
      </c>
      <c r="F253">
        <v>3.6749999999999998</v>
      </c>
      <c r="G253" s="2">
        <v>51</v>
      </c>
    </row>
    <row r="254" spans="1:7" x14ac:dyDescent="0.3">
      <c r="A254" t="s">
        <v>61</v>
      </c>
      <c r="B254">
        <v>5</v>
      </c>
      <c r="C254" s="2" t="s">
        <v>8</v>
      </c>
      <c r="D254" s="2">
        <v>100</v>
      </c>
      <c r="E254" s="2" t="s">
        <v>10</v>
      </c>
      <c r="F254">
        <v>1.0303030303030301</v>
      </c>
      <c r="G254" s="2">
        <v>51</v>
      </c>
    </row>
    <row r="255" spans="1:7" x14ac:dyDescent="0.3">
      <c r="A255" t="s">
        <v>61</v>
      </c>
      <c r="B255">
        <v>5</v>
      </c>
      <c r="C255" s="2" t="s">
        <v>8</v>
      </c>
      <c r="D255" s="2">
        <v>200</v>
      </c>
      <c r="E255" s="2" t="s">
        <v>10</v>
      </c>
      <c r="F255">
        <v>1.0454545454545401</v>
      </c>
      <c r="G255" s="2">
        <v>51</v>
      </c>
    </row>
    <row r="256" spans="1:7" x14ac:dyDescent="0.3">
      <c r="A256" t="s">
        <v>61</v>
      </c>
      <c r="B256">
        <v>5</v>
      </c>
      <c r="C256" s="2" t="s">
        <v>8</v>
      </c>
      <c r="D256" s="2">
        <v>400</v>
      </c>
      <c r="E256" s="2" t="s">
        <v>10</v>
      </c>
      <c r="F256">
        <v>1.13636363636363</v>
      </c>
      <c r="G256" s="2">
        <v>51</v>
      </c>
    </row>
    <row r="257" spans="1:7" x14ac:dyDescent="0.3">
      <c r="A257" t="s">
        <v>61</v>
      </c>
      <c r="B257">
        <v>5</v>
      </c>
      <c r="C257" s="2" t="s">
        <v>8</v>
      </c>
      <c r="D257" s="2">
        <v>600</v>
      </c>
      <c r="E257" s="2" t="s">
        <v>10</v>
      </c>
      <c r="F257">
        <v>1.13636363636363</v>
      </c>
      <c r="G257" s="2">
        <v>51</v>
      </c>
    </row>
    <row r="258" spans="1:7" x14ac:dyDescent="0.3">
      <c r="A258" t="s">
        <v>61</v>
      </c>
      <c r="B258">
        <v>5</v>
      </c>
      <c r="C258" s="2" t="s">
        <v>8</v>
      </c>
      <c r="D258" s="2">
        <v>800</v>
      </c>
      <c r="E258" s="2" t="s">
        <v>10</v>
      </c>
      <c r="F258">
        <v>1.25757575757575</v>
      </c>
      <c r="G258" s="2">
        <v>51</v>
      </c>
    </row>
    <row r="259" spans="1:7" x14ac:dyDescent="0.3">
      <c r="A259" t="s">
        <v>61</v>
      </c>
      <c r="B259">
        <v>5</v>
      </c>
      <c r="C259" s="2" t="s">
        <v>11</v>
      </c>
      <c r="D259" s="2">
        <v>100</v>
      </c>
      <c r="E259" s="2" t="s">
        <v>10</v>
      </c>
      <c r="F259">
        <v>0.95409836065573705</v>
      </c>
      <c r="G259" s="2">
        <v>51</v>
      </c>
    </row>
    <row r="260" spans="1:7" x14ac:dyDescent="0.3">
      <c r="A260" t="s">
        <v>61</v>
      </c>
      <c r="B260">
        <v>5</v>
      </c>
      <c r="C260" s="2" t="s">
        <v>11</v>
      </c>
      <c r="D260" s="2">
        <v>200</v>
      </c>
      <c r="E260" s="2" t="s">
        <v>10</v>
      </c>
      <c r="F260">
        <v>0.83278688524590105</v>
      </c>
      <c r="G260" s="2">
        <v>51</v>
      </c>
    </row>
    <row r="261" spans="1:7" x14ac:dyDescent="0.3">
      <c r="A261" t="s">
        <v>61</v>
      </c>
      <c r="B261">
        <v>5</v>
      </c>
      <c r="C261" s="2" t="s">
        <v>11</v>
      </c>
      <c r="D261" s="2">
        <v>400</v>
      </c>
      <c r="E261" s="2" t="s">
        <v>10</v>
      </c>
      <c r="F261">
        <v>0.65573770491803196</v>
      </c>
      <c r="G261" s="2">
        <v>51</v>
      </c>
    </row>
    <row r="262" spans="1:7" x14ac:dyDescent="0.3">
      <c r="A262" t="s">
        <v>61</v>
      </c>
      <c r="B262">
        <v>5</v>
      </c>
      <c r="C262" s="2" t="s">
        <v>11</v>
      </c>
      <c r="D262" s="2">
        <v>600</v>
      </c>
      <c r="E262" s="2" t="s">
        <v>10</v>
      </c>
      <c r="F262">
        <v>0.65245901639344195</v>
      </c>
      <c r="G262" s="2">
        <v>51</v>
      </c>
    </row>
    <row r="263" spans="1:7" x14ac:dyDescent="0.3">
      <c r="A263" t="s">
        <v>61</v>
      </c>
      <c r="B263">
        <v>5</v>
      </c>
      <c r="C263" s="2" t="s">
        <v>11</v>
      </c>
      <c r="D263" s="2">
        <v>800</v>
      </c>
      <c r="E263" s="2" t="s">
        <v>10</v>
      </c>
      <c r="F263">
        <v>0.62950819672131098</v>
      </c>
      <c r="G263" s="2">
        <v>51</v>
      </c>
    </row>
    <row r="264" spans="1:7" x14ac:dyDescent="0.3">
      <c r="A264" t="s">
        <v>61</v>
      </c>
      <c r="B264">
        <v>5</v>
      </c>
      <c r="C264" s="2" t="s">
        <v>8</v>
      </c>
      <c r="D264" s="2">
        <v>100</v>
      </c>
      <c r="E264" s="2" t="s">
        <v>10</v>
      </c>
      <c r="F264">
        <v>1.4067796610169401</v>
      </c>
      <c r="G264" s="2">
        <v>51</v>
      </c>
    </row>
    <row r="265" spans="1:7" x14ac:dyDescent="0.3">
      <c r="A265" t="s">
        <v>61</v>
      </c>
      <c r="B265">
        <v>5</v>
      </c>
      <c r="C265" s="2" t="s">
        <v>8</v>
      </c>
      <c r="D265" s="2">
        <v>200</v>
      </c>
      <c r="E265" s="2" t="s">
        <v>10</v>
      </c>
      <c r="F265">
        <v>1.8135593220338899</v>
      </c>
      <c r="G265" s="2">
        <v>51</v>
      </c>
    </row>
    <row r="266" spans="1:7" x14ac:dyDescent="0.3">
      <c r="A266" t="s">
        <v>61</v>
      </c>
      <c r="B266">
        <v>5</v>
      </c>
      <c r="C266" s="2" t="s">
        <v>8</v>
      </c>
      <c r="D266" s="2">
        <v>400</v>
      </c>
      <c r="E266" s="2" t="s">
        <v>10</v>
      </c>
      <c r="F266">
        <v>1.8983050847457601</v>
      </c>
      <c r="G266" s="2">
        <v>51</v>
      </c>
    </row>
    <row r="267" spans="1:7" x14ac:dyDescent="0.3">
      <c r="A267" t="s">
        <v>61</v>
      </c>
      <c r="B267">
        <v>5</v>
      </c>
      <c r="C267" s="2" t="s">
        <v>8</v>
      </c>
      <c r="D267" s="2">
        <v>600</v>
      </c>
      <c r="E267" s="2" t="s">
        <v>10</v>
      </c>
      <c r="F267">
        <v>2</v>
      </c>
      <c r="G267" s="2">
        <v>51</v>
      </c>
    </row>
    <row r="268" spans="1:7" x14ac:dyDescent="0.3">
      <c r="A268" t="s">
        <v>61</v>
      </c>
      <c r="B268">
        <v>5</v>
      </c>
      <c r="C268" s="2" t="s">
        <v>8</v>
      </c>
      <c r="D268" s="2">
        <v>800</v>
      </c>
      <c r="E268" s="2" t="s">
        <v>10</v>
      </c>
      <c r="F268">
        <v>2.2881355932203302</v>
      </c>
      <c r="G268" s="2">
        <v>51</v>
      </c>
    </row>
    <row r="269" spans="1:7" x14ac:dyDescent="0.3">
      <c r="A269" t="s">
        <v>61</v>
      </c>
      <c r="B269">
        <v>5</v>
      </c>
      <c r="C269" s="2" t="s">
        <v>11</v>
      </c>
      <c r="D269" s="2">
        <v>100</v>
      </c>
      <c r="E269" s="2" t="s">
        <v>10</v>
      </c>
      <c r="F269">
        <v>1.2410256410256399</v>
      </c>
      <c r="G269" s="2">
        <v>51</v>
      </c>
    </row>
    <row r="270" spans="1:7" x14ac:dyDescent="0.3">
      <c r="A270" t="s">
        <v>61</v>
      </c>
      <c r="B270">
        <v>5</v>
      </c>
      <c r="C270" s="2" t="s">
        <v>11</v>
      </c>
      <c r="D270" s="2">
        <v>200</v>
      </c>
      <c r="E270" s="2" t="s">
        <v>10</v>
      </c>
      <c r="F270">
        <v>1.3333333333333299</v>
      </c>
      <c r="G270" s="2">
        <v>51</v>
      </c>
    </row>
    <row r="271" spans="1:7" x14ac:dyDescent="0.3">
      <c r="A271" t="s">
        <v>61</v>
      </c>
      <c r="B271">
        <v>5</v>
      </c>
      <c r="C271" s="2" t="s">
        <v>11</v>
      </c>
      <c r="D271" s="2">
        <v>400</v>
      </c>
      <c r="E271" s="2" t="s">
        <v>10</v>
      </c>
      <c r="F271">
        <v>1.3589743589743499</v>
      </c>
      <c r="G271" s="2">
        <v>51</v>
      </c>
    </row>
    <row r="272" spans="1:7" x14ac:dyDescent="0.3">
      <c r="A272" t="s">
        <v>61</v>
      </c>
      <c r="B272">
        <v>5</v>
      </c>
      <c r="C272" s="2" t="s">
        <v>11</v>
      </c>
      <c r="D272" s="2">
        <v>600</v>
      </c>
      <c r="E272" s="2" t="s">
        <v>10</v>
      </c>
      <c r="F272">
        <v>1.5384615384615301</v>
      </c>
      <c r="G272" s="2">
        <v>51</v>
      </c>
    </row>
    <row r="273" spans="1:7" x14ac:dyDescent="0.3">
      <c r="A273" t="s">
        <v>61</v>
      </c>
      <c r="B273">
        <v>5</v>
      </c>
      <c r="C273" s="2" t="s">
        <v>11</v>
      </c>
      <c r="D273" s="2">
        <v>800</v>
      </c>
      <c r="E273" s="2" t="s">
        <v>10</v>
      </c>
      <c r="F273">
        <v>1.7025641025641001</v>
      </c>
      <c r="G273" s="2">
        <v>51</v>
      </c>
    </row>
    <row r="274" spans="1:7" x14ac:dyDescent="0.3">
      <c r="A274" t="s">
        <v>58</v>
      </c>
      <c r="B274" s="2">
        <v>7</v>
      </c>
      <c r="C274" s="2" t="s">
        <v>11</v>
      </c>
      <c r="D274" s="2">
        <v>30</v>
      </c>
      <c r="E274" s="2" t="s">
        <v>10</v>
      </c>
      <c r="F274">
        <f>3096/3542</f>
        <v>0.87408243929983065</v>
      </c>
      <c r="G274" s="2">
        <v>51</v>
      </c>
    </row>
    <row r="275" spans="1:7" x14ac:dyDescent="0.3">
      <c r="A275" t="s">
        <v>58</v>
      </c>
      <c r="B275" s="2">
        <v>7</v>
      </c>
      <c r="C275" s="2" t="s">
        <v>11</v>
      </c>
      <c r="D275" s="2">
        <v>60</v>
      </c>
      <c r="E275" s="2" t="s">
        <v>10</v>
      </c>
      <c r="F275">
        <f>2868/3542</f>
        <v>0.80971202710333146</v>
      </c>
      <c r="G275" s="2">
        <v>51</v>
      </c>
    </row>
    <row r="276" spans="1:7" x14ac:dyDescent="0.3">
      <c r="A276" t="s">
        <v>58</v>
      </c>
      <c r="B276" s="2">
        <v>7</v>
      </c>
      <c r="C276" s="2" t="s">
        <v>11</v>
      </c>
      <c r="D276" s="2">
        <v>80</v>
      </c>
      <c r="E276" s="2" t="s">
        <v>10</v>
      </c>
      <c r="F276">
        <f>2108/3542</f>
        <v>0.59514398644833433</v>
      </c>
      <c r="G276" s="2">
        <v>51</v>
      </c>
    </row>
    <row r="277" spans="1:7" x14ac:dyDescent="0.3">
      <c r="A277" t="s">
        <v>58</v>
      </c>
      <c r="B277" s="2">
        <v>7</v>
      </c>
      <c r="C277" s="2" t="s">
        <v>11</v>
      </c>
      <c r="D277" s="2">
        <v>100</v>
      </c>
      <c r="E277" s="2" t="s">
        <v>10</v>
      </c>
      <c r="F277">
        <f>2025/3542</f>
        <v>0.57171089779785433</v>
      </c>
      <c r="G277" s="2">
        <v>51</v>
      </c>
    </row>
    <row r="278" spans="1:7" x14ac:dyDescent="0.3">
      <c r="A278" t="s">
        <v>58</v>
      </c>
      <c r="B278" s="2">
        <v>7</v>
      </c>
      <c r="C278" s="2" t="s">
        <v>11</v>
      </c>
      <c r="D278" s="2">
        <v>150</v>
      </c>
      <c r="E278" s="2" t="s">
        <v>10</v>
      </c>
      <c r="F278">
        <f>1340/3542</f>
        <v>0.37831733483907398</v>
      </c>
      <c r="G278" s="2">
        <v>51</v>
      </c>
    </row>
    <row r="279" spans="1:7" x14ac:dyDescent="0.3">
      <c r="A279" t="s">
        <v>58</v>
      </c>
      <c r="B279" s="2">
        <v>7</v>
      </c>
      <c r="C279" s="2" t="s">
        <v>11</v>
      </c>
      <c r="D279" s="2">
        <v>30</v>
      </c>
      <c r="E279" s="2" t="s">
        <v>10</v>
      </c>
      <c r="F279">
        <f>40/22</f>
        <v>1.8181818181818181</v>
      </c>
      <c r="G279" s="2">
        <v>51</v>
      </c>
    </row>
    <row r="280" spans="1:7" x14ac:dyDescent="0.3">
      <c r="A280" t="s">
        <v>58</v>
      </c>
      <c r="B280" s="2">
        <v>7</v>
      </c>
      <c r="C280" s="2" t="s">
        <v>11</v>
      </c>
      <c r="D280" s="2">
        <v>60</v>
      </c>
      <c r="E280" s="2" t="s">
        <v>10</v>
      </c>
      <c r="F280">
        <f>44/22</f>
        <v>2</v>
      </c>
      <c r="G280" s="2">
        <v>51</v>
      </c>
    </row>
    <row r="281" spans="1:7" x14ac:dyDescent="0.3">
      <c r="A281" t="s">
        <v>58</v>
      </c>
      <c r="B281" s="2">
        <v>7</v>
      </c>
      <c r="C281" s="2" t="s">
        <v>11</v>
      </c>
      <c r="D281" s="2">
        <v>80</v>
      </c>
      <c r="E281" s="2" t="s">
        <v>10</v>
      </c>
      <c r="F281">
        <f>55/22</f>
        <v>2.5</v>
      </c>
      <c r="G281" s="2">
        <v>51</v>
      </c>
    </row>
    <row r="282" spans="1:7" x14ac:dyDescent="0.3">
      <c r="A282" t="s">
        <v>58</v>
      </c>
      <c r="B282" s="2">
        <v>7</v>
      </c>
      <c r="C282" s="2" t="s">
        <v>11</v>
      </c>
      <c r="D282" s="2">
        <v>100</v>
      </c>
      <c r="E282" s="2" t="s">
        <v>10</v>
      </c>
      <c r="F282">
        <f>39/22</f>
        <v>1.7727272727272727</v>
      </c>
      <c r="G282" s="2">
        <v>51</v>
      </c>
    </row>
    <row r="283" spans="1:7" x14ac:dyDescent="0.3">
      <c r="A283" t="s">
        <v>58</v>
      </c>
      <c r="B283" s="2">
        <v>7</v>
      </c>
      <c r="C283" s="2" t="s">
        <v>11</v>
      </c>
      <c r="D283" s="2">
        <v>150</v>
      </c>
      <c r="E283" s="2" t="s">
        <v>10</v>
      </c>
      <c r="F283">
        <f>23/22</f>
        <v>1.0454545454545454</v>
      </c>
      <c r="G283" s="2">
        <v>51</v>
      </c>
    </row>
    <row r="284" spans="1:7" x14ac:dyDescent="0.3">
      <c r="A284" t="s">
        <v>58</v>
      </c>
      <c r="B284" s="2">
        <v>7</v>
      </c>
      <c r="C284" s="2" t="s">
        <v>11</v>
      </c>
      <c r="D284" s="2">
        <v>30</v>
      </c>
      <c r="E284" s="2" t="s">
        <v>10</v>
      </c>
      <c r="F284">
        <f>524/335</f>
        <v>1.5641791044776119</v>
      </c>
      <c r="G284" s="2">
        <v>51</v>
      </c>
    </row>
    <row r="285" spans="1:7" x14ac:dyDescent="0.3">
      <c r="A285" t="s">
        <v>58</v>
      </c>
      <c r="B285" s="2">
        <v>7</v>
      </c>
      <c r="C285" s="2" t="s">
        <v>11</v>
      </c>
      <c r="D285" s="2">
        <v>60</v>
      </c>
      <c r="E285" s="2" t="s">
        <v>10</v>
      </c>
      <c r="F285">
        <f>461/335</f>
        <v>1.3761194029850747</v>
      </c>
      <c r="G285" s="2">
        <v>51</v>
      </c>
    </row>
    <row r="286" spans="1:7" x14ac:dyDescent="0.3">
      <c r="A286" t="s">
        <v>58</v>
      </c>
      <c r="B286" s="2">
        <v>7</v>
      </c>
      <c r="C286" s="2" t="s">
        <v>11</v>
      </c>
      <c r="D286" s="2">
        <v>80</v>
      </c>
      <c r="E286" s="2" t="s">
        <v>10</v>
      </c>
      <c r="F286">
        <f>373/335</f>
        <v>1.1134328358208956</v>
      </c>
      <c r="G286" s="2">
        <v>51</v>
      </c>
    </row>
    <row r="287" spans="1:7" x14ac:dyDescent="0.3">
      <c r="A287" t="s">
        <v>58</v>
      </c>
      <c r="B287" s="2">
        <v>7</v>
      </c>
      <c r="C287" s="2" t="s">
        <v>11</v>
      </c>
      <c r="D287" s="2">
        <v>100</v>
      </c>
      <c r="E287" s="2" t="s">
        <v>10</v>
      </c>
      <c r="F287">
        <f>365/335</f>
        <v>1.0895522388059702</v>
      </c>
      <c r="G287" s="2">
        <v>51</v>
      </c>
    </row>
    <row r="288" spans="1:7" x14ac:dyDescent="0.3">
      <c r="A288" t="s">
        <v>58</v>
      </c>
      <c r="B288" s="2">
        <v>7</v>
      </c>
      <c r="C288" s="2" t="s">
        <v>11</v>
      </c>
      <c r="D288" s="2">
        <v>150</v>
      </c>
      <c r="E288" s="2" t="s">
        <v>10</v>
      </c>
      <c r="F288">
        <f>263/335</f>
        <v>0.78507462686567164</v>
      </c>
      <c r="G288" s="2">
        <v>51</v>
      </c>
    </row>
    <row r="289" spans="1:7" x14ac:dyDescent="0.3">
      <c r="A289" t="s">
        <v>58</v>
      </c>
      <c r="B289" s="2">
        <v>7</v>
      </c>
      <c r="C289" s="2" t="s">
        <v>11</v>
      </c>
      <c r="D289" s="2">
        <v>30</v>
      </c>
      <c r="E289" s="2" t="s">
        <v>10</v>
      </c>
      <c r="F289">
        <f>16/15</f>
        <v>1.0666666666666667</v>
      </c>
      <c r="G289" s="2">
        <v>51</v>
      </c>
    </row>
    <row r="290" spans="1:7" x14ac:dyDescent="0.3">
      <c r="A290" t="s">
        <v>58</v>
      </c>
      <c r="B290" s="2">
        <v>7</v>
      </c>
      <c r="C290" s="2" t="s">
        <v>11</v>
      </c>
      <c r="D290" s="2">
        <v>60</v>
      </c>
      <c r="E290" s="2" t="s">
        <v>10</v>
      </c>
      <c r="F290">
        <f>17/15</f>
        <v>1.1333333333333333</v>
      </c>
      <c r="G290" s="2">
        <v>51</v>
      </c>
    </row>
    <row r="291" spans="1:7" x14ac:dyDescent="0.3">
      <c r="A291" t="s">
        <v>58</v>
      </c>
      <c r="B291" s="2">
        <v>7</v>
      </c>
      <c r="C291" s="2" t="s">
        <v>11</v>
      </c>
      <c r="D291" s="2">
        <v>80</v>
      </c>
      <c r="E291" s="2" t="s">
        <v>10</v>
      </c>
      <c r="F291">
        <f>21/15</f>
        <v>1.4</v>
      </c>
      <c r="G291" s="2">
        <v>51</v>
      </c>
    </row>
    <row r="292" spans="1:7" x14ac:dyDescent="0.3">
      <c r="A292" t="s">
        <v>58</v>
      </c>
      <c r="B292" s="2">
        <v>7</v>
      </c>
      <c r="C292" s="2" t="s">
        <v>11</v>
      </c>
      <c r="D292" s="2">
        <v>100</v>
      </c>
      <c r="E292" s="2" t="s">
        <v>10</v>
      </c>
      <c r="F292">
        <f>25/15</f>
        <v>1.6666666666666667</v>
      </c>
      <c r="G292" s="2">
        <v>51</v>
      </c>
    </row>
    <row r="293" spans="1:7" x14ac:dyDescent="0.3">
      <c r="A293" t="s">
        <v>58</v>
      </c>
      <c r="B293" s="2">
        <v>7</v>
      </c>
      <c r="C293" s="2" t="s">
        <v>11</v>
      </c>
      <c r="D293" s="2">
        <v>150</v>
      </c>
      <c r="E293" s="2" t="s">
        <v>10</v>
      </c>
      <c r="F293">
        <f>29/15</f>
        <v>1.9333333333333333</v>
      </c>
      <c r="G293" s="2">
        <v>51</v>
      </c>
    </row>
    <row r="294" spans="1:7" x14ac:dyDescent="0.3">
      <c r="A294" t="s">
        <v>59</v>
      </c>
      <c r="B294" s="2">
        <v>7</v>
      </c>
      <c r="C294" s="2" t="s">
        <v>11</v>
      </c>
      <c r="D294" s="2">
        <v>5</v>
      </c>
      <c r="E294" s="2" t="s">
        <v>10</v>
      </c>
      <c r="F294">
        <f>3904/4386</f>
        <v>0.8901048791609667</v>
      </c>
      <c r="G294" s="2">
        <v>51</v>
      </c>
    </row>
    <row r="295" spans="1:7" x14ac:dyDescent="0.3">
      <c r="A295" t="s">
        <v>59</v>
      </c>
      <c r="B295" s="2">
        <v>7</v>
      </c>
      <c r="C295" s="2" t="s">
        <v>11</v>
      </c>
      <c r="D295" s="2">
        <v>10</v>
      </c>
      <c r="E295" s="2" t="s">
        <v>10</v>
      </c>
      <c r="F295">
        <f>3810/4386</f>
        <v>0.86867305061559508</v>
      </c>
      <c r="G295" s="2">
        <v>51</v>
      </c>
    </row>
    <row r="296" spans="1:7" x14ac:dyDescent="0.3">
      <c r="A296" t="s">
        <v>59</v>
      </c>
      <c r="B296" s="2">
        <v>7</v>
      </c>
      <c r="C296" s="2" t="s">
        <v>11</v>
      </c>
      <c r="D296" s="2">
        <v>20</v>
      </c>
      <c r="E296" s="2" t="s">
        <v>10</v>
      </c>
      <c r="F296">
        <f>2994/4386</f>
        <v>0.6826265389876881</v>
      </c>
      <c r="G296" s="2">
        <v>51</v>
      </c>
    </row>
    <row r="297" spans="1:7" x14ac:dyDescent="0.3">
      <c r="A297" t="s">
        <v>59</v>
      </c>
      <c r="B297" s="2">
        <v>7</v>
      </c>
      <c r="C297" s="2" t="s">
        <v>11</v>
      </c>
      <c r="D297" s="2">
        <v>40</v>
      </c>
      <c r="E297" s="2" t="s">
        <v>10</v>
      </c>
      <c r="F297">
        <f>2245/4386</f>
        <v>0.51185590515275881</v>
      </c>
      <c r="G297" s="2">
        <v>51</v>
      </c>
    </row>
    <row r="298" spans="1:7" x14ac:dyDescent="0.3">
      <c r="A298" t="s">
        <v>59</v>
      </c>
      <c r="B298" s="2">
        <v>7</v>
      </c>
      <c r="C298" s="2" t="s">
        <v>11</v>
      </c>
      <c r="D298" s="2">
        <v>80</v>
      </c>
      <c r="E298" s="2" t="s">
        <v>10</v>
      </c>
      <c r="F298">
        <f>2031/4386</f>
        <v>0.4630642954856361</v>
      </c>
      <c r="G298" s="2">
        <v>51</v>
      </c>
    </row>
    <row r="299" spans="1:7" x14ac:dyDescent="0.3">
      <c r="A299" t="s">
        <v>59</v>
      </c>
      <c r="B299" s="2">
        <v>7</v>
      </c>
      <c r="C299" s="2" t="s">
        <v>11</v>
      </c>
      <c r="D299" s="2">
        <v>5</v>
      </c>
      <c r="E299" s="2" t="s">
        <v>10</v>
      </c>
      <c r="F299">
        <f>29/25</f>
        <v>1.1599999999999999</v>
      </c>
      <c r="G299" s="2">
        <v>51</v>
      </c>
    </row>
    <row r="300" spans="1:7" x14ac:dyDescent="0.3">
      <c r="A300" t="s">
        <v>59</v>
      </c>
      <c r="B300" s="2">
        <v>7</v>
      </c>
      <c r="C300" s="2" t="s">
        <v>11</v>
      </c>
      <c r="D300" s="2">
        <v>10</v>
      </c>
      <c r="E300" s="2" t="s">
        <v>10</v>
      </c>
      <c r="F300">
        <f>53/25</f>
        <v>2.12</v>
      </c>
      <c r="G300" s="2">
        <v>51</v>
      </c>
    </row>
    <row r="301" spans="1:7" x14ac:dyDescent="0.3">
      <c r="A301" t="s">
        <v>59</v>
      </c>
      <c r="B301" s="2">
        <v>7</v>
      </c>
      <c r="C301" s="2" t="s">
        <v>11</v>
      </c>
      <c r="D301" s="2">
        <v>20</v>
      </c>
      <c r="E301" s="2" t="s">
        <v>10</v>
      </c>
      <c r="F301">
        <f>58/25</f>
        <v>2.3199999999999998</v>
      </c>
      <c r="G301" s="2">
        <v>51</v>
      </c>
    </row>
    <row r="302" spans="1:7" x14ac:dyDescent="0.3">
      <c r="A302" t="s">
        <v>59</v>
      </c>
      <c r="B302" s="2">
        <v>7</v>
      </c>
      <c r="C302" s="2" t="s">
        <v>11</v>
      </c>
      <c r="D302" s="2">
        <v>40</v>
      </c>
      <c r="E302" s="2" t="s">
        <v>10</v>
      </c>
      <c r="F302">
        <f>65/25</f>
        <v>2.6</v>
      </c>
      <c r="G302" s="2">
        <v>51</v>
      </c>
    </row>
    <row r="303" spans="1:7" x14ac:dyDescent="0.3">
      <c r="A303" t="s">
        <v>59</v>
      </c>
      <c r="B303" s="2">
        <v>7</v>
      </c>
      <c r="C303" s="2" t="s">
        <v>11</v>
      </c>
      <c r="D303" s="2">
        <v>80</v>
      </c>
      <c r="E303" s="2" t="s">
        <v>10</v>
      </c>
      <c r="F303">
        <f>41/25</f>
        <v>1.64</v>
      </c>
      <c r="G303" s="2">
        <v>51</v>
      </c>
    </row>
    <row r="304" spans="1:7" x14ac:dyDescent="0.3">
      <c r="A304" t="s">
        <v>59</v>
      </c>
      <c r="B304" s="2">
        <v>7</v>
      </c>
      <c r="C304" s="2" t="s">
        <v>11</v>
      </c>
      <c r="D304" s="2">
        <v>5</v>
      </c>
      <c r="E304" s="2" t="s">
        <v>10</v>
      </c>
      <c r="F304">
        <f>404/361</f>
        <v>1.1191135734072022</v>
      </c>
      <c r="G304" s="2">
        <v>51</v>
      </c>
    </row>
    <row r="305" spans="1:7" x14ac:dyDescent="0.3">
      <c r="A305" t="s">
        <v>59</v>
      </c>
      <c r="B305" s="2">
        <v>7</v>
      </c>
      <c r="C305" s="2" t="s">
        <v>11</v>
      </c>
      <c r="D305" s="2">
        <v>10</v>
      </c>
      <c r="E305" s="2" t="s">
        <v>10</v>
      </c>
      <c r="F305">
        <f>409/361</f>
        <v>1.1329639889196677</v>
      </c>
      <c r="G305" s="2">
        <v>51</v>
      </c>
    </row>
    <row r="306" spans="1:7" x14ac:dyDescent="0.3">
      <c r="A306" t="s">
        <v>59</v>
      </c>
      <c r="B306" s="2">
        <v>7</v>
      </c>
      <c r="C306" s="2" t="s">
        <v>11</v>
      </c>
      <c r="D306" s="2">
        <v>20</v>
      </c>
      <c r="E306" s="2" t="s">
        <v>10</v>
      </c>
      <c r="F306">
        <f>465/361</f>
        <v>1.2880886426592797</v>
      </c>
      <c r="G306" s="2">
        <v>51</v>
      </c>
    </row>
    <row r="307" spans="1:7" x14ac:dyDescent="0.3">
      <c r="A307" t="s">
        <v>59</v>
      </c>
      <c r="B307" s="2">
        <v>7</v>
      </c>
      <c r="C307" s="2" t="s">
        <v>11</v>
      </c>
      <c r="D307" s="2">
        <v>40</v>
      </c>
      <c r="E307" s="2" t="s">
        <v>10</v>
      </c>
      <c r="F307">
        <f>490/361</f>
        <v>1.3573407202216066</v>
      </c>
      <c r="G307" s="2">
        <v>51</v>
      </c>
    </row>
    <row r="308" spans="1:7" x14ac:dyDescent="0.3">
      <c r="A308" t="s">
        <v>59</v>
      </c>
      <c r="B308" s="2">
        <v>7</v>
      </c>
      <c r="C308" s="2" t="s">
        <v>11</v>
      </c>
      <c r="D308" s="2">
        <v>80</v>
      </c>
      <c r="E308" s="2" t="s">
        <v>10</v>
      </c>
      <c r="F308">
        <f>444/361</f>
        <v>1.2299168975069252</v>
      </c>
      <c r="G308" s="2">
        <v>51</v>
      </c>
    </row>
    <row r="309" spans="1:7" x14ac:dyDescent="0.3">
      <c r="A309" t="s">
        <v>59</v>
      </c>
      <c r="B309" s="2">
        <v>7</v>
      </c>
      <c r="C309" s="2" t="s">
        <v>11</v>
      </c>
      <c r="D309" s="2">
        <v>5</v>
      </c>
      <c r="E309" s="2" t="s">
        <v>10</v>
      </c>
      <c r="F309">
        <f>110/100</f>
        <v>1.1000000000000001</v>
      </c>
      <c r="G309" s="2">
        <v>51</v>
      </c>
    </row>
    <row r="310" spans="1:7" x14ac:dyDescent="0.3">
      <c r="A310" t="s">
        <v>59</v>
      </c>
      <c r="B310" s="2">
        <v>7</v>
      </c>
      <c r="C310" s="2" t="s">
        <v>11</v>
      </c>
      <c r="D310" s="2">
        <v>10</v>
      </c>
      <c r="E310" s="2" t="s">
        <v>10</v>
      </c>
      <c r="F310">
        <f>1.3</f>
        <v>1.3</v>
      </c>
      <c r="G310" s="2">
        <v>51</v>
      </c>
    </row>
    <row r="311" spans="1:7" x14ac:dyDescent="0.3">
      <c r="A311" t="s">
        <v>59</v>
      </c>
      <c r="B311" s="2">
        <v>7</v>
      </c>
      <c r="C311" s="2" t="s">
        <v>11</v>
      </c>
      <c r="D311" s="2">
        <v>20</v>
      </c>
      <c r="E311" s="2" t="s">
        <v>10</v>
      </c>
      <c r="F311">
        <v>1.4</v>
      </c>
      <c r="G311" s="2">
        <v>51</v>
      </c>
    </row>
    <row r="312" spans="1:7" x14ac:dyDescent="0.3">
      <c r="A312" t="s">
        <v>59</v>
      </c>
      <c r="B312" s="2">
        <v>7</v>
      </c>
      <c r="C312" s="2" t="s">
        <v>11</v>
      </c>
      <c r="D312" s="2">
        <v>40</v>
      </c>
      <c r="E312" s="2" t="s">
        <v>10</v>
      </c>
      <c r="F312">
        <v>1.6</v>
      </c>
      <c r="G312" s="2">
        <v>51</v>
      </c>
    </row>
    <row r="313" spans="1:7" x14ac:dyDescent="0.3">
      <c r="A313" t="s">
        <v>59</v>
      </c>
      <c r="B313" s="2">
        <v>7</v>
      </c>
      <c r="C313" s="2" t="s">
        <v>11</v>
      </c>
      <c r="D313" s="2">
        <v>80</v>
      </c>
      <c r="E313" s="2" t="s">
        <v>10</v>
      </c>
      <c r="F313">
        <v>2</v>
      </c>
      <c r="G313" s="2">
        <v>51</v>
      </c>
    </row>
    <row r="314" spans="1:7" x14ac:dyDescent="0.3">
      <c r="A314" t="s">
        <v>61</v>
      </c>
      <c r="B314">
        <v>5</v>
      </c>
      <c r="C314" s="2" t="s">
        <v>8</v>
      </c>
      <c r="D314" s="2">
        <v>100</v>
      </c>
      <c r="E314" s="2" t="s">
        <v>9</v>
      </c>
      <c r="F314">
        <v>0.91452991452991395</v>
      </c>
      <c r="G314" s="2">
        <v>51</v>
      </c>
    </row>
    <row r="315" spans="1:7" x14ac:dyDescent="0.3">
      <c r="A315" t="s">
        <v>61</v>
      </c>
      <c r="B315">
        <v>5</v>
      </c>
      <c r="C315" s="2" t="s">
        <v>8</v>
      </c>
      <c r="D315" s="2">
        <v>200</v>
      </c>
      <c r="E315" s="2" t="s">
        <v>9</v>
      </c>
      <c r="F315">
        <v>0.85897435897435803</v>
      </c>
      <c r="G315" s="2">
        <v>51</v>
      </c>
    </row>
    <row r="316" spans="1:7" x14ac:dyDescent="0.3">
      <c r="A316" t="s">
        <v>61</v>
      </c>
      <c r="B316">
        <v>5</v>
      </c>
      <c r="C316" s="2" t="s">
        <v>8</v>
      </c>
      <c r="D316" s="2">
        <v>400</v>
      </c>
      <c r="E316" s="2" t="s">
        <v>9</v>
      </c>
      <c r="F316">
        <v>0.816239316239316</v>
      </c>
      <c r="G316" s="2">
        <v>51</v>
      </c>
    </row>
    <row r="317" spans="1:7" x14ac:dyDescent="0.3">
      <c r="A317" t="s">
        <v>61</v>
      </c>
      <c r="B317">
        <v>5</v>
      </c>
      <c r="C317" s="2" t="s">
        <v>8</v>
      </c>
      <c r="D317" s="2">
        <v>600</v>
      </c>
      <c r="E317" s="2" t="s">
        <v>9</v>
      </c>
      <c r="F317">
        <v>0.56837606837606802</v>
      </c>
      <c r="G317" s="2">
        <v>51</v>
      </c>
    </row>
    <row r="318" spans="1:7" x14ac:dyDescent="0.3">
      <c r="A318" t="s">
        <v>61</v>
      </c>
      <c r="B318">
        <v>5</v>
      </c>
      <c r="C318" s="2" t="s">
        <v>8</v>
      </c>
      <c r="D318" s="2">
        <v>800</v>
      </c>
      <c r="E318" s="2" t="s">
        <v>9</v>
      </c>
      <c r="F318">
        <v>0.487179487179487</v>
      </c>
      <c r="G318" s="2">
        <v>51</v>
      </c>
    </row>
    <row r="319" spans="1:7" x14ac:dyDescent="0.3">
      <c r="A319" t="s">
        <v>58</v>
      </c>
      <c r="B319" s="2">
        <v>7</v>
      </c>
      <c r="C319" s="2" t="s">
        <v>8</v>
      </c>
      <c r="D319" s="2">
        <v>30</v>
      </c>
      <c r="E319" s="2" t="s">
        <v>9</v>
      </c>
      <c r="F319">
        <v>0.842741935483871</v>
      </c>
      <c r="G319" s="2">
        <v>51</v>
      </c>
    </row>
    <row r="320" spans="1:7" x14ac:dyDescent="0.3">
      <c r="A320" t="s">
        <v>58</v>
      </c>
      <c r="B320" s="2">
        <v>7</v>
      </c>
      <c r="C320" s="2" t="s">
        <v>8</v>
      </c>
      <c r="D320" s="2">
        <v>60</v>
      </c>
      <c r="E320" s="2" t="s">
        <v>9</v>
      </c>
      <c r="F320">
        <v>0.73790322580645096</v>
      </c>
      <c r="G320" s="2">
        <v>51</v>
      </c>
    </row>
    <row r="321" spans="1:8" x14ac:dyDescent="0.3">
      <c r="A321" t="s">
        <v>58</v>
      </c>
      <c r="B321" s="2">
        <v>7</v>
      </c>
      <c r="C321" s="2" t="s">
        <v>8</v>
      </c>
      <c r="D321" s="2">
        <v>80</v>
      </c>
      <c r="E321" s="2" t="s">
        <v>9</v>
      </c>
      <c r="F321">
        <v>0.65322580645161199</v>
      </c>
      <c r="G321" s="2">
        <v>51</v>
      </c>
    </row>
    <row r="322" spans="1:8" x14ac:dyDescent="0.3">
      <c r="A322" t="s">
        <v>58</v>
      </c>
      <c r="B322" s="2">
        <v>7</v>
      </c>
      <c r="C322" s="2" t="s">
        <v>8</v>
      </c>
      <c r="D322" s="2">
        <v>100</v>
      </c>
      <c r="E322" s="2" t="s">
        <v>9</v>
      </c>
      <c r="F322">
        <v>0.64112903225806395</v>
      </c>
      <c r="G322" s="2">
        <v>51</v>
      </c>
    </row>
    <row r="323" spans="1:8" x14ac:dyDescent="0.3">
      <c r="A323" t="s">
        <v>58</v>
      </c>
      <c r="B323" s="2">
        <v>7</v>
      </c>
      <c r="C323" s="2" t="s">
        <v>8</v>
      </c>
      <c r="D323" s="2">
        <v>150</v>
      </c>
      <c r="E323" s="2" t="s">
        <v>9</v>
      </c>
      <c r="F323">
        <v>0.47983870967741898</v>
      </c>
      <c r="G323" s="2">
        <v>51</v>
      </c>
    </row>
    <row r="324" spans="1:8" x14ac:dyDescent="0.3">
      <c r="A324" t="s">
        <v>59</v>
      </c>
      <c r="B324" s="2">
        <v>7</v>
      </c>
      <c r="C324" s="2" t="s">
        <v>8</v>
      </c>
      <c r="D324" s="2">
        <v>5</v>
      </c>
      <c r="E324" s="2" t="s">
        <v>9</v>
      </c>
      <c r="F324">
        <v>0.89019607843137205</v>
      </c>
      <c r="G324" s="2">
        <v>51</v>
      </c>
    </row>
    <row r="325" spans="1:8" x14ac:dyDescent="0.3">
      <c r="A325" t="s">
        <v>59</v>
      </c>
      <c r="B325" s="2">
        <v>7</v>
      </c>
      <c r="C325" s="2" t="s">
        <v>8</v>
      </c>
      <c r="D325" s="2">
        <v>10</v>
      </c>
      <c r="E325" s="2" t="s">
        <v>9</v>
      </c>
      <c r="F325">
        <v>0.63137254901960704</v>
      </c>
      <c r="G325" s="2">
        <v>51</v>
      </c>
    </row>
    <row r="326" spans="1:8" x14ac:dyDescent="0.3">
      <c r="A326" t="s">
        <v>59</v>
      </c>
      <c r="B326" s="2">
        <v>7</v>
      </c>
      <c r="C326" s="2" t="s">
        <v>8</v>
      </c>
      <c r="D326" s="2">
        <v>20</v>
      </c>
      <c r="E326" s="2" t="s">
        <v>9</v>
      </c>
      <c r="F326">
        <v>0.58823529411764697</v>
      </c>
      <c r="G326" s="2">
        <v>51</v>
      </c>
    </row>
    <row r="327" spans="1:8" x14ac:dyDescent="0.3">
      <c r="A327" t="s">
        <v>59</v>
      </c>
      <c r="B327" s="2">
        <v>7</v>
      </c>
      <c r="C327" s="2" t="s">
        <v>8</v>
      </c>
      <c r="D327" s="2">
        <v>40</v>
      </c>
      <c r="E327" s="2" t="s">
        <v>9</v>
      </c>
      <c r="F327">
        <v>0.44313725490195999</v>
      </c>
      <c r="G327" s="2">
        <v>51</v>
      </c>
    </row>
    <row r="328" spans="1:8" s="1" customFormat="1" ht="13.9" thickBot="1" x14ac:dyDescent="0.35">
      <c r="A328" s="1" t="s">
        <v>59</v>
      </c>
      <c r="B328" s="3">
        <v>7</v>
      </c>
      <c r="C328" s="3" t="s">
        <v>8</v>
      </c>
      <c r="D328" s="3">
        <v>80</v>
      </c>
      <c r="E328" s="3" t="s">
        <v>9</v>
      </c>
      <c r="F328" s="1">
        <v>0.32941176470588202</v>
      </c>
      <c r="G328" s="3">
        <v>51</v>
      </c>
      <c r="H328"/>
    </row>
    <row r="329" spans="1:8" x14ac:dyDescent="0.3">
      <c r="A329" s="2" t="s">
        <v>62</v>
      </c>
      <c r="B329" s="2">
        <v>8</v>
      </c>
      <c r="C329" s="2" t="s">
        <v>8</v>
      </c>
      <c r="D329" s="2">
        <v>1500</v>
      </c>
      <c r="E329" s="2" t="s">
        <v>12</v>
      </c>
      <c r="F329">
        <f>2609/2553</f>
        <v>1.0219349784567175</v>
      </c>
      <c r="G329" s="2">
        <v>52</v>
      </c>
    </row>
    <row r="330" spans="1:8" x14ac:dyDescent="0.3">
      <c r="A330" s="2" t="s">
        <v>62</v>
      </c>
      <c r="B330" s="2">
        <v>8</v>
      </c>
      <c r="C330" s="2" t="s">
        <v>8</v>
      </c>
      <c r="D330" s="2">
        <v>5000</v>
      </c>
      <c r="E330" s="2" t="s">
        <v>12</v>
      </c>
      <c r="F330">
        <f>2318/2553</f>
        <v>0.90795142969056009</v>
      </c>
      <c r="G330" s="2">
        <v>52</v>
      </c>
    </row>
    <row r="331" spans="1:8" x14ac:dyDescent="0.3">
      <c r="A331" s="2" t="s">
        <v>62</v>
      </c>
      <c r="B331" s="2">
        <v>8</v>
      </c>
      <c r="C331" s="2" t="s">
        <v>8</v>
      </c>
      <c r="D331" s="2">
        <v>10000</v>
      </c>
      <c r="E331" s="2" t="s">
        <v>12</v>
      </c>
      <c r="F331">
        <f>2202/2553</f>
        <v>0.86251468860164515</v>
      </c>
      <c r="G331" s="2">
        <v>52</v>
      </c>
    </row>
    <row r="332" spans="1:8" x14ac:dyDescent="0.3">
      <c r="A332" s="2" t="s">
        <v>62</v>
      </c>
      <c r="B332" s="2">
        <v>8</v>
      </c>
      <c r="C332" s="2" t="s">
        <v>8</v>
      </c>
      <c r="D332" s="2">
        <v>15000</v>
      </c>
      <c r="E332" s="2" t="s">
        <v>12</v>
      </c>
      <c r="F332">
        <f>1990/2553</f>
        <v>0.77947512730121427</v>
      </c>
      <c r="G332" s="2">
        <v>52</v>
      </c>
    </row>
    <row r="333" spans="1:8" x14ac:dyDescent="0.3">
      <c r="A333" s="2" t="s">
        <v>62</v>
      </c>
      <c r="B333" s="2">
        <v>8</v>
      </c>
      <c r="C333" s="2" t="s">
        <v>8</v>
      </c>
      <c r="D333" s="2">
        <v>50000</v>
      </c>
      <c r="E333" s="2" t="s">
        <v>12</v>
      </c>
      <c r="F333">
        <f>1789/2553</f>
        <v>0.70074422248335289</v>
      </c>
      <c r="G333" s="2">
        <v>52</v>
      </c>
    </row>
    <row r="334" spans="1:8" x14ac:dyDescent="0.3">
      <c r="A334" s="2" t="s">
        <v>62</v>
      </c>
      <c r="B334" s="2">
        <v>8</v>
      </c>
      <c r="C334" s="2" t="s">
        <v>8</v>
      </c>
      <c r="D334" s="2">
        <v>1500</v>
      </c>
      <c r="E334" s="2" t="s">
        <v>12</v>
      </c>
      <c r="F334">
        <f>49/47</f>
        <v>1.0425531914893618</v>
      </c>
      <c r="G334" s="2">
        <v>52</v>
      </c>
    </row>
    <row r="335" spans="1:8" x14ac:dyDescent="0.3">
      <c r="A335" s="2" t="s">
        <v>62</v>
      </c>
      <c r="B335" s="2">
        <v>8</v>
      </c>
      <c r="C335" s="2" t="s">
        <v>8</v>
      </c>
      <c r="D335" s="2">
        <v>5000</v>
      </c>
      <c r="E335" s="2" t="s">
        <v>12</v>
      </c>
      <c r="F335">
        <f>45/47</f>
        <v>0.95744680851063835</v>
      </c>
      <c r="G335" s="2">
        <v>52</v>
      </c>
    </row>
    <row r="336" spans="1:8" x14ac:dyDescent="0.3">
      <c r="A336" s="2" t="s">
        <v>62</v>
      </c>
      <c r="B336" s="2">
        <v>8</v>
      </c>
      <c r="C336" s="2" t="s">
        <v>8</v>
      </c>
      <c r="D336" s="2">
        <v>10000</v>
      </c>
      <c r="E336" s="2" t="s">
        <v>12</v>
      </c>
      <c r="F336">
        <f>41/47</f>
        <v>0.87234042553191493</v>
      </c>
      <c r="G336" s="2">
        <v>52</v>
      </c>
    </row>
    <row r="337" spans="1:7" x14ac:dyDescent="0.3">
      <c r="A337" s="2" t="s">
        <v>62</v>
      </c>
      <c r="B337" s="2">
        <v>8</v>
      </c>
      <c r="C337" s="2" t="s">
        <v>8</v>
      </c>
      <c r="D337" s="2">
        <v>15000</v>
      </c>
      <c r="E337" s="2" t="s">
        <v>12</v>
      </c>
      <c r="F337">
        <f>38/47</f>
        <v>0.80851063829787229</v>
      </c>
      <c r="G337" s="2">
        <v>52</v>
      </c>
    </row>
    <row r="338" spans="1:7" x14ac:dyDescent="0.3">
      <c r="A338" s="2" t="s">
        <v>62</v>
      </c>
      <c r="B338" s="2">
        <v>8</v>
      </c>
      <c r="C338" s="2" t="s">
        <v>8</v>
      </c>
      <c r="D338" s="2">
        <v>50000</v>
      </c>
      <c r="E338" s="2" t="s">
        <v>12</v>
      </c>
      <c r="F338">
        <f>36/47</f>
        <v>0.76595744680851063</v>
      </c>
      <c r="G338" s="2">
        <v>52</v>
      </c>
    </row>
    <row r="339" spans="1:7" x14ac:dyDescent="0.3">
      <c r="A339" s="2" t="s">
        <v>62</v>
      </c>
      <c r="B339" s="2">
        <v>8</v>
      </c>
      <c r="C339" s="2" t="s">
        <v>11</v>
      </c>
      <c r="D339" s="2">
        <v>1500</v>
      </c>
      <c r="E339" s="2" t="s">
        <v>12</v>
      </c>
      <c r="F339">
        <f>1607/1506</f>
        <v>1.0670650730411686</v>
      </c>
      <c r="G339" s="2">
        <v>52</v>
      </c>
    </row>
    <row r="340" spans="1:7" x14ac:dyDescent="0.3">
      <c r="A340" s="2" t="s">
        <v>62</v>
      </c>
      <c r="B340" s="2">
        <v>8</v>
      </c>
      <c r="C340" s="2" t="s">
        <v>11</v>
      </c>
      <c r="D340" s="2">
        <v>5000</v>
      </c>
      <c r="E340" s="2" t="s">
        <v>12</v>
      </c>
      <c r="F340">
        <f>1447/1506</f>
        <v>0.96082337317397082</v>
      </c>
      <c r="G340" s="2">
        <v>52</v>
      </c>
    </row>
    <row r="341" spans="1:7" x14ac:dyDescent="0.3">
      <c r="A341" s="2" t="s">
        <v>62</v>
      </c>
      <c r="B341" s="2">
        <v>8</v>
      </c>
      <c r="C341" s="2" t="s">
        <v>11</v>
      </c>
      <c r="D341" s="2">
        <v>10000</v>
      </c>
      <c r="E341" s="2" t="s">
        <v>12</v>
      </c>
      <c r="F341">
        <f>1295/1506</f>
        <v>0.85989375830013282</v>
      </c>
      <c r="G341" s="2">
        <v>52</v>
      </c>
    </row>
    <row r="342" spans="1:7" x14ac:dyDescent="0.3">
      <c r="A342" s="2" t="s">
        <v>62</v>
      </c>
      <c r="B342" s="2">
        <v>8</v>
      </c>
      <c r="C342" s="2" t="s">
        <v>11</v>
      </c>
      <c r="D342" s="2">
        <v>15000</v>
      </c>
      <c r="E342" s="2" t="s">
        <v>12</v>
      </c>
      <c r="F342">
        <f>1243/1506</f>
        <v>0.82536520584329354</v>
      </c>
      <c r="G342" s="2">
        <v>52</v>
      </c>
    </row>
    <row r="343" spans="1:7" x14ac:dyDescent="0.3">
      <c r="A343" s="2" t="s">
        <v>62</v>
      </c>
      <c r="B343" s="2">
        <v>8</v>
      </c>
      <c r="C343" s="2" t="s">
        <v>11</v>
      </c>
      <c r="D343" s="2">
        <v>50000</v>
      </c>
      <c r="E343" s="2" t="s">
        <v>12</v>
      </c>
      <c r="F343">
        <f>1184/1506</f>
        <v>0.78618857901726424</v>
      </c>
      <c r="G343" s="2">
        <v>52</v>
      </c>
    </row>
    <row r="344" spans="1:7" x14ac:dyDescent="0.3">
      <c r="A344" s="2" t="s">
        <v>62</v>
      </c>
      <c r="B344" s="2">
        <v>8</v>
      </c>
      <c r="C344" s="2" t="s">
        <v>11</v>
      </c>
      <c r="D344" s="2">
        <v>1500</v>
      </c>
      <c r="E344" s="2" t="s">
        <v>12</v>
      </c>
      <c r="F344">
        <f>24/20</f>
        <v>1.2</v>
      </c>
      <c r="G344" s="2">
        <v>52</v>
      </c>
    </row>
    <row r="345" spans="1:7" x14ac:dyDescent="0.3">
      <c r="A345" s="2" t="s">
        <v>62</v>
      </c>
      <c r="B345" s="2">
        <v>8</v>
      </c>
      <c r="C345" s="2" t="s">
        <v>11</v>
      </c>
      <c r="D345" s="2">
        <v>5000</v>
      </c>
      <c r="E345" s="2" t="s">
        <v>12</v>
      </c>
      <c r="F345">
        <v>1</v>
      </c>
      <c r="G345" s="2">
        <v>52</v>
      </c>
    </row>
    <row r="346" spans="1:7" x14ac:dyDescent="0.3">
      <c r="A346" s="2" t="s">
        <v>62</v>
      </c>
      <c r="B346" s="2">
        <v>8</v>
      </c>
      <c r="C346" s="2" t="s">
        <v>11</v>
      </c>
      <c r="D346" s="2">
        <v>10000</v>
      </c>
      <c r="E346" s="2" t="s">
        <v>12</v>
      </c>
      <c r="F346">
        <f>17/20</f>
        <v>0.85</v>
      </c>
      <c r="G346" s="2">
        <v>52</v>
      </c>
    </row>
    <row r="347" spans="1:7" x14ac:dyDescent="0.3">
      <c r="A347" s="2" t="s">
        <v>62</v>
      </c>
      <c r="B347" s="2">
        <v>8</v>
      </c>
      <c r="C347" s="2" t="s">
        <v>11</v>
      </c>
      <c r="D347" s="2">
        <v>15000</v>
      </c>
      <c r="E347" s="2" t="s">
        <v>12</v>
      </c>
      <c r="F347">
        <f>14/20</f>
        <v>0.7</v>
      </c>
      <c r="G347" s="2">
        <v>52</v>
      </c>
    </row>
    <row r="348" spans="1:7" x14ac:dyDescent="0.3">
      <c r="A348" s="2" t="s">
        <v>62</v>
      </c>
      <c r="B348" s="2">
        <v>8</v>
      </c>
      <c r="C348" s="2" t="s">
        <v>11</v>
      </c>
      <c r="D348" s="2">
        <v>50000</v>
      </c>
      <c r="E348" s="2" t="s">
        <v>12</v>
      </c>
      <c r="F348">
        <f>13/20</f>
        <v>0.65</v>
      </c>
      <c r="G348" s="2">
        <v>52</v>
      </c>
    </row>
    <row r="349" spans="1:7" x14ac:dyDescent="0.3">
      <c r="A349" s="2" t="s">
        <v>62</v>
      </c>
      <c r="B349" s="2">
        <v>8</v>
      </c>
      <c r="C349" s="2" t="s">
        <v>8</v>
      </c>
      <c r="D349" s="2">
        <v>1500</v>
      </c>
      <c r="E349" s="2" t="s">
        <v>9</v>
      </c>
      <c r="F349">
        <v>1.0659898477157299</v>
      </c>
      <c r="G349" s="2">
        <v>52</v>
      </c>
    </row>
    <row r="350" spans="1:7" x14ac:dyDescent="0.3">
      <c r="A350" s="2" t="s">
        <v>62</v>
      </c>
      <c r="B350" s="2">
        <v>8</v>
      </c>
      <c r="C350" s="2" t="s">
        <v>8</v>
      </c>
      <c r="D350" s="2">
        <v>5000</v>
      </c>
      <c r="E350" s="2" t="s">
        <v>9</v>
      </c>
      <c r="F350">
        <v>1.0406091370558299</v>
      </c>
      <c r="G350" s="2">
        <v>52</v>
      </c>
    </row>
    <row r="351" spans="1:7" x14ac:dyDescent="0.3">
      <c r="A351" s="2" t="s">
        <v>62</v>
      </c>
      <c r="B351" s="2">
        <v>8</v>
      </c>
      <c r="C351" s="2" t="s">
        <v>8</v>
      </c>
      <c r="D351" s="2">
        <v>10000</v>
      </c>
      <c r="E351" s="2" t="s">
        <v>9</v>
      </c>
      <c r="F351">
        <v>0.89847715736040601</v>
      </c>
      <c r="G351" s="2">
        <v>52</v>
      </c>
    </row>
    <row r="352" spans="1:7" x14ac:dyDescent="0.3">
      <c r="A352" s="2" t="s">
        <v>62</v>
      </c>
      <c r="B352" s="2">
        <v>8</v>
      </c>
      <c r="C352" s="2" t="s">
        <v>8</v>
      </c>
      <c r="D352" s="2">
        <v>15000</v>
      </c>
      <c r="E352" s="2" t="s">
        <v>9</v>
      </c>
      <c r="F352">
        <v>0.756345177664974</v>
      </c>
      <c r="G352" s="2">
        <v>52</v>
      </c>
    </row>
    <row r="353" spans="1:7" x14ac:dyDescent="0.3">
      <c r="A353" s="2" t="s">
        <v>62</v>
      </c>
      <c r="B353" s="2">
        <v>8</v>
      </c>
      <c r="C353" s="2" t="s">
        <v>8</v>
      </c>
      <c r="D353" s="2">
        <v>50000</v>
      </c>
      <c r="E353" s="2" t="s">
        <v>9</v>
      </c>
      <c r="F353">
        <v>0.60913705583756295</v>
      </c>
      <c r="G353" s="2">
        <v>52</v>
      </c>
    </row>
    <row r="354" spans="1:7" x14ac:dyDescent="0.3">
      <c r="A354" s="2" t="s">
        <v>62</v>
      </c>
      <c r="B354" s="2">
        <v>8</v>
      </c>
      <c r="C354" s="2" t="s">
        <v>8</v>
      </c>
      <c r="D354" s="2">
        <v>1500</v>
      </c>
      <c r="E354" s="2" t="s">
        <v>9</v>
      </c>
      <c r="F354">
        <v>1.08092485549132</v>
      </c>
      <c r="G354" s="2">
        <v>52</v>
      </c>
    </row>
    <row r="355" spans="1:7" x14ac:dyDescent="0.3">
      <c r="A355" s="2" t="s">
        <v>62</v>
      </c>
      <c r="B355" s="2">
        <v>8</v>
      </c>
      <c r="C355" s="2" t="s">
        <v>8</v>
      </c>
      <c r="D355" s="2">
        <v>5000</v>
      </c>
      <c r="E355" s="2" t="s">
        <v>9</v>
      </c>
      <c r="F355">
        <v>0.95375722543352603</v>
      </c>
      <c r="G355" s="2">
        <v>52</v>
      </c>
    </row>
    <row r="356" spans="1:7" x14ac:dyDescent="0.3">
      <c r="A356" s="2" t="s">
        <v>62</v>
      </c>
      <c r="B356" s="2">
        <v>8</v>
      </c>
      <c r="C356" s="2" t="s">
        <v>8</v>
      </c>
      <c r="D356" s="2">
        <v>10000</v>
      </c>
      <c r="E356" s="2" t="s">
        <v>9</v>
      </c>
      <c r="F356">
        <v>0.820809248554913</v>
      </c>
      <c r="G356" s="2">
        <v>52</v>
      </c>
    </row>
    <row r="357" spans="1:7" x14ac:dyDescent="0.3">
      <c r="A357" s="2" t="s">
        <v>62</v>
      </c>
      <c r="B357" s="2">
        <v>8</v>
      </c>
      <c r="C357" s="2" t="s">
        <v>8</v>
      </c>
      <c r="D357" s="2">
        <v>15000</v>
      </c>
      <c r="E357" s="2" t="s">
        <v>9</v>
      </c>
      <c r="F357">
        <v>0.81502890173410403</v>
      </c>
      <c r="G357" s="2">
        <v>52</v>
      </c>
    </row>
    <row r="358" spans="1:7" x14ac:dyDescent="0.3">
      <c r="A358" s="2" t="s">
        <v>62</v>
      </c>
      <c r="B358" s="2">
        <v>8</v>
      </c>
      <c r="C358" s="2" t="s">
        <v>8</v>
      </c>
      <c r="D358" s="2">
        <v>50000</v>
      </c>
      <c r="E358" s="2" t="s">
        <v>9</v>
      </c>
      <c r="F358">
        <v>0.73410404624277403</v>
      </c>
      <c r="G358" s="2">
        <v>52</v>
      </c>
    </row>
    <row r="359" spans="1:7" x14ac:dyDescent="0.3">
      <c r="A359" s="2" t="s">
        <v>62</v>
      </c>
      <c r="B359" s="2">
        <v>8</v>
      </c>
      <c r="C359" s="2" t="s">
        <v>8</v>
      </c>
      <c r="D359" s="2">
        <v>1500</v>
      </c>
      <c r="E359" s="2" t="s">
        <v>9</v>
      </c>
      <c r="F359">
        <v>1.03378378378378</v>
      </c>
      <c r="G359" s="2">
        <v>52</v>
      </c>
    </row>
    <row r="360" spans="1:7" x14ac:dyDescent="0.3">
      <c r="A360" s="2" t="s">
        <v>62</v>
      </c>
      <c r="B360" s="2">
        <v>8</v>
      </c>
      <c r="C360" s="2" t="s">
        <v>8</v>
      </c>
      <c r="D360" s="2">
        <v>5000</v>
      </c>
      <c r="E360" s="2" t="s">
        <v>9</v>
      </c>
      <c r="F360">
        <v>0.96621621621621601</v>
      </c>
      <c r="G360" s="2">
        <v>52</v>
      </c>
    </row>
    <row r="361" spans="1:7" x14ac:dyDescent="0.3">
      <c r="A361" s="2" t="s">
        <v>62</v>
      </c>
      <c r="B361" s="2">
        <v>8</v>
      </c>
      <c r="C361" s="2" t="s">
        <v>8</v>
      </c>
      <c r="D361" s="2">
        <v>10000</v>
      </c>
      <c r="E361" s="2" t="s">
        <v>9</v>
      </c>
      <c r="F361">
        <v>0.82432432432432401</v>
      </c>
      <c r="G361" s="2">
        <v>52</v>
      </c>
    </row>
    <row r="362" spans="1:7" x14ac:dyDescent="0.3">
      <c r="A362" s="2" t="s">
        <v>62</v>
      </c>
      <c r="B362" s="2">
        <v>8</v>
      </c>
      <c r="C362" s="2" t="s">
        <v>8</v>
      </c>
      <c r="D362" s="2">
        <v>15000</v>
      </c>
      <c r="E362" s="2" t="s">
        <v>9</v>
      </c>
      <c r="F362">
        <v>0.65540540540540504</v>
      </c>
      <c r="G362" s="2">
        <v>52</v>
      </c>
    </row>
    <row r="363" spans="1:7" x14ac:dyDescent="0.3">
      <c r="A363" s="2" t="s">
        <v>62</v>
      </c>
      <c r="B363" s="2">
        <v>8</v>
      </c>
      <c r="C363" s="2" t="s">
        <v>8</v>
      </c>
      <c r="D363" s="2">
        <v>50000</v>
      </c>
      <c r="E363" s="2" t="s">
        <v>9</v>
      </c>
      <c r="F363">
        <v>0.46621621621621601</v>
      </c>
      <c r="G363" s="2">
        <v>52</v>
      </c>
    </row>
    <row r="364" spans="1:7" x14ac:dyDescent="0.3">
      <c r="A364" s="2" t="s">
        <v>62</v>
      </c>
      <c r="B364" s="2">
        <v>8</v>
      </c>
      <c r="C364" s="2" t="s">
        <v>8</v>
      </c>
      <c r="D364" s="2">
        <v>1500</v>
      </c>
      <c r="E364" s="2" t="s">
        <v>10</v>
      </c>
      <c r="F364">
        <v>1.0658682634730501</v>
      </c>
      <c r="G364" s="2">
        <v>52</v>
      </c>
    </row>
    <row r="365" spans="1:7" x14ac:dyDescent="0.3">
      <c r="A365" s="2" t="s">
        <v>62</v>
      </c>
      <c r="B365" s="2">
        <v>8</v>
      </c>
      <c r="C365" s="2" t="s">
        <v>8</v>
      </c>
      <c r="D365" s="2">
        <v>5000</v>
      </c>
      <c r="E365" s="2" t="s">
        <v>10</v>
      </c>
      <c r="F365">
        <v>0.66467065868263397</v>
      </c>
      <c r="G365" s="2">
        <v>52</v>
      </c>
    </row>
    <row r="366" spans="1:7" x14ac:dyDescent="0.3">
      <c r="A366" s="2" t="s">
        <v>62</v>
      </c>
      <c r="B366" s="2">
        <v>8</v>
      </c>
      <c r="C366" s="2" t="s">
        <v>8</v>
      </c>
      <c r="D366" s="2">
        <v>10000</v>
      </c>
      <c r="E366" s="2" t="s">
        <v>10</v>
      </c>
      <c r="F366">
        <v>0.62275449101796398</v>
      </c>
      <c r="G366" s="2">
        <v>52</v>
      </c>
    </row>
    <row r="367" spans="1:7" x14ac:dyDescent="0.3">
      <c r="A367" s="2" t="s">
        <v>62</v>
      </c>
      <c r="B367" s="2">
        <v>8</v>
      </c>
      <c r="C367" s="2" t="s">
        <v>8</v>
      </c>
      <c r="D367" s="2">
        <v>15000</v>
      </c>
      <c r="E367" s="2" t="s">
        <v>10</v>
      </c>
      <c r="F367">
        <v>0.53293413173652604</v>
      </c>
      <c r="G367" s="2">
        <v>52</v>
      </c>
    </row>
    <row r="368" spans="1:7" x14ac:dyDescent="0.3">
      <c r="A368" s="2" t="s">
        <v>62</v>
      </c>
      <c r="B368" s="2">
        <v>8</v>
      </c>
      <c r="C368" s="2" t="s">
        <v>8</v>
      </c>
      <c r="D368" s="2">
        <v>50000</v>
      </c>
      <c r="E368" s="2" t="s">
        <v>10</v>
      </c>
      <c r="F368">
        <v>0.359281437125748</v>
      </c>
      <c r="G368" s="2">
        <v>52</v>
      </c>
    </row>
    <row r="369" spans="1:7" x14ac:dyDescent="0.3">
      <c r="A369" s="2" t="s">
        <v>62</v>
      </c>
      <c r="B369" s="2">
        <v>8</v>
      </c>
      <c r="C369" s="2" t="s">
        <v>8</v>
      </c>
      <c r="D369" s="2">
        <v>1500</v>
      </c>
      <c r="E369" s="2" t="s">
        <v>10</v>
      </c>
      <c r="F369">
        <v>0.95833333333333304</v>
      </c>
      <c r="G369" s="2">
        <v>52</v>
      </c>
    </row>
    <row r="370" spans="1:7" x14ac:dyDescent="0.3">
      <c r="A370" s="2" t="s">
        <v>62</v>
      </c>
      <c r="B370" s="2">
        <v>8</v>
      </c>
      <c r="C370" s="2" t="s">
        <v>8</v>
      </c>
      <c r="D370" s="2">
        <v>5000</v>
      </c>
      <c r="E370" s="2" t="s">
        <v>10</v>
      </c>
      <c r="F370">
        <v>0.84722222222222199</v>
      </c>
      <c r="G370" s="2">
        <v>52</v>
      </c>
    </row>
    <row r="371" spans="1:7" x14ac:dyDescent="0.3">
      <c r="A371" s="2" t="s">
        <v>62</v>
      </c>
      <c r="B371" s="2">
        <v>8</v>
      </c>
      <c r="C371" s="2" t="s">
        <v>8</v>
      </c>
      <c r="D371" s="2">
        <v>10000</v>
      </c>
      <c r="E371" s="2" t="s">
        <v>10</v>
      </c>
      <c r="F371">
        <v>0.75694444444444398</v>
      </c>
      <c r="G371" s="2">
        <v>52</v>
      </c>
    </row>
    <row r="372" spans="1:7" x14ac:dyDescent="0.3">
      <c r="A372" s="2" t="s">
        <v>62</v>
      </c>
      <c r="B372" s="2">
        <v>8</v>
      </c>
      <c r="C372" s="2" t="s">
        <v>8</v>
      </c>
      <c r="D372" s="2">
        <v>15000</v>
      </c>
      <c r="E372" s="2" t="s">
        <v>10</v>
      </c>
      <c r="F372">
        <v>0.69444444444444398</v>
      </c>
      <c r="G372" s="2">
        <v>52</v>
      </c>
    </row>
    <row r="373" spans="1:7" x14ac:dyDescent="0.3">
      <c r="A373" s="2" t="s">
        <v>62</v>
      </c>
      <c r="B373" s="2">
        <v>8</v>
      </c>
      <c r="C373" s="2" t="s">
        <v>8</v>
      </c>
      <c r="D373" s="2">
        <v>50000</v>
      </c>
      <c r="E373" s="2" t="s">
        <v>10</v>
      </c>
      <c r="F373">
        <v>0.65972222222222199</v>
      </c>
      <c r="G373" s="2">
        <v>52</v>
      </c>
    </row>
    <row r="374" spans="1:7" x14ac:dyDescent="0.3">
      <c r="A374" s="2" t="s">
        <v>62</v>
      </c>
      <c r="B374" s="2">
        <v>8</v>
      </c>
      <c r="C374" s="2" t="s">
        <v>8</v>
      </c>
      <c r="D374" s="2">
        <v>1500</v>
      </c>
      <c r="E374" s="2" t="s">
        <v>10</v>
      </c>
      <c r="F374">
        <v>1.08108108108108</v>
      </c>
      <c r="G374" s="2">
        <v>52</v>
      </c>
    </row>
    <row r="375" spans="1:7" x14ac:dyDescent="0.3">
      <c r="A375" s="2" t="s">
        <v>62</v>
      </c>
      <c r="B375" s="2">
        <v>8</v>
      </c>
      <c r="C375" s="2" t="s">
        <v>8</v>
      </c>
      <c r="D375" s="2">
        <v>5000</v>
      </c>
      <c r="E375" s="2" t="s">
        <v>10</v>
      </c>
      <c r="F375">
        <v>1.1621621621621601</v>
      </c>
      <c r="G375" s="2">
        <v>52</v>
      </c>
    </row>
    <row r="376" spans="1:7" x14ac:dyDescent="0.3">
      <c r="A376" s="2" t="s">
        <v>62</v>
      </c>
      <c r="B376" s="2">
        <v>8</v>
      </c>
      <c r="C376" s="2" t="s">
        <v>8</v>
      </c>
      <c r="D376" s="2">
        <v>10000</v>
      </c>
      <c r="E376" s="2" t="s">
        <v>10</v>
      </c>
      <c r="F376">
        <v>1.28378378378378</v>
      </c>
      <c r="G376" s="2">
        <v>52</v>
      </c>
    </row>
    <row r="377" spans="1:7" x14ac:dyDescent="0.3">
      <c r="A377" s="2" t="s">
        <v>62</v>
      </c>
      <c r="B377" s="2">
        <v>8</v>
      </c>
      <c r="C377" s="2" t="s">
        <v>8</v>
      </c>
      <c r="D377" s="2">
        <v>15000</v>
      </c>
      <c r="E377" s="2" t="s">
        <v>10</v>
      </c>
      <c r="F377">
        <v>0.94594594594594505</v>
      </c>
      <c r="G377" s="2">
        <v>52</v>
      </c>
    </row>
    <row r="378" spans="1:7" x14ac:dyDescent="0.3">
      <c r="A378" s="2" t="s">
        <v>62</v>
      </c>
      <c r="B378" s="2">
        <v>8</v>
      </c>
      <c r="C378" s="2" t="s">
        <v>8</v>
      </c>
      <c r="D378" s="2">
        <v>50000</v>
      </c>
      <c r="E378" s="2" t="s">
        <v>10</v>
      </c>
      <c r="F378">
        <v>0.81756756756756699</v>
      </c>
      <c r="G378" s="2">
        <v>52</v>
      </c>
    </row>
    <row r="379" spans="1:7" x14ac:dyDescent="0.3">
      <c r="A379" s="2" t="s">
        <v>62</v>
      </c>
      <c r="B379" s="2">
        <v>8</v>
      </c>
      <c r="C379" s="2" t="s">
        <v>11</v>
      </c>
      <c r="D379" s="2">
        <v>1500</v>
      </c>
      <c r="E379" s="2" t="s">
        <v>10</v>
      </c>
      <c r="F379">
        <v>0.95145631067961101</v>
      </c>
      <c r="G379" s="2">
        <v>52</v>
      </c>
    </row>
    <row r="380" spans="1:7" x14ac:dyDescent="0.3">
      <c r="A380" s="2" t="s">
        <v>62</v>
      </c>
      <c r="B380" s="2">
        <v>8</v>
      </c>
      <c r="C380" s="2" t="s">
        <v>11</v>
      </c>
      <c r="D380" s="2">
        <v>5000</v>
      </c>
      <c r="E380" s="2" t="s">
        <v>10</v>
      </c>
      <c r="F380">
        <v>1.34951456310679</v>
      </c>
      <c r="G380" s="2">
        <v>52</v>
      </c>
    </row>
    <row r="381" spans="1:7" x14ac:dyDescent="0.3">
      <c r="A381" s="2" t="s">
        <v>62</v>
      </c>
      <c r="B381" s="2">
        <v>8</v>
      </c>
      <c r="C381" s="2" t="s">
        <v>11</v>
      </c>
      <c r="D381" s="2">
        <v>10000</v>
      </c>
      <c r="E381" s="2" t="s">
        <v>10</v>
      </c>
      <c r="F381">
        <v>1.6407766990291199</v>
      </c>
      <c r="G381" s="2">
        <v>52</v>
      </c>
    </row>
    <row r="382" spans="1:7" x14ac:dyDescent="0.3">
      <c r="A382" s="2" t="s">
        <v>62</v>
      </c>
      <c r="B382" s="2">
        <v>8</v>
      </c>
      <c r="C382" s="2" t="s">
        <v>11</v>
      </c>
      <c r="D382" s="2">
        <v>15000</v>
      </c>
      <c r="E382" s="2" t="s">
        <v>10</v>
      </c>
      <c r="F382">
        <v>1.8252427184466</v>
      </c>
      <c r="G382" s="2">
        <v>52</v>
      </c>
    </row>
    <row r="383" spans="1:7" x14ac:dyDescent="0.3">
      <c r="A383" s="2" t="s">
        <v>62</v>
      </c>
      <c r="B383" s="2">
        <v>8</v>
      </c>
      <c r="C383" s="2" t="s">
        <v>11</v>
      </c>
      <c r="D383" s="2">
        <v>50000</v>
      </c>
      <c r="E383" s="2" t="s">
        <v>10</v>
      </c>
      <c r="F383">
        <v>1.9320388349514499</v>
      </c>
      <c r="G383" s="2">
        <v>52</v>
      </c>
    </row>
    <row r="384" spans="1:7" x14ac:dyDescent="0.3">
      <c r="A384" s="2" t="s">
        <v>62</v>
      </c>
      <c r="B384" s="2">
        <v>8</v>
      </c>
      <c r="C384" s="2" t="s">
        <v>11</v>
      </c>
      <c r="D384" s="2">
        <v>1500</v>
      </c>
      <c r="E384" s="2" t="s">
        <v>10</v>
      </c>
      <c r="F384">
        <v>1</v>
      </c>
      <c r="G384" s="2">
        <v>52</v>
      </c>
    </row>
    <row r="385" spans="1:9" x14ac:dyDescent="0.3">
      <c r="A385" s="2" t="s">
        <v>62</v>
      </c>
      <c r="B385" s="2">
        <v>8</v>
      </c>
      <c r="C385" s="2" t="s">
        <v>11</v>
      </c>
      <c r="D385" s="2">
        <v>5000</v>
      </c>
      <c r="E385" s="2" t="s">
        <v>10</v>
      </c>
      <c r="F385">
        <v>1.27586206896551</v>
      </c>
      <c r="G385" s="2">
        <v>52</v>
      </c>
    </row>
    <row r="386" spans="1:9" x14ac:dyDescent="0.3">
      <c r="A386" s="2" t="s">
        <v>62</v>
      </c>
      <c r="B386" s="2">
        <v>8</v>
      </c>
      <c r="C386" s="2" t="s">
        <v>11</v>
      </c>
      <c r="D386" s="2">
        <v>10000</v>
      </c>
      <c r="E386" s="2" t="s">
        <v>10</v>
      </c>
      <c r="F386">
        <v>1.5689655172413699</v>
      </c>
      <c r="G386" s="2">
        <v>52</v>
      </c>
    </row>
    <row r="387" spans="1:9" x14ac:dyDescent="0.3">
      <c r="A387" s="2" t="s">
        <v>62</v>
      </c>
      <c r="B387" s="2">
        <v>8</v>
      </c>
      <c r="C387" s="2" t="s">
        <v>11</v>
      </c>
      <c r="D387" s="2">
        <v>15000</v>
      </c>
      <c r="E387" s="2" t="s">
        <v>10</v>
      </c>
      <c r="F387">
        <v>1.8965517241379299</v>
      </c>
      <c r="G387" s="2">
        <v>52</v>
      </c>
    </row>
    <row r="388" spans="1:9" x14ac:dyDescent="0.3">
      <c r="A388" s="2" t="s">
        <v>62</v>
      </c>
      <c r="B388" s="2">
        <v>8</v>
      </c>
      <c r="C388" s="2" t="s">
        <v>11</v>
      </c>
      <c r="D388" s="2">
        <v>50000</v>
      </c>
      <c r="E388" s="2" t="s">
        <v>10</v>
      </c>
      <c r="F388">
        <v>2.3965517241379302</v>
      </c>
      <c r="G388" s="2">
        <v>52</v>
      </c>
    </row>
    <row r="389" spans="1:9" x14ac:dyDescent="0.3">
      <c r="A389" s="2" t="s">
        <v>62</v>
      </c>
      <c r="B389" s="2">
        <v>8</v>
      </c>
      <c r="C389" s="2" t="s">
        <v>11</v>
      </c>
      <c r="D389" s="2">
        <v>1500</v>
      </c>
      <c r="E389" s="2" t="s">
        <v>10</v>
      </c>
      <c r="F389">
        <v>1.1293103448275801</v>
      </c>
      <c r="G389" s="2">
        <v>52</v>
      </c>
    </row>
    <row r="390" spans="1:9" x14ac:dyDescent="0.3">
      <c r="A390" s="2" t="s">
        <v>62</v>
      </c>
      <c r="B390" s="2">
        <v>8</v>
      </c>
      <c r="C390" s="2" t="s">
        <v>11</v>
      </c>
      <c r="D390" s="2">
        <v>5000</v>
      </c>
      <c r="E390" s="2" t="s">
        <v>10</v>
      </c>
      <c r="F390">
        <v>1.13793103448275</v>
      </c>
      <c r="G390" s="2">
        <v>52</v>
      </c>
    </row>
    <row r="391" spans="1:9" x14ac:dyDescent="0.3">
      <c r="A391" s="2" t="s">
        <v>62</v>
      </c>
      <c r="B391" s="2">
        <v>8</v>
      </c>
      <c r="C391" s="2" t="s">
        <v>11</v>
      </c>
      <c r="D391" s="2">
        <v>10000</v>
      </c>
      <c r="E391" s="2" t="s">
        <v>10</v>
      </c>
      <c r="F391">
        <v>1.16379310344827</v>
      </c>
      <c r="G391" s="2">
        <v>52</v>
      </c>
    </row>
    <row r="392" spans="1:9" x14ac:dyDescent="0.3">
      <c r="A392" s="2" t="s">
        <v>62</v>
      </c>
      <c r="B392" s="2">
        <v>8</v>
      </c>
      <c r="C392" s="2" t="s">
        <v>11</v>
      </c>
      <c r="D392" s="2">
        <v>15000</v>
      </c>
      <c r="E392" s="2" t="s">
        <v>10</v>
      </c>
      <c r="F392">
        <v>1.32758620689655</v>
      </c>
      <c r="G392" s="2">
        <v>52</v>
      </c>
    </row>
    <row r="393" spans="1:9" s="1" customFormat="1" ht="13.9" thickBot="1" x14ac:dyDescent="0.35">
      <c r="A393" s="3" t="s">
        <v>62</v>
      </c>
      <c r="B393" s="3">
        <v>8</v>
      </c>
      <c r="C393" s="3" t="s">
        <v>11</v>
      </c>
      <c r="D393" s="3">
        <v>50000</v>
      </c>
      <c r="E393" s="3" t="s">
        <v>10</v>
      </c>
      <c r="F393" s="1">
        <v>1.5</v>
      </c>
      <c r="G393" s="3">
        <v>52</v>
      </c>
      <c r="I393"/>
    </row>
    <row r="394" spans="1:9" x14ac:dyDescent="0.3">
      <c r="A394" t="s">
        <v>63</v>
      </c>
      <c r="B394" s="2">
        <v>7</v>
      </c>
      <c r="C394" s="2" t="s">
        <v>8</v>
      </c>
      <c r="D394" s="2">
        <v>0.1</v>
      </c>
      <c r="E394" s="2" t="s">
        <v>12</v>
      </c>
      <c r="F394">
        <v>0.96536796536796499</v>
      </c>
      <c r="G394" s="2">
        <v>53</v>
      </c>
    </row>
    <row r="395" spans="1:9" x14ac:dyDescent="0.3">
      <c r="A395" t="s">
        <v>63</v>
      </c>
      <c r="B395" s="2">
        <v>7</v>
      </c>
      <c r="C395" s="2" t="s">
        <v>8</v>
      </c>
      <c r="D395" s="2">
        <v>1</v>
      </c>
      <c r="E395" s="2" t="s">
        <v>12</v>
      </c>
      <c r="F395">
        <v>0.90909090909090895</v>
      </c>
      <c r="G395" s="2">
        <v>53</v>
      </c>
    </row>
    <row r="396" spans="1:9" x14ac:dyDescent="0.3">
      <c r="A396" t="s">
        <v>63</v>
      </c>
      <c r="B396" s="2">
        <v>7</v>
      </c>
      <c r="C396" s="2" t="s">
        <v>8</v>
      </c>
      <c r="D396" s="2">
        <v>10</v>
      </c>
      <c r="E396" s="2" t="s">
        <v>12</v>
      </c>
      <c r="F396">
        <v>0.82251082251082197</v>
      </c>
      <c r="G396" s="2">
        <v>53</v>
      </c>
    </row>
    <row r="397" spans="1:9" x14ac:dyDescent="0.3">
      <c r="A397" t="s">
        <v>63</v>
      </c>
      <c r="B397" s="2">
        <v>7</v>
      </c>
      <c r="C397" s="2" t="s">
        <v>8</v>
      </c>
      <c r="D397" s="2">
        <v>50</v>
      </c>
      <c r="E397" s="2" t="s">
        <v>12</v>
      </c>
      <c r="F397">
        <v>0.79653679653679599</v>
      </c>
      <c r="G397" s="2">
        <v>53</v>
      </c>
    </row>
    <row r="398" spans="1:9" x14ac:dyDescent="0.3">
      <c r="A398" t="s">
        <v>63</v>
      </c>
      <c r="B398" s="2">
        <v>15</v>
      </c>
      <c r="C398" s="2" t="s">
        <v>8</v>
      </c>
      <c r="D398" s="2">
        <v>0.1</v>
      </c>
      <c r="E398" s="2" t="s">
        <v>12</v>
      </c>
      <c r="F398">
        <v>0.93770491803278599</v>
      </c>
      <c r="G398" s="2">
        <v>53</v>
      </c>
    </row>
    <row r="399" spans="1:9" x14ac:dyDescent="0.3">
      <c r="A399" t="s">
        <v>63</v>
      </c>
      <c r="B399" s="2">
        <v>15</v>
      </c>
      <c r="C399" s="2" t="s">
        <v>8</v>
      </c>
      <c r="D399" s="2">
        <v>1</v>
      </c>
      <c r="E399" s="2" t="s">
        <v>12</v>
      </c>
      <c r="F399">
        <v>0.94098360655737701</v>
      </c>
      <c r="G399" s="2">
        <v>53</v>
      </c>
    </row>
    <row r="400" spans="1:9" x14ac:dyDescent="0.3">
      <c r="A400" t="s">
        <v>63</v>
      </c>
      <c r="B400" s="2">
        <v>15</v>
      </c>
      <c r="C400" s="2" t="s">
        <v>8</v>
      </c>
      <c r="D400" s="2">
        <v>10</v>
      </c>
      <c r="E400" s="2" t="s">
        <v>12</v>
      </c>
      <c r="F400">
        <v>0.82950819672131104</v>
      </c>
      <c r="G400" s="2">
        <v>53</v>
      </c>
    </row>
    <row r="401" spans="1:7" x14ac:dyDescent="0.3">
      <c r="A401" t="s">
        <v>63</v>
      </c>
      <c r="B401" s="2">
        <v>15</v>
      </c>
      <c r="C401" s="2" t="s">
        <v>8</v>
      </c>
      <c r="D401" s="2">
        <v>50</v>
      </c>
      <c r="E401" s="2" t="s">
        <v>12</v>
      </c>
      <c r="F401">
        <v>0.66885245901639301</v>
      </c>
      <c r="G401" s="2">
        <v>53</v>
      </c>
    </row>
    <row r="402" spans="1:7" x14ac:dyDescent="0.3">
      <c r="A402" t="s">
        <v>63</v>
      </c>
      <c r="B402" s="2">
        <v>20</v>
      </c>
      <c r="C402" s="2" t="s">
        <v>8</v>
      </c>
      <c r="D402" s="2">
        <v>0.1</v>
      </c>
      <c r="E402" s="2" t="s">
        <v>12</v>
      </c>
      <c r="F402">
        <v>0.98713826366559398</v>
      </c>
      <c r="G402" s="2">
        <v>53</v>
      </c>
    </row>
    <row r="403" spans="1:7" x14ac:dyDescent="0.3">
      <c r="A403" t="s">
        <v>63</v>
      </c>
      <c r="B403" s="2">
        <v>20</v>
      </c>
      <c r="C403" s="2" t="s">
        <v>8</v>
      </c>
      <c r="D403" s="2">
        <v>1</v>
      </c>
      <c r="E403" s="2" t="s">
        <v>12</v>
      </c>
      <c r="F403">
        <v>0.94533762057877802</v>
      </c>
      <c r="G403" s="2">
        <v>53</v>
      </c>
    </row>
    <row r="404" spans="1:7" x14ac:dyDescent="0.3">
      <c r="A404" t="s">
        <v>63</v>
      </c>
      <c r="B404" s="2">
        <v>20</v>
      </c>
      <c r="C404" s="2" t="s">
        <v>8</v>
      </c>
      <c r="D404" s="2">
        <v>10</v>
      </c>
      <c r="E404" s="2" t="s">
        <v>12</v>
      </c>
      <c r="F404">
        <v>0.85852090032154305</v>
      </c>
      <c r="G404" s="2">
        <v>53</v>
      </c>
    </row>
    <row r="405" spans="1:7" x14ac:dyDescent="0.3">
      <c r="A405" t="s">
        <v>63</v>
      </c>
      <c r="B405" s="2">
        <v>20</v>
      </c>
      <c r="C405" s="2" t="s">
        <v>8</v>
      </c>
      <c r="D405" s="2">
        <v>50</v>
      </c>
      <c r="E405" s="2" t="s">
        <v>12</v>
      </c>
      <c r="F405">
        <v>0.70096463022508004</v>
      </c>
      <c r="G405" s="2">
        <v>53</v>
      </c>
    </row>
    <row r="406" spans="1:7" x14ac:dyDescent="0.3">
      <c r="A406" t="s">
        <v>63</v>
      </c>
      <c r="B406" s="2">
        <v>34</v>
      </c>
      <c r="C406" s="2" t="s">
        <v>8</v>
      </c>
      <c r="D406" s="2">
        <v>0.1</v>
      </c>
      <c r="E406" s="2" t="s">
        <v>12</v>
      </c>
      <c r="F406">
        <v>0.95733333333333304</v>
      </c>
      <c r="G406" s="2">
        <v>53</v>
      </c>
    </row>
    <row r="407" spans="1:7" x14ac:dyDescent="0.3">
      <c r="A407" t="s">
        <v>63</v>
      </c>
      <c r="B407" s="2">
        <v>34</v>
      </c>
      <c r="C407" s="2" t="s">
        <v>8</v>
      </c>
      <c r="D407" s="2">
        <v>1</v>
      </c>
      <c r="E407" s="2" t="s">
        <v>12</v>
      </c>
      <c r="F407">
        <v>0.82666666666666599</v>
      </c>
      <c r="G407" s="2">
        <v>53</v>
      </c>
    </row>
    <row r="408" spans="1:7" x14ac:dyDescent="0.3">
      <c r="A408" t="s">
        <v>63</v>
      </c>
      <c r="B408" s="2">
        <v>34</v>
      </c>
      <c r="C408" s="2" t="s">
        <v>8</v>
      </c>
      <c r="D408" s="2">
        <v>10</v>
      </c>
      <c r="E408" s="2" t="s">
        <v>12</v>
      </c>
      <c r="F408">
        <v>0.83733333333333304</v>
      </c>
      <c r="G408" s="2">
        <v>53</v>
      </c>
    </row>
    <row r="409" spans="1:7" x14ac:dyDescent="0.3">
      <c r="A409" t="s">
        <v>63</v>
      </c>
      <c r="B409" s="2">
        <v>34</v>
      </c>
      <c r="C409" s="2" t="s">
        <v>8</v>
      </c>
      <c r="D409" s="2">
        <v>50</v>
      </c>
      <c r="E409" s="2" t="s">
        <v>12</v>
      </c>
      <c r="F409">
        <v>0.61333333333333295</v>
      </c>
      <c r="G409" s="2">
        <v>53</v>
      </c>
    </row>
    <row r="410" spans="1:7" x14ac:dyDescent="0.3">
      <c r="A410" t="s">
        <v>63</v>
      </c>
      <c r="B410" s="2">
        <v>7</v>
      </c>
      <c r="C410" s="2" t="s">
        <v>11</v>
      </c>
      <c r="D410" s="2">
        <v>0.1</v>
      </c>
      <c r="E410" s="2" t="s">
        <v>12</v>
      </c>
      <c r="F410">
        <v>1.01739130434782</v>
      </c>
      <c r="G410" s="2">
        <v>53</v>
      </c>
    </row>
    <row r="411" spans="1:7" x14ac:dyDescent="0.3">
      <c r="A411" t="s">
        <v>63</v>
      </c>
      <c r="B411" s="2">
        <v>7</v>
      </c>
      <c r="C411" s="2" t="s">
        <v>11</v>
      </c>
      <c r="D411" s="2">
        <v>1</v>
      </c>
      <c r="E411" s="2" t="s">
        <v>12</v>
      </c>
      <c r="F411">
        <v>1.0043478260869501</v>
      </c>
      <c r="G411" s="2">
        <v>53</v>
      </c>
    </row>
    <row r="412" spans="1:7" x14ac:dyDescent="0.3">
      <c r="A412" t="s">
        <v>63</v>
      </c>
      <c r="B412" s="2">
        <v>7</v>
      </c>
      <c r="C412" s="2" t="s">
        <v>11</v>
      </c>
      <c r="D412" s="2">
        <v>10</v>
      </c>
      <c r="E412" s="2" t="s">
        <v>12</v>
      </c>
      <c r="F412">
        <v>0.95652173913043403</v>
      </c>
      <c r="G412" s="2">
        <v>53</v>
      </c>
    </row>
    <row r="413" spans="1:7" x14ac:dyDescent="0.3">
      <c r="A413" t="s">
        <v>63</v>
      </c>
      <c r="B413" s="2">
        <v>7</v>
      </c>
      <c r="C413" s="2" t="s">
        <v>11</v>
      </c>
      <c r="D413" s="2">
        <v>50</v>
      </c>
      <c r="E413" s="2" t="s">
        <v>12</v>
      </c>
      <c r="F413">
        <v>1.2086956521739101</v>
      </c>
      <c r="G413" s="2">
        <v>53</v>
      </c>
    </row>
    <row r="414" spans="1:7" x14ac:dyDescent="0.3">
      <c r="A414" t="s">
        <v>63</v>
      </c>
      <c r="B414" s="2">
        <v>15</v>
      </c>
      <c r="C414" s="2" t="s">
        <v>11</v>
      </c>
      <c r="D414" s="2">
        <v>0.1</v>
      </c>
      <c r="E414" s="2" t="s">
        <v>12</v>
      </c>
      <c r="F414">
        <v>0.98816568047337205</v>
      </c>
      <c r="G414" s="2">
        <v>53</v>
      </c>
    </row>
    <row r="415" spans="1:7" x14ac:dyDescent="0.3">
      <c r="A415" t="s">
        <v>63</v>
      </c>
      <c r="B415" s="2">
        <v>15</v>
      </c>
      <c r="C415" s="2" t="s">
        <v>11</v>
      </c>
      <c r="D415" s="2">
        <v>1</v>
      </c>
      <c r="E415" s="2" t="s">
        <v>12</v>
      </c>
      <c r="F415">
        <v>1.0207100591715901</v>
      </c>
      <c r="G415" s="2">
        <v>53</v>
      </c>
    </row>
    <row r="416" spans="1:7" x14ac:dyDescent="0.3">
      <c r="A416" t="s">
        <v>63</v>
      </c>
      <c r="B416" s="2">
        <v>15</v>
      </c>
      <c r="C416" s="2" t="s">
        <v>11</v>
      </c>
      <c r="D416" s="2">
        <v>10</v>
      </c>
      <c r="E416" s="2" t="s">
        <v>12</v>
      </c>
      <c r="F416">
        <v>1.0088757396449699</v>
      </c>
      <c r="G416" s="2">
        <v>53</v>
      </c>
    </row>
    <row r="417" spans="1:7" x14ac:dyDescent="0.3">
      <c r="A417" t="s">
        <v>63</v>
      </c>
      <c r="B417" s="2">
        <v>15</v>
      </c>
      <c r="C417" s="2" t="s">
        <v>11</v>
      </c>
      <c r="D417" s="2">
        <v>50</v>
      </c>
      <c r="E417" s="2" t="s">
        <v>12</v>
      </c>
      <c r="F417">
        <v>0.84319526627218899</v>
      </c>
      <c r="G417" s="2">
        <v>53</v>
      </c>
    </row>
    <row r="418" spans="1:7" x14ac:dyDescent="0.3">
      <c r="A418" t="s">
        <v>63</v>
      </c>
      <c r="B418" s="2">
        <v>20</v>
      </c>
      <c r="C418" s="2" t="s">
        <v>11</v>
      </c>
      <c r="D418" s="2">
        <v>0.1</v>
      </c>
      <c r="E418" s="2" t="s">
        <v>12</v>
      </c>
      <c r="F418">
        <v>0.97126436781609105</v>
      </c>
      <c r="G418" s="2">
        <v>53</v>
      </c>
    </row>
    <row r="419" spans="1:7" x14ac:dyDescent="0.3">
      <c r="A419" t="s">
        <v>63</v>
      </c>
      <c r="B419" s="2">
        <v>20</v>
      </c>
      <c r="C419" s="2" t="s">
        <v>11</v>
      </c>
      <c r="D419" s="2">
        <v>1</v>
      </c>
      <c r="E419" s="2" t="s">
        <v>12</v>
      </c>
      <c r="F419">
        <v>0.99425287356321801</v>
      </c>
      <c r="G419" s="2">
        <v>53</v>
      </c>
    </row>
    <row r="420" spans="1:7" x14ac:dyDescent="0.3">
      <c r="A420" t="s">
        <v>63</v>
      </c>
      <c r="B420" s="2">
        <v>20</v>
      </c>
      <c r="C420" s="2" t="s">
        <v>11</v>
      </c>
      <c r="D420" s="2">
        <v>10</v>
      </c>
      <c r="E420" s="2" t="s">
        <v>12</v>
      </c>
      <c r="F420">
        <v>0.98275862068965503</v>
      </c>
      <c r="G420" s="2">
        <v>53</v>
      </c>
    </row>
    <row r="421" spans="1:7" x14ac:dyDescent="0.3">
      <c r="A421" t="s">
        <v>63</v>
      </c>
      <c r="B421" s="2">
        <v>20</v>
      </c>
      <c r="C421" s="2" t="s">
        <v>11</v>
      </c>
      <c r="D421" s="2">
        <v>50</v>
      </c>
      <c r="E421" s="2" t="s">
        <v>12</v>
      </c>
      <c r="F421">
        <v>0.83620689655172398</v>
      </c>
      <c r="G421" s="2">
        <v>53</v>
      </c>
    </row>
    <row r="422" spans="1:7" x14ac:dyDescent="0.3">
      <c r="A422" t="s">
        <v>63</v>
      </c>
      <c r="B422" s="2">
        <v>34</v>
      </c>
      <c r="C422" s="2" t="s">
        <v>11</v>
      </c>
      <c r="D422" s="2">
        <v>0.1</v>
      </c>
      <c r="E422" s="2" t="s">
        <v>12</v>
      </c>
      <c r="F422">
        <v>1.0747922437673101</v>
      </c>
      <c r="G422" s="2">
        <v>53</v>
      </c>
    </row>
    <row r="423" spans="1:7" x14ac:dyDescent="0.3">
      <c r="A423" t="s">
        <v>63</v>
      </c>
      <c r="B423" s="2">
        <v>34</v>
      </c>
      <c r="C423" s="2" t="s">
        <v>11</v>
      </c>
      <c r="D423" s="2">
        <v>1</v>
      </c>
      <c r="E423" s="2" t="s">
        <v>12</v>
      </c>
      <c r="F423">
        <v>1.0637119113573399</v>
      </c>
      <c r="G423" s="2">
        <v>53</v>
      </c>
    </row>
    <row r="424" spans="1:7" x14ac:dyDescent="0.3">
      <c r="A424" t="s">
        <v>63</v>
      </c>
      <c r="B424" s="2">
        <v>34</v>
      </c>
      <c r="C424" s="2" t="s">
        <v>11</v>
      </c>
      <c r="D424" s="2">
        <v>10</v>
      </c>
      <c r="E424" s="2" t="s">
        <v>12</v>
      </c>
      <c r="F424">
        <v>0.96121883656509699</v>
      </c>
      <c r="G424" s="2">
        <v>53</v>
      </c>
    </row>
    <row r="425" spans="1:7" x14ac:dyDescent="0.3">
      <c r="A425" t="s">
        <v>63</v>
      </c>
      <c r="B425" s="2">
        <v>34</v>
      </c>
      <c r="C425" s="2" t="s">
        <v>11</v>
      </c>
      <c r="D425" s="2">
        <v>50</v>
      </c>
      <c r="E425" s="2" t="s">
        <v>12</v>
      </c>
      <c r="F425">
        <v>0.91135734072022101</v>
      </c>
      <c r="G425" s="2">
        <v>53</v>
      </c>
    </row>
    <row r="426" spans="1:7" x14ac:dyDescent="0.3">
      <c r="A426" t="s">
        <v>63</v>
      </c>
      <c r="B426" s="2">
        <v>7</v>
      </c>
      <c r="C426" s="2" t="s">
        <v>8</v>
      </c>
      <c r="D426" s="2">
        <v>0.1</v>
      </c>
      <c r="E426" s="2" t="s">
        <v>9</v>
      </c>
      <c r="F426">
        <v>0.980609418282548</v>
      </c>
      <c r="G426" s="2">
        <v>53</v>
      </c>
    </row>
    <row r="427" spans="1:7" x14ac:dyDescent="0.3">
      <c r="A427" t="s">
        <v>63</v>
      </c>
      <c r="B427" s="2">
        <v>7</v>
      </c>
      <c r="C427" s="2" t="s">
        <v>8</v>
      </c>
      <c r="D427" s="2">
        <v>1</v>
      </c>
      <c r="E427" s="2" t="s">
        <v>9</v>
      </c>
      <c r="F427">
        <v>0.936288088642659</v>
      </c>
      <c r="G427" s="2">
        <v>53</v>
      </c>
    </row>
    <row r="428" spans="1:7" x14ac:dyDescent="0.3">
      <c r="A428" t="s">
        <v>63</v>
      </c>
      <c r="B428" s="2">
        <v>7</v>
      </c>
      <c r="C428" s="2" t="s">
        <v>8</v>
      </c>
      <c r="D428" s="2">
        <v>10</v>
      </c>
      <c r="E428" s="2" t="s">
        <v>9</v>
      </c>
      <c r="F428">
        <v>0.98337950138504104</v>
      </c>
      <c r="G428" s="2">
        <v>53</v>
      </c>
    </row>
    <row r="429" spans="1:7" x14ac:dyDescent="0.3">
      <c r="A429" t="s">
        <v>63</v>
      </c>
      <c r="B429" s="2">
        <v>7</v>
      </c>
      <c r="C429" s="2" t="s">
        <v>8</v>
      </c>
      <c r="D429" s="2">
        <v>50</v>
      </c>
      <c r="E429" s="2" t="s">
        <v>9</v>
      </c>
      <c r="F429">
        <v>0.980609418282548</v>
      </c>
      <c r="G429" s="2">
        <v>53</v>
      </c>
    </row>
    <row r="430" spans="1:7" x14ac:dyDescent="0.3">
      <c r="A430" t="s">
        <v>63</v>
      </c>
      <c r="B430" s="2">
        <v>15</v>
      </c>
      <c r="C430" s="2" t="s">
        <v>8</v>
      </c>
      <c r="D430" s="2">
        <v>0.1</v>
      </c>
      <c r="E430" s="2" t="s">
        <v>9</v>
      </c>
      <c r="F430">
        <v>0.96338028169014001</v>
      </c>
      <c r="G430" s="2">
        <v>53</v>
      </c>
    </row>
    <row r="431" spans="1:7" x14ac:dyDescent="0.3">
      <c r="A431" t="s">
        <v>63</v>
      </c>
      <c r="B431" s="2">
        <v>15</v>
      </c>
      <c r="C431" s="2" t="s">
        <v>8</v>
      </c>
      <c r="D431" s="2">
        <v>1</v>
      </c>
      <c r="E431" s="2" t="s">
        <v>9</v>
      </c>
      <c r="F431">
        <v>0.98873239436619698</v>
      </c>
      <c r="G431" s="2">
        <v>53</v>
      </c>
    </row>
    <row r="432" spans="1:7" x14ac:dyDescent="0.3">
      <c r="A432" t="s">
        <v>63</v>
      </c>
      <c r="B432" s="2">
        <v>15</v>
      </c>
      <c r="C432" s="2" t="s">
        <v>8</v>
      </c>
      <c r="D432" s="2">
        <v>10</v>
      </c>
      <c r="E432" s="2" t="s">
        <v>9</v>
      </c>
      <c r="F432">
        <v>0.971830985915493</v>
      </c>
      <c r="G432" s="2">
        <v>53</v>
      </c>
    </row>
    <row r="433" spans="1:7" x14ac:dyDescent="0.3">
      <c r="A433" t="s">
        <v>63</v>
      </c>
      <c r="B433" s="2">
        <v>15</v>
      </c>
      <c r="C433" s="2" t="s">
        <v>8</v>
      </c>
      <c r="D433" s="2">
        <v>50</v>
      </c>
      <c r="E433" s="2" t="s">
        <v>9</v>
      </c>
      <c r="F433">
        <v>0.95774647887323905</v>
      </c>
      <c r="G433" s="2">
        <v>53</v>
      </c>
    </row>
    <row r="434" spans="1:7" x14ac:dyDescent="0.3">
      <c r="A434" t="s">
        <v>63</v>
      </c>
      <c r="B434" s="2">
        <v>20</v>
      </c>
      <c r="C434" s="2" t="s">
        <v>8</v>
      </c>
      <c r="D434" s="2">
        <v>0.1</v>
      </c>
      <c r="E434" s="2" t="s">
        <v>9</v>
      </c>
      <c r="F434">
        <v>1.00561797752808</v>
      </c>
      <c r="G434" s="2">
        <v>53</v>
      </c>
    </row>
    <row r="435" spans="1:7" x14ac:dyDescent="0.3">
      <c r="A435" t="s">
        <v>63</v>
      </c>
      <c r="B435" s="2">
        <v>20</v>
      </c>
      <c r="C435" s="2" t="s">
        <v>8</v>
      </c>
      <c r="D435" s="2">
        <v>1</v>
      </c>
      <c r="E435" s="2" t="s">
        <v>9</v>
      </c>
      <c r="F435">
        <v>0.99438202247190999</v>
      </c>
      <c r="G435" s="2">
        <v>53</v>
      </c>
    </row>
    <row r="436" spans="1:7" x14ac:dyDescent="0.3">
      <c r="A436" t="s">
        <v>63</v>
      </c>
      <c r="B436" s="2">
        <v>20</v>
      </c>
      <c r="C436" s="2" t="s">
        <v>8</v>
      </c>
      <c r="D436" s="2">
        <v>10</v>
      </c>
      <c r="E436" s="2" t="s">
        <v>9</v>
      </c>
      <c r="F436">
        <v>1</v>
      </c>
      <c r="G436" s="2">
        <v>53</v>
      </c>
    </row>
    <row r="437" spans="1:7" x14ac:dyDescent="0.3">
      <c r="A437" t="s">
        <v>63</v>
      </c>
      <c r="B437" s="2">
        <v>20</v>
      </c>
      <c r="C437" s="2" t="s">
        <v>8</v>
      </c>
      <c r="D437" s="2">
        <v>50</v>
      </c>
      <c r="E437" s="2" t="s">
        <v>9</v>
      </c>
      <c r="F437">
        <v>0.98876404494381998</v>
      </c>
      <c r="G437" s="2">
        <v>53</v>
      </c>
    </row>
    <row r="438" spans="1:7" x14ac:dyDescent="0.3">
      <c r="A438" t="s">
        <v>63</v>
      </c>
      <c r="B438" s="2">
        <v>34</v>
      </c>
      <c r="C438" s="2" t="s">
        <v>8</v>
      </c>
      <c r="D438" s="2">
        <v>0.1</v>
      </c>
      <c r="E438" s="2" t="s">
        <v>9</v>
      </c>
      <c r="F438">
        <v>0.98891966759002703</v>
      </c>
      <c r="G438" s="2">
        <v>53</v>
      </c>
    </row>
    <row r="439" spans="1:7" x14ac:dyDescent="0.3">
      <c r="A439" t="s">
        <v>63</v>
      </c>
      <c r="B439" s="2">
        <v>34</v>
      </c>
      <c r="C439" s="2" t="s">
        <v>8</v>
      </c>
      <c r="D439" s="2">
        <v>1</v>
      </c>
      <c r="E439" s="2" t="s">
        <v>9</v>
      </c>
      <c r="F439">
        <v>0.98614958448753398</v>
      </c>
      <c r="G439" s="2">
        <v>53</v>
      </c>
    </row>
    <row r="440" spans="1:7" x14ac:dyDescent="0.3">
      <c r="A440" t="s">
        <v>63</v>
      </c>
      <c r="B440" s="2">
        <v>34</v>
      </c>
      <c r="C440" s="2" t="s">
        <v>8</v>
      </c>
      <c r="D440" s="2">
        <v>10</v>
      </c>
      <c r="E440" s="2" t="s">
        <v>9</v>
      </c>
      <c r="F440">
        <v>0.98337950138504104</v>
      </c>
      <c r="G440" s="2">
        <v>53</v>
      </c>
    </row>
    <row r="441" spans="1:7" x14ac:dyDescent="0.3">
      <c r="A441" t="s">
        <v>63</v>
      </c>
      <c r="B441" s="2">
        <v>34</v>
      </c>
      <c r="C441" s="2" t="s">
        <v>8</v>
      </c>
      <c r="D441" s="2">
        <v>50</v>
      </c>
      <c r="E441" s="2" t="s">
        <v>9</v>
      </c>
      <c r="F441">
        <v>0.97229916897506896</v>
      </c>
      <c r="G441" s="2">
        <v>53</v>
      </c>
    </row>
    <row r="442" spans="1:7" x14ac:dyDescent="0.3">
      <c r="A442" t="s">
        <v>63</v>
      </c>
      <c r="B442" s="2">
        <v>10</v>
      </c>
      <c r="C442" s="2" t="s">
        <v>8</v>
      </c>
      <c r="D442" s="2">
        <v>0.1</v>
      </c>
      <c r="E442" s="2" t="s">
        <v>10</v>
      </c>
      <c r="F442">
        <v>0.59288537549407105</v>
      </c>
      <c r="G442" s="2">
        <v>53</v>
      </c>
    </row>
    <row r="443" spans="1:7" x14ac:dyDescent="0.3">
      <c r="A443" t="s">
        <v>63</v>
      </c>
      <c r="B443" s="2">
        <v>10</v>
      </c>
      <c r="C443" s="2" t="s">
        <v>8</v>
      </c>
      <c r="D443" s="2">
        <v>1</v>
      </c>
      <c r="E443" s="2" t="s">
        <v>10</v>
      </c>
      <c r="F443">
        <v>0.60474308300395196</v>
      </c>
      <c r="G443" s="2">
        <v>53</v>
      </c>
    </row>
    <row r="444" spans="1:7" x14ac:dyDescent="0.3">
      <c r="A444" t="s">
        <v>63</v>
      </c>
      <c r="B444" s="2">
        <v>10</v>
      </c>
      <c r="C444" s="2" t="s">
        <v>8</v>
      </c>
      <c r="D444" s="2">
        <v>10</v>
      </c>
      <c r="E444" s="2" t="s">
        <v>10</v>
      </c>
      <c r="F444">
        <v>0.69960474308300302</v>
      </c>
      <c r="G444" s="2">
        <v>53</v>
      </c>
    </row>
    <row r="445" spans="1:7" x14ac:dyDescent="0.3">
      <c r="A445" t="s">
        <v>63</v>
      </c>
      <c r="B445" s="2">
        <v>10</v>
      </c>
      <c r="C445" s="2" t="s">
        <v>8</v>
      </c>
      <c r="D445" s="2">
        <v>50</v>
      </c>
      <c r="E445" s="2" t="s">
        <v>10</v>
      </c>
      <c r="F445">
        <v>0.33596837944663999</v>
      </c>
      <c r="G445" s="2">
        <v>53</v>
      </c>
    </row>
    <row r="446" spans="1:7" x14ac:dyDescent="0.3">
      <c r="A446" t="s">
        <v>63</v>
      </c>
      <c r="B446" s="2">
        <v>20</v>
      </c>
      <c r="C446" s="2" t="s">
        <v>8</v>
      </c>
      <c r="D446" s="2">
        <v>0.1</v>
      </c>
      <c r="E446" s="2" t="s">
        <v>10</v>
      </c>
      <c r="F446">
        <v>1.60625</v>
      </c>
      <c r="G446" s="2">
        <v>53</v>
      </c>
    </row>
    <row r="447" spans="1:7" x14ac:dyDescent="0.3">
      <c r="A447" t="s">
        <v>63</v>
      </c>
      <c r="B447" s="2">
        <v>20</v>
      </c>
      <c r="C447" s="2" t="s">
        <v>8</v>
      </c>
      <c r="D447" s="2">
        <v>1</v>
      </c>
      <c r="E447" s="2" t="s">
        <v>10</v>
      </c>
      <c r="F447">
        <v>1.1125</v>
      </c>
      <c r="G447" s="2">
        <v>53</v>
      </c>
    </row>
    <row r="448" spans="1:7" x14ac:dyDescent="0.3">
      <c r="A448" t="s">
        <v>63</v>
      </c>
      <c r="B448" s="2">
        <v>20</v>
      </c>
      <c r="C448" s="2" t="s">
        <v>8</v>
      </c>
      <c r="D448" s="2">
        <v>10</v>
      </c>
      <c r="E448" s="2" t="s">
        <v>10</v>
      </c>
      <c r="F448">
        <v>2.1375000000000002</v>
      </c>
      <c r="G448" s="2">
        <v>53</v>
      </c>
    </row>
    <row r="449" spans="1:7" x14ac:dyDescent="0.3">
      <c r="A449" t="s">
        <v>63</v>
      </c>
      <c r="B449" s="2">
        <v>20</v>
      </c>
      <c r="C449" s="2" t="s">
        <v>8</v>
      </c>
      <c r="D449" s="2">
        <v>50</v>
      </c>
      <c r="E449" s="2" t="s">
        <v>10</v>
      </c>
      <c r="F449">
        <v>1.89375</v>
      </c>
      <c r="G449" s="2">
        <v>53</v>
      </c>
    </row>
    <row r="450" spans="1:7" x14ac:dyDescent="0.3">
      <c r="A450" t="s">
        <v>63</v>
      </c>
      <c r="B450" s="2">
        <v>34</v>
      </c>
      <c r="C450" s="2" t="s">
        <v>8</v>
      </c>
      <c r="D450" s="2">
        <v>0.1</v>
      </c>
      <c r="E450" s="2" t="s">
        <v>10</v>
      </c>
      <c r="F450">
        <v>1.06360424028268</v>
      </c>
      <c r="G450" s="2">
        <v>53</v>
      </c>
    </row>
    <row r="451" spans="1:7" x14ac:dyDescent="0.3">
      <c r="A451" t="s">
        <v>63</v>
      </c>
      <c r="B451" s="2">
        <v>34</v>
      </c>
      <c r="C451" s="2" t="s">
        <v>8</v>
      </c>
      <c r="D451" s="2">
        <v>1</v>
      </c>
      <c r="E451" s="2" t="s">
        <v>10</v>
      </c>
      <c r="F451">
        <v>0.61837455830388599</v>
      </c>
      <c r="G451" s="2">
        <v>53</v>
      </c>
    </row>
    <row r="452" spans="1:7" x14ac:dyDescent="0.3">
      <c r="A452" t="s">
        <v>63</v>
      </c>
      <c r="B452" s="2">
        <v>34</v>
      </c>
      <c r="C452" s="2" t="s">
        <v>8</v>
      </c>
      <c r="D452" s="2">
        <v>10</v>
      </c>
      <c r="E452" s="2" t="s">
        <v>10</v>
      </c>
      <c r="F452">
        <v>0.72791519434628904</v>
      </c>
      <c r="G452" s="2">
        <v>53</v>
      </c>
    </row>
    <row r="453" spans="1:7" x14ac:dyDescent="0.3">
      <c r="A453" t="s">
        <v>63</v>
      </c>
      <c r="B453" s="2">
        <v>34</v>
      </c>
      <c r="C453" s="2" t="s">
        <v>8</v>
      </c>
      <c r="D453" s="2">
        <v>50</v>
      </c>
      <c r="E453" s="2" t="s">
        <v>10</v>
      </c>
      <c r="F453">
        <v>1</v>
      </c>
      <c r="G453" s="2">
        <v>53</v>
      </c>
    </row>
    <row r="454" spans="1:7" x14ac:dyDescent="0.3">
      <c r="A454" t="s">
        <v>63</v>
      </c>
      <c r="B454" s="2">
        <v>10</v>
      </c>
      <c r="C454" s="2" t="s">
        <v>8</v>
      </c>
      <c r="D454" s="2">
        <v>0.1</v>
      </c>
      <c r="E454" s="2" t="s">
        <v>10</v>
      </c>
      <c r="F454">
        <v>3.0505050505050502</v>
      </c>
      <c r="G454" s="2">
        <v>53</v>
      </c>
    </row>
    <row r="455" spans="1:7" x14ac:dyDescent="0.3">
      <c r="A455" t="s">
        <v>63</v>
      </c>
      <c r="B455" s="2">
        <v>10</v>
      </c>
      <c r="C455" s="2" t="s">
        <v>8</v>
      </c>
      <c r="D455" s="2">
        <v>1</v>
      </c>
      <c r="E455" s="2" t="s">
        <v>10</v>
      </c>
      <c r="F455">
        <v>3.6060606060606002</v>
      </c>
      <c r="G455" s="2">
        <v>53</v>
      </c>
    </row>
    <row r="456" spans="1:7" x14ac:dyDescent="0.3">
      <c r="A456" t="s">
        <v>63</v>
      </c>
      <c r="B456" s="2">
        <v>10</v>
      </c>
      <c r="C456" s="2" t="s">
        <v>8</v>
      </c>
      <c r="D456" s="2">
        <v>10</v>
      </c>
      <c r="E456" s="2" t="s">
        <v>10</v>
      </c>
      <c r="F456">
        <v>1.0606060606060601</v>
      </c>
      <c r="G456" s="2">
        <v>53</v>
      </c>
    </row>
    <row r="457" spans="1:7" x14ac:dyDescent="0.3">
      <c r="A457" t="s">
        <v>63</v>
      </c>
      <c r="B457" s="2">
        <v>10</v>
      </c>
      <c r="C457" s="2" t="s">
        <v>8</v>
      </c>
      <c r="D457" s="2">
        <v>50</v>
      </c>
      <c r="E457" s="2" t="s">
        <v>10</v>
      </c>
      <c r="F457">
        <v>1.19191919191919</v>
      </c>
      <c r="G457" s="2">
        <v>53</v>
      </c>
    </row>
    <row r="458" spans="1:7" x14ac:dyDescent="0.3">
      <c r="A458" t="s">
        <v>63</v>
      </c>
      <c r="B458" s="2">
        <v>20</v>
      </c>
      <c r="C458" s="2" t="s">
        <v>8</v>
      </c>
      <c r="D458" s="2">
        <v>0.1</v>
      </c>
      <c r="E458" s="2" t="s">
        <v>10</v>
      </c>
      <c r="F458">
        <v>0.41666666666666602</v>
      </c>
      <c r="G458" s="2">
        <v>53</v>
      </c>
    </row>
    <row r="459" spans="1:7" x14ac:dyDescent="0.3">
      <c r="A459" t="s">
        <v>63</v>
      </c>
      <c r="B459" s="2">
        <v>20</v>
      </c>
      <c r="C459" s="2" t="s">
        <v>8</v>
      </c>
      <c r="D459" s="2">
        <v>1</v>
      </c>
      <c r="E459" s="2" t="s">
        <v>10</v>
      </c>
      <c r="F459">
        <v>0.83823529411764697</v>
      </c>
      <c r="G459" s="2">
        <v>53</v>
      </c>
    </row>
    <row r="460" spans="1:7" x14ac:dyDescent="0.3">
      <c r="A460" t="s">
        <v>63</v>
      </c>
      <c r="B460" s="2">
        <v>20</v>
      </c>
      <c r="C460" s="2" t="s">
        <v>8</v>
      </c>
      <c r="D460" s="2">
        <v>10</v>
      </c>
      <c r="E460" s="2" t="s">
        <v>10</v>
      </c>
      <c r="F460">
        <v>0.83823529411764697</v>
      </c>
      <c r="G460" s="2">
        <v>53</v>
      </c>
    </row>
    <row r="461" spans="1:7" x14ac:dyDescent="0.3">
      <c r="A461" t="s">
        <v>63</v>
      </c>
      <c r="B461" s="2">
        <v>20</v>
      </c>
      <c r="C461" s="2" t="s">
        <v>8</v>
      </c>
      <c r="D461" s="2">
        <v>50</v>
      </c>
      <c r="E461" s="2" t="s">
        <v>10</v>
      </c>
      <c r="F461">
        <v>0.84313725490196001</v>
      </c>
      <c r="G461" s="2">
        <v>53</v>
      </c>
    </row>
    <row r="462" spans="1:7" x14ac:dyDescent="0.3">
      <c r="A462" t="s">
        <v>63</v>
      </c>
      <c r="B462" s="2">
        <v>34</v>
      </c>
      <c r="C462" s="2" t="s">
        <v>8</v>
      </c>
      <c r="D462" s="2">
        <v>0.1</v>
      </c>
      <c r="E462" s="2" t="s">
        <v>10</v>
      </c>
      <c r="F462">
        <v>0.91743119266054995</v>
      </c>
      <c r="G462" s="2">
        <v>53</v>
      </c>
    </row>
    <row r="463" spans="1:7" x14ac:dyDescent="0.3">
      <c r="A463" t="s">
        <v>63</v>
      </c>
      <c r="B463" s="2">
        <v>34</v>
      </c>
      <c r="C463" s="2" t="s">
        <v>8</v>
      </c>
      <c r="D463" s="2">
        <v>1</v>
      </c>
      <c r="E463" s="2" t="s">
        <v>10</v>
      </c>
      <c r="F463">
        <v>1.48165137614678</v>
      </c>
      <c r="G463" s="2">
        <v>53</v>
      </c>
    </row>
    <row r="464" spans="1:7" x14ac:dyDescent="0.3">
      <c r="A464" t="s">
        <v>63</v>
      </c>
      <c r="B464" s="2">
        <v>34</v>
      </c>
      <c r="C464" s="2" t="s">
        <v>8</v>
      </c>
      <c r="D464" s="2">
        <v>10</v>
      </c>
      <c r="E464" s="2" t="s">
        <v>10</v>
      </c>
      <c r="F464">
        <v>0.69724770642201805</v>
      </c>
      <c r="G464" s="2">
        <v>53</v>
      </c>
    </row>
    <row r="465" spans="1:7" x14ac:dyDescent="0.3">
      <c r="A465" t="s">
        <v>63</v>
      </c>
      <c r="B465" s="2">
        <v>34</v>
      </c>
      <c r="C465" s="2" t="s">
        <v>8</v>
      </c>
      <c r="D465" s="2">
        <v>50</v>
      </c>
      <c r="E465" s="2" t="s">
        <v>10</v>
      </c>
      <c r="F465">
        <v>0.61009174311926595</v>
      </c>
      <c r="G465" s="2">
        <v>53</v>
      </c>
    </row>
    <row r="466" spans="1:7" x14ac:dyDescent="0.3">
      <c r="A466" t="s">
        <v>63</v>
      </c>
      <c r="B466" s="2">
        <v>7</v>
      </c>
      <c r="C466" s="2" t="s">
        <v>11</v>
      </c>
      <c r="D466" s="2">
        <v>0.1</v>
      </c>
      <c r="E466" s="2" t="s">
        <v>10</v>
      </c>
      <c r="F466">
        <v>1.0172910662824199</v>
      </c>
      <c r="G466" s="2">
        <v>53</v>
      </c>
    </row>
    <row r="467" spans="1:7" x14ac:dyDescent="0.3">
      <c r="A467" t="s">
        <v>63</v>
      </c>
      <c r="B467" s="2">
        <v>7</v>
      </c>
      <c r="C467" s="2" t="s">
        <v>11</v>
      </c>
      <c r="D467" s="2">
        <v>1</v>
      </c>
      <c r="E467" s="2" t="s">
        <v>10</v>
      </c>
      <c r="F467">
        <v>0.81268011527377504</v>
      </c>
      <c r="G467" s="2">
        <v>53</v>
      </c>
    </row>
    <row r="468" spans="1:7" x14ac:dyDescent="0.3">
      <c r="A468" t="s">
        <v>63</v>
      </c>
      <c r="B468" s="2">
        <v>7</v>
      </c>
      <c r="C468" s="2" t="s">
        <v>11</v>
      </c>
      <c r="D468" s="2">
        <v>10</v>
      </c>
      <c r="E468" s="2" t="s">
        <v>10</v>
      </c>
      <c r="F468">
        <v>0.60230547550432201</v>
      </c>
      <c r="G468" s="2">
        <v>53</v>
      </c>
    </row>
    <row r="469" spans="1:7" x14ac:dyDescent="0.3">
      <c r="A469" t="s">
        <v>63</v>
      </c>
      <c r="B469" s="2">
        <v>7</v>
      </c>
      <c r="C469" s="2" t="s">
        <v>11</v>
      </c>
      <c r="D469" s="2">
        <v>50</v>
      </c>
      <c r="E469" s="2" t="s">
        <v>10</v>
      </c>
      <c r="F469">
        <v>0.75504322766570597</v>
      </c>
      <c r="G469" s="2">
        <v>53</v>
      </c>
    </row>
    <row r="470" spans="1:7" x14ac:dyDescent="0.3">
      <c r="A470" t="s">
        <v>63</v>
      </c>
      <c r="B470" s="2">
        <v>15</v>
      </c>
      <c r="C470" s="2" t="s">
        <v>11</v>
      </c>
      <c r="D470" s="2">
        <v>0.1</v>
      </c>
      <c r="E470" s="2" t="s">
        <v>10</v>
      </c>
      <c r="F470">
        <v>0.86852589641434197</v>
      </c>
      <c r="G470" s="2">
        <v>53</v>
      </c>
    </row>
    <row r="471" spans="1:7" x14ac:dyDescent="0.3">
      <c r="A471" t="s">
        <v>63</v>
      </c>
      <c r="B471" s="2">
        <v>15</v>
      </c>
      <c r="C471" s="2" t="s">
        <v>11</v>
      </c>
      <c r="D471" s="2">
        <v>1</v>
      </c>
      <c r="E471" s="2" t="s">
        <v>10</v>
      </c>
      <c r="F471">
        <v>0.98804780876494003</v>
      </c>
      <c r="G471" s="2">
        <v>53</v>
      </c>
    </row>
    <row r="472" spans="1:7" x14ac:dyDescent="0.3">
      <c r="A472" t="s">
        <v>63</v>
      </c>
      <c r="B472" s="2">
        <v>15</v>
      </c>
      <c r="C472" s="2" t="s">
        <v>11</v>
      </c>
      <c r="D472" s="2">
        <v>10</v>
      </c>
      <c r="E472" s="2" t="s">
        <v>10</v>
      </c>
      <c r="F472">
        <v>0.77290836653386397</v>
      </c>
      <c r="G472" s="2">
        <v>53</v>
      </c>
    </row>
    <row r="473" spans="1:7" x14ac:dyDescent="0.3">
      <c r="A473" t="s">
        <v>63</v>
      </c>
      <c r="B473" s="2">
        <v>15</v>
      </c>
      <c r="C473" s="2" t="s">
        <v>11</v>
      </c>
      <c r="D473" s="2">
        <v>50</v>
      </c>
      <c r="E473" s="2" t="s">
        <v>10</v>
      </c>
      <c r="F473">
        <v>0.84462151394422302</v>
      </c>
      <c r="G473" s="2">
        <v>53</v>
      </c>
    </row>
    <row r="474" spans="1:7" x14ac:dyDescent="0.3">
      <c r="A474" t="s">
        <v>63</v>
      </c>
      <c r="B474" s="2">
        <v>20</v>
      </c>
      <c r="C474" s="2" t="s">
        <v>11</v>
      </c>
      <c r="D474" s="2">
        <v>0.1</v>
      </c>
      <c r="E474" s="2" t="s">
        <v>10</v>
      </c>
      <c r="F474">
        <v>0.76249999999999996</v>
      </c>
      <c r="G474" s="2">
        <v>53</v>
      </c>
    </row>
    <row r="475" spans="1:7" x14ac:dyDescent="0.3">
      <c r="A475" t="s">
        <v>63</v>
      </c>
      <c r="B475" s="2">
        <v>20</v>
      </c>
      <c r="C475" s="2" t="s">
        <v>11</v>
      </c>
      <c r="D475" s="2">
        <v>1</v>
      </c>
      <c r="E475" s="2" t="s">
        <v>10</v>
      </c>
      <c r="F475">
        <v>0.89583333333333304</v>
      </c>
      <c r="G475" s="2">
        <v>53</v>
      </c>
    </row>
    <row r="476" spans="1:7" x14ac:dyDescent="0.3">
      <c r="A476" t="s">
        <v>63</v>
      </c>
      <c r="B476" s="2">
        <v>20</v>
      </c>
      <c r="C476" s="2" t="s">
        <v>11</v>
      </c>
      <c r="D476" s="2">
        <v>10</v>
      </c>
      <c r="E476" s="2" t="s">
        <v>10</v>
      </c>
      <c r="F476">
        <v>1.0249999999999999</v>
      </c>
      <c r="G476" s="2">
        <v>53</v>
      </c>
    </row>
    <row r="477" spans="1:7" x14ac:dyDescent="0.3">
      <c r="A477" t="s">
        <v>63</v>
      </c>
      <c r="B477" s="2">
        <v>20</v>
      </c>
      <c r="C477" s="2" t="s">
        <v>11</v>
      </c>
      <c r="D477" s="2">
        <v>50</v>
      </c>
      <c r="E477" s="2" t="s">
        <v>10</v>
      </c>
      <c r="F477">
        <v>0.78333333333333299</v>
      </c>
      <c r="G477" s="2">
        <v>53</v>
      </c>
    </row>
    <row r="478" spans="1:7" x14ac:dyDescent="0.3">
      <c r="A478" t="s">
        <v>63</v>
      </c>
      <c r="B478" s="2">
        <v>34</v>
      </c>
      <c r="C478" s="2" t="s">
        <v>11</v>
      </c>
      <c r="D478" s="2">
        <v>0.1</v>
      </c>
      <c r="E478" s="2" t="s">
        <v>10</v>
      </c>
      <c r="F478">
        <v>1.0295202952029501</v>
      </c>
      <c r="G478" s="2">
        <v>53</v>
      </c>
    </row>
    <row r="479" spans="1:7" x14ac:dyDescent="0.3">
      <c r="A479" t="s">
        <v>63</v>
      </c>
      <c r="B479" s="2">
        <v>34</v>
      </c>
      <c r="C479" s="2" t="s">
        <v>11</v>
      </c>
      <c r="D479" s="2">
        <v>1</v>
      </c>
      <c r="E479" s="2" t="s">
        <v>10</v>
      </c>
      <c r="F479">
        <v>1.2103321033210299</v>
      </c>
      <c r="G479" s="2">
        <v>53</v>
      </c>
    </row>
    <row r="480" spans="1:7" x14ac:dyDescent="0.3">
      <c r="A480" t="s">
        <v>63</v>
      </c>
      <c r="B480" s="2">
        <v>34</v>
      </c>
      <c r="C480" s="2" t="s">
        <v>11</v>
      </c>
      <c r="D480" s="2">
        <v>10</v>
      </c>
      <c r="E480" s="2" t="s">
        <v>10</v>
      </c>
      <c r="F480">
        <v>1.1734317343173399</v>
      </c>
      <c r="G480" s="2">
        <v>53</v>
      </c>
    </row>
    <row r="481" spans="1:7" s="1" customFormat="1" ht="13.9" thickBot="1" x14ac:dyDescent="0.35">
      <c r="A481" s="1" t="s">
        <v>63</v>
      </c>
      <c r="B481" s="3">
        <v>34</v>
      </c>
      <c r="C481" s="3" t="s">
        <v>11</v>
      </c>
      <c r="D481" s="3">
        <v>50</v>
      </c>
      <c r="E481" s="3" t="s">
        <v>10</v>
      </c>
      <c r="F481" s="1">
        <v>0.70110701107010998</v>
      </c>
      <c r="G481" s="3">
        <v>53</v>
      </c>
    </row>
    <row r="482" spans="1:7" x14ac:dyDescent="0.3">
      <c r="A482" t="s">
        <v>64</v>
      </c>
      <c r="B482" s="2">
        <v>30</v>
      </c>
      <c r="C482" s="2" t="s">
        <v>8</v>
      </c>
      <c r="D482" s="2">
        <v>10</v>
      </c>
      <c r="E482" s="2" t="s">
        <v>12</v>
      </c>
      <c r="F482">
        <v>0.96632996632996604</v>
      </c>
      <c r="G482" s="2">
        <v>54</v>
      </c>
    </row>
    <row r="483" spans="1:7" x14ac:dyDescent="0.3">
      <c r="A483" t="s">
        <v>64</v>
      </c>
      <c r="B483" s="2">
        <v>30</v>
      </c>
      <c r="C483" s="2" t="s">
        <v>8</v>
      </c>
      <c r="D483" s="2">
        <v>25</v>
      </c>
      <c r="E483" s="2" t="s">
        <v>12</v>
      </c>
      <c r="F483">
        <v>0.93602693602693599</v>
      </c>
      <c r="G483" s="2">
        <v>54</v>
      </c>
    </row>
    <row r="484" spans="1:7" x14ac:dyDescent="0.3">
      <c r="A484" t="s">
        <v>64</v>
      </c>
      <c r="B484" s="2">
        <v>30</v>
      </c>
      <c r="C484" s="2" t="s">
        <v>8</v>
      </c>
      <c r="D484" s="2">
        <v>50</v>
      </c>
      <c r="E484" s="2" t="s">
        <v>12</v>
      </c>
      <c r="F484">
        <v>0.81144781144781097</v>
      </c>
      <c r="G484" s="2">
        <v>54</v>
      </c>
    </row>
    <row r="485" spans="1:7" x14ac:dyDescent="0.3">
      <c r="A485" t="s">
        <v>64</v>
      </c>
      <c r="B485" s="2">
        <v>30</v>
      </c>
      <c r="C485" s="2" t="s">
        <v>8</v>
      </c>
      <c r="D485" s="2">
        <v>75</v>
      </c>
      <c r="E485" s="2" t="s">
        <v>12</v>
      </c>
      <c r="F485">
        <v>0.60942760942760899</v>
      </c>
      <c r="G485" s="2">
        <v>54</v>
      </c>
    </row>
    <row r="486" spans="1:7" x14ac:dyDescent="0.3">
      <c r="A486" t="s">
        <v>64</v>
      </c>
      <c r="B486" s="2">
        <v>30</v>
      </c>
      <c r="C486" s="2" t="s">
        <v>8</v>
      </c>
      <c r="D486" s="2">
        <v>100</v>
      </c>
      <c r="E486" s="2" t="s">
        <v>12</v>
      </c>
      <c r="F486">
        <v>0.47474747474747397</v>
      </c>
      <c r="G486" s="2">
        <v>54</v>
      </c>
    </row>
    <row r="487" spans="1:7" x14ac:dyDescent="0.3">
      <c r="A487" t="s">
        <v>64</v>
      </c>
      <c r="B487" s="2">
        <v>30</v>
      </c>
      <c r="C487" s="2" t="s">
        <v>8</v>
      </c>
      <c r="D487" s="2">
        <v>10</v>
      </c>
      <c r="E487" s="2" t="s">
        <v>10</v>
      </c>
      <c r="F487">
        <v>1.1279069767441801</v>
      </c>
      <c r="G487" s="2">
        <v>54</v>
      </c>
    </row>
    <row r="488" spans="1:7" x14ac:dyDescent="0.3">
      <c r="A488" t="s">
        <v>64</v>
      </c>
      <c r="B488" s="2">
        <v>30</v>
      </c>
      <c r="C488" s="2" t="s">
        <v>8</v>
      </c>
      <c r="D488" s="2">
        <v>25</v>
      </c>
      <c r="E488" s="2" t="s">
        <v>10</v>
      </c>
      <c r="F488">
        <v>1.7209302325581299</v>
      </c>
      <c r="G488" s="2">
        <v>54</v>
      </c>
    </row>
    <row r="489" spans="1:7" x14ac:dyDescent="0.3">
      <c r="A489" t="s">
        <v>64</v>
      </c>
      <c r="B489" s="2">
        <v>30</v>
      </c>
      <c r="C489" s="2" t="s">
        <v>8</v>
      </c>
      <c r="D489" s="2">
        <v>50</v>
      </c>
      <c r="E489" s="2" t="s">
        <v>10</v>
      </c>
      <c r="F489">
        <v>2.2325581395348801</v>
      </c>
      <c r="G489" s="2">
        <v>54</v>
      </c>
    </row>
    <row r="490" spans="1:7" x14ac:dyDescent="0.3">
      <c r="A490" t="s">
        <v>64</v>
      </c>
      <c r="B490" s="2">
        <v>30</v>
      </c>
      <c r="C490" s="2" t="s">
        <v>8</v>
      </c>
      <c r="D490" s="2">
        <v>75</v>
      </c>
      <c r="E490" s="2" t="s">
        <v>10</v>
      </c>
      <c r="F490">
        <v>2.8720930232558102</v>
      </c>
      <c r="G490" s="2">
        <v>54</v>
      </c>
    </row>
    <row r="491" spans="1:7" x14ac:dyDescent="0.3">
      <c r="A491" t="s">
        <v>64</v>
      </c>
      <c r="B491" s="2">
        <v>30</v>
      </c>
      <c r="C491" s="2" t="s">
        <v>8</v>
      </c>
      <c r="D491" s="2">
        <v>100</v>
      </c>
      <c r="E491" s="2" t="s">
        <v>10</v>
      </c>
      <c r="F491">
        <v>3.16279069767441</v>
      </c>
      <c r="G491" s="2">
        <v>54</v>
      </c>
    </row>
    <row r="492" spans="1:7" x14ac:dyDescent="0.3">
      <c r="A492" t="s">
        <v>64</v>
      </c>
      <c r="B492" s="2">
        <v>30</v>
      </c>
      <c r="C492" s="2" t="s">
        <v>8</v>
      </c>
      <c r="D492" s="2">
        <v>10</v>
      </c>
      <c r="E492" s="2" t="s">
        <v>10</v>
      </c>
      <c r="F492">
        <v>1.04580152671755</v>
      </c>
      <c r="G492" s="2">
        <v>54</v>
      </c>
    </row>
    <row r="493" spans="1:7" x14ac:dyDescent="0.3">
      <c r="A493" t="s">
        <v>64</v>
      </c>
      <c r="B493" s="2">
        <v>30</v>
      </c>
      <c r="C493" s="2" t="s">
        <v>8</v>
      </c>
      <c r="D493" s="2">
        <v>25</v>
      </c>
      <c r="E493" s="2" t="s">
        <v>10</v>
      </c>
      <c r="F493">
        <v>1.25954198473282</v>
      </c>
      <c r="G493" s="2">
        <v>54</v>
      </c>
    </row>
    <row r="494" spans="1:7" x14ac:dyDescent="0.3">
      <c r="A494" t="s">
        <v>64</v>
      </c>
      <c r="B494" s="2">
        <v>30</v>
      </c>
      <c r="C494" s="2" t="s">
        <v>8</v>
      </c>
      <c r="D494" s="2">
        <v>50</v>
      </c>
      <c r="E494" s="2" t="s">
        <v>10</v>
      </c>
      <c r="F494">
        <v>1.4809160305343501</v>
      </c>
      <c r="G494" s="2">
        <v>54</v>
      </c>
    </row>
    <row r="495" spans="1:7" x14ac:dyDescent="0.3">
      <c r="A495" t="s">
        <v>64</v>
      </c>
      <c r="B495" s="2">
        <v>30</v>
      </c>
      <c r="C495" s="2" t="s">
        <v>8</v>
      </c>
      <c r="D495" s="2">
        <v>75</v>
      </c>
      <c r="E495" s="2" t="s">
        <v>10</v>
      </c>
      <c r="F495">
        <v>1.5801526717557199</v>
      </c>
      <c r="G495" s="2">
        <v>54</v>
      </c>
    </row>
    <row r="496" spans="1:7" x14ac:dyDescent="0.3">
      <c r="A496" t="s">
        <v>64</v>
      </c>
      <c r="B496" s="2">
        <v>30</v>
      </c>
      <c r="C496" s="2" t="s">
        <v>8</v>
      </c>
      <c r="D496" s="2">
        <v>100</v>
      </c>
      <c r="E496" s="2" t="s">
        <v>10</v>
      </c>
      <c r="F496">
        <v>2</v>
      </c>
      <c r="G496" s="2">
        <v>54</v>
      </c>
    </row>
    <row r="497" spans="1:7" x14ac:dyDescent="0.3">
      <c r="A497" t="s">
        <v>64</v>
      </c>
      <c r="B497" s="2">
        <v>30</v>
      </c>
      <c r="C497" s="2" t="s">
        <v>8</v>
      </c>
      <c r="D497" s="2">
        <v>10</v>
      </c>
      <c r="E497" s="2" t="s">
        <v>9</v>
      </c>
      <c r="F497">
        <v>0.975103734439834</v>
      </c>
      <c r="G497" s="2">
        <v>54</v>
      </c>
    </row>
    <row r="498" spans="1:7" x14ac:dyDescent="0.3">
      <c r="A498" t="s">
        <v>64</v>
      </c>
      <c r="B498" s="2">
        <v>30</v>
      </c>
      <c r="C498" s="2" t="s">
        <v>8</v>
      </c>
      <c r="D498" s="2">
        <v>25</v>
      </c>
      <c r="E498" s="2" t="s">
        <v>9</v>
      </c>
      <c r="F498">
        <v>0.93775933609958495</v>
      </c>
      <c r="G498" s="2">
        <v>54</v>
      </c>
    </row>
    <row r="499" spans="1:7" x14ac:dyDescent="0.3">
      <c r="A499" t="s">
        <v>64</v>
      </c>
      <c r="B499" s="2">
        <v>30</v>
      </c>
      <c r="C499" s="2" t="s">
        <v>8</v>
      </c>
      <c r="D499" s="2">
        <v>50</v>
      </c>
      <c r="E499" s="2" t="s">
        <v>9</v>
      </c>
      <c r="F499">
        <v>0.80912863070539398</v>
      </c>
      <c r="G499" s="2">
        <v>54</v>
      </c>
    </row>
    <row r="500" spans="1:7" x14ac:dyDescent="0.3">
      <c r="A500" t="s">
        <v>64</v>
      </c>
      <c r="B500" s="2">
        <v>30</v>
      </c>
      <c r="C500" s="2" t="s">
        <v>8</v>
      </c>
      <c r="D500" s="2">
        <v>75</v>
      </c>
      <c r="E500" s="2" t="s">
        <v>9</v>
      </c>
      <c r="F500">
        <v>0.755186721991701</v>
      </c>
      <c r="G500" s="2">
        <v>54</v>
      </c>
    </row>
    <row r="501" spans="1:7" x14ac:dyDescent="0.3">
      <c r="A501" t="s">
        <v>64</v>
      </c>
      <c r="B501" s="2">
        <v>30</v>
      </c>
      <c r="C501" s="2" t="s">
        <v>8</v>
      </c>
      <c r="D501" s="2">
        <v>100</v>
      </c>
      <c r="E501" s="2" t="s">
        <v>9</v>
      </c>
      <c r="F501">
        <v>0.69709543568464705</v>
      </c>
      <c r="G501" s="2">
        <v>54</v>
      </c>
    </row>
    <row r="502" spans="1:7" x14ac:dyDescent="0.3">
      <c r="A502" t="s">
        <v>64</v>
      </c>
      <c r="B502" s="2">
        <v>30</v>
      </c>
      <c r="C502" s="2" t="s">
        <v>8</v>
      </c>
      <c r="D502" s="2">
        <v>10</v>
      </c>
      <c r="E502" s="2" t="s">
        <v>9</v>
      </c>
      <c r="F502">
        <v>0.86250000000000004</v>
      </c>
      <c r="G502" s="2">
        <v>54</v>
      </c>
    </row>
    <row r="503" spans="1:7" x14ac:dyDescent="0.3">
      <c r="A503" t="s">
        <v>64</v>
      </c>
      <c r="B503" s="2">
        <v>30</v>
      </c>
      <c r="C503" s="2" t="s">
        <v>8</v>
      </c>
      <c r="D503" s="2">
        <v>25</v>
      </c>
      <c r="E503" s="2" t="s">
        <v>9</v>
      </c>
      <c r="F503">
        <v>0.81666666666666599</v>
      </c>
      <c r="G503" s="2">
        <v>54</v>
      </c>
    </row>
    <row r="504" spans="1:7" x14ac:dyDescent="0.3">
      <c r="A504" t="s">
        <v>64</v>
      </c>
      <c r="B504" s="2">
        <v>30</v>
      </c>
      <c r="C504" s="2" t="s">
        <v>8</v>
      </c>
      <c r="D504" s="2">
        <v>50</v>
      </c>
      <c r="E504" s="2" t="s">
        <v>9</v>
      </c>
      <c r="F504">
        <v>0.75833333333333297</v>
      </c>
      <c r="G504" s="2">
        <v>54</v>
      </c>
    </row>
    <row r="505" spans="1:7" x14ac:dyDescent="0.3">
      <c r="A505" t="s">
        <v>64</v>
      </c>
      <c r="B505" s="2">
        <v>30</v>
      </c>
      <c r="C505" s="2" t="s">
        <v>8</v>
      </c>
      <c r="D505" s="2">
        <v>75</v>
      </c>
      <c r="E505" s="2" t="s">
        <v>9</v>
      </c>
      <c r="F505">
        <v>0.70833333333333304</v>
      </c>
      <c r="G505" s="2">
        <v>54</v>
      </c>
    </row>
    <row r="506" spans="1:7" s="1" customFormat="1" ht="13.9" thickBot="1" x14ac:dyDescent="0.35">
      <c r="A506" s="1" t="s">
        <v>64</v>
      </c>
      <c r="B506" s="3">
        <v>30</v>
      </c>
      <c r="C506" s="3" t="s">
        <v>8</v>
      </c>
      <c r="D506" s="3">
        <v>100</v>
      </c>
      <c r="E506" s="3" t="s">
        <v>9</v>
      </c>
      <c r="F506" s="1">
        <v>0.59583333333333299</v>
      </c>
      <c r="G506" s="3">
        <v>54</v>
      </c>
    </row>
    <row r="507" spans="1:7" x14ac:dyDescent="0.3">
      <c r="A507" t="s">
        <v>80</v>
      </c>
      <c r="B507">
        <v>3</v>
      </c>
      <c r="C507" t="s">
        <v>8</v>
      </c>
      <c r="D507">
        <v>43760</v>
      </c>
      <c r="E507" t="s">
        <v>10</v>
      </c>
      <c r="F507">
        <v>0.99939</v>
      </c>
      <c r="G507">
        <v>7</v>
      </c>
    </row>
    <row r="508" spans="1:7" x14ac:dyDescent="0.3">
      <c r="A508" t="s">
        <v>80</v>
      </c>
      <c r="B508">
        <v>3</v>
      </c>
      <c r="C508" t="s">
        <v>8</v>
      </c>
      <c r="D508">
        <v>218800</v>
      </c>
      <c r="E508" t="s">
        <v>10</v>
      </c>
      <c r="F508">
        <v>1.0922400000000001</v>
      </c>
      <c r="G508">
        <v>7</v>
      </c>
    </row>
    <row r="509" spans="1:7" x14ac:dyDescent="0.3">
      <c r="A509" t="s">
        <v>80</v>
      </c>
      <c r="B509">
        <v>3</v>
      </c>
      <c r="C509" t="s">
        <v>8</v>
      </c>
      <c r="D509">
        <v>437600</v>
      </c>
      <c r="E509" t="s">
        <v>10</v>
      </c>
      <c r="F509">
        <v>1.1069</v>
      </c>
      <c r="G509">
        <v>7</v>
      </c>
    </row>
    <row r="510" spans="1:7" x14ac:dyDescent="0.3">
      <c r="A510" t="s">
        <v>80</v>
      </c>
      <c r="B510">
        <v>3</v>
      </c>
      <c r="C510" t="s">
        <v>8</v>
      </c>
      <c r="D510">
        <v>1094000</v>
      </c>
      <c r="E510" t="s">
        <v>10</v>
      </c>
      <c r="F510">
        <v>1.2162500000000001</v>
      </c>
      <c r="G510">
        <v>7</v>
      </c>
    </row>
    <row r="511" spans="1:7" x14ac:dyDescent="0.3">
      <c r="A511" t="s">
        <v>80</v>
      </c>
      <c r="B511">
        <v>3</v>
      </c>
      <c r="C511" t="s">
        <v>8</v>
      </c>
      <c r="D511">
        <v>2188000</v>
      </c>
      <c r="E511" t="s">
        <v>10</v>
      </c>
      <c r="F511">
        <v>1.3494200000000001</v>
      </c>
      <c r="G511">
        <v>7</v>
      </c>
    </row>
    <row r="512" spans="1:7" x14ac:dyDescent="0.3">
      <c r="A512" t="s">
        <v>80</v>
      </c>
      <c r="B512">
        <v>3</v>
      </c>
      <c r="C512" t="s">
        <v>11</v>
      </c>
      <c r="D512">
        <v>43760</v>
      </c>
      <c r="E512" t="s">
        <v>10</v>
      </c>
      <c r="F512">
        <v>0.97726999999999997</v>
      </c>
      <c r="G512">
        <v>7</v>
      </c>
    </row>
    <row r="513" spans="1:7" x14ac:dyDescent="0.3">
      <c r="A513" t="s">
        <v>80</v>
      </c>
      <c r="B513">
        <v>3</v>
      </c>
      <c r="C513" t="s">
        <v>11</v>
      </c>
      <c r="D513">
        <v>218800</v>
      </c>
      <c r="E513" t="s">
        <v>10</v>
      </c>
      <c r="F513">
        <v>1.0749500000000001</v>
      </c>
      <c r="G513">
        <v>7</v>
      </c>
    </row>
    <row r="514" spans="1:7" x14ac:dyDescent="0.3">
      <c r="A514" t="s">
        <v>80</v>
      </c>
      <c r="B514">
        <v>3</v>
      </c>
      <c r="C514" t="s">
        <v>11</v>
      </c>
      <c r="D514">
        <v>437600</v>
      </c>
      <c r="E514" t="s">
        <v>10</v>
      </c>
      <c r="F514">
        <v>1.1201300000000001</v>
      </c>
      <c r="G514">
        <v>7</v>
      </c>
    </row>
    <row r="515" spans="1:7" x14ac:dyDescent="0.3">
      <c r="A515" t="s">
        <v>80</v>
      </c>
      <c r="B515">
        <v>3</v>
      </c>
      <c r="C515" t="s">
        <v>11</v>
      </c>
      <c r="D515">
        <v>1094000</v>
      </c>
      <c r="E515" t="s">
        <v>10</v>
      </c>
      <c r="F515">
        <v>1.2608200000000001</v>
      </c>
      <c r="G515">
        <v>7</v>
      </c>
    </row>
    <row r="516" spans="1:7" x14ac:dyDescent="0.3">
      <c r="A516" t="s">
        <v>80</v>
      </c>
      <c r="B516">
        <v>3</v>
      </c>
      <c r="C516" t="s">
        <v>11</v>
      </c>
      <c r="D516">
        <v>2188000</v>
      </c>
      <c r="E516" t="s">
        <v>10</v>
      </c>
      <c r="F516">
        <v>1.4026000000000001</v>
      </c>
      <c r="G516">
        <v>7</v>
      </c>
    </row>
    <row r="517" spans="1:7" x14ac:dyDescent="0.3">
      <c r="A517" t="s">
        <v>80</v>
      </c>
      <c r="B517">
        <v>3</v>
      </c>
      <c r="C517" t="s">
        <v>8</v>
      </c>
      <c r="D517">
        <v>43760</v>
      </c>
      <c r="E517" t="s">
        <v>10</v>
      </c>
      <c r="F517">
        <v>1.0689200000000001</v>
      </c>
      <c r="G517">
        <v>7</v>
      </c>
    </row>
    <row r="518" spans="1:7" x14ac:dyDescent="0.3">
      <c r="A518" t="s">
        <v>80</v>
      </c>
      <c r="B518">
        <v>3</v>
      </c>
      <c r="C518" t="s">
        <v>8</v>
      </c>
      <c r="D518">
        <v>218800</v>
      </c>
      <c r="E518" t="s">
        <v>10</v>
      </c>
      <c r="F518">
        <v>1.11466</v>
      </c>
      <c r="G518">
        <v>7</v>
      </c>
    </row>
    <row r="519" spans="1:7" x14ac:dyDescent="0.3">
      <c r="A519" t="s">
        <v>80</v>
      </c>
      <c r="B519">
        <v>3</v>
      </c>
      <c r="C519" t="s">
        <v>8</v>
      </c>
      <c r="D519">
        <v>437600</v>
      </c>
      <c r="E519" t="s">
        <v>10</v>
      </c>
      <c r="F519">
        <v>1.22553</v>
      </c>
      <c r="G519">
        <v>7</v>
      </c>
    </row>
    <row r="520" spans="1:7" x14ac:dyDescent="0.3">
      <c r="A520" t="s">
        <v>80</v>
      </c>
      <c r="B520">
        <v>3</v>
      </c>
      <c r="C520" t="s">
        <v>8</v>
      </c>
      <c r="D520">
        <v>1094000</v>
      </c>
      <c r="E520" t="s">
        <v>10</v>
      </c>
      <c r="F520">
        <v>1.31602</v>
      </c>
      <c r="G520">
        <v>7</v>
      </c>
    </row>
    <row r="521" spans="1:7" x14ac:dyDescent="0.3">
      <c r="A521" t="s">
        <v>80</v>
      </c>
      <c r="B521">
        <v>3</v>
      </c>
      <c r="C521" t="s">
        <v>8</v>
      </c>
      <c r="D521">
        <v>2188000</v>
      </c>
      <c r="E521" t="s">
        <v>10</v>
      </c>
      <c r="F521">
        <v>1.45445</v>
      </c>
      <c r="G521">
        <v>7</v>
      </c>
    </row>
    <row r="522" spans="1:7" x14ac:dyDescent="0.3">
      <c r="A522" t="s">
        <v>80</v>
      </c>
      <c r="B522">
        <v>3</v>
      </c>
      <c r="C522" t="s">
        <v>11</v>
      </c>
      <c r="D522">
        <v>43760</v>
      </c>
      <c r="E522" t="s">
        <v>10</v>
      </c>
      <c r="F522">
        <v>1.01047</v>
      </c>
      <c r="G522">
        <v>7</v>
      </c>
    </row>
    <row r="523" spans="1:7" x14ac:dyDescent="0.3">
      <c r="A523" t="s">
        <v>80</v>
      </c>
      <c r="B523">
        <v>3</v>
      </c>
      <c r="C523" t="s">
        <v>11</v>
      </c>
      <c r="D523">
        <v>218800</v>
      </c>
      <c r="E523" t="s">
        <v>10</v>
      </c>
      <c r="F523">
        <v>1.05511</v>
      </c>
      <c r="G523">
        <v>7</v>
      </c>
    </row>
    <row r="524" spans="1:7" x14ac:dyDescent="0.3">
      <c r="A524" t="s">
        <v>80</v>
      </c>
      <c r="B524">
        <v>3</v>
      </c>
      <c r="C524" t="s">
        <v>11</v>
      </c>
      <c r="D524">
        <v>437600</v>
      </c>
      <c r="E524" t="s">
        <v>10</v>
      </c>
      <c r="F524">
        <v>1.1154599999999999</v>
      </c>
      <c r="G524">
        <v>7</v>
      </c>
    </row>
    <row r="525" spans="1:7" x14ac:dyDescent="0.3">
      <c r="A525" t="s">
        <v>80</v>
      </c>
      <c r="B525">
        <v>3</v>
      </c>
      <c r="C525" t="s">
        <v>11</v>
      </c>
      <c r="D525">
        <v>1094000</v>
      </c>
      <c r="E525" t="s">
        <v>10</v>
      </c>
      <c r="F525">
        <v>1.15486</v>
      </c>
      <c r="G525">
        <v>7</v>
      </c>
    </row>
    <row r="526" spans="1:7" x14ac:dyDescent="0.3">
      <c r="A526" t="s">
        <v>80</v>
      </c>
      <c r="B526">
        <v>3</v>
      </c>
      <c r="C526" t="s">
        <v>11</v>
      </c>
      <c r="D526">
        <v>2188000</v>
      </c>
      <c r="E526" t="s">
        <v>10</v>
      </c>
      <c r="F526">
        <v>1.3078799999999999</v>
      </c>
      <c r="G526">
        <v>7</v>
      </c>
    </row>
    <row r="527" spans="1:7" x14ac:dyDescent="0.3">
      <c r="A527" t="s">
        <v>80</v>
      </c>
      <c r="B527">
        <v>3</v>
      </c>
      <c r="C527" t="s">
        <v>8</v>
      </c>
      <c r="D527">
        <v>43760</v>
      </c>
      <c r="E527" t="s">
        <v>10</v>
      </c>
      <c r="F527">
        <v>1.19373</v>
      </c>
      <c r="G527">
        <v>7</v>
      </c>
    </row>
    <row r="528" spans="1:7" x14ac:dyDescent="0.3">
      <c r="A528" t="s">
        <v>80</v>
      </c>
      <c r="B528">
        <v>3</v>
      </c>
      <c r="C528" t="s">
        <v>8</v>
      </c>
      <c r="D528">
        <v>218800</v>
      </c>
      <c r="E528" t="s">
        <v>10</v>
      </c>
      <c r="F528">
        <v>1.46296</v>
      </c>
      <c r="G528">
        <v>7</v>
      </c>
    </row>
    <row r="529" spans="1:7" x14ac:dyDescent="0.3">
      <c r="A529" t="s">
        <v>80</v>
      </c>
      <c r="B529">
        <v>3</v>
      </c>
      <c r="C529" t="s">
        <v>8</v>
      </c>
      <c r="D529">
        <v>437600</v>
      </c>
      <c r="E529" t="s">
        <v>10</v>
      </c>
      <c r="F529">
        <v>1.70157</v>
      </c>
      <c r="G529">
        <v>7</v>
      </c>
    </row>
    <row r="530" spans="1:7" x14ac:dyDescent="0.3">
      <c r="A530" t="s">
        <v>80</v>
      </c>
      <c r="B530">
        <v>3</v>
      </c>
      <c r="C530" t="s">
        <v>8</v>
      </c>
      <c r="D530">
        <v>1094000</v>
      </c>
      <c r="E530" t="s">
        <v>10</v>
      </c>
      <c r="F530">
        <v>2.0640999999999998</v>
      </c>
      <c r="G530">
        <v>7</v>
      </c>
    </row>
    <row r="531" spans="1:7" x14ac:dyDescent="0.3">
      <c r="A531" t="s">
        <v>80</v>
      </c>
      <c r="B531">
        <v>3</v>
      </c>
      <c r="C531" t="s">
        <v>8</v>
      </c>
      <c r="D531">
        <v>2188000</v>
      </c>
      <c r="E531" t="s">
        <v>10</v>
      </c>
      <c r="F531">
        <v>2.5135299999999998</v>
      </c>
      <c r="G531">
        <v>7</v>
      </c>
    </row>
    <row r="532" spans="1:7" x14ac:dyDescent="0.3">
      <c r="A532" t="s">
        <v>80</v>
      </c>
      <c r="B532">
        <v>3</v>
      </c>
      <c r="C532" t="s">
        <v>11</v>
      </c>
      <c r="D532">
        <v>43760</v>
      </c>
      <c r="E532" t="s">
        <v>10</v>
      </c>
      <c r="F532">
        <v>1.1568700000000001</v>
      </c>
      <c r="G532">
        <v>7</v>
      </c>
    </row>
    <row r="533" spans="1:7" x14ac:dyDescent="0.3">
      <c r="A533" t="s">
        <v>80</v>
      </c>
      <c r="B533">
        <v>3</v>
      </c>
      <c r="C533" t="s">
        <v>11</v>
      </c>
      <c r="D533">
        <v>218800</v>
      </c>
      <c r="E533" t="s">
        <v>10</v>
      </c>
      <c r="F533">
        <v>1.25976</v>
      </c>
      <c r="G533">
        <v>7</v>
      </c>
    </row>
    <row r="534" spans="1:7" x14ac:dyDescent="0.3">
      <c r="A534" t="s">
        <v>80</v>
      </c>
      <c r="B534">
        <v>3</v>
      </c>
      <c r="C534" t="s">
        <v>11</v>
      </c>
      <c r="D534">
        <v>437600</v>
      </c>
      <c r="E534" t="s">
        <v>10</v>
      </c>
      <c r="F534">
        <v>1.4071100000000001</v>
      </c>
      <c r="G534">
        <v>7</v>
      </c>
    </row>
    <row r="535" spans="1:7" x14ac:dyDescent="0.3">
      <c r="A535" t="s">
        <v>80</v>
      </c>
      <c r="B535">
        <v>3</v>
      </c>
      <c r="C535" t="s">
        <v>11</v>
      </c>
      <c r="D535">
        <v>1094000</v>
      </c>
      <c r="E535" t="s">
        <v>10</v>
      </c>
      <c r="F535">
        <v>1.51285</v>
      </c>
      <c r="G535">
        <v>7</v>
      </c>
    </row>
    <row r="536" spans="1:7" x14ac:dyDescent="0.3">
      <c r="A536" t="s">
        <v>80</v>
      </c>
      <c r="B536">
        <v>3</v>
      </c>
      <c r="C536" t="s">
        <v>11</v>
      </c>
      <c r="D536">
        <v>2188000</v>
      </c>
      <c r="E536" t="s">
        <v>10</v>
      </c>
      <c r="F536">
        <v>1.73604</v>
      </c>
      <c r="G536">
        <v>7</v>
      </c>
    </row>
    <row r="537" spans="1:7" x14ac:dyDescent="0.3">
      <c r="A537" t="s">
        <v>80</v>
      </c>
      <c r="B537">
        <v>3</v>
      </c>
      <c r="C537" t="s">
        <v>8</v>
      </c>
      <c r="D537">
        <v>43760</v>
      </c>
      <c r="E537" t="s">
        <v>10</v>
      </c>
      <c r="F537">
        <v>1.01535</v>
      </c>
      <c r="G537">
        <v>7</v>
      </c>
    </row>
    <row r="538" spans="1:7" x14ac:dyDescent="0.3">
      <c r="A538" t="s">
        <v>80</v>
      </c>
      <c r="B538">
        <v>3</v>
      </c>
      <c r="C538" t="s">
        <v>8</v>
      </c>
      <c r="D538">
        <v>218800</v>
      </c>
      <c r="E538" t="s">
        <v>10</v>
      </c>
      <c r="F538">
        <v>1.0467299999999999</v>
      </c>
      <c r="G538">
        <v>7</v>
      </c>
    </row>
    <row r="539" spans="1:7" x14ac:dyDescent="0.3">
      <c r="A539" t="s">
        <v>80</v>
      </c>
      <c r="B539">
        <v>3</v>
      </c>
      <c r="C539" t="s">
        <v>8</v>
      </c>
      <c r="D539">
        <v>437600</v>
      </c>
      <c r="E539" t="s">
        <v>10</v>
      </c>
      <c r="F539">
        <v>1.0620799999999999</v>
      </c>
      <c r="G539">
        <v>7</v>
      </c>
    </row>
    <row r="540" spans="1:7" x14ac:dyDescent="0.3">
      <c r="A540" t="s">
        <v>80</v>
      </c>
      <c r="B540">
        <v>3</v>
      </c>
      <c r="C540" t="s">
        <v>8</v>
      </c>
      <c r="D540">
        <v>1094000</v>
      </c>
      <c r="E540" t="s">
        <v>10</v>
      </c>
      <c r="F540">
        <v>1.08802</v>
      </c>
      <c r="G540">
        <v>7</v>
      </c>
    </row>
    <row r="541" spans="1:7" x14ac:dyDescent="0.3">
      <c r="A541" t="s">
        <v>80</v>
      </c>
      <c r="B541">
        <v>3</v>
      </c>
      <c r="C541" t="s">
        <v>8</v>
      </c>
      <c r="D541">
        <v>2188000</v>
      </c>
      <c r="E541" t="s">
        <v>10</v>
      </c>
      <c r="F541">
        <v>1.1231899999999999</v>
      </c>
      <c r="G541">
        <v>7</v>
      </c>
    </row>
    <row r="542" spans="1:7" x14ac:dyDescent="0.3">
      <c r="A542" t="s">
        <v>80</v>
      </c>
      <c r="B542">
        <v>3</v>
      </c>
      <c r="C542" t="s">
        <v>11</v>
      </c>
      <c r="D542">
        <v>43760</v>
      </c>
      <c r="E542" t="s">
        <v>10</v>
      </c>
      <c r="F542">
        <v>0.99802999999999997</v>
      </c>
      <c r="G542">
        <v>7</v>
      </c>
    </row>
    <row r="543" spans="1:7" x14ac:dyDescent="0.3">
      <c r="A543" t="s">
        <v>80</v>
      </c>
      <c r="B543">
        <v>3</v>
      </c>
      <c r="C543" t="s">
        <v>11</v>
      </c>
      <c r="D543">
        <v>218800</v>
      </c>
      <c r="E543" t="s">
        <v>10</v>
      </c>
      <c r="F543">
        <v>1.0411300000000001</v>
      </c>
      <c r="G543">
        <v>7</v>
      </c>
    </row>
    <row r="544" spans="1:7" x14ac:dyDescent="0.3">
      <c r="A544" t="s">
        <v>80</v>
      </c>
      <c r="B544">
        <v>3</v>
      </c>
      <c r="C544" t="s">
        <v>11</v>
      </c>
      <c r="D544">
        <v>437600</v>
      </c>
      <c r="E544" t="s">
        <v>10</v>
      </c>
      <c r="F544">
        <v>1.0559099999999999</v>
      </c>
      <c r="G544">
        <v>7</v>
      </c>
    </row>
    <row r="545" spans="1:7" x14ac:dyDescent="0.3">
      <c r="A545" t="s">
        <v>80</v>
      </c>
      <c r="B545">
        <v>3</v>
      </c>
      <c r="C545" t="s">
        <v>11</v>
      </c>
      <c r="D545">
        <v>1094000</v>
      </c>
      <c r="E545" t="s">
        <v>10</v>
      </c>
      <c r="F545">
        <v>1.1259699999999999</v>
      </c>
      <c r="G545">
        <v>7</v>
      </c>
    </row>
    <row r="546" spans="1:7" x14ac:dyDescent="0.3">
      <c r="A546" t="s">
        <v>80</v>
      </c>
      <c r="B546">
        <v>3</v>
      </c>
      <c r="C546" t="s">
        <v>11</v>
      </c>
      <c r="D546">
        <v>2188000</v>
      </c>
      <c r="E546" t="s">
        <v>10</v>
      </c>
      <c r="F546">
        <v>1.1755100000000001</v>
      </c>
      <c r="G546">
        <v>7</v>
      </c>
    </row>
    <row r="547" spans="1:7" x14ac:dyDescent="0.3">
      <c r="A547" t="s">
        <v>80</v>
      </c>
      <c r="B547">
        <v>3</v>
      </c>
      <c r="C547" t="s">
        <v>8</v>
      </c>
      <c r="D547">
        <v>43760</v>
      </c>
      <c r="E547" t="s">
        <v>10</v>
      </c>
      <c r="F547">
        <v>1.0714300000000001</v>
      </c>
      <c r="G547">
        <v>7</v>
      </c>
    </row>
    <row r="548" spans="1:7" x14ac:dyDescent="0.3">
      <c r="A548" t="s">
        <v>80</v>
      </c>
      <c r="B548">
        <v>3</v>
      </c>
      <c r="C548" t="s">
        <v>8</v>
      </c>
      <c r="D548">
        <v>218800</v>
      </c>
      <c r="E548" t="s">
        <v>10</v>
      </c>
      <c r="F548">
        <v>1.1172899999999999</v>
      </c>
      <c r="G548">
        <v>7</v>
      </c>
    </row>
    <row r="549" spans="1:7" x14ac:dyDescent="0.3">
      <c r="A549" t="s">
        <v>80</v>
      </c>
      <c r="B549">
        <v>3</v>
      </c>
      <c r="C549" t="s">
        <v>8</v>
      </c>
      <c r="D549">
        <v>437600</v>
      </c>
      <c r="E549" t="s">
        <v>10</v>
      </c>
      <c r="F549">
        <v>1.2240599999999999</v>
      </c>
      <c r="G549">
        <v>7</v>
      </c>
    </row>
    <row r="550" spans="1:7" x14ac:dyDescent="0.3">
      <c r="A550" t="s">
        <v>80</v>
      </c>
      <c r="B550">
        <v>3</v>
      </c>
      <c r="C550" t="s">
        <v>8</v>
      </c>
      <c r="D550">
        <v>1094000</v>
      </c>
      <c r="E550" t="s">
        <v>10</v>
      </c>
      <c r="F550">
        <v>1.3466199999999999</v>
      </c>
      <c r="G550">
        <v>7</v>
      </c>
    </row>
    <row r="551" spans="1:7" x14ac:dyDescent="0.3">
      <c r="A551" t="s">
        <v>80</v>
      </c>
      <c r="B551">
        <v>3</v>
      </c>
      <c r="C551" t="s">
        <v>8</v>
      </c>
      <c r="D551">
        <v>2188000</v>
      </c>
      <c r="E551" t="s">
        <v>10</v>
      </c>
      <c r="F551">
        <v>1.53684</v>
      </c>
      <c r="G551">
        <v>7</v>
      </c>
    </row>
    <row r="552" spans="1:7" x14ac:dyDescent="0.3">
      <c r="A552" t="s">
        <v>80</v>
      </c>
      <c r="B552">
        <v>3</v>
      </c>
      <c r="C552" t="s">
        <v>11</v>
      </c>
      <c r="D552">
        <v>43760</v>
      </c>
      <c r="E552" t="s">
        <v>10</v>
      </c>
      <c r="F552">
        <v>1.0343500000000001</v>
      </c>
      <c r="G552">
        <v>7</v>
      </c>
    </row>
    <row r="553" spans="1:7" x14ac:dyDescent="0.3">
      <c r="A553" t="s">
        <v>80</v>
      </c>
      <c r="B553">
        <v>3</v>
      </c>
      <c r="C553" t="s">
        <v>11</v>
      </c>
      <c r="D553">
        <v>218800</v>
      </c>
      <c r="E553" t="s">
        <v>10</v>
      </c>
      <c r="F553">
        <v>1.18601</v>
      </c>
      <c r="G553">
        <v>7</v>
      </c>
    </row>
    <row r="554" spans="1:7" x14ac:dyDescent="0.3">
      <c r="A554" t="s">
        <v>80</v>
      </c>
      <c r="B554">
        <v>3</v>
      </c>
      <c r="C554" t="s">
        <v>11</v>
      </c>
      <c r="D554">
        <v>437600</v>
      </c>
      <c r="E554" t="s">
        <v>10</v>
      </c>
      <c r="F554">
        <v>1.29338</v>
      </c>
      <c r="G554">
        <v>7</v>
      </c>
    </row>
    <row r="555" spans="1:7" x14ac:dyDescent="0.3">
      <c r="A555" t="s">
        <v>80</v>
      </c>
      <c r="B555">
        <v>3</v>
      </c>
      <c r="C555" t="s">
        <v>11</v>
      </c>
      <c r="D555">
        <v>1094000</v>
      </c>
      <c r="E555" t="s">
        <v>10</v>
      </c>
      <c r="F555">
        <v>1.4692700000000001</v>
      </c>
      <c r="G555">
        <v>7</v>
      </c>
    </row>
    <row r="556" spans="1:7" x14ac:dyDescent="0.3">
      <c r="A556" t="s">
        <v>80</v>
      </c>
      <c r="B556">
        <v>3</v>
      </c>
      <c r="C556" t="s">
        <v>11</v>
      </c>
      <c r="D556">
        <v>2188000</v>
      </c>
      <c r="E556" t="s">
        <v>10</v>
      </c>
      <c r="F556">
        <v>1.6010500000000001</v>
      </c>
      <c r="G556">
        <v>7</v>
      </c>
    </row>
    <row r="557" spans="1:7" x14ac:dyDescent="0.3">
      <c r="A557" t="s">
        <v>80</v>
      </c>
      <c r="B557">
        <v>3</v>
      </c>
      <c r="C557" t="s">
        <v>8</v>
      </c>
      <c r="D557">
        <v>43760</v>
      </c>
      <c r="E557" t="s">
        <v>10</v>
      </c>
      <c r="F557">
        <v>1.0670900000000001</v>
      </c>
      <c r="G557">
        <v>7</v>
      </c>
    </row>
    <row r="558" spans="1:7" x14ac:dyDescent="0.3">
      <c r="A558" t="s">
        <v>80</v>
      </c>
      <c r="B558">
        <v>3</v>
      </c>
      <c r="C558" t="s">
        <v>8</v>
      </c>
      <c r="D558">
        <v>218800</v>
      </c>
      <c r="E558" t="s">
        <v>10</v>
      </c>
      <c r="F558">
        <v>1.2788299999999999</v>
      </c>
      <c r="G558">
        <v>7</v>
      </c>
    </row>
    <row r="559" spans="1:7" x14ac:dyDescent="0.3">
      <c r="A559" t="s">
        <v>80</v>
      </c>
      <c r="B559">
        <v>3</v>
      </c>
      <c r="C559" t="s">
        <v>8</v>
      </c>
      <c r="D559">
        <v>437600</v>
      </c>
      <c r="E559" t="s">
        <v>10</v>
      </c>
      <c r="F559">
        <v>1.4654100000000001</v>
      </c>
      <c r="G559">
        <v>7</v>
      </c>
    </row>
    <row r="560" spans="1:7" x14ac:dyDescent="0.3">
      <c r="A560" t="s">
        <v>80</v>
      </c>
      <c r="B560">
        <v>3</v>
      </c>
      <c r="C560" t="s">
        <v>8</v>
      </c>
      <c r="D560">
        <v>1094000</v>
      </c>
      <c r="E560" t="s">
        <v>10</v>
      </c>
      <c r="F560">
        <v>1.5911900000000001</v>
      </c>
      <c r="G560">
        <v>7</v>
      </c>
    </row>
    <row r="561" spans="1:7" x14ac:dyDescent="0.3">
      <c r="A561" t="s">
        <v>80</v>
      </c>
      <c r="B561">
        <v>3</v>
      </c>
      <c r="C561" t="s">
        <v>8</v>
      </c>
      <c r="D561">
        <v>2188000</v>
      </c>
      <c r="E561" t="s">
        <v>10</v>
      </c>
      <c r="F561">
        <v>1.7966500000000001</v>
      </c>
      <c r="G561">
        <v>7</v>
      </c>
    </row>
    <row r="562" spans="1:7" x14ac:dyDescent="0.3">
      <c r="A562" t="s">
        <v>80</v>
      </c>
      <c r="B562">
        <v>3</v>
      </c>
      <c r="C562" t="s">
        <v>11</v>
      </c>
      <c r="D562">
        <v>43760</v>
      </c>
      <c r="E562" t="s">
        <v>10</v>
      </c>
      <c r="F562">
        <v>1.14778</v>
      </c>
      <c r="G562">
        <v>7</v>
      </c>
    </row>
    <row r="563" spans="1:7" x14ac:dyDescent="0.3">
      <c r="A563" t="s">
        <v>80</v>
      </c>
      <c r="B563">
        <v>3</v>
      </c>
      <c r="C563" t="s">
        <v>11</v>
      </c>
      <c r="D563">
        <v>218800</v>
      </c>
      <c r="E563" t="s">
        <v>10</v>
      </c>
      <c r="F563">
        <v>1.23892</v>
      </c>
      <c r="G563">
        <v>7</v>
      </c>
    </row>
    <row r="564" spans="1:7" x14ac:dyDescent="0.3">
      <c r="A564" t="s">
        <v>80</v>
      </c>
      <c r="B564">
        <v>3</v>
      </c>
      <c r="C564" t="s">
        <v>11</v>
      </c>
      <c r="D564">
        <v>437600</v>
      </c>
      <c r="E564" t="s">
        <v>10</v>
      </c>
      <c r="F564">
        <v>1.34483</v>
      </c>
      <c r="G564">
        <v>7</v>
      </c>
    </row>
    <row r="565" spans="1:7" x14ac:dyDescent="0.3">
      <c r="A565" t="s">
        <v>80</v>
      </c>
      <c r="B565">
        <v>3</v>
      </c>
      <c r="C565" t="s">
        <v>11</v>
      </c>
      <c r="D565">
        <v>1094000</v>
      </c>
      <c r="E565" t="s">
        <v>10</v>
      </c>
      <c r="F565">
        <v>1.4901500000000001</v>
      </c>
      <c r="G565">
        <v>7</v>
      </c>
    </row>
    <row r="566" spans="1:7" x14ac:dyDescent="0.3">
      <c r="A566" t="s">
        <v>80</v>
      </c>
      <c r="B566">
        <v>3</v>
      </c>
      <c r="C566" t="s">
        <v>11</v>
      </c>
      <c r="D566">
        <v>2188000</v>
      </c>
      <c r="E566" t="s">
        <v>10</v>
      </c>
      <c r="F566">
        <v>1.6453199999999999</v>
      </c>
      <c r="G566">
        <v>7</v>
      </c>
    </row>
    <row r="567" spans="1:7" x14ac:dyDescent="0.3">
      <c r="A567" t="s">
        <v>80</v>
      </c>
      <c r="B567">
        <v>3</v>
      </c>
      <c r="C567" t="s">
        <v>8</v>
      </c>
      <c r="D567">
        <v>43760</v>
      </c>
      <c r="E567" t="s">
        <v>10</v>
      </c>
      <c r="F567">
        <v>1.14768</v>
      </c>
      <c r="G567">
        <v>7</v>
      </c>
    </row>
    <row r="568" spans="1:7" x14ac:dyDescent="0.3">
      <c r="A568" t="s">
        <v>80</v>
      </c>
      <c r="B568">
        <v>3</v>
      </c>
      <c r="C568" t="s">
        <v>8</v>
      </c>
      <c r="D568">
        <v>218800</v>
      </c>
      <c r="E568" t="s">
        <v>10</v>
      </c>
      <c r="F568">
        <v>1.345</v>
      </c>
      <c r="G568">
        <v>7</v>
      </c>
    </row>
    <row r="569" spans="1:7" x14ac:dyDescent="0.3">
      <c r="A569" t="s">
        <v>80</v>
      </c>
      <c r="B569">
        <v>3</v>
      </c>
      <c r="C569" t="s">
        <v>8</v>
      </c>
      <c r="D569">
        <v>437600</v>
      </c>
      <c r="E569" t="s">
        <v>10</v>
      </c>
      <c r="F569">
        <v>1.5888</v>
      </c>
      <c r="G569">
        <v>7</v>
      </c>
    </row>
    <row r="570" spans="1:7" x14ac:dyDescent="0.3">
      <c r="A570" t="s">
        <v>80</v>
      </c>
      <c r="B570">
        <v>3</v>
      </c>
      <c r="C570" t="s">
        <v>8</v>
      </c>
      <c r="D570">
        <v>1094000</v>
      </c>
      <c r="E570" t="s">
        <v>10</v>
      </c>
      <c r="F570">
        <v>1.8650500000000001</v>
      </c>
      <c r="G570">
        <v>7</v>
      </c>
    </row>
    <row r="571" spans="1:7" x14ac:dyDescent="0.3">
      <c r="A571" t="s">
        <v>80</v>
      </c>
      <c r="B571">
        <v>3</v>
      </c>
      <c r="C571" t="s">
        <v>8</v>
      </c>
      <c r="D571">
        <v>2188000</v>
      </c>
      <c r="E571" t="s">
        <v>10</v>
      </c>
      <c r="F571">
        <v>2.1731400000000001</v>
      </c>
      <c r="G571">
        <v>7</v>
      </c>
    </row>
    <row r="572" spans="1:7" x14ac:dyDescent="0.3">
      <c r="A572" t="s">
        <v>80</v>
      </c>
      <c r="B572">
        <v>3</v>
      </c>
      <c r="C572" t="s">
        <v>11</v>
      </c>
      <c r="D572">
        <v>43760</v>
      </c>
      <c r="E572" t="s">
        <v>10</v>
      </c>
      <c r="F572">
        <v>1.12619</v>
      </c>
      <c r="G572">
        <v>7</v>
      </c>
    </row>
    <row r="573" spans="1:7" x14ac:dyDescent="0.3">
      <c r="A573" t="s">
        <v>80</v>
      </c>
      <c r="B573">
        <v>3</v>
      </c>
      <c r="C573" t="s">
        <v>11</v>
      </c>
      <c r="D573">
        <v>218800</v>
      </c>
      <c r="E573" t="s">
        <v>10</v>
      </c>
      <c r="F573">
        <v>1.3035600000000001</v>
      </c>
      <c r="G573">
        <v>7</v>
      </c>
    </row>
    <row r="574" spans="1:7" x14ac:dyDescent="0.3">
      <c r="A574" t="s">
        <v>80</v>
      </c>
      <c r="B574">
        <v>3</v>
      </c>
      <c r="C574" t="s">
        <v>11</v>
      </c>
      <c r="D574">
        <v>437600</v>
      </c>
      <c r="E574" t="s">
        <v>10</v>
      </c>
      <c r="F574">
        <v>1.4623200000000001</v>
      </c>
      <c r="G574">
        <v>7</v>
      </c>
    </row>
    <row r="575" spans="1:7" x14ac:dyDescent="0.3">
      <c r="A575" t="s">
        <v>80</v>
      </c>
      <c r="B575">
        <v>3</v>
      </c>
      <c r="C575" t="s">
        <v>11</v>
      </c>
      <c r="D575">
        <v>1094000</v>
      </c>
      <c r="E575" t="s">
        <v>10</v>
      </c>
      <c r="F575">
        <v>1.69876</v>
      </c>
      <c r="G575">
        <v>7</v>
      </c>
    </row>
    <row r="576" spans="1:7" x14ac:dyDescent="0.3">
      <c r="A576" t="s">
        <v>80</v>
      </c>
      <c r="B576">
        <v>3</v>
      </c>
      <c r="C576" t="s">
        <v>11</v>
      </c>
      <c r="D576">
        <v>2188000</v>
      </c>
      <c r="E576" t="s">
        <v>10</v>
      </c>
      <c r="F576">
        <v>1.9160600000000001</v>
      </c>
      <c r="G576">
        <v>7</v>
      </c>
    </row>
    <row r="577" spans="1:7" x14ac:dyDescent="0.3">
      <c r="A577" t="s">
        <v>80</v>
      </c>
      <c r="B577">
        <v>3</v>
      </c>
      <c r="C577" t="s">
        <v>8</v>
      </c>
      <c r="D577">
        <v>43760</v>
      </c>
      <c r="E577" t="s">
        <v>12</v>
      </c>
      <c r="F577">
        <v>0.94499999999999995</v>
      </c>
      <c r="G577">
        <v>7</v>
      </c>
    </row>
    <row r="578" spans="1:7" x14ac:dyDescent="0.3">
      <c r="A578" t="s">
        <v>80</v>
      </c>
      <c r="B578">
        <v>3</v>
      </c>
      <c r="C578" t="s">
        <v>8</v>
      </c>
      <c r="D578">
        <v>218800</v>
      </c>
      <c r="E578" t="s">
        <v>12</v>
      </c>
      <c r="F578">
        <v>0.82</v>
      </c>
      <c r="G578">
        <v>7</v>
      </c>
    </row>
    <row r="579" spans="1:7" x14ac:dyDescent="0.3">
      <c r="A579" t="s">
        <v>80</v>
      </c>
      <c r="B579">
        <v>3</v>
      </c>
      <c r="C579" t="s">
        <v>8</v>
      </c>
      <c r="D579">
        <v>437600</v>
      </c>
      <c r="E579" t="s">
        <v>12</v>
      </c>
      <c r="F579">
        <v>0.65449999999999997</v>
      </c>
      <c r="G579">
        <v>7</v>
      </c>
    </row>
    <row r="580" spans="1:7" x14ac:dyDescent="0.3">
      <c r="A580" t="s">
        <v>80</v>
      </c>
      <c r="B580">
        <v>3</v>
      </c>
      <c r="C580" t="s">
        <v>8</v>
      </c>
      <c r="D580">
        <v>1094000</v>
      </c>
      <c r="E580" t="s">
        <v>12</v>
      </c>
      <c r="F580">
        <v>0.45450000000000002</v>
      </c>
      <c r="G580">
        <v>7</v>
      </c>
    </row>
    <row r="581" spans="1:7" x14ac:dyDescent="0.3">
      <c r="A581" t="s">
        <v>80</v>
      </c>
      <c r="B581">
        <v>3</v>
      </c>
      <c r="C581" t="s">
        <v>8</v>
      </c>
      <c r="D581">
        <v>2188000</v>
      </c>
      <c r="E581" t="s">
        <v>12</v>
      </c>
      <c r="F581">
        <v>0.18</v>
      </c>
      <c r="G581">
        <v>7</v>
      </c>
    </row>
    <row r="582" spans="1:7" x14ac:dyDescent="0.3">
      <c r="A582" t="s">
        <v>81</v>
      </c>
      <c r="B582">
        <v>3</v>
      </c>
      <c r="C582" t="s">
        <v>11</v>
      </c>
      <c r="D582">
        <v>43760</v>
      </c>
      <c r="E582" t="s">
        <v>10</v>
      </c>
      <c r="F582">
        <v>1.03155</v>
      </c>
      <c r="G582">
        <v>8</v>
      </c>
    </row>
    <row r="583" spans="1:7" x14ac:dyDescent="0.3">
      <c r="A583" t="s">
        <v>81</v>
      </c>
      <c r="B583">
        <v>3</v>
      </c>
      <c r="C583" t="s">
        <v>11</v>
      </c>
      <c r="D583">
        <v>218800</v>
      </c>
      <c r="E583" t="s">
        <v>10</v>
      </c>
      <c r="F583">
        <v>1.0252399999999999</v>
      </c>
      <c r="G583">
        <v>8</v>
      </c>
    </row>
    <row r="584" spans="1:7" x14ac:dyDescent="0.3">
      <c r="A584" t="s">
        <v>81</v>
      </c>
      <c r="B584">
        <v>3</v>
      </c>
      <c r="C584" t="s">
        <v>11</v>
      </c>
      <c r="D584">
        <v>437600</v>
      </c>
      <c r="E584" t="s">
        <v>10</v>
      </c>
      <c r="F584">
        <v>1.03155</v>
      </c>
      <c r="G584">
        <v>8</v>
      </c>
    </row>
    <row r="585" spans="1:7" x14ac:dyDescent="0.3">
      <c r="A585" t="s">
        <v>81</v>
      </c>
      <c r="B585">
        <v>3</v>
      </c>
      <c r="C585" t="s">
        <v>11</v>
      </c>
      <c r="D585">
        <v>1094000</v>
      </c>
      <c r="E585" t="s">
        <v>10</v>
      </c>
      <c r="F585">
        <v>1.0599400000000001</v>
      </c>
      <c r="G585">
        <v>8</v>
      </c>
    </row>
    <row r="586" spans="1:7" x14ac:dyDescent="0.3">
      <c r="A586" t="s">
        <v>81</v>
      </c>
      <c r="B586">
        <v>3</v>
      </c>
      <c r="C586" t="s">
        <v>11</v>
      </c>
      <c r="D586">
        <v>2188000</v>
      </c>
      <c r="E586" t="s">
        <v>10</v>
      </c>
      <c r="F586">
        <v>1.2334400000000001</v>
      </c>
      <c r="G586">
        <v>8</v>
      </c>
    </row>
    <row r="587" spans="1:7" x14ac:dyDescent="0.3">
      <c r="A587" t="s">
        <v>81</v>
      </c>
      <c r="B587">
        <v>3</v>
      </c>
      <c r="C587" t="s">
        <v>8</v>
      </c>
      <c r="D587">
        <v>43760</v>
      </c>
      <c r="E587" t="s">
        <v>10</v>
      </c>
      <c r="F587">
        <v>1.0606100000000001</v>
      </c>
      <c r="G587">
        <v>8</v>
      </c>
    </row>
    <row r="588" spans="1:7" x14ac:dyDescent="0.3">
      <c r="A588" t="s">
        <v>81</v>
      </c>
      <c r="B588">
        <v>3</v>
      </c>
      <c r="C588" t="s">
        <v>8</v>
      </c>
      <c r="D588">
        <v>218800</v>
      </c>
      <c r="E588" t="s">
        <v>10</v>
      </c>
      <c r="F588">
        <v>1.0606100000000001</v>
      </c>
      <c r="G588">
        <v>8</v>
      </c>
    </row>
    <row r="589" spans="1:7" x14ac:dyDescent="0.3">
      <c r="A589" t="s">
        <v>81</v>
      </c>
      <c r="B589">
        <v>3</v>
      </c>
      <c r="C589" t="s">
        <v>8</v>
      </c>
      <c r="D589">
        <v>437600</v>
      </c>
      <c r="E589" t="s">
        <v>10</v>
      </c>
      <c r="F589">
        <v>1.13636</v>
      </c>
      <c r="G589">
        <v>8</v>
      </c>
    </row>
    <row r="590" spans="1:7" x14ac:dyDescent="0.3">
      <c r="A590" t="s">
        <v>81</v>
      </c>
      <c r="B590">
        <v>3</v>
      </c>
      <c r="C590" t="s">
        <v>8</v>
      </c>
      <c r="D590">
        <v>1094000</v>
      </c>
      <c r="E590" t="s">
        <v>10</v>
      </c>
      <c r="F590">
        <v>1.12121</v>
      </c>
      <c r="G590">
        <v>8</v>
      </c>
    </row>
    <row r="591" spans="1:7" x14ac:dyDescent="0.3">
      <c r="A591" t="s">
        <v>81</v>
      </c>
      <c r="B591">
        <v>3</v>
      </c>
      <c r="C591" t="s">
        <v>8</v>
      </c>
      <c r="D591">
        <v>2188000</v>
      </c>
      <c r="E591" t="s">
        <v>10</v>
      </c>
      <c r="F591">
        <v>1.14141</v>
      </c>
      <c r="G591">
        <v>8</v>
      </c>
    </row>
    <row r="592" spans="1:7" x14ac:dyDescent="0.3">
      <c r="A592" t="s">
        <v>81</v>
      </c>
      <c r="B592">
        <v>3</v>
      </c>
      <c r="C592" t="s">
        <v>11</v>
      </c>
      <c r="D592">
        <v>43760</v>
      </c>
      <c r="E592" t="s">
        <v>10</v>
      </c>
      <c r="F592">
        <v>1.2290099999999999</v>
      </c>
      <c r="G592">
        <v>8</v>
      </c>
    </row>
    <row r="593" spans="1:7" x14ac:dyDescent="0.3">
      <c r="A593" t="s">
        <v>81</v>
      </c>
      <c r="B593">
        <v>3</v>
      </c>
      <c r="C593" t="s">
        <v>11</v>
      </c>
      <c r="D593">
        <v>218800</v>
      </c>
      <c r="E593" t="s">
        <v>10</v>
      </c>
      <c r="F593">
        <v>1.27061</v>
      </c>
      <c r="G593">
        <v>8</v>
      </c>
    </row>
    <row r="594" spans="1:7" x14ac:dyDescent="0.3">
      <c r="A594" t="s">
        <v>81</v>
      </c>
      <c r="B594">
        <v>3</v>
      </c>
      <c r="C594" t="s">
        <v>11</v>
      </c>
      <c r="D594">
        <v>437600</v>
      </c>
      <c r="E594" t="s">
        <v>10</v>
      </c>
      <c r="F594">
        <v>1.1729000000000001</v>
      </c>
      <c r="G594">
        <v>8</v>
      </c>
    </row>
    <row r="595" spans="1:7" x14ac:dyDescent="0.3">
      <c r="A595" t="s">
        <v>81</v>
      </c>
      <c r="B595">
        <v>3</v>
      </c>
      <c r="C595" t="s">
        <v>11</v>
      </c>
      <c r="D595">
        <v>1094000</v>
      </c>
      <c r="E595" t="s">
        <v>10</v>
      </c>
      <c r="F595">
        <v>1.09466</v>
      </c>
      <c r="G595">
        <v>8</v>
      </c>
    </row>
    <row r="596" spans="1:7" x14ac:dyDescent="0.3">
      <c r="A596" t="s">
        <v>81</v>
      </c>
      <c r="B596">
        <v>3</v>
      </c>
      <c r="C596" t="s">
        <v>11</v>
      </c>
      <c r="D596">
        <v>2188000</v>
      </c>
      <c r="E596" t="s">
        <v>10</v>
      </c>
      <c r="F596">
        <v>1.0843499999999999</v>
      </c>
      <c r="G596">
        <v>8</v>
      </c>
    </row>
    <row r="597" spans="1:7" x14ac:dyDescent="0.3">
      <c r="A597" t="s">
        <v>81</v>
      </c>
      <c r="B597">
        <v>3</v>
      </c>
      <c r="C597" t="s">
        <v>8</v>
      </c>
      <c r="D597">
        <v>43760</v>
      </c>
      <c r="E597" t="s">
        <v>10</v>
      </c>
      <c r="F597">
        <v>1.10883</v>
      </c>
      <c r="G597">
        <v>8</v>
      </c>
    </row>
    <row r="598" spans="1:7" x14ac:dyDescent="0.3">
      <c r="A598" t="s">
        <v>81</v>
      </c>
      <c r="B598">
        <v>3</v>
      </c>
      <c r="C598" t="s">
        <v>8</v>
      </c>
      <c r="D598">
        <v>218800</v>
      </c>
      <c r="E598" t="s">
        <v>10</v>
      </c>
      <c r="F598">
        <v>1.3183499999999999</v>
      </c>
      <c r="G598">
        <v>8</v>
      </c>
    </row>
    <row r="599" spans="1:7" x14ac:dyDescent="0.3">
      <c r="A599" t="s">
        <v>81</v>
      </c>
      <c r="B599">
        <v>3</v>
      </c>
      <c r="C599" t="s">
        <v>8</v>
      </c>
      <c r="D599">
        <v>437600</v>
      </c>
      <c r="E599" t="s">
        <v>10</v>
      </c>
      <c r="F599">
        <v>1.16622</v>
      </c>
      <c r="G599">
        <v>8</v>
      </c>
    </row>
    <row r="600" spans="1:7" x14ac:dyDescent="0.3">
      <c r="A600" t="s">
        <v>81</v>
      </c>
      <c r="B600">
        <v>3</v>
      </c>
      <c r="C600" t="s">
        <v>8</v>
      </c>
      <c r="D600">
        <v>1094000</v>
      </c>
      <c r="E600" t="s">
        <v>10</v>
      </c>
      <c r="F600">
        <v>1.1342699999999999</v>
      </c>
      <c r="G600">
        <v>8</v>
      </c>
    </row>
    <row r="601" spans="1:7" x14ac:dyDescent="0.3">
      <c r="A601" t="s">
        <v>81</v>
      </c>
      <c r="B601">
        <v>3</v>
      </c>
      <c r="C601" t="s">
        <v>8</v>
      </c>
      <c r="D601">
        <v>2188000</v>
      </c>
      <c r="E601" t="s">
        <v>10</v>
      </c>
      <c r="F601">
        <v>1.1310199999999999</v>
      </c>
      <c r="G601">
        <v>8</v>
      </c>
    </row>
    <row r="602" spans="1:7" x14ac:dyDescent="0.3">
      <c r="A602" t="s">
        <v>81</v>
      </c>
      <c r="B602">
        <v>3</v>
      </c>
      <c r="C602" t="s">
        <v>11</v>
      </c>
      <c r="D602">
        <v>43760</v>
      </c>
      <c r="E602" t="s">
        <v>10</v>
      </c>
      <c r="F602">
        <v>1.0369699999999999</v>
      </c>
      <c r="G602">
        <v>8</v>
      </c>
    </row>
    <row r="603" spans="1:7" x14ac:dyDescent="0.3">
      <c r="A603" t="s">
        <v>81</v>
      </c>
      <c r="B603">
        <v>3</v>
      </c>
      <c r="C603" t="s">
        <v>11</v>
      </c>
      <c r="D603">
        <v>218800</v>
      </c>
      <c r="E603" t="s">
        <v>10</v>
      </c>
      <c r="F603">
        <v>1.0854600000000001</v>
      </c>
      <c r="G603">
        <v>8</v>
      </c>
    </row>
    <row r="604" spans="1:7" x14ac:dyDescent="0.3">
      <c r="A604" t="s">
        <v>81</v>
      </c>
      <c r="B604">
        <v>3</v>
      </c>
      <c r="C604" t="s">
        <v>11</v>
      </c>
      <c r="D604">
        <v>437600</v>
      </c>
      <c r="E604" t="s">
        <v>10</v>
      </c>
      <c r="F604">
        <v>1.0494000000000001</v>
      </c>
      <c r="G604">
        <v>8</v>
      </c>
    </row>
    <row r="605" spans="1:7" x14ac:dyDescent="0.3">
      <c r="A605" t="s">
        <v>81</v>
      </c>
      <c r="B605">
        <v>3</v>
      </c>
      <c r="C605" t="s">
        <v>11</v>
      </c>
      <c r="D605">
        <v>1094000</v>
      </c>
      <c r="E605" t="s">
        <v>10</v>
      </c>
      <c r="F605">
        <v>0.97716999999999998</v>
      </c>
      <c r="G605">
        <v>8</v>
      </c>
    </row>
    <row r="606" spans="1:7" x14ac:dyDescent="0.3">
      <c r="A606" t="s">
        <v>81</v>
      </c>
      <c r="B606">
        <v>3</v>
      </c>
      <c r="C606" t="s">
        <v>11</v>
      </c>
      <c r="D606">
        <v>2188000</v>
      </c>
      <c r="E606" t="s">
        <v>10</v>
      </c>
      <c r="F606">
        <v>0.96062000000000003</v>
      </c>
      <c r="G606">
        <v>8</v>
      </c>
    </row>
    <row r="607" spans="1:7" x14ac:dyDescent="0.3">
      <c r="A607" t="s">
        <v>81</v>
      </c>
      <c r="B607">
        <v>3</v>
      </c>
      <c r="C607" t="s">
        <v>8</v>
      </c>
      <c r="D607">
        <v>43760</v>
      </c>
      <c r="E607" t="s">
        <v>10</v>
      </c>
      <c r="F607">
        <v>1.0424</v>
      </c>
      <c r="G607">
        <v>8</v>
      </c>
    </row>
    <row r="608" spans="1:7" x14ac:dyDescent="0.3">
      <c r="A608" t="s">
        <v>81</v>
      </c>
      <c r="B608">
        <v>3</v>
      </c>
      <c r="C608" t="s">
        <v>8</v>
      </c>
      <c r="D608">
        <v>218800</v>
      </c>
      <c r="E608" t="s">
        <v>10</v>
      </c>
      <c r="F608">
        <v>1.0807199999999999</v>
      </c>
      <c r="G608">
        <v>8</v>
      </c>
    </row>
    <row r="609" spans="1:7" x14ac:dyDescent="0.3">
      <c r="A609" t="s">
        <v>81</v>
      </c>
      <c r="B609">
        <v>3</v>
      </c>
      <c r="C609" t="s">
        <v>8</v>
      </c>
      <c r="D609">
        <v>437600</v>
      </c>
      <c r="E609" t="s">
        <v>10</v>
      </c>
      <c r="F609">
        <v>0.91866000000000003</v>
      </c>
      <c r="G609">
        <v>8</v>
      </c>
    </row>
    <row r="610" spans="1:7" x14ac:dyDescent="0.3">
      <c r="A610" t="s">
        <v>81</v>
      </c>
      <c r="B610">
        <v>3</v>
      </c>
      <c r="C610" t="s">
        <v>8</v>
      </c>
      <c r="D610">
        <v>1094000</v>
      </c>
      <c r="E610" t="s">
        <v>10</v>
      </c>
      <c r="F610">
        <v>0.86212</v>
      </c>
      <c r="G610">
        <v>8</v>
      </c>
    </row>
    <row r="611" spans="1:7" x14ac:dyDescent="0.3">
      <c r="A611" t="s">
        <v>81</v>
      </c>
      <c r="B611">
        <v>3</v>
      </c>
      <c r="C611" t="s">
        <v>8</v>
      </c>
      <c r="D611">
        <v>2188000</v>
      </c>
      <c r="E611" t="s">
        <v>10</v>
      </c>
      <c r="F611">
        <v>0.78329000000000004</v>
      </c>
      <c r="G611">
        <v>8</v>
      </c>
    </row>
    <row r="612" spans="1:7" x14ac:dyDescent="0.3">
      <c r="A612" t="s">
        <v>81</v>
      </c>
      <c r="B612">
        <v>3</v>
      </c>
      <c r="C612" t="s">
        <v>11</v>
      </c>
      <c r="D612">
        <v>43760</v>
      </c>
      <c r="E612" t="s">
        <v>10</v>
      </c>
      <c r="F612">
        <v>1.3547</v>
      </c>
      <c r="G612">
        <v>8</v>
      </c>
    </row>
    <row r="613" spans="1:7" x14ac:dyDescent="0.3">
      <c r="A613" t="s">
        <v>81</v>
      </c>
      <c r="B613">
        <v>3</v>
      </c>
      <c r="C613" t="s">
        <v>11</v>
      </c>
      <c r="D613">
        <v>218800</v>
      </c>
      <c r="E613" t="s">
        <v>10</v>
      </c>
      <c r="F613">
        <v>1.1417600000000001</v>
      </c>
      <c r="G613">
        <v>8</v>
      </c>
    </row>
    <row r="614" spans="1:7" x14ac:dyDescent="0.3">
      <c r="A614" t="s">
        <v>81</v>
      </c>
      <c r="B614">
        <v>3</v>
      </c>
      <c r="C614" t="s">
        <v>11</v>
      </c>
      <c r="D614">
        <v>437600</v>
      </c>
      <c r="E614" t="s">
        <v>10</v>
      </c>
      <c r="F614">
        <v>0.92752999999999997</v>
      </c>
      <c r="G614">
        <v>8</v>
      </c>
    </row>
    <row r="615" spans="1:7" x14ac:dyDescent="0.3">
      <c r="A615" t="s">
        <v>81</v>
      </c>
      <c r="B615">
        <v>3</v>
      </c>
      <c r="C615" t="s">
        <v>11</v>
      </c>
      <c r="D615">
        <v>1094000</v>
      </c>
      <c r="E615" t="s">
        <v>10</v>
      </c>
      <c r="F615">
        <v>0.79012000000000004</v>
      </c>
      <c r="G615">
        <v>8</v>
      </c>
    </row>
    <row r="616" spans="1:7" x14ac:dyDescent="0.3">
      <c r="A616" t="s">
        <v>81</v>
      </c>
      <c r="B616">
        <v>3</v>
      </c>
      <c r="C616" t="s">
        <v>11</v>
      </c>
      <c r="D616">
        <v>2188000</v>
      </c>
      <c r="E616" t="s">
        <v>10</v>
      </c>
      <c r="F616">
        <v>0.71694999999999998</v>
      </c>
      <c r="G616">
        <v>8</v>
      </c>
    </row>
    <row r="617" spans="1:7" x14ac:dyDescent="0.3">
      <c r="A617" t="s">
        <v>81</v>
      </c>
      <c r="B617">
        <v>3</v>
      </c>
      <c r="C617" t="s">
        <v>8</v>
      </c>
      <c r="D617">
        <v>43760</v>
      </c>
      <c r="E617" t="s">
        <v>10</v>
      </c>
      <c r="F617">
        <v>1.42839</v>
      </c>
      <c r="G617">
        <v>8</v>
      </c>
    </row>
    <row r="618" spans="1:7" x14ac:dyDescent="0.3">
      <c r="A618" t="s">
        <v>81</v>
      </c>
      <c r="B618">
        <v>3</v>
      </c>
      <c r="C618" t="s">
        <v>8</v>
      </c>
      <c r="D618">
        <v>218800</v>
      </c>
      <c r="E618" t="s">
        <v>10</v>
      </c>
      <c r="F618">
        <v>1.3834</v>
      </c>
      <c r="G618">
        <v>8</v>
      </c>
    </row>
    <row r="619" spans="1:7" x14ac:dyDescent="0.3">
      <c r="A619" t="s">
        <v>81</v>
      </c>
      <c r="B619">
        <v>3</v>
      </c>
      <c r="C619" t="s">
        <v>8</v>
      </c>
      <c r="D619">
        <v>437600</v>
      </c>
      <c r="E619" t="s">
        <v>10</v>
      </c>
      <c r="F619">
        <v>1.37199</v>
      </c>
      <c r="G619">
        <v>8</v>
      </c>
    </row>
    <row r="620" spans="1:7" x14ac:dyDescent="0.3">
      <c r="A620" t="s">
        <v>81</v>
      </c>
      <c r="B620">
        <v>3</v>
      </c>
      <c r="C620" t="s">
        <v>8</v>
      </c>
      <c r="D620">
        <v>1094000</v>
      </c>
      <c r="E620" t="s">
        <v>10</v>
      </c>
      <c r="F620">
        <v>1.0887199999999999</v>
      </c>
      <c r="G620">
        <v>8</v>
      </c>
    </row>
    <row r="621" spans="1:7" x14ac:dyDescent="0.3">
      <c r="A621" t="s">
        <v>81</v>
      </c>
      <c r="B621">
        <v>3</v>
      </c>
      <c r="C621" t="s">
        <v>8</v>
      </c>
      <c r="D621">
        <v>2188000</v>
      </c>
      <c r="E621" t="s">
        <v>10</v>
      </c>
      <c r="F621">
        <v>0.94867000000000001</v>
      </c>
      <c r="G621">
        <v>8</v>
      </c>
    </row>
    <row r="622" spans="1:7" x14ac:dyDescent="0.3">
      <c r="A622" t="s">
        <v>81</v>
      </c>
      <c r="B622">
        <v>3</v>
      </c>
      <c r="C622" t="s">
        <v>11</v>
      </c>
      <c r="D622">
        <v>43760</v>
      </c>
      <c r="E622" t="s">
        <v>10</v>
      </c>
      <c r="F622">
        <v>1.01715</v>
      </c>
      <c r="G622">
        <v>8</v>
      </c>
    </row>
    <row r="623" spans="1:7" x14ac:dyDescent="0.3">
      <c r="A623" t="s">
        <v>81</v>
      </c>
      <c r="B623">
        <v>3</v>
      </c>
      <c r="C623" t="s">
        <v>11</v>
      </c>
      <c r="D623">
        <v>218800</v>
      </c>
      <c r="E623" t="s">
        <v>10</v>
      </c>
      <c r="F623">
        <v>1.1146</v>
      </c>
      <c r="G623">
        <v>8</v>
      </c>
    </row>
    <row r="624" spans="1:7" x14ac:dyDescent="0.3">
      <c r="A624" t="s">
        <v>81</v>
      </c>
      <c r="B624">
        <v>3</v>
      </c>
      <c r="C624" t="s">
        <v>11</v>
      </c>
      <c r="D624">
        <v>437600</v>
      </c>
      <c r="E624" t="s">
        <v>10</v>
      </c>
      <c r="F624">
        <v>1.0007699999999999</v>
      </c>
      <c r="G624">
        <v>8</v>
      </c>
    </row>
    <row r="625" spans="1:7" x14ac:dyDescent="0.3">
      <c r="A625" t="s">
        <v>81</v>
      </c>
      <c r="B625">
        <v>3</v>
      </c>
      <c r="C625" t="s">
        <v>11</v>
      </c>
      <c r="D625">
        <v>1094000</v>
      </c>
      <c r="E625" t="s">
        <v>10</v>
      </c>
      <c r="F625">
        <v>0.99609999999999999</v>
      </c>
      <c r="G625">
        <v>8</v>
      </c>
    </row>
    <row r="626" spans="1:7" x14ac:dyDescent="0.3">
      <c r="A626" t="s">
        <v>81</v>
      </c>
      <c r="B626">
        <v>3</v>
      </c>
      <c r="C626" t="s">
        <v>11</v>
      </c>
      <c r="D626">
        <v>2188000</v>
      </c>
      <c r="E626" t="s">
        <v>10</v>
      </c>
      <c r="F626">
        <v>0.97675999999999996</v>
      </c>
      <c r="G626">
        <v>8</v>
      </c>
    </row>
    <row r="627" spans="1:7" x14ac:dyDescent="0.3">
      <c r="A627" t="s">
        <v>81</v>
      </c>
      <c r="B627">
        <v>3</v>
      </c>
      <c r="C627" t="s">
        <v>8</v>
      </c>
      <c r="D627">
        <v>43760</v>
      </c>
      <c r="E627" t="s">
        <v>10</v>
      </c>
      <c r="F627">
        <v>1.0413300000000001</v>
      </c>
      <c r="G627">
        <v>8</v>
      </c>
    </row>
    <row r="628" spans="1:7" x14ac:dyDescent="0.3">
      <c r="A628" t="s">
        <v>81</v>
      </c>
      <c r="B628">
        <v>3</v>
      </c>
      <c r="C628" t="s">
        <v>8</v>
      </c>
      <c r="D628">
        <v>218800</v>
      </c>
      <c r="E628" t="s">
        <v>10</v>
      </c>
      <c r="F628">
        <v>1.08342</v>
      </c>
      <c r="G628">
        <v>8</v>
      </c>
    </row>
    <row r="629" spans="1:7" x14ac:dyDescent="0.3">
      <c r="A629" t="s">
        <v>81</v>
      </c>
      <c r="B629">
        <v>3</v>
      </c>
      <c r="C629" t="s">
        <v>8</v>
      </c>
      <c r="D629">
        <v>437600</v>
      </c>
      <c r="E629" t="s">
        <v>10</v>
      </c>
      <c r="F629">
        <v>1.0248699999999999</v>
      </c>
      <c r="G629">
        <v>8</v>
      </c>
    </row>
    <row r="630" spans="1:7" x14ac:dyDescent="0.3">
      <c r="A630" t="s">
        <v>81</v>
      </c>
      <c r="B630">
        <v>3</v>
      </c>
      <c r="C630" t="s">
        <v>8</v>
      </c>
      <c r="D630">
        <v>1094000</v>
      </c>
      <c r="E630" t="s">
        <v>10</v>
      </c>
      <c r="F630">
        <v>1.01258</v>
      </c>
      <c r="G630">
        <v>8</v>
      </c>
    </row>
    <row r="631" spans="1:7" x14ac:dyDescent="0.3">
      <c r="A631" t="s">
        <v>81</v>
      </c>
      <c r="B631">
        <v>3</v>
      </c>
      <c r="C631" t="s">
        <v>8</v>
      </c>
      <c r="D631">
        <v>2188000</v>
      </c>
      <c r="E631" t="s">
        <v>10</v>
      </c>
      <c r="F631">
        <v>0.92045999999999994</v>
      </c>
      <c r="G631">
        <v>8</v>
      </c>
    </row>
    <row r="632" spans="1:7" x14ac:dyDescent="0.3">
      <c r="A632" t="s">
        <v>81</v>
      </c>
      <c r="B632">
        <v>3</v>
      </c>
      <c r="C632" t="s">
        <v>8</v>
      </c>
      <c r="D632">
        <v>43760</v>
      </c>
      <c r="E632" t="s">
        <v>9</v>
      </c>
      <c r="F632">
        <v>0.99167000000000005</v>
      </c>
      <c r="G632">
        <v>8</v>
      </c>
    </row>
    <row r="633" spans="1:7" x14ac:dyDescent="0.3">
      <c r="A633" t="s">
        <v>81</v>
      </c>
      <c r="B633">
        <v>3</v>
      </c>
      <c r="C633" t="s">
        <v>8</v>
      </c>
      <c r="D633">
        <v>218800</v>
      </c>
      <c r="E633" t="s">
        <v>9</v>
      </c>
      <c r="F633">
        <v>0.95833000000000002</v>
      </c>
      <c r="G633">
        <v>8</v>
      </c>
    </row>
    <row r="634" spans="1:7" x14ac:dyDescent="0.3">
      <c r="A634" t="s">
        <v>81</v>
      </c>
      <c r="B634">
        <v>3</v>
      </c>
      <c r="C634" t="s">
        <v>8</v>
      </c>
      <c r="D634">
        <v>437600</v>
      </c>
      <c r="E634" t="s">
        <v>9</v>
      </c>
      <c r="F634">
        <v>0.9375</v>
      </c>
      <c r="G634">
        <v>8</v>
      </c>
    </row>
    <row r="635" spans="1:7" x14ac:dyDescent="0.3">
      <c r="A635" t="s">
        <v>81</v>
      </c>
      <c r="B635">
        <v>3</v>
      </c>
      <c r="C635" t="s">
        <v>8</v>
      </c>
      <c r="D635">
        <v>1094000</v>
      </c>
      <c r="E635" t="s">
        <v>9</v>
      </c>
      <c r="F635">
        <v>0.91666999999999998</v>
      </c>
      <c r="G635">
        <v>8</v>
      </c>
    </row>
    <row r="636" spans="1:7" x14ac:dyDescent="0.3">
      <c r="A636" t="s">
        <v>81</v>
      </c>
      <c r="B636">
        <v>3</v>
      </c>
      <c r="C636" t="s">
        <v>8</v>
      </c>
      <c r="D636">
        <v>2188000</v>
      </c>
      <c r="E636" t="s">
        <v>9</v>
      </c>
      <c r="F636">
        <v>0.875</v>
      </c>
      <c r="G636">
        <v>8</v>
      </c>
    </row>
    <row r="637" spans="1:7" x14ac:dyDescent="0.3">
      <c r="A637" t="s">
        <v>81</v>
      </c>
      <c r="B637">
        <v>3</v>
      </c>
      <c r="C637" t="s">
        <v>11</v>
      </c>
      <c r="D637">
        <v>43760</v>
      </c>
      <c r="E637" t="s">
        <v>12</v>
      </c>
      <c r="F637">
        <v>0.92532000000000003</v>
      </c>
      <c r="G637">
        <v>8</v>
      </c>
    </row>
    <row r="638" spans="1:7" x14ac:dyDescent="0.3">
      <c r="A638" t="s">
        <v>81</v>
      </c>
      <c r="B638">
        <v>3</v>
      </c>
      <c r="C638" t="s">
        <v>11</v>
      </c>
      <c r="D638">
        <v>218800</v>
      </c>
      <c r="E638" t="s">
        <v>12</v>
      </c>
      <c r="F638">
        <v>0.87661999999999995</v>
      </c>
      <c r="G638">
        <v>8</v>
      </c>
    </row>
    <row r="639" spans="1:7" x14ac:dyDescent="0.3">
      <c r="A639" t="s">
        <v>81</v>
      </c>
      <c r="B639">
        <v>3</v>
      </c>
      <c r="C639" t="s">
        <v>11</v>
      </c>
      <c r="D639">
        <v>437600</v>
      </c>
      <c r="E639" t="s">
        <v>12</v>
      </c>
      <c r="F639">
        <v>0.78895999999999999</v>
      </c>
      <c r="G639">
        <v>8</v>
      </c>
    </row>
    <row r="640" spans="1:7" x14ac:dyDescent="0.3">
      <c r="A640" t="s">
        <v>81</v>
      </c>
      <c r="B640">
        <v>3</v>
      </c>
      <c r="C640" t="s">
        <v>11</v>
      </c>
      <c r="D640">
        <v>1094000</v>
      </c>
      <c r="E640" t="s">
        <v>12</v>
      </c>
      <c r="F640">
        <v>0.71428999999999998</v>
      </c>
      <c r="G640">
        <v>8</v>
      </c>
    </row>
    <row r="641" spans="1:7" x14ac:dyDescent="0.3">
      <c r="A641" t="s">
        <v>81</v>
      </c>
      <c r="B641">
        <v>3</v>
      </c>
      <c r="C641" t="s">
        <v>11</v>
      </c>
      <c r="D641">
        <v>2188000</v>
      </c>
      <c r="E641" t="s">
        <v>12</v>
      </c>
      <c r="F641">
        <v>0.49180000000000001</v>
      </c>
      <c r="G641">
        <v>8</v>
      </c>
    </row>
    <row r="642" spans="1:7" x14ac:dyDescent="0.3">
      <c r="A642" t="s">
        <v>81</v>
      </c>
      <c r="B642">
        <v>3</v>
      </c>
      <c r="C642" t="s">
        <v>8</v>
      </c>
      <c r="D642">
        <v>43760</v>
      </c>
      <c r="E642" t="s">
        <v>12</v>
      </c>
      <c r="F642">
        <v>0.98648999999999998</v>
      </c>
      <c r="G642">
        <v>8</v>
      </c>
    </row>
    <row r="643" spans="1:7" x14ac:dyDescent="0.3">
      <c r="A643" t="s">
        <v>81</v>
      </c>
      <c r="B643">
        <v>3</v>
      </c>
      <c r="C643" t="s">
        <v>8</v>
      </c>
      <c r="D643">
        <v>218800</v>
      </c>
      <c r="E643" t="s">
        <v>12</v>
      </c>
      <c r="F643">
        <v>0.94594999999999996</v>
      </c>
      <c r="G643">
        <v>8</v>
      </c>
    </row>
    <row r="644" spans="1:7" x14ac:dyDescent="0.3">
      <c r="A644" t="s">
        <v>81</v>
      </c>
      <c r="B644">
        <v>3</v>
      </c>
      <c r="C644" t="s">
        <v>8</v>
      </c>
      <c r="D644">
        <v>437600</v>
      </c>
      <c r="E644" t="s">
        <v>12</v>
      </c>
      <c r="F644">
        <v>0.89188999999999996</v>
      </c>
      <c r="G644">
        <v>8</v>
      </c>
    </row>
    <row r="645" spans="1:7" x14ac:dyDescent="0.3">
      <c r="A645" t="s">
        <v>81</v>
      </c>
      <c r="B645">
        <v>3</v>
      </c>
      <c r="C645" t="s">
        <v>8</v>
      </c>
      <c r="D645">
        <v>1094000</v>
      </c>
      <c r="E645" t="s">
        <v>12</v>
      </c>
      <c r="F645">
        <v>0.86485999999999996</v>
      </c>
      <c r="G645">
        <v>8</v>
      </c>
    </row>
    <row r="646" spans="1:7" s="1" customFormat="1" ht="13.9" thickBot="1" x14ac:dyDescent="0.35">
      <c r="A646" s="1" t="s">
        <v>81</v>
      </c>
      <c r="B646" s="1">
        <v>3</v>
      </c>
      <c r="C646" s="1" t="s">
        <v>8</v>
      </c>
      <c r="D646" s="1">
        <v>2188000</v>
      </c>
      <c r="E646" s="1" t="s">
        <v>12</v>
      </c>
      <c r="F646" s="1">
        <v>0.72972999999999999</v>
      </c>
      <c r="G646" s="1">
        <v>8</v>
      </c>
    </row>
    <row r="647" spans="1:7" x14ac:dyDescent="0.3">
      <c r="A647" t="s">
        <v>82</v>
      </c>
      <c r="B647">
        <v>3</v>
      </c>
      <c r="C647" t="s">
        <v>11</v>
      </c>
      <c r="D647">
        <f>1.03*73.09/1000</f>
        <v>7.5282700000000008E-2</v>
      </c>
      <c r="E647" t="s">
        <v>10</v>
      </c>
      <c r="F647">
        <v>1.02</v>
      </c>
      <c r="G647">
        <v>10</v>
      </c>
    </row>
    <row r="648" spans="1:7" x14ac:dyDescent="0.3">
      <c r="A648" t="s">
        <v>82</v>
      </c>
      <c r="B648">
        <v>3</v>
      </c>
      <c r="C648" t="s">
        <v>11</v>
      </c>
      <c r="D648">
        <f>2.08*73/1000</f>
        <v>0.15184</v>
      </c>
      <c r="E648" t="s">
        <v>10</v>
      </c>
      <c r="F648">
        <v>1.1200000000000001</v>
      </c>
      <c r="G648">
        <v>10</v>
      </c>
    </row>
    <row r="649" spans="1:7" x14ac:dyDescent="0.3">
      <c r="A649" t="s">
        <v>82</v>
      </c>
      <c r="B649">
        <v>3</v>
      </c>
      <c r="C649" t="s">
        <v>11</v>
      </c>
      <c r="D649">
        <f>6.23*73/1000</f>
        <v>0.45479000000000003</v>
      </c>
      <c r="E649" t="s">
        <v>10</v>
      </c>
      <c r="F649">
        <v>1.1299999999999999</v>
      </c>
      <c r="G649">
        <v>10</v>
      </c>
    </row>
    <row r="650" spans="1:7" x14ac:dyDescent="0.3">
      <c r="A650" t="s">
        <v>82</v>
      </c>
      <c r="B650">
        <v>3</v>
      </c>
      <c r="C650" t="s">
        <v>11</v>
      </c>
      <c r="D650">
        <f>8.3*73/1000</f>
        <v>0.60590000000000011</v>
      </c>
      <c r="E650" t="s">
        <v>10</v>
      </c>
      <c r="F650">
        <v>1.1599999999999999</v>
      </c>
      <c r="G650">
        <v>10</v>
      </c>
    </row>
    <row r="651" spans="1:7" x14ac:dyDescent="0.3">
      <c r="A651" t="s">
        <v>82</v>
      </c>
      <c r="B651">
        <v>3</v>
      </c>
      <c r="C651" t="s">
        <v>11</v>
      </c>
      <c r="D651">
        <f>20.75*8.3/1000</f>
        <v>0.17222500000000002</v>
      </c>
      <c r="E651" t="s">
        <v>10</v>
      </c>
      <c r="F651">
        <v>1.27</v>
      </c>
      <c r="G651">
        <v>10</v>
      </c>
    </row>
    <row r="652" spans="1:7" x14ac:dyDescent="0.3">
      <c r="A652" t="s">
        <v>82</v>
      </c>
      <c r="B652">
        <v>3</v>
      </c>
      <c r="C652" t="s">
        <v>8</v>
      </c>
      <c r="D652">
        <f>1.03*73.09/1000</f>
        <v>7.5282700000000008E-2</v>
      </c>
      <c r="E652" t="s">
        <v>10</v>
      </c>
      <c r="F652">
        <v>1.04</v>
      </c>
      <c r="G652">
        <v>10</v>
      </c>
    </row>
    <row r="653" spans="1:7" x14ac:dyDescent="0.3">
      <c r="A653" t="s">
        <v>82</v>
      </c>
      <c r="B653">
        <v>3</v>
      </c>
      <c r="C653" t="s">
        <v>8</v>
      </c>
      <c r="D653">
        <f>2.08*73/1000</f>
        <v>0.15184</v>
      </c>
      <c r="E653" t="s">
        <v>10</v>
      </c>
      <c r="F653">
        <v>1.1000000000000001</v>
      </c>
      <c r="G653">
        <v>10</v>
      </c>
    </row>
    <row r="654" spans="1:7" x14ac:dyDescent="0.3">
      <c r="A654" t="s">
        <v>82</v>
      </c>
      <c r="B654">
        <v>3</v>
      </c>
      <c r="C654" t="s">
        <v>8</v>
      </c>
      <c r="D654">
        <f>6.23*73/1000</f>
        <v>0.45479000000000003</v>
      </c>
      <c r="E654" t="s">
        <v>10</v>
      </c>
      <c r="F654">
        <v>1.43</v>
      </c>
      <c r="G654">
        <v>10</v>
      </c>
    </row>
    <row r="655" spans="1:7" x14ac:dyDescent="0.3">
      <c r="A655" t="s">
        <v>82</v>
      </c>
      <c r="B655">
        <v>3</v>
      </c>
      <c r="C655" t="s">
        <v>8</v>
      </c>
      <c r="D655">
        <f>8.3*73/1000</f>
        <v>0.60590000000000011</v>
      </c>
      <c r="E655" t="s">
        <v>10</v>
      </c>
      <c r="F655">
        <v>1.41</v>
      </c>
      <c r="G655">
        <v>10</v>
      </c>
    </row>
    <row r="656" spans="1:7" x14ac:dyDescent="0.3">
      <c r="A656" t="s">
        <v>82</v>
      </c>
      <c r="B656">
        <v>3</v>
      </c>
      <c r="C656" t="s">
        <v>8</v>
      </c>
      <c r="D656">
        <f>20.75*8.3/1000</f>
        <v>0.17222500000000002</v>
      </c>
      <c r="E656" t="s">
        <v>10</v>
      </c>
      <c r="F656">
        <v>1.43</v>
      </c>
      <c r="G656">
        <v>10</v>
      </c>
    </row>
    <row r="657" spans="1:7" x14ac:dyDescent="0.3">
      <c r="A657" t="s">
        <v>82</v>
      </c>
      <c r="B657">
        <v>3</v>
      </c>
      <c r="C657" t="s">
        <v>11</v>
      </c>
      <c r="D657">
        <f>1.03*73.09/1000</f>
        <v>7.5282700000000008E-2</v>
      </c>
      <c r="E657" t="s">
        <v>10</v>
      </c>
      <c r="F657">
        <v>1.06</v>
      </c>
      <c r="G657">
        <v>10</v>
      </c>
    </row>
    <row r="658" spans="1:7" x14ac:dyDescent="0.3">
      <c r="A658" t="s">
        <v>82</v>
      </c>
      <c r="B658">
        <v>3</v>
      </c>
      <c r="C658" t="s">
        <v>11</v>
      </c>
      <c r="D658">
        <f>2.08*73/1000</f>
        <v>0.15184</v>
      </c>
      <c r="E658" t="s">
        <v>10</v>
      </c>
      <c r="F658">
        <v>1.1000000000000001</v>
      </c>
      <c r="G658">
        <v>10</v>
      </c>
    </row>
    <row r="659" spans="1:7" x14ac:dyDescent="0.3">
      <c r="A659" t="s">
        <v>82</v>
      </c>
      <c r="B659">
        <v>3</v>
      </c>
      <c r="C659" t="s">
        <v>11</v>
      </c>
      <c r="D659">
        <f>6.23*73/1000</f>
        <v>0.45479000000000003</v>
      </c>
      <c r="E659" t="s">
        <v>10</v>
      </c>
      <c r="F659">
        <v>1.17</v>
      </c>
      <c r="G659">
        <v>10</v>
      </c>
    </row>
    <row r="660" spans="1:7" x14ac:dyDescent="0.3">
      <c r="A660" t="s">
        <v>82</v>
      </c>
      <c r="B660">
        <v>3</v>
      </c>
      <c r="C660" t="s">
        <v>11</v>
      </c>
      <c r="D660">
        <f>8.3*73/1000</f>
        <v>0.60590000000000011</v>
      </c>
      <c r="E660" t="s">
        <v>10</v>
      </c>
      <c r="F660">
        <v>1.27</v>
      </c>
      <c r="G660">
        <v>10</v>
      </c>
    </row>
    <row r="661" spans="1:7" x14ac:dyDescent="0.3">
      <c r="A661" t="s">
        <v>82</v>
      </c>
      <c r="B661">
        <v>3</v>
      </c>
      <c r="C661" t="s">
        <v>11</v>
      </c>
      <c r="D661">
        <f>20.75*8.3/1000</f>
        <v>0.17222500000000002</v>
      </c>
      <c r="E661" t="s">
        <v>10</v>
      </c>
      <c r="F661">
        <v>1.4</v>
      </c>
      <c r="G661">
        <v>10</v>
      </c>
    </row>
    <row r="662" spans="1:7" x14ac:dyDescent="0.3">
      <c r="A662" t="s">
        <v>82</v>
      </c>
      <c r="B662">
        <v>3</v>
      </c>
      <c r="C662" t="s">
        <v>8</v>
      </c>
      <c r="D662">
        <f>1.03*73.09/1000</f>
        <v>7.5282700000000008E-2</v>
      </c>
      <c r="E662" t="s">
        <v>10</v>
      </c>
      <c r="F662">
        <v>1.08</v>
      </c>
      <c r="G662">
        <v>10</v>
      </c>
    </row>
    <row r="663" spans="1:7" x14ac:dyDescent="0.3">
      <c r="A663" t="s">
        <v>82</v>
      </c>
      <c r="B663">
        <v>3</v>
      </c>
      <c r="C663" t="s">
        <v>8</v>
      </c>
      <c r="D663">
        <f>2.08*73/1000</f>
        <v>0.15184</v>
      </c>
      <c r="E663" t="s">
        <v>10</v>
      </c>
      <c r="F663">
        <v>1.1100000000000001</v>
      </c>
      <c r="G663">
        <v>10</v>
      </c>
    </row>
    <row r="664" spans="1:7" x14ac:dyDescent="0.3">
      <c r="A664" t="s">
        <v>82</v>
      </c>
      <c r="B664">
        <v>3</v>
      </c>
      <c r="C664" t="s">
        <v>8</v>
      </c>
      <c r="D664">
        <f>6.23*73/1000</f>
        <v>0.45479000000000003</v>
      </c>
      <c r="E664" t="s">
        <v>10</v>
      </c>
      <c r="F664">
        <v>1.27</v>
      </c>
      <c r="G664">
        <v>10</v>
      </c>
    </row>
    <row r="665" spans="1:7" x14ac:dyDescent="0.3">
      <c r="A665" t="s">
        <v>82</v>
      </c>
      <c r="B665">
        <v>3</v>
      </c>
      <c r="C665" t="s">
        <v>8</v>
      </c>
      <c r="D665">
        <f>8.3*73/1000</f>
        <v>0.60590000000000011</v>
      </c>
      <c r="E665" t="s">
        <v>10</v>
      </c>
      <c r="F665">
        <v>1.6</v>
      </c>
      <c r="G665">
        <v>10</v>
      </c>
    </row>
    <row r="666" spans="1:7" x14ac:dyDescent="0.3">
      <c r="A666" t="s">
        <v>82</v>
      </c>
      <c r="B666">
        <v>3</v>
      </c>
      <c r="C666" t="s">
        <v>8</v>
      </c>
      <c r="D666">
        <f>20.75*8.3/1000</f>
        <v>0.17222500000000002</v>
      </c>
      <c r="E666" t="s">
        <v>10</v>
      </c>
      <c r="F666">
        <v>1.48</v>
      </c>
      <c r="G666">
        <v>10</v>
      </c>
    </row>
    <row r="667" spans="1:7" x14ac:dyDescent="0.3">
      <c r="A667" t="s">
        <v>82</v>
      </c>
      <c r="B667">
        <v>3</v>
      </c>
      <c r="C667" t="s">
        <v>11</v>
      </c>
      <c r="D667">
        <f>1.03*73.09/1000</f>
        <v>7.5282700000000008E-2</v>
      </c>
      <c r="E667" t="s">
        <v>10</v>
      </c>
      <c r="F667">
        <v>1.21</v>
      </c>
      <c r="G667">
        <v>10</v>
      </c>
    </row>
    <row r="668" spans="1:7" x14ac:dyDescent="0.3">
      <c r="A668" t="s">
        <v>82</v>
      </c>
      <c r="B668">
        <v>3</v>
      </c>
      <c r="C668" t="s">
        <v>11</v>
      </c>
      <c r="D668">
        <f>2.08*73/1000</f>
        <v>0.15184</v>
      </c>
      <c r="E668" t="s">
        <v>10</v>
      </c>
      <c r="F668">
        <v>1.17</v>
      </c>
      <c r="G668">
        <v>10</v>
      </c>
    </row>
    <row r="669" spans="1:7" x14ac:dyDescent="0.3">
      <c r="A669" t="s">
        <v>82</v>
      </c>
      <c r="B669">
        <v>3</v>
      </c>
      <c r="C669" t="s">
        <v>11</v>
      </c>
      <c r="D669">
        <f>6.23*73/1000</f>
        <v>0.45479000000000003</v>
      </c>
      <c r="E669" t="s">
        <v>10</v>
      </c>
      <c r="F669">
        <v>1.05</v>
      </c>
      <c r="G669">
        <v>10</v>
      </c>
    </row>
    <row r="670" spans="1:7" x14ac:dyDescent="0.3">
      <c r="A670" t="s">
        <v>82</v>
      </c>
      <c r="B670">
        <v>3</v>
      </c>
      <c r="C670" t="s">
        <v>11</v>
      </c>
      <c r="D670">
        <f>8.3*73/1000</f>
        <v>0.60590000000000011</v>
      </c>
      <c r="E670" t="s">
        <v>10</v>
      </c>
      <c r="F670">
        <v>1.1000000000000001</v>
      </c>
      <c r="G670">
        <v>10</v>
      </c>
    </row>
    <row r="671" spans="1:7" x14ac:dyDescent="0.3">
      <c r="A671" t="s">
        <v>82</v>
      </c>
      <c r="B671">
        <v>3</v>
      </c>
      <c r="C671" t="s">
        <v>11</v>
      </c>
      <c r="D671">
        <f>20.75*8.3/1000</f>
        <v>0.17222500000000002</v>
      </c>
      <c r="E671" t="s">
        <v>10</v>
      </c>
      <c r="F671">
        <v>1.23</v>
      </c>
      <c r="G671">
        <v>10</v>
      </c>
    </row>
    <row r="672" spans="1:7" x14ac:dyDescent="0.3">
      <c r="A672" t="s">
        <v>82</v>
      </c>
      <c r="B672">
        <v>3</v>
      </c>
      <c r="C672" t="s">
        <v>8</v>
      </c>
      <c r="D672">
        <f>1.03*73.09/1000</f>
        <v>7.5282700000000008E-2</v>
      </c>
      <c r="E672" t="s">
        <v>10</v>
      </c>
      <c r="F672">
        <v>1.6</v>
      </c>
      <c r="G672">
        <v>10</v>
      </c>
    </row>
    <row r="673" spans="1:7" x14ac:dyDescent="0.3">
      <c r="A673" t="s">
        <v>82</v>
      </c>
      <c r="B673">
        <v>3</v>
      </c>
      <c r="C673" t="s">
        <v>8</v>
      </c>
      <c r="D673">
        <f>2.08*73/1000</f>
        <v>0.15184</v>
      </c>
      <c r="E673" t="s">
        <v>10</v>
      </c>
      <c r="F673">
        <v>2.89</v>
      </c>
      <c r="G673">
        <v>10</v>
      </c>
    </row>
    <row r="674" spans="1:7" x14ac:dyDescent="0.3">
      <c r="A674" t="s">
        <v>82</v>
      </c>
      <c r="B674">
        <v>3</v>
      </c>
      <c r="C674" t="s">
        <v>8</v>
      </c>
      <c r="D674">
        <f>6.23*73/1000</f>
        <v>0.45479000000000003</v>
      </c>
      <c r="E674" t="s">
        <v>10</v>
      </c>
      <c r="F674">
        <v>2.15</v>
      </c>
      <c r="G674">
        <v>10</v>
      </c>
    </row>
    <row r="675" spans="1:7" x14ac:dyDescent="0.3">
      <c r="A675" t="s">
        <v>82</v>
      </c>
      <c r="B675">
        <v>3</v>
      </c>
      <c r="C675" t="s">
        <v>8</v>
      </c>
      <c r="D675">
        <f>8.3*73/1000</f>
        <v>0.60590000000000011</v>
      </c>
      <c r="E675" t="s">
        <v>10</v>
      </c>
      <c r="F675">
        <v>1.6</v>
      </c>
      <c r="G675">
        <v>10</v>
      </c>
    </row>
    <row r="676" spans="1:7" x14ac:dyDescent="0.3">
      <c r="A676" t="s">
        <v>82</v>
      </c>
      <c r="B676">
        <v>3</v>
      </c>
      <c r="C676" t="s">
        <v>8</v>
      </c>
      <c r="D676">
        <f>20.75*8.3/1000</f>
        <v>0.17222500000000002</v>
      </c>
      <c r="E676" t="s">
        <v>10</v>
      </c>
      <c r="F676">
        <v>1.5</v>
      </c>
      <c r="G676">
        <v>10</v>
      </c>
    </row>
    <row r="677" spans="1:7" x14ac:dyDescent="0.3">
      <c r="A677" t="s">
        <v>82</v>
      </c>
      <c r="B677">
        <v>3</v>
      </c>
      <c r="C677" t="s">
        <v>11</v>
      </c>
      <c r="D677">
        <f>1.03*73.09/1000</f>
        <v>7.5282700000000008E-2</v>
      </c>
      <c r="E677" t="s">
        <v>10</v>
      </c>
      <c r="F677">
        <v>1.1000000000000001</v>
      </c>
      <c r="G677">
        <v>10</v>
      </c>
    </row>
    <row r="678" spans="1:7" x14ac:dyDescent="0.3">
      <c r="A678" t="s">
        <v>82</v>
      </c>
      <c r="B678">
        <v>3</v>
      </c>
      <c r="C678" t="s">
        <v>11</v>
      </c>
      <c r="D678">
        <f>2.08*73/1000</f>
        <v>0.15184</v>
      </c>
      <c r="E678" t="s">
        <v>10</v>
      </c>
      <c r="F678">
        <v>1.0900000000000001</v>
      </c>
      <c r="G678">
        <v>10</v>
      </c>
    </row>
    <row r="679" spans="1:7" x14ac:dyDescent="0.3">
      <c r="A679" t="s">
        <v>82</v>
      </c>
      <c r="B679">
        <v>3</v>
      </c>
      <c r="C679" t="s">
        <v>11</v>
      </c>
      <c r="D679">
        <f>6.23*73/1000</f>
        <v>0.45479000000000003</v>
      </c>
      <c r="E679" t="s">
        <v>10</v>
      </c>
      <c r="F679">
        <v>1.1000000000000001</v>
      </c>
      <c r="G679">
        <v>10</v>
      </c>
    </row>
    <row r="680" spans="1:7" x14ac:dyDescent="0.3">
      <c r="A680" t="s">
        <v>82</v>
      </c>
      <c r="B680">
        <v>3</v>
      </c>
      <c r="C680" t="s">
        <v>11</v>
      </c>
      <c r="D680">
        <f>8.3*73/1000</f>
        <v>0.60590000000000011</v>
      </c>
      <c r="E680" t="s">
        <v>10</v>
      </c>
      <c r="F680">
        <v>1.3</v>
      </c>
      <c r="G680">
        <v>10</v>
      </c>
    </row>
    <row r="681" spans="1:7" x14ac:dyDescent="0.3">
      <c r="A681" t="s">
        <v>82</v>
      </c>
      <c r="B681">
        <v>3</v>
      </c>
      <c r="C681" t="s">
        <v>11</v>
      </c>
      <c r="D681">
        <f>20.75*8.3/1000</f>
        <v>0.17222500000000002</v>
      </c>
      <c r="E681" t="s">
        <v>10</v>
      </c>
      <c r="F681">
        <v>1.45</v>
      </c>
      <c r="G681">
        <v>10</v>
      </c>
    </row>
    <row r="682" spans="1:7" x14ac:dyDescent="0.3">
      <c r="A682" t="s">
        <v>82</v>
      </c>
      <c r="B682">
        <v>3</v>
      </c>
      <c r="C682" t="s">
        <v>8</v>
      </c>
      <c r="D682">
        <f>1.03*73.09/1000</f>
        <v>7.5282700000000008E-2</v>
      </c>
      <c r="E682" t="s">
        <v>10</v>
      </c>
      <c r="F682">
        <v>1.56</v>
      </c>
      <c r="G682">
        <v>10</v>
      </c>
    </row>
    <row r="683" spans="1:7" x14ac:dyDescent="0.3">
      <c r="A683" t="s">
        <v>82</v>
      </c>
      <c r="B683">
        <v>3</v>
      </c>
      <c r="C683" t="s">
        <v>8</v>
      </c>
      <c r="D683">
        <f>2.08*73/1000</f>
        <v>0.15184</v>
      </c>
      <c r="E683" t="s">
        <v>10</v>
      </c>
      <c r="F683">
        <v>0.9</v>
      </c>
      <c r="G683">
        <v>10</v>
      </c>
    </row>
    <row r="684" spans="1:7" x14ac:dyDescent="0.3">
      <c r="A684" t="s">
        <v>82</v>
      </c>
      <c r="B684">
        <v>3</v>
      </c>
      <c r="C684" t="s">
        <v>8</v>
      </c>
      <c r="D684">
        <f>6.23*73/1000</f>
        <v>0.45479000000000003</v>
      </c>
      <c r="E684" t="s">
        <v>10</v>
      </c>
      <c r="F684">
        <v>0.78</v>
      </c>
      <c r="G684">
        <v>10</v>
      </c>
    </row>
    <row r="685" spans="1:7" x14ac:dyDescent="0.3">
      <c r="A685" t="s">
        <v>82</v>
      </c>
      <c r="B685">
        <v>3</v>
      </c>
      <c r="C685" t="s">
        <v>8</v>
      </c>
      <c r="D685">
        <f>8.3*73/1000</f>
        <v>0.60590000000000011</v>
      </c>
      <c r="E685" t="s">
        <v>10</v>
      </c>
      <c r="F685">
        <v>0.77</v>
      </c>
      <c r="G685">
        <v>10</v>
      </c>
    </row>
    <row r="686" spans="1:7" x14ac:dyDescent="0.3">
      <c r="A686" t="s">
        <v>82</v>
      </c>
      <c r="B686">
        <v>3</v>
      </c>
      <c r="C686" t="s">
        <v>8</v>
      </c>
      <c r="D686">
        <f>20.75*8.3/1000</f>
        <v>0.17222500000000002</v>
      </c>
      <c r="E686" t="s">
        <v>10</v>
      </c>
      <c r="F686">
        <v>0.75</v>
      </c>
      <c r="G686">
        <v>10</v>
      </c>
    </row>
    <row r="687" spans="1:7" x14ac:dyDescent="0.3">
      <c r="A687" t="s">
        <v>82</v>
      </c>
      <c r="B687">
        <v>3</v>
      </c>
      <c r="C687" t="s">
        <v>11</v>
      </c>
      <c r="D687">
        <f>1.03*73.09/1000</f>
        <v>7.5282700000000008E-2</v>
      </c>
      <c r="E687" t="s">
        <v>10</v>
      </c>
      <c r="F687">
        <v>1.1599999999999999</v>
      </c>
      <c r="G687">
        <v>10</v>
      </c>
    </row>
    <row r="688" spans="1:7" x14ac:dyDescent="0.3">
      <c r="A688" t="s">
        <v>82</v>
      </c>
      <c r="B688">
        <v>3</v>
      </c>
      <c r="C688" t="s">
        <v>11</v>
      </c>
      <c r="D688">
        <f>2.08*73/1000</f>
        <v>0.15184</v>
      </c>
      <c r="E688" t="s">
        <v>10</v>
      </c>
      <c r="F688">
        <v>1.17</v>
      </c>
      <c r="G688">
        <v>10</v>
      </c>
    </row>
    <row r="689" spans="1:7" x14ac:dyDescent="0.3">
      <c r="A689" t="s">
        <v>82</v>
      </c>
      <c r="B689">
        <v>3</v>
      </c>
      <c r="C689" t="s">
        <v>11</v>
      </c>
      <c r="D689">
        <f>6.23*73/1000</f>
        <v>0.45479000000000003</v>
      </c>
      <c r="E689" t="s">
        <v>10</v>
      </c>
      <c r="F689">
        <v>1.22</v>
      </c>
      <c r="G689">
        <v>10</v>
      </c>
    </row>
    <row r="690" spans="1:7" x14ac:dyDescent="0.3">
      <c r="A690" t="s">
        <v>82</v>
      </c>
      <c r="B690">
        <v>3</v>
      </c>
      <c r="C690" t="s">
        <v>11</v>
      </c>
      <c r="D690">
        <f>8.3*73/1000</f>
        <v>0.60590000000000011</v>
      </c>
      <c r="E690" t="s">
        <v>10</v>
      </c>
      <c r="F690">
        <v>1.1399999999999999</v>
      </c>
      <c r="G690">
        <v>10</v>
      </c>
    </row>
    <row r="691" spans="1:7" x14ac:dyDescent="0.3">
      <c r="A691" t="s">
        <v>82</v>
      </c>
      <c r="B691">
        <v>3</v>
      </c>
      <c r="C691" t="s">
        <v>11</v>
      </c>
      <c r="D691">
        <f>20.75*8.3/1000</f>
        <v>0.17222500000000002</v>
      </c>
      <c r="E691" t="s">
        <v>10</v>
      </c>
      <c r="F691">
        <v>1.1000000000000001</v>
      </c>
      <c r="G691">
        <v>10</v>
      </c>
    </row>
    <row r="692" spans="1:7" x14ac:dyDescent="0.3">
      <c r="A692" t="s">
        <v>82</v>
      </c>
      <c r="B692">
        <v>3</v>
      </c>
      <c r="C692" t="s">
        <v>8</v>
      </c>
      <c r="D692">
        <f>1.03*73.09/1000</f>
        <v>7.5282700000000008E-2</v>
      </c>
      <c r="E692" t="s">
        <v>10</v>
      </c>
      <c r="F692">
        <v>1.03</v>
      </c>
      <c r="G692">
        <v>10</v>
      </c>
    </row>
    <row r="693" spans="1:7" x14ac:dyDescent="0.3">
      <c r="A693" t="s">
        <v>82</v>
      </c>
      <c r="B693">
        <v>3</v>
      </c>
      <c r="C693" t="s">
        <v>8</v>
      </c>
      <c r="D693">
        <f>2.08*73/1000</f>
        <v>0.15184</v>
      </c>
      <c r="E693" t="s">
        <v>10</v>
      </c>
      <c r="F693">
        <v>1.05</v>
      </c>
      <c r="G693">
        <v>10</v>
      </c>
    </row>
    <row r="694" spans="1:7" x14ac:dyDescent="0.3">
      <c r="A694" t="s">
        <v>82</v>
      </c>
      <c r="B694">
        <v>3</v>
      </c>
      <c r="C694" t="s">
        <v>8</v>
      </c>
      <c r="D694">
        <f>6.23*73/1000</f>
        <v>0.45479000000000003</v>
      </c>
      <c r="E694" t="s">
        <v>10</v>
      </c>
      <c r="F694">
        <v>1.2</v>
      </c>
      <c r="G694">
        <v>10</v>
      </c>
    </row>
    <row r="695" spans="1:7" x14ac:dyDescent="0.3">
      <c r="A695" t="s">
        <v>82</v>
      </c>
      <c r="B695">
        <v>3</v>
      </c>
      <c r="C695" t="s">
        <v>8</v>
      </c>
      <c r="D695">
        <f>8.3*73/1000</f>
        <v>0.60590000000000011</v>
      </c>
      <c r="E695" t="s">
        <v>10</v>
      </c>
      <c r="F695">
        <v>1.21</v>
      </c>
      <c r="G695">
        <v>10</v>
      </c>
    </row>
    <row r="696" spans="1:7" x14ac:dyDescent="0.3">
      <c r="A696" t="s">
        <v>82</v>
      </c>
      <c r="B696">
        <v>3</v>
      </c>
      <c r="C696" t="s">
        <v>8</v>
      </c>
      <c r="D696">
        <f>20.75*8.3/1000</f>
        <v>0.17222500000000002</v>
      </c>
      <c r="E696" t="s">
        <v>10</v>
      </c>
      <c r="F696">
        <v>1.3</v>
      </c>
      <c r="G696">
        <v>10</v>
      </c>
    </row>
    <row r="697" spans="1:7" x14ac:dyDescent="0.3">
      <c r="A697" t="s">
        <v>83</v>
      </c>
      <c r="B697">
        <v>7</v>
      </c>
      <c r="C697" t="s">
        <v>8</v>
      </c>
      <c r="D697">
        <v>1500</v>
      </c>
      <c r="E697" t="s">
        <v>9</v>
      </c>
      <c r="F697">
        <v>0.97499999999999998</v>
      </c>
      <c r="G697">
        <v>11</v>
      </c>
    </row>
    <row r="698" spans="1:7" x14ac:dyDescent="0.3">
      <c r="A698" t="s">
        <v>83</v>
      </c>
      <c r="B698">
        <v>7</v>
      </c>
      <c r="C698" t="s">
        <v>8</v>
      </c>
      <c r="D698">
        <v>3000</v>
      </c>
      <c r="E698" t="s">
        <v>9</v>
      </c>
      <c r="F698">
        <v>1.0249999999999999</v>
      </c>
      <c r="G698">
        <v>11</v>
      </c>
    </row>
    <row r="699" spans="1:7" x14ac:dyDescent="0.3">
      <c r="A699" t="s">
        <v>83</v>
      </c>
      <c r="B699">
        <v>7</v>
      </c>
      <c r="C699" t="s">
        <v>8</v>
      </c>
      <c r="D699">
        <v>6000</v>
      </c>
      <c r="E699" t="s">
        <v>9</v>
      </c>
      <c r="F699">
        <v>1.05</v>
      </c>
      <c r="G699">
        <v>11</v>
      </c>
    </row>
    <row r="700" spans="1:7" x14ac:dyDescent="0.3">
      <c r="A700" t="s">
        <v>83</v>
      </c>
      <c r="B700">
        <v>7</v>
      </c>
      <c r="C700" t="s">
        <v>8</v>
      </c>
      <c r="D700">
        <v>10000</v>
      </c>
      <c r="E700" t="s">
        <v>9</v>
      </c>
      <c r="F700">
        <v>0.98750000000000004</v>
      </c>
      <c r="G700">
        <v>11</v>
      </c>
    </row>
    <row r="701" spans="1:7" x14ac:dyDescent="0.3">
      <c r="A701" t="s">
        <v>83</v>
      </c>
      <c r="B701">
        <v>7</v>
      </c>
      <c r="C701" t="s">
        <v>8</v>
      </c>
      <c r="D701">
        <v>17200</v>
      </c>
      <c r="E701" t="s">
        <v>9</v>
      </c>
      <c r="F701">
        <v>0.88749999999999996</v>
      </c>
      <c r="G701">
        <v>11</v>
      </c>
    </row>
    <row r="702" spans="1:7" x14ac:dyDescent="0.3">
      <c r="A702" t="s">
        <v>83</v>
      </c>
      <c r="B702">
        <v>7</v>
      </c>
      <c r="C702" t="s">
        <v>8</v>
      </c>
      <c r="D702">
        <v>1500</v>
      </c>
      <c r="E702" t="s">
        <v>9</v>
      </c>
      <c r="F702">
        <v>1.0164599999999999</v>
      </c>
      <c r="G702">
        <v>11</v>
      </c>
    </row>
    <row r="703" spans="1:7" x14ac:dyDescent="0.3">
      <c r="A703" t="s">
        <v>83</v>
      </c>
      <c r="B703">
        <v>7</v>
      </c>
      <c r="C703" t="s">
        <v>8</v>
      </c>
      <c r="D703">
        <v>3000</v>
      </c>
      <c r="E703" t="s">
        <v>9</v>
      </c>
      <c r="F703">
        <v>1</v>
      </c>
      <c r="G703">
        <v>11</v>
      </c>
    </row>
    <row r="704" spans="1:7" x14ac:dyDescent="0.3">
      <c r="A704" t="s">
        <v>83</v>
      </c>
      <c r="B704">
        <v>7</v>
      </c>
      <c r="C704" t="s">
        <v>8</v>
      </c>
      <c r="D704">
        <v>6000</v>
      </c>
      <c r="E704" t="s">
        <v>9</v>
      </c>
      <c r="F704">
        <v>1.0740000000000001</v>
      </c>
      <c r="G704">
        <v>11</v>
      </c>
    </row>
    <row r="705" spans="1:7" x14ac:dyDescent="0.3">
      <c r="A705" t="s">
        <v>83</v>
      </c>
      <c r="B705">
        <v>7</v>
      </c>
      <c r="C705" t="s">
        <v>8</v>
      </c>
      <c r="D705">
        <v>10000</v>
      </c>
      <c r="E705" t="s">
        <v>9</v>
      </c>
      <c r="F705">
        <v>0.96</v>
      </c>
      <c r="G705">
        <v>11</v>
      </c>
    </row>
    <row r="706" spans="1:7" x14ac:dyDescent="0.3">
      <c r="A706" t="s">
        <v>83</v>
      </c>
      <c r="B706">
        <v>7</v>
      </c>
      <c r="C706" t="s">
        <v>8</v>
      </c>
      <c r="D706">
        <v>17200</v>
      </c>
      <c r="E706" t="s">
        <v>9</v>
      </c>
      <c r="F706">
        <v>0.86</v>
      </c>
      <c r="G706">
        <v>11</v>
      </c>
    </row>
    <row r="707" spans="1:7" x14ac:dyDescent="0.3">
      <c r="A707" t="s">
        <v>83</v>
      </c>
      <c r="B707">
        <v>7</v>
      </c>
      <c r="C707" t="s">
        <v>8</v>
      </c>
      <c r="D707">
        <v>1500</v>
      </c>
      <c r="E707" t="s">
        <v>9</v>
      </c>
      <c r="F707">
        <v>0.97699999999999998</v>
      </c>
      <c r="G707">
        <v>11</v>
      </c>
    </row>
    <row r="708" spans="1:7" x14ac:dyDescent="0.3">
      <c r="A708" t="s">
        <v>83</v>
      </c>
      <c r="B708">
        <v>7</v>
      </c>
      <c r="C708" t="s">
        <v>8</v>
      </c>
      <c r="D708">
        <v>3000</v>
      </c>
      <c r="E708" t="s">
        <v>9</v>
      </c>
      <c r="F708">
        <v>1.02</v>
      </c>
      <c r="G708">
        <v>11</v>
      </c>
    </row>
    <row r="709" spans="1:7" x14ac:dyDescent="0.3">
      <c r="A709" t="s">
        <v>83</v>
      </c>
      <c r="B709">
        <v>7</v>
      </c>
      <c r="C709" t="s">
        <v>8</v>
      </c>
      <c r="D709">
        <v>6000</v>
      </c>
      <c r="E709" t="s">
        <v>9</v>
      </c>
      <c r="F709">
        <v>1.0680000000000001</v>
      </c>
      <c r="G709">
        <v>11</v>
      </c>
    </row>
    <row r="710" spans="1:7" x14ac:dyDescent="0.3">
      <c r="A710" t="s">
        <v>83</v>
      </c>
      <c r="B710">
        <v>7</v>
      </c>
      <c r="C710" t="s">
        <v>8</v>
      </c>
      <c r="D710">
        <v>10000</v>
      </c>
      <c r="E710" t="s">
        <v>9</v>
      </c>
      <c r="F710">
        <v>0.95450000000000002</v>
      </c>
      <c r="G710">
        <v>11</v>
      </c>
    </row>
    <row r="711" spans="1:7" x14ac:dyDescent="0.3">
      <c r="A711" t="s">
        <v>83</v>
      </c>
      <c r="B711">
        <v>7</v>
      </c>
      <c r="C711" t="s">
        <v>8</v>
      </c>
      <c r="D711">
        <v>17200</v>
      </c>
      <c r="E711" t="s">
        <v>9</v>
      </c>
      <c r="F711">
        <v>0.86399999999999999</v>
      </c>
      <c r="G711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8606-B6C5-47A4-AF29-0AC85B2C5900}">
  <dimension ref="A1:I195"/>
  <sheetViews>
    <sheetView workbookViewId="0">
      <selection activeCell="H1" sqref="H1:H1048576"/>
    </sheetView>
  </sheetViews>
  <sheetFormatPr defaultRowHeight="13.5" x14ac:dyDescent="0.3"/>
  <cols>
    <col min="1" max="1" width="23.86328125" customWidth="1"/>
  </cols>
  <sheetData>
    <row r="1" spans="1:7" s="5" customFormat="1" ht="13.9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53</v>
      </c>
      <c r="B2">
        <v>45</v>
      </c>
      <c r="C2" t="s">
        <v>8</v>
      </c>
      <c r="D2">
        <v>5000</v>
      </c>
      <c r="E2" t="s">
        <v>12</v>
      </c>
      <c r="F2">
        <v>0.84656084656084596</v>
      </c>
      <c r="G2">
        <v>46</v>
      </c>
    </row>
    <row r="3" spans="1:7" x14ac:dyDescent="0.3">
      <c r="A3" t="s">
        <v>53</v>
      </c>
      <c r="B3">
        <v>45</v>
      </c>
      <c r="C3" t="s">
        <v>8</v>
      </c>
      <c r="D3">
        <v>10000</v>
      </c>
      <c r="E3" t="s">
        <v>12</v>
      </c>
      <c r="F3">
        <v>0.82539682539682502</v>
      </c>
      <c r="G3">
        <v>46</v>
      </c>
    </row>
    <row r="4" spans="1:7" x14ac:dyDescent="0.3">
      <c r="A4" t="s">
        <v>53</v>
      </c>
      <c r="B4">
        <v>45</v>
      </c>
      <c r="C4" t="s">
        <v>11</v>
      </c>
      <c r="D4">
        <v>5000</v>
      </c>
      <c r="E4" t="s">
        <v>12</v>
      </c>
      <c r="F4">
        <v>0.81428571428571395</v>
      </c>
      <c r="G4">
        <v>46</v>
      </c>
    </row>
    <row r="5" spans="1:7" x14ac:dyDescent="0.3">
      <c r="A5" t="s">
        <v>53</v>
      </c>
      <c r="B5">
        <v>45</v>
      </c>
      <c r="C5" t="s">
        <v>11</v>
      </c>
      <c r="D5">
        <v>10000</v>
      </c>
      <c r="E5" t="s">
        <v>12</v>
      </c>
      <c r="F5">
        <v>0.61428571428571399</v>
      </c>
      <c r="G5">
        <v>46</v>
      </c>
    </row>
    <row r="6" spans="1:7" x14ac:dyDescent="0.3">
      <c r="A6" t="s">
        <v>53</v>
      </c>
      <c r="B6">
        <v>45</v>
      </c>
      <c r="C6" t="s">
        <v>8</v>
      </c>
      <c r="D6">
        <v>5000</v>
      </c>
      <c r="E6" t="s">
        <v>10</v>
      </c>
      <c r="F6">
        <v>1.3580246913580201</v>
      </c>
      <c r="G6">
        <v>46</v>
      </c>
    </row>
    <row r="7" spans="1:7" x14ac:dyDescent="0.3">
      <c r="A7" t="s">
        <v>53</v>
      </c>
      <c r="B7">
        <v>45</v>
      </c>
      <c r="C7" t="s">
        <v>8</v>
      </c>
      <c r="D7">
        <v>10000</v>
      </c>
      <c r="E7" t="s">
        <v>10</v>
      </c>
      <c r="F7">
        <v>1.4814814814814801</v>
      </c>
      <c r="G7">
        <v>46</v>
      </c>
    </row>
    <row r="8" spans="1:7" x14ac:dyDescent="0.3">
      <c r="A8" t="s">
        <v>53</v>
      </c>
      <c r="B8">
        <v>45</v>
      </c>
      <c r="C8" t="s">
        <v>8</v>
      </c>
      <c r="D8">
        <v>5000</v>
      </c>
      <c r="E8" t="s">
        <v>10</v>
      </c>
      <c r="F8">
        <v>1.15086206896551</v>
      </c>
      <c r="G8">
        <v>46</v>
      </c>
    </row>
    <row r="9" spans="1:7" x14ac:dyDescent="0.3">
      <c r="A9" t="s">
        <v>53</v>
      </c>
      <c r="B9">
        <v>45</v>
      </c>
      <c r="C9" t="s">
        <v>8</v>
      </c>
      <c r="D9">
        <v>10000</v>
      </c>
      <c r="E9" t="s">
        <v>10</v>
      </c>
      <c r="F9">
        <v>1.1336206896551699</v>
      </c>
      <c r="G9">
        <v>46</v>
      </c>
    </row>
    <row r="10" spans="1:7" x14ac:dyDescent="0.3">
      <c r="A10" t="s">
        <v>53</v>
      </c>
      <c r="B10">
        <v>45</v>
      </c>
      <c r="C10" t="s">
        <v>8</v>
      </c>
      <c r="D10">
        <v>5000</v>
      </c>
      <c r="E10" t="s">
        <v>10</v>
      </c>
      <c r="F10">
        <v>0.93303571428571397</v>
      </c>
      <c r="G10">
        <v>46</v>
      </c>
    </row>
    <row r="11" spans="1:7" ht="13.9" thickBot="1" x14ac:dyDescent="0.35">
      <c r="A11" s="1" t="s">
        <v>53</v>
      </c>
      <c r="B11" s="1">
        <v>45</v>
      </c>
      <c r="C11" s="1" t="s">
        <v>8</v>
      </c>
      <c r="D11" s="1">
        <v>10000</v>
      </c>
      <c r="E11" s="1" t="s">
        <v>10</v>
      </c>
      <c r="F11" s="1">
        <v>1.0848214285714199</v>
      </c>
      <c r="G11" s="1">
        <v>46</v>
      </c>
    </row>
    <row r="12" spans="1:7" x14ac:dyDescent="0.3">
      <c r="A12" t="s">
        <v>54</v>
      </c>
      <c r="B12" s="2">
        <v>27</v>
      </c>
      <c r="C12" s="2" t="s">
        <v>11</v>
      </c>
      <c r="D12" s="2">
        <v>2000</v>
      </c>
      <c r="E12" s="2" t="s">
        <v>12</v>
      </c>
      <c r="F12">
        <f>10622/10310</f>
        <v>1.0302618816682831</v>
      </c>
      <c r="G12" s="2">
        <v>47</v>
      </c>
    </row>
    <row r="13" spans="1:7" x14ac:dyDescent="0.3">
      <c r="A13" t="s">
        <v>54</v>
      </c>
      <c r="B13" s="2">
        <v>27</v>
      </c>
      <c r="C13" s="2" t="s">
        <v>11</v>
      </c>
      <c r="D13" s="2">
        <v>4000</v>
      </c>
      <c r="E13" s="2" t="s">
        <v>12</v>
      </c>
      <c r="F13">
        <f>9619/10310</f>
        <v>0.93297769156159072</v>
      </c>
      <c r="G13" s="2">
        <v>47</v>
      </c>
    </row>
    <row r="14" spans="1:7" x14ac:dyDescent="0.3">
      <c r="A14" t="s">
        <v>54</v>
      </c>
      <c r="B14" s="2">
        <v>27</v>
      </c>
      <c r="C14" s="2" t="s">
        <v>11</v>
      </c>
      <c r="D14" s="2">
        <v>8000</v>
      </c>
      <c r="E14" s="2" t="s">
        <v>12</v>
      </c>
      <c r="F14">
        <f>7923/10310</f>
        <v>0.76847720659553831</v>
      </c>
      <c r="G14" s="2">
        <v>47</v>
      </c>
    </row>
    <row r="15" spans="1:7" x14ac:dyDescent="0.3">
      <c r="A15" t="s">
        <v>54</v>
      </c>
      <c r="B15" s="2">
        <v>48</v>
      </c>
      <c r="C15" s="2" t="s">
        <v>11</v>
      </c>
      <c r="D15" s="2">
        <v>2000</v>
      </c>
      <c r="E15" s="2" t="s">
        <v>12</v>
      </c>
      <c r="F15">
        <f>20277/19899</f>
        <v>1.0189959294436906</v>
      </c>
      <c r="G15" s="2">
        <v>47</v>
      </c>
    </row>
    <row r="16" spans="1:7" x14ac:dyDescent="0.3">
      <c r="A16" t="s">
        <v>54</v>
      </c>
      <c r="B16" s="2">
        <v>48</v>
      </c>
      <c r="C16" s="2" t="s">
        <v>11</v>
      </c>
      <c r="D16" s="2">
        <v>4000</v>
      </c>
      <c r="E16" s="2" t="s">
        <v>12</v>
      </c>
      <c r="F16">
        <f>19810/19899</f>
        <v>0.99552741343786122</v>
      </c>
      <c r="G16" s="2">
        <v>47</v>
      </c>
    </row>
    <row r="17" spans="1:7" x14ac:dyDescent="0.3">
      <c r="A17" t="s">
        <v>54</v>
      </c>
      <c r="B17" s="2">
        <v>48</v>
      </c>
      <c r="C17" s="2" t="s">
        <v>11</v>
      </c>
      <c r="D17" s="2">
        <v>8000</v>
      </c>
      <c r="E17" s="2" t="s">
        <v>12</v>
      </c>
      <c r="F17">
        <f>15398/19899</f>
        <v>0.77380772903160966</v>
      </c>
      <c r="G17" s="2">
        <v>47</v>
      </c>
    </row>
    <row r="18" spans="1:7" x14ac:dyDescent="0.3">
      <c r="A18" t="s">
        <v>54</v>
      </c>
      <c r="B18" s="2">
        <v>27</v>
      </c>
      <c r="C18" s="2" t="s">
        <v>11</v>
      </c>
      <c r="D18" s="2">
        <v>2000</v>
      </c>
      <c r="E18" s="2" t="s">
        <v>12</v>
      </c>
      <c r="F18">
        <f>2026/1958</f>
        <v>1.034729315628192</v>
      </c>
      <c r="G18" s="2">
        <v>47</v>
      </c>
    </row>
    <row r="19" spans="1:7" x14ac:dyDescent="0.3">
      <c r="A19" t="s">
        <v>54</v>
      </c>
      <c r="B19" s="2">
        <v>27</v>
      </c>
      <c r="C19" s="2" t="s">
        <v>11</v>
      </c>
      <c r="D19" s="2">
        <v>4000</v>
      </c>
      <c r="E19" s="2" t="s">
        <v>12</v>
      </c>
      <c r="F19">
        <f>1828/1958</f>
        <v>0.93360572012257403</v>
      </c>
      <c r="G19" s="2">
        <v>47</v>
      </c>
    </row>
    <row r="20" spans="1:7" x14ac:dyDescent="0.3">
      <c r="A20" t="s">
        <v>54</v>
      </c>
      <c r="B20" s="2">
        <v>27</v>
      </c>
      <c r="C20" s="2" t="s">
        <v>11</v>
      </c>
      <c r="D20" s="2">
        <v>8000</v>
      </c>
      <c r="E20" s="2" t="s">
        <v>12</v>
      </c>
      <c r="F20">
        <f>1727/1958</f>
        <v>0.8820224719101124</v>
      </c>
      <c r="G20" s="2">
        <v>47</v>
      </c>
    </row>
    <row r="21" spans="1:7" x14ac:dyDescent="0.3">
      <c r="A21" t="s">
        <v>54</v>
      </c>
      <c r="B21" s="2">
        <v>48</v>
      </c>
      <c r="C21" s="2" t="s">
        <v>11</v>
      </c>
      <c r="D21" s="2">
        <v>2000</v>
      </c>
      <c r="E21" s="2" t="s">
        <v>12</v>
      </c>
      <c r="F21">
        <f>3693/3822</f>
        <v>0.96624803767660905</v>
      </c>
      <c r="G21" s="2">
        <v>47</v>
      </c>
    </row>
    <row r="22" spans="1:7" x14ac:dyDescent="0.3">
      <c r="A22" t="s">
        <v>54</v>
      </c>
      <c r="B22" s="2">
        <v>48</v>
      </c>
      <c r="C22" s="2" t="s">
        <v>11</v>
      </c>
      <c r="D22" s="2">
        <v>4000</v>
      </c>
      <c r="E22" s="2" t="s">
        <v>12</v>
      </c>
      <c r="F22">
        <f>3433/3822</f>
        <v>0.89822082679225534</v>
      </c>
      <c r="G22" s="2">
        <v>47</v>
      </c>
    </row>
    <row r="23" spans="1:7" ht="13.9" thickBot="1" x14ac:dyDescent="0.35">
      <c r="A23" s="1" t="s">
        <v>54</v>
      </c>
      <c r="B23" s="3">
        <v>48</v>
      </c>
      <c r="C23" s="3" t="s">
        <v>11</v>
      </c>
      <c r="D23" s="3">
        <v>8000</v>
      </c>
      <c r="E23" s="3" t="s">
        <v>12</v>
      </c>
      <c r="F23" s="1">
        <f>3497/3822</f>
        <v>0.91496598639455784</v>
      </c>
      <c r="G23" s="3">
        <v>47</v>
      </c>
    </row>
    <row r="24" spans="1:7" x14ac:dyDescent="0.3">
      <c r="A24" t="s">
        <v>60</v>
      </c>
      <c r="B24" s="2">
        <v>8</v>
      </c>
      <c r="C24" s="2" t="s">
        <v>8</v>
      </c>
      <c r="D24" s="2">
        <v>5000</v>
      </c>
      <c r="E24" s="2" t="s">
        <v>12</v>
      </c>
      <c r="F24">
        <f>7.67/9.83</f>
        <v>0.78026449643947104</v>
      </c>
      <c r="G24" s="2">
        <v>52</v>
      </c>
    </row>
    <row r="25" spans="1:7" x14ac:dyDescent="0.3">
      <c r="A25" t="s">
        <v>60</v>
      </c>
      <c r="B25" s="2">
        <v>8</v>
      </c>
      <c r="C25" s="2" t="s">
        <v>8</v>
      </c>
      <c r="D25" s="2">
        <v>10000</v>
      </c>
      <c r="E25" s="2" t="s">
        <v>12</v>
      </c>
      <c r="F25">
        <f>7.66/9.83</f>
        <v>0.77924720244150558</v>
      </c>
      <c r="G25" s="2">
        <v>52</v>
      </c>
    </row>
    <row r="26" spans="1:7" x14ac:dyDescent="0.3">
      <c r="A26" t="s">
        <v>60</v>
      </c>
      <c r="B26" s="2">
        <v>8</v>
      </c>
      <c r="C26" s="2" t="s">
        <v>8</v>
      </c>
      <c r="D26" s="2">
        <v>30000</v>
      </c>
      <c r="E26" s="2" t="s">
        <v>12</v>
      </c>
      <c r="F26">
        <f>728/983</f>
        <v>0.74059003051881989</v>
      </c>
      <c r="G26" s="2">
        <v>52</v>
      </c>
    </row>
    <row r="27" spans="1:7" x14ac:dyDescent="0.3">
      <c r="A27" t="s">
        <v>60</v>
      </c>
      <c r="B27" s="2">
        <v>8</v>
      </c>
      <c r="C27" s="2" t="s">
        <v>8</v>
      </c>
      <c r="D27" s="2">
        <v>50000</v>
      </c>
      <c r="E27" s="2" t="s">
        <v>12</v>
      </c>
      <c r="F27">
        <f>757/983</f>
        <v>0.77009155645981686</v>
      </c>
      <c r="G27" s="2">
        <v>52</v>
      </c>
    </row>
    <row r="28" spans="1:7" x14ac:dyDescent="0.3">
      <c r="A28" t="s">
        <v>60</v>
      </c>
      <c r="B28" s="2">
        <v>8</v>
      </c>
      <c r="C28" s="2" t="s">
        <v>8</v>
      </c>
      <c r="D28" s="2">
        <v>5000</v>
      </c>
      <c r="E28" s="2" t="s">
        <v>12</v>
      </c>
      <c r="F28">
        <f>1073/1192</f>
        <v>0.90016778523489938</v>
      </c>
      <c r="G28" s="2">
        <v>52</v>
      </c>
    </row>
    <row r="29" spans="1:7" x14ac:dyDescent="0.3">
      <c r="A29" t="s">
        <v>60</v>
      </c>
      <c r="B29" s="2">
        <v>8</v>
      </c>
      <c r="C29" s="2" t="s">
        <v>8</v>
      </c>
      <c r="D29" s="2">
        <v>10000</v>
      </c>
      <c r="E29" s="2" t="s">
        <v>12</v>
      </c>
      <c r="F29">
        <f>1006/1192</f>
        <v>0.84395973154362414</v>
      </c>
      <c r="G29" s="2">
        <v>52</v>
      </c>
    </row>
    <row r="30" spans="1:7" x14ac:dyDescent="0.3">
      <c r="A30" t="s">
        <v>60</v>
      </c>
      <c r="B30" s="2">
        <v>8</v>
      </c>
      <c r="C30" s="2" t="s">
        <v>8</v>
      </c>
      <c r="D30" s="2">
        <v>30000</v>
      </c>
      <c r="E30" s="2" t="s">
        <v>12</v>
      </c>
      <c r="F30">
        <f>1141/1192</f>
        <v>0.95721476510067116</v>
      </c>
      <c r="G30" s="2">
        <v>52</v>
      </c>
    </row>
    <row r="31" spans="1:7" x14ac:dyDescent="0.3">
      <c r="A31" t="s">
        <v>60</v>
      </c>
      <c r="B31" s="2">
        <v>8</v>
      </c>
      <c r="C31" s="2" t="s">
        <v>8</v>
      </c>
      <c r="D31" s="2">
        <v>50000</v>
      </c>
      <c r="E31" s="2" t="s">
        <v>12</v>
      </c>
      <c r="F31">
        <f>1027/1192</f>
        <v>0.86157718120805371</v>
      </c>
      <c r="G31" s="2">
        <v>52</v>
      </c>
    </row>
    <row r="32" spans="1:7" x14ac:dyDescent="0.3">
      <c r="A32" t="s">
        <v>60</v>
      </c>
      <c r="B32" s="2">
        <v>8</v>
      </c>
      <c r="C32" s="2" t="s">
        <v>11</v>
      </c>
      <c r="D32" s="2">
        <v>5000</v>
      </c>
      <c r="E32" s="2" t="s">
        <v>12</v>
      </c>
      <c r="F32">
        <f>117/431</f>
        <v>0.27146171693735499</v>
      </c>
      <c r="G32" s="2">
        <v>52</v>
      </c>
    </row>
    <row r="33" spans="1:9" x14ac:dyDescent="0.3">
      <c r="A33" t="s">
        <v>60</v>
      </c>
      <c r="B33" s="2">
        <v>8</v>
      </c>
      <c r="C33" s="2" t="s">
        <v>11</v>
      </c>
      <c r="D33" s="2">
        <v>10000</v>
      </c>
      <c r="E33" s="2" t="s">
        <v>12</v>
      </c>
      <c r="F33">
        <f>27/431</f>
        <v>6.2645011600928072E-2</v>
      </c>
      <c r="G33" s="2">
        <v>52</v>
      </c>
    </row>
    <row r="34" spans="1:9" x14ac:dyDescent="0.3">
      <c r="A34" t="s">
        <v>60</v>
      </c>
      <c r="B34" s="2">
        <v>8</v>
      </c>
      <c r="C34" s="2" t="s">
        <v>11</v>
      </c>
      <c r="D34" s="2">
        <v>30000</v>
      </c>
      <c r="E34" s="2" t="s">
        <v>12</v>
      </c>
      <c r="F34">
        <f>56/431</f>
        <v>0.12993039443155452</v>
      </c>
      <c r="G34" s="2">
        <v>52</v>
      </c>
    </row>
    <row r="35" spans="1:9" x14ac:dyDescent="0.3">
      <c r="A35" t="s">
        <v>60</v>
      </c>
      <c r="B35" s="2">
        <v>8</v>
      </c>
      <c r="C35" s="2" t="s">
        <v>11</v>
      </c>
      <c r="D35" s="2">
        <v>50000</v>
      </c>
      <c r="E35" s="2" t="s">
        <v>12</v>
      </c>
      <c r="F35">
        <f>36/431</f>
        <v>8.3526682134570762E-2</v>
      </c>
      <c r="G35" s="2">
        <v>52</v>
      </c>
    </row>
    <row r="36" spans="1:9" x14ac:dyDescent="0.3">
      <c r="A36" t="s">
        <v>60</v>
      </c>
      <c r="B36" s="2">
        <v>8</v>
      </c>
      <c r="C36" s="2" t="s">
        <v>11</v>
      </c>
      <c r="D36" s="2">
        <v>5000</v>
      </c>
      <c r="E36" s="2" t="s">
        <v>12</v>
      </c>
      <c r="F36">
        <f>540/588</f>
        <v>0.91836734693877553</v>
      </c>
      <c r="G36" s="2">
        <v>52</v>
      </c>
    </row>
    <row r="37" spans="1:9" x14ac:dyDescent="0.3">
      <c r="A37" t="s">
        <v>60</v>
      </c>
      <c r="B37" s="2">
        <v>8</v>
      </c>
      <c r="C37" s="2" t="s">
        <v>11</v>
      </c>
      <c r="D37" s="2">
        <v>10000</v>
      </c>
      <c r="E37" s="2" t="s">
        <v>12</v>
      </c>
      <c r="F37">
        <f>293/588</f>
        <v>0.49829931972789115</v>
      </c>
      <c r="G37" s="2">
        <v>52</v>
      </c>
    </row>
    <row r="38" spans="1:9" x14ac:dyDescent="0.3">
      <c r="A38" t="s">
        <v>60</v>
      </c>
      <c r="B38" s="2">
        <v>8</v>
      </c>
      <c r="C38" s="2" t="s">
        <v>11</v>
      </c>
      <c r="D38" s="2">
        <v>30000</v>
      </c>
      <c r="E38" s="2" t="s">
        <v>12</v>
      </c>
      <c r="F38">
        <f>460/588</f>
        <v>0.78231292517006801</v>
      </c>
      <c r="G38" s="2">
        <v>52</v>
      </c>
    </row>
    <row r="39" spans="1:9" s="1" customFormat="1" ht="13.9" thickBot="1" x14ac:dyDescent="0.35">
      <c r="A39" s="1" t="s">
        <v>60</v>
      </c>
      <c r="B39" s="3">
        <v>8</v>
      </c>
      <c r="C39" s="3" t="s">
        <v>11</v>
      </c>
      <c r="D39" s="3">
        <v>50000</v>
      </c>
      <c r="E39" s="3" t="s">
        <v>12</v>
      </c>
      <c r="F39" s="1">
        <f>508/588</f>
        <v>0.86394557823129248</v>
      </c>
      <c r="G39" s="3">
        <v>52</v>
      </c>
      <c r="I39"/>
    </row>
    <row r="40" spans="1:9" x14ac:dyDescent="0.3">
      <c r="A40" t="s">
        <v>53</v>
      </c>
      <c r="B40" s="2">
        <v>10</v>
      </c>
      <c r="C40" s="2" t="s">
        <v>11</v>
      </c>
      <c r="D40" s="2">
        <v>80</v>
      </c>
      <c r="E40" s="2" t="s">
        <v>12</v>
      </c>
      <c r="F40">
        <v>0.1875</v>
      </c>
      <c r="G40" s="2">
        <v>55</v>
      </c>
    </row>
    <row r="41" spans="1:9" x14ac:dyDescent="0.3">
      <c r="A41" t="s">
        <v>53</v>
      </c>
      <c r="B41" s="2">
        <v>10</v>
      </c>
      <c r="C41" s="2" t="s">
        <v>11</v>
      </c>
      <c r="D41" s="2">
        <v>160</v>
      </c>
      <c r="E41" s="2" t="s">
        <v>12</v>
      </c>
      <c r="F41">
        <v>0.42499999999999999</v>
      </c>
      <c r="G41" s="2">
        <v>55</v>
      </c>
    </row>
    <row r="42" spans="1:9" x14ac:dyDescent="0.3">
      <c r="A42" t="s">
        <v>53</v>
      </c>
      <c r="B42" s="2">
        <v>10</v>
      </c>
      <c r="C42" s="2" t="s">
        <v>11</v>
      </c>
      <c r="D42" s="2">
        <v>320</v>
      </c>
      <c r="E42" s="2" t="s">
        <v>12</v>
      </c>
      <c r="F42">
        <v>0.49375000000000002</v>
      </c>
      <c r="G42" s="2">
        <v>55</v>
      </c>
    </row>
    <row r="43" spans="1:9" x14ac:dyDescent="0.3">
      <c r="A43" t="s">
        <v>53</v>
      </c>
      <c r="B43" s="2">
        <v>10</v>
      </c>
      <c r="C43" s="2" t="s">
        <v>8</v>
      </c>
      <c r="D43" s="2">
        <v>80</v>
      </c>
      <c r="E43" s="2" t="s">
        <v>12</v>
      </c>
      <c r="F43">
        <v>0.45323741007194202</v>
      </c>
      <c r="G43" s="2">
        <v>55</v>
      </c>
    </row>
    <row r="44" spans="1:9" x14ac:dyDescent="0.3">
      <c r="A44" t="s">
        <v>53</v>
      </c>
      <c r="B44" s="2">
        <v>10</v>
      </c>
      <c r="C44" s="2" t="s">
        <v>8</v>
      </c>
      <c r="D44" s="2">
        <v>160</v>
      </c>
      <c r="E44" s="2" t="s">
        <v>12</v>
      </c>
      <c r="F44">
        <v>0.31654676258992798</v>
      </c>
      <c r="G44" s="2">
        <v>55</v>
      </c>
    </row>
    <row r="45" spans="1:9" x14ac:dyDescent="0.3">
      <c r="A45" t="s">
        <v>53</v>
      </c>
      <c r="B45" s="2">
        <v>10</v>
      </c>
      <c r="C45" s="2" t="s">
        <v>8</v>
      </c>
      <c r="D45" s="2">
        <v>320</v>
      </c>
      <c r="E45" s="2" t="s">
        <v>12</v>
      </c>
      <c r="F45">
        <v>0.39568345323741</v>
      </c>
      <c r="G45" s="2">
        <v>55</v>
      </c>
    </row>
    <row r="46" spans="1:9" x14ac:dyDescent="0.3">
      <c r="A46" t="s">
        <v>53</v>
      </c>
      <c r="B46" s="2">
        <v>10</v>
      </c>
      <c r="C46" s="2" t="s">
        <v>8</v>
      </c>
      <c r="D46" s="2">
        <v>80</v>
      </c>
      <c r="E46" s="2" t="s">
        <v>9</v>
      </c>
      <c r="F46">
        <v>0.91447368421052599</v>
      </c>
      <c r="G46" s="2">
        <v>55</v>
      </c>
    </row>
    <row r="47" spans="1:9" x14ac:dyDescent="0.3">
      <c r="A47" t="s">
        <v>53</v>
      </c>
      <c r="B47" s="2">
        <v>10</v>
      </c>
      <c r="C47" s="2" t="s">
        <v>8</v>
      </c>
      <c r="D47" s="2">
        <v>160</v>
      </c>
      <c r="E47" s="2" t="s">
        <v>9</v>
      </c>
      <c r="F47">
        <v>0.85526315789473595</v>
      </c>
      <c r="G47" s="2">
        <v>55</v>
      </c>
    </row>
    <row r="48" spans="1:9" x14ac:dyDescent="0.3">
      <c r="A48" t="s">
        <v>53</v>
      </c>
      <c r="B48" s="2">
        <v>10</v>
      </c>
      <c r="C48" s="2" t="s">
        <v>8</v>
      </c>
      <c r="D48" s="2">
        <v>320</v>
      </c>
      <c r="E48" s="2" t="s">
        <v>9</v>
      </c>
      <c r="F48">
        <v>0.82894736842105199</v>
      </c>
      <c r="G48" s="2">
        <v>55</v>
      </c>
    </row>
    <row r="49" spans="1:7" x14ac:dyDescent="0.3">
      <c r="A49" t="s">
        <v>53</v>
      </c>
      <c r="B49" s="2">
        <v>10</v>
      </c>
      <c r="C49" s="2" t="s">
        <v>8</v>
      </c>
      <c r="D49" s="2">
        <v>80</v>
      </c>
      <c r="E49" s="2" t="s">
        <v>9</v>
      </c>
      <c r="F49">
        <v>0.80327868852458995</v>
      </c>
      <c r="G49" s="2">
        <v>55</v>
      </c>
    </row>
    <row r="50" spans="1:7" x14ac:dyDescent="0.3">
      <c r="A50" t="s">
        <v>53</v>
      </c>
      <c r="B50" s="2">
        <v>10</v>
      </c>
      <c r="C50" s="2" t="s">
        <v>8</v>
      </c>
      <c r="D50" s="2">
        <v>160</v>
      </c>
      <c r="E50" s="2" t="s">
        <v>9</v>
      </c>
      <c r="F50">
        <v>0.70491803278688503</v>
      </c>
      <c r="G50" s="2">
        <v>55</v>
      </c>
    </row>
    <row r="51" spans="1:7" s="1" customFormat="1" ht="13.9" thickBot="1" x14ac:dyDescent="0.35">
      <c r="A51" s="1" t="s">
        <v>53</v>
      </c>
      <c r="B51" s="3">
        <v>10</v>
      </c>
      <c r="C51" s="3" t="s">
        <v>8</v>
      </c>
      <c r="D51" s="3">
        <v>320</v>
      </c>
      <c r="E51" s="3" t="s">
        <v>9</v>
      </c>
      <c r="F51" s="1">
        <v>0.70491803278688503</v>
      </c>
      <c r="G51" s="3">
        <v>55</v>
      </c>
    </row>
    <row r="52" spans="1:7" x14ac:dyDescent="0.3">
      <c r="A52" s="2" t="s">
        <v>214</v>
      </c>
      <c r="B52" s="2">
        <v>10</v>
      </c>
      <c r="C52" s="2" t="s">
        <v>8</v>
      </c>
      <c r="D52" s="2">
        <v>20</v>
      </c>
      <c r="E52" s="2" t="s">
        <v>12</v>
      </c>
      <c r="F52">
        <v>0.96412556053811604</v>
      </c>
      <c r="G52" s="2">
        <v>56</v>
      </c>
    </row>
    <row r="53" spans="1:7" x14ac:dyDescent="0.3">
      <c r="A53" s="2" t="s">
        <v>214</v>
      </c>
      <c r="B53" s="2">
        <v>10</v>
      </c>
      <c r="C53" s="2" t="s">
        <v>8</v>
      </c>
      <c r="D53" s="2">
        <v>40</v>
      </c>
      <c r="E53" s="2" t="s">
        <v>12</v>
      </c>
      <c r="F53">
        <v>0.726457399103139</v>
      </c>
      <c r="G53" s="2">
        <v>56</v>
      </c>
    </row>
    <row r="54" spans="1:7" x14ac:dyDescent="0.3">
      <c r="A54" s="2" t="s">
        <v>214</v>
      </c>
      <c r="B54" s="2">
        <v>10</v>
      </c>
      <c r="C54" s="2" t="s">
        <v>8</v>
      </c>
      <c r="D54" s="2">
        <v>80</v>
      </c>
      <c r="E54" s="2" t="s">
        <v>12</v>
      </c>
      <c r="F54">
        <v>0.730941704035874</v>
      </c>
      <c r="G54" s="2">
        <v>56</v>
      </c>
    </row>
    <row r="55" spans="1:7" x14ac:dyDescent="0.3">
      <c r="A55" s="2" t="s">
        <v>214</v>
      </c>
      <c r="B55" s="2">
        <v>10</v>
      </c>
      <c r="C55" s="2" t="s">
        <v>8</v>
      </c>
      <c r="D55" s="2">
        <v>120</v>
      </c>
      <c r="E55" s="2" t="s">
        <v>12</v>
      </c>
      <c r="F55">
        <v>0.82511210762331799</v>
      </c>
      <c r="G55" s="2">
        <v>56</v>
      </c>
    </row>
    <row r="56" spans="1:7" x14ac:dyDescent="0.3">
      <c r="A56" s="2" t="s">
        <v>214</v>
      </c>
      <c r="B56" s="2">
        <v>10</v>
      </c>
      <c r="C56" s="2" t="s">
        <v>8</v>
      </c>
      <c r="D56" s="2">
        <v>160</v>
      </c>
      <c r="E56" s="2" t="s">
        <v>12</v>
      </c>
      <c r="F56">
        <v>0.72197309417040301</v>
      </c>
      <c r="G56" s="2">
        <v>56</v>
      </c>
    </row>
    <row r="57" spans="1:7" x14ac:dyDescent="0.3">
      <c r="A57" s="2" t="s">
        <v>214</v>
      </c>
      <c r="B57" s="2">
        <v>10</v>
      </c>
      <c r="C57" s="2" t="s">
        <v>8</v>
      </c>
      <c r="D57" s="2">
        <v>200</v>
      </c>
      <c r="E57" s="2" t="s">
        <v>12</v>
      </c>
      <c r="F57">
        <v>0.69955156950672603</v>
      </c>
      <c r="G57" s="2">
        <v>56</v>
      </c>
    </row>
    <row r="58" spans="1:7" x14ac:dyDescent="0.3">
      <c r="A58" s="2" t="s">
        <v>214</v>
      </c>
      <c r="B58" s="2">
        <v>10</v>
      </c>
      <c r="C58" s="2" t="s">
        <v>11</v>
      </c>
      <c r="D58" s="2">
        <v>20</v>
      </c>
      <c r="E58" s="2" t="s">
        <v>12</v>
      </c>
      <c r="F58">
        <v>0.58986175115207296</v>
      </c>
      <c r="G58" s="2">
        <v>56</v>
      </c>
    </row>
    <row r="59" spans="1:7" x14ac:dyDescent="0.3">
      <c r="A59" s="2" t="s">
        <v>214</v>
      </c>
      <c r="B59" s="2">
        <v>10</v>
      </c>
      <c r="C59" s="2" t="s">
        <v>11</v>
      </c>
      <c r="D59" s="2">
        <v>40</v>
      </c>
      <c r="E59" s="2" t="s">
        <v>12</v>
      </c>
      <c r="F59">
        <v>0.45161290322580599</v>
      </c>
      <c r="G59" s="2">
        <v>56</v>
      </c>
    </row>
    <row r="60" spans="1:7" x14ac:dyDescent="0.3">
      <c r="A60" s="2" t="s">
        <v>214</v>
      </c>
      <c r="B60" s="2">
        <v>10</v>
      </c>
      <c r="C60" s="2" t="s">
        <v>11</v>
      </c>
      <c r="D60" s="2">
        <v>80</v>
      </c>
      <c r="E60" s="2" t="s">
        <v>12</v>
      </c>
      <c r="F60">
        <v>0.34562211981566798</v>
      </c>
      <c r="G60" s="2">
        <v>56</v>
      </c>
    </row>
    <row r="61" spans="1:7" x14ac:dyDescent="0.3">
      <c r="A61" s="2" t="s">
        <v>214</v>
      </c>
      <c r="B61" s="2">
        <v>10</v>
      </c>
      <c r="C61" s="2" t="s">
        <v>11</v>
      </c>
      <c r="D61" s="2">
        <v>120</v>
      </c>
      <c r="E61" s="2" t="s">
        <v>12</v>
      </c>
      <c r="F61">
        <v>0.216589861751152</v>
      </c>
      <c r="G61" s="2">
        <v>56</v>
      </c>
    </row>
    <row r="62" spans="1:7" x14ac:dyDescent="0.3">
      <c r="A62" s="2" t="s">
        <v>214</v>
      </c>
      <c r="B62" s="2">
        <v>10</v>
      </c>
      <c r="C62" s="2" t="s">
        <v>11</v>
      </c>
      <c r="D62" s="2">
        <v>160</v>
      </c>
      <c r="E62" s="2" t="s">
        <v>12</v>
      </c>
      <c r="F62">
        <v>0.18433179723502299</v>
      </c>
      <c r="G62" s="2">
        <v>56</v>
      </c>
    </row>
    <row r="63" spans="1:7" x14ac:dyDescent="0.3">
      <c r="A63" s="2" t="s">
        <v>214</v>
      </c>
      <c r="B63" s="2">
        <v>10</v>
      </c>
      <c r="C63" s="2" t="s">
        <v>11</v>
      </c>
      <c r="D63" s="2">
        <v>200</v>
      </c>
      <c r="E63" s="2" t="s">
        <v>12</v>
      </c>
      <c r="F63">
        <v>3.6866359447004601E-2</v>
      </c>
      <c r="G63" s="2">
        <v>56</v>
      </c>
    </row>
    <row r="64" spans="1:7" x14ac:dyDescent="0.3">
      <c r="A64" s="2" t="s">
        <v>214</v>
      </c>
      <c r="B64" s="2">
        <v>10</v>
      </c>
      <c r="C64" s="2" t="s">
        <v>8</v>
      </c>
      <c r="D64" s="2">
        <v>20</v>
      </c>
      <c r="E64" s="2" t="s">
        <v>9</v>
      </c>
      <c r="F64">
        <v>0.90579710144927505</v>
      </c>
      <c r="G64" s="2">
        <v>56</v>
      </c>
    </row>
    <row r="65" spans="1:7" x14ac:dyDescent="0.3">
      <c r="A65" s="2" t="s">
        <v>214</v>
      </c>
      <c r="B65" s="2">
        <v>10</v>
      </c>
      <c r="C65" s="2" t="s">
        <v>8</v>
      </c>
      <c r="D65" s="2">
        <v>40</v>
      </c>
      <c r="E65" s="2" t="s">
        <v>9</v>
      </c>
      <c r="F65">
        <v>0.90942028985507195</v>
      </c>
      <c r="G65" s="2">
        <v>56</v>
      </c>
    </row>
    <row r="66" spans="1:7" x14ac:dyDescent="0.3">
      <c r="A66" s="2" t="s">
        <v>214</v>
      </c>
      <c r="B66" s="2">
        <v>10</v>
      </c>
      <c r="C66" s="2" t="s">
        <v>8</v>
      </c>
      <c r="D66" s="2">
        <v>80</v>
      </c>
      <c r="E66" s="2" t="s">
        <v>9</v>
      </c>
      <c r="F66">
        <v>0.688405797101449</v>
      </c>
      <c r="G66" s="2">
        <v>56</v>
      </c>
    </row>
    <row r="67" spans="1:7" x14ac:dyDescent="0.3">
      <c r="A67" s="2" t="s">
        <v>214</v>
      </c>
      <c r="B67" s="2">
        <v>10</v>
      </c>
      <c r="C67" s="2" t="s">
        <v>8</v>
      </c>
      <c r="D67" s="2">
        <v>120</v>
      </c>
      <c r="E67" s="2" t="s">
        <v>9</v>
      </c>
      <c r="F67">
        <v>0.66666666666666596</v>
      </c>
      <c r="G67" s="2">
        <v>56</v>
      </c>
    </row>
    <row r="68" spans="1:7" x14ac:dyDescent="0.3">
      <c r="A68" s="2" t="s">
        <v>214</v>
      </c>
      <c r="B68" s="2">
        <v>10</v>
      </c>
      <c r="C68" s="2" t="s">
        <v>8</v>
      </c>
      <c r="D68" s="2">
        <v>160</v>
      </c>
      <c r="E68" s="2" t="s">
        <v>9</v>
      </c>
      <c r="F68">
        <v>0.60144927536231796</v>
      </c>
      <c r="G68" s="2">
        <v>56</v>
      </c>
    </row>
    <row r="69" spans="1:7" x14ac:dyDescent="0.3">
      <c r="A69" s="2" t="s">
        <v>214</v>
      </c>
      <c r="B69" s="2">
        <v>10</v>
      </c>
      <c r="C69" s="2" t="s">
        <v>8</v>
      </c>
      <c r="D69" s="2">
        <v>200</v>
      </c>
      <c r="E69" s="2" t="s">
        <v>9</v>
      </c>
      <c r="F69">
        <v>0.55434782608695599</v>
      </c>
      <c r="G69" s="2">
        <v>56</v>
      </c>
    </row>
    <row r="70" spans="1:7" x14ac:dyDescent="0.3">
      <c r="A70" s="2" t="s">
        <v>214</v>
      </c>
      <c r="B70" s="2">
        <v>10</v>
      </c>
      <c r="C70" s="2" t="s">
        <v>8</v>
      </c>
      <c r="D70" s="2">
        <v>20</v>
      </c>
      <c r="E70" s="2" t="s">
        <v>9</v>
      </c>
      <c r="F70">
        <v>0.88043478260869501</v>
      </c>
      <c r="G70" s="2">
        <v>56</v>
      </c>
    </row>
    <row r="71" spans="1:7" x14ac:dyDescent="0.3">
      <c r="A71" s="2" t="s">
        <v>214</v>
      </c>
      <c r="B71" s="2">
        <v>10</v>
      </c>
      <c r="C71" s="2" t="s">
        <v>8</v>
      </c>
      <c r="D71" s="2">
        <v>40</v>
      </c>
      <c r="E71" s="2" t="s">
        <v>9</v>
      </c>
      <c r="F71">
        <v>0.83695652173913004</v>
      </c>
      <c r="G71" s="2">
        <v>56</v>
      </c>
    </row>
    <row r="72" spans="1:7" x14ac:dyDescent="0.3">
      <c r="A72" s="2" t="s">
        <v>214</v>
      </c>
      <c r="B72" s="2">
        <v>10</v>
      </c>
      <c r="C72" s="2" t="s">
        <v>8</v>
      </c>
      <c r="D72" s="2">
        <v>80</v>
      </c>
      <c r="E72" s="2" t="s">
        <v>9</v>
      </c>
      <c r="F72">
        <v>0.56521739130434701</v>
      </c>
      <c r="G72" s="2">
        <v>56</v>
      </c>
    </row>
    <row r="73" spans="1:7" x14ac:dyDescent="0.3">
      <c r="A73" s="2" t="s">
        <v>214</v>
      </c>
      <c r="B73" s="2">
        <v>10</v>
      </c>
      <c r="C73" s="2" t="s">
        <v>8</v>
      </c>
      <c r="D73" s="2">
        <v>120</v>
      </c>
      <c r="E73" s="2" t="s">
        <v>9</v>
      </c>
      <c r="F73">
        <v>0.51086956521739102</v>
      </c>
      <c r="G73" s="2">
        <v>56</v>
      </c>
    </row>
    <row r="74" spans="1:7" x14ac:dyDescent="0.3">
      <c r="A74" s="2" t="s">
        <v>214</v>
      </c>
      <c r="B74" s="2">
        <v>10</v>
      </c>
      <c r="C74" s="2" t="s">
        <v>8</v>
      </c>
      <c r="D74" s="2">
        <v>160</v>
      </c>
      <c r="E74" s="2" t="s">
        <v>9</v>
      </c>
      <c r="F74">
        <v>0.45652173913043398</v>
      </c>
      <c r="G74" s="2">
        <v>56</v>
      </c>
    </row>
    <row r="75" spans="1:7" s="1" customFormat="1" ht="13.9" thickBot="1" x14ac:dyDescent="0.35">
      <c r="A75" s="3" t="s">
        <v>214</v>
      </c>
      <c r="B75" s="3">
        <v>10</v>
      </c>
      <c r="C75" s="3" t="s">
        <v>8</v>
      </c>
      <c r="D75" s="3">
        <v>200</v>
      </c>
      <c r="E75" s="3" t="s">
        <v>9</v>
      </c>
      <c r="F75" s="1">
        <v>0.40217391304347799</v>
      </c>
      <c r="G75" s="3">
        <v>56</v>
      </c>
    </row>
    <row r="76" spans="1:7" x14ac:dyDescent="0.3">
      <c r="A76" s="2" t="s">
        <v>214</v>
      </c>
      <c r="B76" s="2">
        <v>14</v>
      </c>
      <c r="C76" s="2" t="s">
        <v>11</v>
      </c>
      <c r="D76" s="2">
        <v>5000</v>
      </c>
      <c r="E76" s="2" t="s">
        <v>12</v>
      </c>
      <c r="F76">
        <v>0.93188010899182505</v>
      </c>
      <c r="G76" s="2">
        <v>58</v>
      </c>
    </row>
    <row r="77" spans="1:7" x14ac:dyDescent="0.3">
      <c r="A77" s="2" t="s">
        <v>214</v>
      </c>
      <c r="B77" s="2">
        <v>14</v>
      </c>
      <c r="C77" s="2" t="s">
        <v>11</v>
      </c>
      <c r="D77" s="2">
        <v>10000</v>
      </c>
      <c r="E77" s="2" t="s">
        <v>12</v>
      </c>
      <c r="F77">
        <v>0.85831062670299696</v>
      </c>
      <c r="G77" s="2">
        <v>58</v>
      </c>
    </row>
    <row r="78" spans="1:7" x14ac:dyDescent="0.3">
      <c r="A78" s="2" t="s">
        <v>214</v>
      </c>
      <c r="B78" s="2">
        <v>14</v>
      </c>
      <c r="C78" s="2" t="s">
        <v>11</v>
      </c>
      <c r="D78" s="2">
        <v>20000</v>
      </c>
      <c r="E78" s="2" t="s">
        <v>12</v>
      </c>
      <c r="F78">
        <v>0.70572207084468597</v>
      </c>
      <c r="G78" s="2">
        <v>58</v>
      </c>
    </row>
    <row r="79" spans="1:7" x14ac:dyDescent="0.3">
      <c r="A79" s="2" t="s">
        <v>214</v>
      </c>
      <c r="B79" s="2">
        <v>14</v>
      </c>
      <c r="C79" s="2" t="s">
        <v>11</v>
      </c>
      <c r="D79" s="2">
        <v>30000</v>
      </c>
      <c r="E79" s="2" t="s">
        <v>12</v>
      </c>
      <c r="F79">
        <v>0.60762942779291496</v>
      </c>
      <c r="G79" s="2">
        <v>58</v>
      </c>
    </row>
    <row r="80" spans="1:7" x14ac:dyDescent="0.3">
      <c r="A80" s="2" t="s">
        <v>214</v>
      </c>
      <c r="B80" s="2">
        <v>14</v>
      </c>
      <c r="C80" s="2" t="s">
        <v>11</v>
      </c>
      <c r="D80" s="2">
        <v>40000</v>
      </c>
      <c r="E80" s="2" t="s">
        <v>12</v>
      </c>
      <c r="F80">
        <v>0.51498637602179798</v>
      </c>
      <c r="G80" s="2">
        <v>58</v>
      </c>
    </row>
    <row r="81" spans="1:7" x14ac:dyDescent="0.3">
      <c r="A81" s="2" t="s">
        <v>214</v>
      </c>
      <c r="B81" s="2">
        <v>14</v>
      </c>
      <c r="C81" s="2" t="s">
        <v>11</v>
      </c>
      <c r="D81" s="2">
        <v>50000</v>
      </c>
      <c r="E81" s="2" t="s">
        <v>12</v>
      </c>
      <c r="F81">
        <v>0.38692098092643001</v>
      </c>
      <c r="G81" s="2">
        <v>58</v>
      </c>
    </row>
    <row r="82" spans="1:7" x14ac:dyDescent="0.3">
      <c r="A82" s="2" t="s">
        <v>214</v>
      </c>
      <c r="B82" s="2">
        <v>14</v>
      </c>
      <c r="C82" s="2" t="s">
        <v>8</v>
      </c>
      <c r="D82" s="2">
        <v>5000</v>
      </c>
      <c r="E82" s="2" t="s">
        <v>12</v>
      </c>
      <c r="F82">
        <v>0.948780487804878</v>
      </c>
      <c r="G82" s="2">
        <v>58</v>
      </c>
    </row>
    <row r="83" spans="1:7" x14ac:dyDescent="0.3">
      <c r="A83" s="2" t="s">
        <v>214</v>
      </c>
      <c r="B83" s="2">
        <v>14</v>
      </c>
      <c r="C83" s="2" t="s">
        <v>8</v>
      </c>
      <c r="D83" s="2">
        <v>10000</v>
      </c>
      <c r="E83" s="2" t="s">
        <v>12</v>
      </c>
      <c r="F83">
        <v>0.85365853658536495</v>
      </c>
      <c r="G83" s="2">
        <v>58</v>
      </c>
    </row>
    <row r="84" spans="1:7" x14ac:dyDescent="0.3">
      <c r="A84" s="2" t="s">
        <v>214</v>
      </c>
      <c r="B84" s="2">
        <v>14</v>
      </c>
      <c r="C84" s="2" t="s">
        <v>8</v>
      </c>
      <c r="D84" s="2">
        <v>20000</v>
      </c>
      <c r="E84" s="2" t="s">
        <v>12</v>
      </c>
      <c r="F84">
        <v>0.66585365853658496</v>
      </c>
      <c r="G84" s="2">
        <v>58</v>
      </c>
    </row>
    <row r="85" spans="1:7" x14ac:dyDescent="0.3">
      <c r="A85" s="2" t="s">
        <v>214</v>
      </c>
      <c r="B85" s="2">
        <v>14</v>
      </c>
      <c r="C85" s="2" t="s">
        <v>8</v>
      </c>
      <c r="D85" s="2">
        <v>30000</v>
      </c>
      <c r="E85" s="2" t="s">
        <v>12</v>
      </c>
      <c r="F85">
        <v>0.54390243902438995</v>
      </c>
      <c r="G85" s="2">
        <v>58</v>
      </c>
    </row>
    <row r="86" spans="1:7" x14ac:dyDescent="0.3">
      <c r="A86" s="2" t="s">
        <v>214</v>
      </c>
      <c r="B86" s="2">
        <v>14</v>
      </c>
      <c r="C86" s="2" t="s">
        <v>8</v>
      </c>
      <c r="D86" s="2">
        <v>40000</v>
      </c>
      <c r="E86" s="2" t="s">
        <v>12</v>
      </c>
      <c r="F86">
        <v>0.43658536585365798</v>
      </c>
      <c r="G86" s="2">
        <v>58</v>
      </c>
    </row>
    <row r="87" spans="1:7" x14ac:dyDescent="0.3">
      <c r="A87" s="2" t="s">
        <v>214</v>
      </c>
      <c r="B87" s="2">
        <v>14</v>
      </c>
      <c r="C87" s="2" t="s">
        <v>8</v>
      </c>
      <c r="D87" s="2">
        <v>50000</v>
      </c>
      <c r="E87" s="2" t="s">
        <v>12</v>
      </c>
      <c r="F87">
        <v>0.3</v>
      </c>
      <c r="G87" s="2">
        <v>58</v>
      </c>
    </row>
    <row r="88" spans="1:7" x14ac:dyDescent="0.3">
      <c r="A88" t="s">
        <v>53</v>
      </c>
      <c r="B88" s="2">
        <v>14</v>
      </c>
      <c r="C88" s="2" t="s">
        <v>11</v>
      </c>
      <c r="D88" s="2">
        <v>5000</v>
      </c>
      <c r="E88" s="2" t="s">
        <v>12</v>
      </c>
      <c r="F88">
        <v>0.90270270270270203</v>
      </c>
      <c r="G88" s="2">
        <v>58</v>
      </c>
    </row>
    <row r="89" spans="1:7" x14ac:dyDescent="0.3">
      <c r="A89" t="s">
        <v>53</v>
      </c>
      <c r="B89" s="2">
        <v>14</v>
      </c>
      <c r="C89" s="2" t="s">
        <v>11</v>
      </c>
      <c r="D89" s="2">
        <v>10000</v>
      </c>
      <c r="E89" s="2" t="s">
        <v>12</v>
      </c>
      <c r="F89">
        <v>0.8</v>
      </c>
      <c r="G89" s="2">
        <v>58</v>
      </c>
    </row>
    <row r="90" spans="1:7" x14ac:dyDescent="0.3">
      <c r="A90" t="s">
        <v>53</v>
      </c>
      <c r="B90" s="2">
        <v>14</v>
      </c>
      <c r="C90" s="2" t="s">
        <v>11</v>
      </c>
      <c r="D90" s="2">
        <v>20000</v>
      </c>
      <c r="E90" s="2" t="s">
        <v>12</v>
      </c>
      <c r="F90">
        <v>0.61621621621621603</v>
      </c>
      <c r="G90" s="2">
        <v>58</v>
      </c>
    </row>
    <row r="91" spans="1:7" x14ac:dyDescent="0.3">
      <c r="A91" t="s">
        <v>53</v>
      </c>
      <c r="B91" s="2">
        <v>14</v>
      </c>
      <c r="C91" s="2" t="s">
        <v>11</v>
      </c>
      <c r="D91" s="2">
        <v>30000</v>
      </c>
      <c r="E91" s="2" t="s">
        <v>12</v>
      </c>
      <c r="F91">
        <v>0.464864864864864</v>
      </c>
      <c r="G91" s="2">
        <v>58</v>
      </c>
    </row>
    <row r="92" spans="1:7" x14ac:dyDescent="0.3">
      <c r="A92" t="s">
        <v>53</v>
      </c>
      <c r="B92" s="2">
        <v>14</v>
      </c>
      <c r="C92" s="2" t="s">
        <v>11</v>
      </c>
      <c r="D92" s="2">
        <v>40000</v>
      </c>
      <c r="E92" s="2" t="s">
        <v>12</v>
      </c>
      <c r="F92">
        <v>0.35405405405405399</v>
      </c>
      <c r="G92" s="2">
        <v>58</v>
      </c>
    </row>
    <row r="93" spans="1:7" x14ac:dyDescent="0.3">
      <c r="A93" t="s">
        <v>53</v>
      </c>
      <c r="B93" s="2">
        <v>14</v>
      </c>
      <c r="C93" s="2" t="s">
        <v>11</v>
      </c>
      <c r="D93" s="2">
        <v>50000</v>
      </c>
      <c r="E93" s="2" t="s">
        <v>12</v>
      </c>
      <c r="F93">
        <v>0.20810810810810801</v>
      </c>
      <c r="G93" s="2">
        <v>58</v>
      </c>
    </row>
    <row r="94" spans="1:7" x14ac:dyDescent="0.3">
      <c r="A94" t="s">
        <v>53</v>
      </c>
      <c r="B94" s="2">
        <v>14</v>
      </c>
      <c r="C94" s="2" t="s">
        <v>8</v>
      </c>
      <c r="D94" s="2">
        <v>5000</v>
      </c>
      <c r="E94" s="2" t="s">
        <v>12</v>
      </c>
      <c r="F94">
        <v>0.965853658536585</v>
      </c>
      <c r="G94" s="2">
        <v>58</v>
      </c>
    </row>
    <row r="95" spans="1:7" x14ac:dyDescent="0.3">
      <c r="A95" t="s">
        <v>53</v>
      </c>
      <c r="B95" s="2">
        <v>14</v>
      </c>
      <c r="C95" s="2" t="s">
        <v>8</v>
      </c>
      <c r="D95" s="2">
        <v>10000</v>
      </c>
      <c r="E95" s="2" t="s">
        <v>12</v>
      </c>
      <c r="F95">
        <v>0.88780487804878006</v>
      </c>
      <c r="G95" s="2">
        <v>58</v>
      </c>
    </row>
    <row r="96" spans="1:7" x14ac:dyDescent="0.3">
      <c r="A96" t="s">
        <v>53</v>
      </c>
      <c r="B96" s="2">
        <v>14</v>
      </c>
      <c r="C96" s="2" t="s">
        <v>8</v>
      </c>
      <c r="D96" s="2">
        <v>20000</v>
      </c>
      <c r="E96" s="2" t="s">
        <v>12</v>
      </c>
      <c r="F96">
        <v>0.74390243902439002</v>
      </c>
      <c r="G96" s="2">
        <v>58</v>
      </c>
    </row>
    <row r="97" spans="1:7" x14ac:dyDescent="0.3">
      <c r="A97" t="s">
        <v>53</v>
      </c>
      <c r="B97" s="2">
        <v>14</v>
      </c>
      <c r="C97" s="2" t="s">
        <v>8</v>
      </c>
      <c r="D97" s="2">
        <v>30000</v>
      </c>
      <c r="E97" s="2" t="s">
        <v>12</v>
      </c>
      <c r="F97">
        <v>0.65365853658536499</v>
      </c>
      <c r="G97" s="2">
        <v>58</v>
      </c>
    </row>
    <row r="98" spans="1:7" x14ac:dyDescent="0.3">
      <c r="A98" t="s">
        <v>53</v>
      </c>
      <c r="B98" s="2">
        <v>14</v>
      </c>
      <c r="C98" s="2" t="s">
        <v>8</v>
      </c>
      <c r="D98" s="2">
        <v>40000</v>
      </c>
      <c r="E98" s="2" t="s">
        <v>12</v>
      </c>
      <c r="F98">
        <v>0.568292682926829</v>
      </c>
      <c r="G98" s="2">
        <v>58</v>
      </c>
    </row>
    <row r="99" spans="1:7" x14ac:dyDescent="0.3">
      <c r="A99" t="s">
        <v>53</v>
      </c>
      <c r="B99" s="2">
        <v>14</v>
      </c>
      <c r="C99" s="2" t="s">
        <v>8</v>
      </c>
      <c r="D99" s="2">
        <v>50000</v>
      </c>
      <c r="E99" s="2" t="s">
        <v>12</v>
      </c>
      <c r="F99">
        <v>0.439024390243902</v>
      </c>
      <c r="G99" s="2">
        <v>58</v>
      </c>
    </row>
    <row r="100" spans="1:7" x14ac:dyDescent="0.3">
      <c r="A100" s="2" t="s">
        <v>214</v>
      </c>
      <c r="B100" s="2">
        <v>7</v>
      </c>
      <c r="C100" s="2" t="s">
        <v>8</v>
      </c>
      <c r="D100" s="2">
        <v>5000</v>
      </c>
      <c r="E100" s="2" t="s">
        <v>10</v>
      </c>
      <c r="F100">
        <v>0.99264705882352899</v>
      </c>
      <c r="G100" s="2">
        <v>58</v>
      </c>
    </row>
    <row r="101" spans="1:7" x14ac:dyDescent="0.3">
      <c r="A101" s="2" t="s">
        <v>214</v>
      </c>
      <c r="B101" s="2">
        <v>7</v>
      </c>
      <c r="C101" s="2" t="s">
        <v>8</v>
      </c>
      <c r="D101" s="2">
        <v>10000</v>
      </c>
      <c r="E101" s="2" t="s">
        <v>10</v>
      </c>
      <c r="F101">
        <v>1.1470588235294099</v>
      </c>
      <c r="G101" s="2">
        <v>58</v>
      </c>
    </row>
    <row r="102" spans="1:7" x14ac:dyDescent="0.3">
      <c r="A102" s="2" t="s">
        <v>214</v>
      </c>
      <c r="B102" s="2">
        <v>7</v>
      </c>
      <c r="C102" s="2" t="s">
        <v>8</v>
      </c>
      <c r="D102" s="2">
        <v>20000</v>
      </c>
      <c r="E102" s="2" t="s">
        <v>10</v>
      </c>
      <c r="F102">
        <v>1.33088235294117</v>
      </c>
      <c r="G102" s="2">
        <v>58</v>
      </c>
    </row>
    <row r="103" spans="1:7" x14ac:dyDescent="0.3">
      <c r="A103" s="2" t="s">
        <v>214</v>
      </c>
      <c r="B103" s="2">
        <v>7</v>
      </c>
      <c r="C103" s="2" t="s">
        <v>11</v>
      </c>
      <c r="D103" s="2">
        <v>5000</v>
      </c>
      <c r="E103" s="2" t="s">
        <v>10</v>
      </c>
      <c r="F103">
        <v>1.0486111111111101</v>
      </c>
      <c r="G103" s="2">
        <v>58</v>
      </c>
    </row>
    <row r="104" spans="1:7" x14ac:dyDescent="0.3">
      <c r="A104" s="2" t="s">
        <v>214</v>
      </c>
      <c r="B104" s="2">
        <v>7</v>
      </c>
      <c r="C104" s="2" t="s">
        <v>11</v>
      </c>
      <c r="D104" s="2">
        <v>10000</v>
      </c>
      <c r="E104" s="2" t="s">
        <v>10</v>
      </c>
      <c r="F104">
        <v>1.11805555555555</v>
      </c>
      <c r="G104" s="2">
        <v>58</v>
      </c>
    </row>
    <row r="105" spans="1:7" x14ac:dyDescent="0.3">
      <c r="A105" s="2" t="s">
        <v>214</v>
      </c>
      <c r="B105" s="2">
        <v>7</v>
      </c>
      <c r="C105" s="2" t="s">
        <v>11</v>
      </c>
      <c r="D105" s="2">
        <v>20000</v>
      </c>
      <c r="E105" s="2" t="s">
        <v>10</v>
      </c>
      <c r="F105">
        <v>1.3333333333333299</v>
      </c>
      <c r="G105" s="2">
        <v>58</v>
      </c>
    </row>
    <row r="106" spans="1:7" x14ac:dyDescent="0.3">
      <c r="A106" s="2" t="s">
        <v>214</v>
      </c>
      <c r="B106" s="2">
        <v>14</v>
      </c>
      <c r="C106" s="2" t="s">
        <v>8</v>
      </c>
      <c r="D106" s="2">
        <v>5000</v>
      </c>
      <c r="E106" s="2" t="s">
        <v>10</v>
      </c>
      <c r="F106">
        <v>1.07051282051282</v>
      </c>
      <c r="G106" s="2">
        <v>58</v>
      </c>
    </row>
    <row r="107" spans="1:7" x14ac:dyDescent="0.3">
      <c r="A107" s="2" t="s">
        <v>214</v>
      </c>
      <c r="B107" s="2">
        <v>14</v>
      </c>
      <c r="C107" s="2" t="s">
        <v>8</v>
      </c>
      <c r="D107" s="2">
        <v>10000</v>
      </c>
      <c r="E107" s="2" t="s">
        <v>10</v>
      </c>
      <c r="F107">
        <v>1.25</v>
      </c>
      <c r="G107" s="2">
        <v>58</v>
      </c>
    </row>
    <row r="108" spans="1:7" x14ac:dyDescent="0.3">
      <c r="A108" s="2" t="s">
        <v>214</v>
      </c>
      <c r="B108" s="2">
        <v>14</v>
      </c>
      <c r="C108" s="2" t="s">
        <v>8</v>
      </c>
      <c r="D108" s="2">
        <v>20000</v>
      </c>
      <c r="E108" s="2" t="s">
        <v>10</v>
      </c>
      <c r="F108">
        <v>1.40384615384615</v>
      </c>
      <c r="G108" s="2">
        <v>58</v>
      </c>
    </row>
    <row r="109" spans="1:7" x14ac:dyDescent="0.3">
      <c r="A109" s="2" t="s">
        <v>214</v>
      </c>
      <c r="B109" s="2">
        <v>14</v>
      </c>
      <c r="C109" s="2" t="s">
        <v>11</v>
      </c>
      <c r="D109" s="2">
        <v>5000</v>
      </c>
      <c r="E109" s="2" t="s">
        <v>10</v>
      </c>
      <c r="F109">
        <v>1.05</v>
      </c>
      <c r="G109" s="2">
        <v>58</v>
      </c>
    </row>
    <row r="110" spans="1:7" x14ac:dyDescent="0.3">
      <c r="A110" s="2" t="s">
        <v>214</v>
      </c>
      <c r="B110" s="2">
        <v>14</v>
      </c>
      <c r="C110" s="2" t="s">
        <v>11</v>
      </c>
      <c r="D110" s="2">
        <v>10000</v>
      </c>
      <c r="E110" s="2" t="s">
        <v>10</v>
      </c>
      <c r="F110">
        <v>1.2</v>
      </c>
      <c r="G110" s="2">
        <v>58</v>
      </c>
    </row>
    <row r="111" spans="1:7" x14ac:dyDescent="0.3">
      <c r="A111" s="2" t="s">
        <v>214</v>
      </c>
      <c r="B111" s="2">
        <v>14</v>
      </c>
      <c r="C111" s="2" t="s">
        <v>11</v>
      </c>
      <c r="D111" s="2">
        <v>20000</v>
      </c>
      <c r="E111" s="2" t="s">
        <v>10</v>
      </c>
      <c r="F111">
        <v>1.4624999999999999</v>
      </c>
      <c r="G111" s="2">
        <v>58</v>
      </c>
    </row>
    <row r="112" spans="1:7" x14ac:dyDescent="0.3">
      <c r="A112" t="s">
        <v>53</v>
      </c>
      <c r="B112" s="2">
        <v>7</v>
      </c>
      <c r="C112" s="2" t="s">
        <v>8</v>
      </c>
      <c r="D112" s="2">
        <v>5000</v>
      </c>
      <c r="E112" s="2" t="s">
        <v>10</v>
      </c>
      <c r="F112">
        <v>1.0073529411764699</v>
      </c>
      <c r="G112" s="2">
        <v>58</v>
      </c>
    </row>
    <row r="113" spans="1:7" x14ac:dyDescent="0.3">
      <c r="A113" t="s">
        <v>53</v>
      </c>
      <c r="B113" s="2">
        <v>7</v>
      </c>
      <c r="C113" s="2" t="s">
        <v>8</v>
      </c>
      <c r="D113" s="2">
        <v>10000</v>
      </c>
      <c r="E113" s="2" t="s">
        <v>10</v>
      </c>
      <c r="F113">
        <v>1.0882352941176401</v>
      </c>
      <c r="G113" s="2">
        <v>58</v>
      </c>
    </row>
    <row r="114" spans="1:7" x14ac:dyDescent="0.3">
      <c r="A114" t="s">
        <v>53</v>
      </c>
      <c r="B114" s="2">
        <v>7</v>
      </c>
      <c r="C114" s="2" t="s">
        <v>8</v>
      </c>
      <c r="D114" s="2">
        <v>20000</v>
      </c>
      <c r="E114" s="2" t="s">
        <v>10</v>
      </c>
      <c r="F114">
        <v>1.22058823529411</v>
      </c>
      <c r="G114" s="2">
        <v>58</v>
      </c>
    </row>
    <row r="115" spans="1:7" x14ac:dyDescent="0.3">
      <c r="A115" t="s">
        <v>53</v>
      </c>
      <c r="B115" s="2">
        <v>7</v>
      </c>
      <c r="C115" s="2" t="s">
        <v>11</v>
      </c>
      <c r="D115" s="2">
        <v>5000</v>
      </c>
      <c r="E115" s="2" t="s">
        <v>10</v>
      </c>
      <c r="F115">
        <v>1.0068493150684901</v>
      </c>
      <c r="G115" s="2">
        <v>58</v>
      </c>
    </row>
    <row r="116" spans="1:7" x14ac:dyDescent="0.3">
      <c r="A116" t="s">
        <v>53</v>
      </c>
      <c r="B116" s="2">
        <v>7</v>
      </c>
      <c r="C116" s="2" t="s">
        <v>11</v>
      </c>
      <c r="D116" s="2">
        <v>10000</v>
      </c>
      <c r="E116" s="2" t="s">
        <v>10</v>
      </c>
      <c r="F116">
        <v>1.08904109589041</v>
      </c>
      <c r="G116" s="2">
        <v>58</v>
      </c>
    </row>
    <row r="117" spans="1:7" x14ac:dyDescent="0.3">
      <c r="A117" t="s">
        <v>53</v>
      </c>
      <c r="B117" s="2">
        <v>7</v>
      </c>
      <c r="C117" s="2" t="s">
        <v>11</v>
      </c>
      <c r="D117" s="2">
        <v>20000</v>
      </c>
      <c r="E117" s="2" t="s">
        <v>10</v>
      </c>
      <c r="F117">
        <v>1.1506849315068399</v>
      </c>
      <c r="G117" s="2">
        <v>58</v>
      </c>
    </row>
    <row r="118" spans="1:7" x14ac:dyDescent="0.3">
      <c r="A118" t="s">
        <v>53</v>
      </c>
      <c r="B118" s="2">
        <v>14</v>
      </c>
      <c r="C118" s="2" t="s">
        <v>8</v>
      </c>
      <c r="D118" s="2">
        <v>5000</v>
      </c>
      <c r="E118" s="2" t="s">
        <v>10</v>
      </c>
      <c r="F118">
        <v>1.05095541401273</v>
      </c>
      <c r="G118" s="2">
        <v>58</v>
      </c>
    </row>
    <row r="119" spans="1:7" x14ac:dyDescent="0.3">
      <c r="A119" t="s">
        <v>53</v>
      </c>
      <c r="B119" s="2">
        <v>14</v>
      </c>
      <c r="C119" s="2" t="s">
        <v>8</v>
      </c>
      <c r="D119" s="2">
        <v>10000</v>
      </c>
      <c r="E119" s="2" t="s">
        <v>10</v>
      </c>
      <c r="F119">
        <v>1.1656050955413999</v>
      </c>
      <c r="G119" s="2">
        <v>58</v>
      </c>
    </row>
    <row r="120" spans="1:7" x14ac:dyDescent="0.3">
      <c r="A120" t="s">
        <v>53</v>
      </c>
      <c r="B120" s="2">
        <v>14</v>
      </c>
      <c r="C120" s="2" t="s">
        <v>8</v>
      </c>
      <c r="D120" s="2">
        <v>20000</v>
      </c>
      <c r="E120" s="2" t="s">
        <v>10</v>
      </c>
      <c r="F120">
        <v>1.3312101910828</v>
      </c>
      <c r="G120" s="2">
        <v>58</v>
      </c>
    </row>
    <row r="121" spans="1:7" x14ac:dyDescent="0.3">
      <c r="A121" t="s">
        <v>53</v>
      </c>
      <c r="B121" s="2">
        <v>14</v>
      </c>
      <c r="C121" s="2" t="s">
        <v>11</v>
      </c>
      <c r="D121" s="2">
        <v>5000</v>
      </c>
      <c r="E121" s="2" t="s">
        <v>10</v>
      </c>
      <c r="F121">
        <v>1.0188679245283001</v>
      </c>
      <c r="G121" s="2">
        <v>58</v>
      </c>
    </row>
    <row r="122" spans="1:7" x14ac:dyDescent="0.3">
      <c r="A122" t="s">
        <v>53</v>
      </c>
      <c r="B122" s="2">
        <v>14</v>
      </c>
      <c r="C122" s="2" t="s">
        <v>11</v>
      </c>
      <c r="D122" s="2">
        <v>10000</v>
      </c>
      <c r="E122" s="2" t="s">
        <v>10</v>
      </c>
      <c r="F122">
        <v>1.1572327044025099</v>
      </c>
      <c r="G122" s="2">
        <v>58</v>
      </c>
    </row>
    <row r="123" spans="1:7" x14ac:dyDescent="0.3">
      <c r="A123" t="s">
        <v>53</v>
      </c>
      <c r="B123" s="2">
        <v>14</v>
      </c>
      <c r="C123" s="2" t="s">
        <v>11</v>
      </c>
      <c r="D123" s="2">
        <v>20000</v>
      </c>
      <c r="E123" s="2" t="s">
        <v>10</v>
      </c>
      <c r="F123">
        <v>1.35849056603773</v>
      </c>
      <c r="G123" s="2">
        <v>58</v>
      </c>
    </row>
    <row r="124" spans="1:7" x14ac:dyDescent="0.3">
      <c r="A124" s="2" t="s">
        <v>214</v>
      </c>
      <c r="B124" s="2">
        <v>7</v>
      </c>
      <c r="C124" s="2" t="s">
        <v>8</v>
      </c>
      <c r="D124" s="2">
        <v>5000</v>
      </c>
      <c r="E124" s="2" t="s">
        <v>10</v>
      </c>
      <c r="F124">
        <v>1.17</v>
      </c>
      <c r="G124" s="2">
        <v>58</v>
      </c>
    </row>
    <row r="125" spans="1:7" x14ac:dyDescent="0.3">
      <c r="A125" s="2" t="s">
        <v>214</v>
      </c>
      <c r="B125" s="2">
        <v>7</v>
      </c>
      <c r="C125" s="2" t="s">
        <v>8</v>
      </c>
      <c r="D125" s="2">
        <v>10000</v>
      </c>
      <c r="E125" s="2" t="s">
        <v>10</v>
      </c>
      <c r="F125">
        <v>1.55</v>
      </c>
      <c r="G125" s="2">
        <v>58</v>
      </c>
    </row>
    <row r="126" spans="1:7" x14ac:dyDescent="0.3">
      <c r="A126" s="2" t="s">
        <v>214</v>
      </c>
      <c r="B126" s="2">
        <v>7</v>
      </c>
      <c r="C126" s="2" t="s">
        <v>8</v>
      </c>
      <c r="D126" s="2">
        <v>20000</v>
      </c>
      <c r="E126" s="2" t="s">
        <v>10</v>
      </c>
      <c r="F126">
        <v>0.85</v>
      </c>
      <c r="G126" s="2">
        <v>58</v>
      </c>
    </row>
    <row r="127" spans="1:7" x14ac:dyDescent="0.3">
      <c r="A127" s="2" t="s">
        <v>214</v>
      </c>
      <c r="B127" s="2">
        <v>7</v>
      </c>
      <c r="C127" s="2" t="s">
        <v>8</v>
      </c>
      <c r="D127" s="2">
        <v>5000</v>
      </c>
      <c r="E127" s="2" t="s">
        <v>10</v>
      </c>
      <c r="F127">
        <v>1.1293103448275801</v>
      </c>
      <c r="G127" s="2">
        <v>58</v>
      </c>
    </row>
    <row r="128" spans="1:7" x14ac:dyDescent="0.3">
      <c r="A128" s="2" t="s">
        <v>214</v>
      </c>
      <c r="B128" s="2">
        <v>7</v>
      </c>
      <c r="C128" s="2" t="s">
        <v>8</v>
      </c>
      <c r="D128" s="2">
        <v>10000</v>
      </c>
      <c r="E128" s="2" t="s">
        <v>10</v>
      </c>
      <c r="F128">
        <v>1.5086206896551699</v>
      </c>
      <c r="G128" s="2">
        <v>58</v>
      </c>
    </row>
    <row r="129" spans="1:7" x14ac:dyDescent="0.3">
      <c r="A129" s="2" t="s">
        <v>214</v>
      </c>
      <c r="B129" s="2">
        <v>7</v>
      </c>
      <c r="C129" s="2" t="s">
        <v>8</v>
      </c>
      <c r="D129" s="2">
        <v>20000</v>
      </c>
      <c r="E129" s="2" t="s">
        <v>10</v>
      </c>
      <c r="F129">
        <v>0.78448275862068895</v>
      </c>
      <c r="G129" s="2">
        <v>58</v>
      </c>
    </row>
    <row r="130" spans="1:7" x14ac:dyDescent="0.3">
      <c r="A130" s="2" t="s">
        <v>214</v>
      </c>
      <c r="B130" s="2">
        <v>7</v>
      </c>
      <c r="C130" s="2" t="s">
        <v>8</v>
      </c>
      <c r="D130" s="2">
        <v>5000</v>
      </c>
      <c r="E130" s="2" t="s">
        <v>10</v>
      </c>
      <c r="F130">
        <v>1.1572327044025099</v>
      </c>
      <c r="G130" s="2">
        <v>58</v>
      </c>
    </row>
    <row r="131" spans="1:7" x14ac:dyDescent="0.3">
      <c r="A131" s="2" t="s">
        <v>214</v>
      </c>
      <c r="B131" s="2">
        <v>7</v>
      </c>
      <c r="C131" s="2" t="s">
        <v>8</v>
      </c>
      <c r="D131" s="2">
        <v>10000</v>
      </c>
      <c r="E131" s="2" t="s">
        <v>10</v>
      </c>
      <c r="F131">
        <v>1.35849056603773</v>
      </c>
      <c r="G131" s="2">
        <v>58</v>
      </c>
    </row>
    <row r="132" spans="1:7" x14ac:dyDescent="0.3">
      <c r="A132" s="2" t="s">
        <v>214</v>
      </c>
      <c r="B132" s="2">
        <v>7</v>
      </c>
      <c r="C132" s="2" t="s">
        <v>8</v>
      </c>
      <c r="D132" s="2">
        <v>20000</v>
      </c>
      <c r="E132" s="2" t="s">
        <v>10</v>
      </c>
      <c r="F132">
        <v>0.99371069182389904</v>
      </c>
      <c r="G132" s="2">
        <v>58</v>
      </c>
    </row>
    <row r="133" spans="1:7" x14ac:dyDescent="0.3">
      <c r="A133" t="s">
        <v>53</v>
      </c>
      <c r="B133" s="2">
        <v>7</v>
      </c>
      <c r="C133" s="2" t="s">
        <v>8</v>
      </c>
      <c r="D133" s="2">
        <v>5000</v>
      </c>
      <c r="E133" s="2" t="s">
        <v>10</v>
      </c>
      <c r="F133">
        <v>1.0877192982456101</v>
      </c>
      <c r="G133" s="2">
        <v>58</v>
      </c>
    </row>
    <row r="134" spans="1:7" x14ac:dyDescent="0.3">
      <c r="A134" t="s">
        <v>53</v>
      </c>
      <c r="B134" s="2">
        <v>7</v>
      </c>
      <c r="C134" s="2" t="s">
        <v>8</v>
      </c>
      <c r="D134" s="2">
        <v>10000</v>
      </c>
      <c r="E134" s="2" t="s">
        <v>10</v>
      </c>
      <c r="F134">
        <v>1.34210526315789</v>
      </c>
      <c r="G134" s="2">
        <v>58</v>
      </c>
    </row>
    <row r="135" spans="1:7" x14ac:dyDescent="0.3">
      <c r="A135" t="s">
        <v>53</v>
      </c>
      <c r="B135" s="2">
        <v>7</v>
      </c>
      <c r="C135" s="2" t="s">
        <v>8</v>
      </c>
      <c r="D135" s="2">
        <v>20000</v>
      </c>
      <c r="E135" s="2" t="s">
        <v>10</v>
      </c>
      <c r="F135">
        <v>0.93859649122806998</v>
      </c>
      <c r="G135" s="2">
        <v>58</v>
      </c>
    </row>
    <row r="136" spans="1:7" x14ac:dyDescent="0.3">
      <c r="A136" t="s">
        <v>53</v>
      </c>
      <c r="B136" s="2">
        <v>7</v>
      </c>
      <c r="C136" s="2" t="s">
        <v>8</v>
      </c>
      <c r="D136" s="2">
        <v>5000</v>
      </c>
      <c r="E136" s="2" t="s">
        <v>10</v>
      </c>
      <c r="F136">
        <v>1.0569105691056899</v>
      </c>
      <c r="G136" s="2">
        <v>58</v>
      </c>
    </row>
    <row r="137" spans="1:7" x14ac:dyDescent="0.3">
      <c r="A137" t="s">
        <v>53</v>
      </c>
      <c r="B137" s="2">
        <v>7</v>
      </c>
      <c r="C137" s="2" t="s">
        <v>8</v>
      </c>
      <c r="D137" s="2">
        <v>10000</v>
      </c>
      <c r="E137" s="2" t="s">
        <v>10</v>
      </c>
      <c r="F137">
        <v>1.27642276422764</v>
      </c>
      <c r="G137" s="2">
        <v>58</v>
      </c>
    </row>
    <row r="138" spans="1:7" x14ac:dyDescent="0.3">
      <c r="A138" t="s">
        <v>53</v>
      </c>
      <c r="B138" s="2">
        <v>7</v>
      </c>
      <c r="C138" s="2" t="s">
        <v>8</v>
      </c>
      <c r="D138" s="2">
        <v>20000</v>
      </c>
      <c r="E138" s="2" t="s">
        <v>10</v>
      </c>
      <c r="F138">
        <v>0.861788617886178</v>
      </c>
      <c r="G138" s="2">
        <v>58</v>
      </c>
    </row>
    <row r="139" spans="1:7" x14ac:dyDescent="0.3">
      <c r="A139" t="s">
        <v>53</v>
      </c>
      <c r="B139" s="2">
        <v>7</v>
      </c>
      <c r="C139" s="2" t="s">
        <v>8</v>
      </c>
      <c r="D139" s="2">
        <v>5000</v>
      </c>
      <c r="E139" s="2" t="s">
        <v>10</v>
      </c>
      <c r="F139">
        <v>1.09696969696969</v>
      </c>
      <c r="G139" s="2">
        <v>58</v>
      </c>
    </row>
    <row r="140" spans="1:7" x14ac:dyDescent="0.3">
      <c r="A140" t="s">
        <v>53</v>
      </c>
      <c r="B140" s="2">
        <v>7</v>
      </c>
      <c r="C140" s="2" t="s">
        <v>8</v>
      </c>
      <c r="D140" s="2">
        <v>10000</v>
      </c>
      <c r="E140" s="2" t="s">
        <v>10</v>
      </c>
      <c r="F140">
        <v>1.28484848484848</v>
      </c>
      <c r="G140" s="2">
        <v>58</v>
      </c>
    </row>
    <row r="141" spans="1:7" x14ac:dyDescent="0.3">
      <c r="A141" t="s">
        <v>53</v>
      </c>
      <c r="B141" s="2">
        <v>7</v>
      </c>
      <c r="C141" s="2" t="s">
        <v>8</v>
      </c>
      <c r="D141" s="2">
        <v>20000</v>
      </c>
      <c r="E141" s="2" t="s">
        <v>10</v>
      </c>
      <c r="F141">
        <v>0.99393939393939301</v>
      </c>
      <c r="G141" s="2">
        <v>58</v>
      </c>
    </row>
    <row r="142" spans="1:7" x14ac:dyDescent="0.3">
      <c r="A142" s="2" t="s">
        <v>214</v>
      </c>
      <c r="B142" s="2">
        <v>14</v>
      </c>
      <c r="C142" s="2" t="s">
        <v>8</v>
      </c>
      <c r="D142" s="2">
        <v>5000</v>
      </c>
      <c r="E142" s="2" t="s">
        <v>10</v>
      </c>
      <c r="F142">
        <v>1.0654205607476599</v>
      </c>
      <c r="G142" s="2">
        <v>58</v>
      </c>
    </row>
    <row r="143" spans="1:7" x14ac:dyDescent="0.3">
      <c r="A143" s="2" t="s">
        <v>214</v>
      </c>
      <c r="B143" s="2">
        <v>14</v>
      </c>
      <c r="C143" s="2" t="s">
        <v>8</v>
      </c>
      <c r="D143" s="2">
        <v>10000</v>
      </c>
      <c r="E143" s="2" t="s">
        <v>10</v>
      </c>
      <c r="F143">
        <v>1.37383177570093</v>
      </c>
      <c r="G143" s="2">
        <v>58</v>
      </c>
    </row>
    <row r="144" spans="1:7" x14ac:dyDescent="0.3">
      <c r="A144" s="2" t="s">
        <v>214</v>
      </c>
      <c r="B144" s="2">
        <v>14</v>
      </c>
      <c r="C144" s="2" t="s">
        <v>8</v>
      </c>
      <c r="D144" s="2">
        <v>20000</v>
      </c>
      <c r="E144" s="2" t="s">
        <v>10</v>
      </c>
      <c r="F144">
        <v>0.81308411214953202</v>
      </c>
      <c r="G144" s="2">
        <v>58</v>
      </c>
    </row>
    <row r="145" spans="1:7" x14ac:dyDescent="0.3">
      <c r="A145" s="2" t="s">
        <v>214</v>
      </c>
      <c r="B145" s="2">
        <v>14</v>
      </c>
      <c r="C145" s="2" t="s">
        <v>8</v>
      </c>
      <c r="D145" s="2">
        <v>5000</v>
      </c>
      <c r="E145" s="2" t="s">
        <v>10</v>
      </c>
      <c r="F145">
        <v>1.0909090909090899</v>
      </c>
      <c r="G145" s="2">
        <v>58</v>
      </c>
    </row>
    <row r="146" spans="1:7" x14ac:dyDescent="0.3">
      <c r="A146" s="2" t="s">
        <v>214</v>
      </c>
      <c r="B146" s="2">
        <v>14</v>
      </c>
      <c r="C146" s="2" t="s">
        <v>8</v>
      </c>
      <c r="D146" s="2">
        <v>10000</v>
      </c>
      <c r="E146" s="2" t="s">
        <v>10</v>
      </c>
      <c r="F146">
        <v>1.29752066115702</v>
      </c>
      <c r="G146" s="2">
        <v>58</v>
      </c>
    </row>
    <row r="147" spans="1:7" x14ac:dyDescent="0.3">
      <c r="A147" s="2" t="s">
        <v>214</v>
      </c>
      <c r="B147" s="2">
        <v>14</v>
      </c>
      <c r="C147" s="2" t="s">
        <v>8</v>
      </c>
      <c r="D147" s="2">
        <v>20000</v>
      </c>
      <c r="E147" s="2" t="s">
        <v>10</v>
      </c>
      <c r="F147">
        <v>0.68595041322313999</v>
      </c>
      <c r="G147" s="2">
        <v>58</v>
      </c>
    </row>
    <row r="148" spans="1:7" x14ac:dyDescent="0.3">
      <c r="A148" s="2" t="s">
        <v>214</v>
      </c>
      <c r="B148" s="2">
        <v>14</v>
      </c>
      <c r="C148" s="2" t="s">
        <v>8</v>
      </c>
      <c r="D148" s="2">
        <v>5000</v>
      </c>
      <c r="E148" s="2" t="s">
        <v>10</v>
      </c>
      <c r="F148">
        <v>1.1358024691358</v>
      </c>
      <c r="G148" s="2">
        <v>58</v>
      </c>
    </row>
    <row r="149" spans="1:7" x14ac:dyDescent="0.3">
      <c r="A149" s="2" t="s">
        <v>214</v>
      </c>
      <c r="B149" s="2">
        <v>14</v>
      </c>
      <c r="C149" s="2" t="s">
        <v>8</v>
      </c>
      <c r="D149" s="2">
        <v>10000</v>
      </c>
      <c r="E149" s="2" t="s">
        <v>10</v>
      </c>
      <c r="F149">
        <v>1.30864197530864</v>
      </c>
      <c r="G149" s="2">
        <v>58</v>
      </c>
    </row>
    <row r="150" spans="1:7" x14ac:dyDescent="0.3">
      <c r="A150" s="2" t="s">
        <v>214</v>
      </c>
      <c r="B150" s="2">
        <v>14</v>
      </c>
      <c r="C150" s="2" t="s">
        <v>8</v>
      </c>
      <c r="D150" s="2">
        <v>20000</v>
      </c>
      <c r="E150" s="2" t="s">
        <v>10</v>
      </c>
      <c r="F150">
        <v>0.99382716049382702</v>
      </c>
      <c r="G150" s="2">
        <v>58</v>
      </c>
    </row>
    <row r="151" spans="1:7" x14ac:dyDescent="0.3">
      <c r="A151" t="s">
        <v>53</v>
      </c>
      <c r="B151" s="2">
        <v>14</v>
      </c>
      <c r="C151" s="2" t="s">
        <v>8</v>
      </c>
      <c r="D151" s="2">
        <v>5000</v>
      </c>
      <c r="E151" s="2" t="s">
        <v>10</v>
      </c>
      <c r="F151">
        <v>1.0270270270270201</v>
      </c>
      <c r="G151" s="2">
        <v>58</v>
      </c>
    </row>
    <row r="152" spans="1:7" x14ac:dyDescent="0.3">
      <c r="A152" t="s">
        <v>53</v>
      </c>
      <c r="B152" s="2">
        <v>14</v>
      </c>
      <c r="C152" s="2" t="s">
        <v>8</v>
      </c>
      <c r="D152" s="2">
        <v>10000</v>
      </c>
      <c r="E152" s="2" t="s">
        <v>10</v>
      </c>
      <c r="F152">
        <v>1.2072072072072</v>
      </c>
      <c r="G152" s="2">
        <v>58</v>
      </c>
    </row>
    <row r="153" spans="1:7" x14ac:dyDescent="0.3">
      <c r="A153" t="s">
        <v>53</v>
      </c>
      <c r="B153" s="2">
        <v>14</v>
      </c>
      <c r="C153" s="2" t="s">
        <v>8</v>
      </c>
      <c r="D153" s="2">
        <v>20000</v>
      </c>
      <c r="E153" s="2" t="s">
        <v>10</v>
      </c>
      <c r="F153">
        <v>0.87387387387387305</v>
      </c>
      <c r="G153" s="2">
        <v>58</v>
      </c>
    </row>
    <row r="154" spans="1:7" x14ac:dyDescent="0.3">
      <c r="A154" t="s">
        <v>53</v>
      </c>
      <c r="B154" s="2">
        <v>14</v>
      </c>
      <c r="C154" s="2" t="s">
        <v>8</v>
      </c>
      <c r="D154" s="2">
        <v>5000</v>
      </c>
      <c r="E154" s="2" t="s">
        <v>10</v>
      </c>
      <c r="F154">
        <v>1.03305785123966</v>
      </c>
      <c r="G154" s="2">
        <v>58</v>
      </c>
    </row>
    <row r="155" spans="1:7" x14ac:dyDescent="0.3">
      <c r="A155" t="s">
        <v>53</v>
      </c>
      <c r="B155" s="2">
        <v>14</v>
      </c>
      <c r="C155" s="2" t="s">
        <v>8</v>
      </c>
      <c r="D155" s="2">
        <v>10000</v>
      </c>
      <c r="E155" s="2" t="s">
        <v>10</v>
      </c>
      <c r="F155">
        <v>1.1487603305785099</v>
      </c>
      <c r="G155" s="2">
        <v>58</v>
      </c>
    </row>
    <row r="156" spans="1:7" x14ac:dyDescent="0.3">
      <c r="A156" t="s">
        <v>53</v>
      </c>
      <c r="B156" s="2">
        <v>14</v>
      </c>
      <c r="C156" s="2" t="s">
        <v>8</v>
      </c>
      <c r="D156" s="2">
        <v>20000</v>
      </c>
      <c r="E156" s="2" t="s">
        <v>10</v>
      </c>
      <c r="F156">
        <v>0.77685950413223104</v>
      </c>
      <c r="G156" s="2">
        <v>58</v>
      </c>
    </row>
    <row r="157" spans="1:7" x14ac:dyDescent="0.3">
      <c r="A157" t="s">
        <v>53</v>
      </c>
      <c r="B157" s="2">
        <v>14</v>
      </c>
      <c r="C157" s="2" t="s">
        <v>8</v>
      </c>
      <c r="D157" s="2">
        <v>5000</v>
      </c>
      <c r="E157" s="2" t="s">
        <v>10</v>
      </c>
      <c r="F157">
        <v>1.06172839506172</v>
      </c>
      <c r="G157" s="2">
        <v>58</v>
      </c>
    </row>
    <row r="158" spans="1:7" x14ac:dyDescent="0.3">
      <c r="A158" t="s">
        <v>53</v>
      </c>
      <c r="B158" s="2">
        <v>14</v>
      </c>
      <c r="C158" s="2" t="s">
        <v>8</v>
      </c>
      <c r="D158" s="2">
        <v>10000</v>
      </c>
      <c r="E158" s="2" t="s">
        <v>10</v>
      </c>
      <c r="F158">
        <v>1.2160493827160399</v>
      </c>
      <c r="G158" s="2">
        <v>58</v>
      </c>
    </row>
    <row r="159" spans="1:7" x14ac:dyDescent="0.3">
      <c r="A159" t="s">
        <v>53</v>
      </c>
      <c r="B159" s="2">
        <v>14</v>
      </c>
      <c r="C159" s="2" t="s">
        <v>8</v>
      </c>
      <c r="D159" s="2">
        <v>20000</v>
      </c>
      <c r="E159" s="2" t="s">
        <v>10</v>
      </c>
      <c r="F159">
        <v>1</v>
      </c>
      <c r="G159" s="2">
        <v>58</v>
      </c>
    </row>
    <row r="160" spans="1:7" x14ac:dyDescent="0.3">
      <c r="A160" s="2" t="s">
        <v>214</v>
      </c>
      <c r="B160" s="2">
        <v>7</v>
      </c>
      <c r="C160" s="2" t="s">
        <v>11</v>
      </c>
      <c r="D160" s="2">
        <v>5000</v>
      </c>
      <c r="E160" s="2" t="s">
        <v>10</v>
      </c>
      <c r="F160">
        <v>1.2250000000000001</v>
      </c>
      <c r="G160" s="2">
        <v>58</v>
      </c>
    </row>
    <row r="161" spans="1:7" x14ac:dyDescent="0.3">
      <c r="A161" s="2" t="s">
        <v>214</v>
      </c>
      <c r="B161" s="2">
        <v>7</v>
      </c>
      <c r="C161" s="2" t="s">
        <v>11</v>
      </c>
      <c r="D161" s="2">
        <v>10000</v>
      </c>
      <c r="E161" s="2" t="s">
        <v>10</v>
      </c>
      <c r="F161">
        <v>1.56666666666666</v>
      </c>
      <c r="G161" s="2">
        <v>58</v>
      </c>
    </row>
    <row r="162" spans="1:7" x14ac:dyDescent="0.3">
      <c r="A162" s="2" t="s">
        <v>214</v>
      </c>
      <c r="B162" s="2">
        <v>7</v>
      </c>
      <c r="C162" s="2" t="s">
        <v>11</v>
      </c>
      <c r="D162" s="2">
        <v>20000</v>
      </c>
      <c r="E162" s="2" t="s">
        <v>10</v>
      </c>
      <c r="F162">
        <v>0.82499999999999996</v>
      </c>
      <c r="G162" s="2">
        <v>58</v>
      </c>
    </row>
    <row r="163" spans="1:7" x14ac:dyDescent="0.3">
      <c r="A163" s="2" t="s">
        <v>214</v>
      </c>
      <c r="B163" s="2">
        <v>7</v>
      </c>
      <c r="C163" s="2" t="s">
        <v>11</v>
      </c>
      <c r="D163" s="2">
        <v>5000</v>
      </c>
      <c r="E163" s="2" t="s">
        <v>10</v>
      </c>
      <c r="F163">
        <v>1.1736111111111101</v>
      </c>
      <c r="G163" s="2">
        <v>58</v>
      </c>
    </row>
    <row r="164" spans="1:7" x14ac:dyDescent="0.3">
      <c r="A164" s="2" t="s">
        <v>214</v>
      </c>
      <c r="B164" s="2">
        <v>7</v>
      </c>
      <c r="C164" s="2" t="s">
        <v>11</v>
      </c>
      <c r="D164" s="2">
        <v>10000</v>
      </c>
      <c r="E164" s="2" t="s">
        <v>10</v>
      </c>
      <c r="F164">
        <v>1.4861111111111101</v>
      </c>
      <c r="G164" s="2">
        <v>58</v>
      </c>
    </row>
    <row r="165" spans="1:7" x14ac:dyDescent="0.3">
      <c r="A165" s="2" t="s">
        <v>214</v>
      </c>
      <c r="B165" s="2">
        <v>7</v>
      </c>
      <c r="C165" s="2" t="s">
        <v>11</v>
      </c>
      <c r="D165" s="2">
        <v>20000</v>
      </c>
      <c r="E165" s="2" t="s">
        <v>10</v>
      </c>
      <c r="F165">
        <v>0.75</v>
      </c>
      <c r="G165" s="2">
        <v>58</v>
      </c>
    </row>
    <row r="166" spans="1:7" x14ac:dyDescent="0.3">
      <c r="A166" s="2" t="s">
        <v>214</v>
      </c>
      <c r="B166" s="2">
        <v>7</v>
      </c>
      <c r="C166" s="2" t="s">
        <v>11</v>
      </c>
      <c r="D166" s="2">
        <v>5000</v>
      </c>
      <c r="E166" s="2" t="s">
        <v>10</v>
      </c>
      <c r="F166">
        <v>1.2222222222222201</v>
      </c>
      <c r="G166" s="2">
        <v>58</v>
      </c>
    </row>
    <row r="167" spans="1:7" x14ac:dyDescent="0.3">
      <c r="A167" s="2" t="s">
        <v>214</v>
      </c>
      <c r="B167" s="2">
        <v>7</v>
      </c>
      <c r="C167" s="2" t="s">
        <v>11</v>
      </c>
      <c r="D167" s="2">
        <v>10000</v>
      </c>
      <c r="E167" s="2" t="s">
        <v>10</v>
      </c>
      <c r="F167">
        <v>1.5462962962962901</v>
      </c>
      <c r="G167" s="2">
        <v>58</v>
      </c>
    </row>
    <row r="168" spans="1:7" x14ac:dyDescent="0.3">
      <c r="A168" s="2" t="s">
        <v>214</v>
      </c>
      <c r="B168" s="2">
        <v>7</v>
      </c>
      <c r="C168" s="2" t="s">
        <v>11</v>
      </c>
      <c r="D168" s="2">
        <v>20000</v>
      </c>
      <c r="E168" s="2" t="s">
        <v>10</v>
      </c>
      <c r="F168">
        <v>1.00925925925925</v>
      </c>
      <c r="G168" s="2">
        <v>58</v>
      </c>
    </row>
    <row r="169" spans="1:7" x14ac:dyDescent="0.3">
      <c r="A169" t="s">
        <v>53</v>
      </c>
      <c r="B169" s="2">
        <v>7</v>
      </c>
      <c r="C169" s="2" t="s">
        <v>11</v>
      </c>
      <c r="D169" s="2">
        <v>5000</v>
      </c>
      <c r="E169" s="2" t="s">
        <v>10</v>
      </c>
      <c r="F169">
        <v>1.175</v>
      </c>
      <c r="G169" s="2">
        <v>58</v>
      </c>
    </row>
    <row r="170" spans="1:7" x14ac:dyDescent="0.3">
      <c r="A170" t="s">
        <v>53</v>
      </c>
      <c r="B170" s="2">
        <v>7</v>
      </c>
      <c r="C170" s="2" t="s">
        <v>11</v>
      </c>
      <c r="D170" s="2">
        <v>10000</v>
      </c>
      <c r="E170" s="2" t="s">
        <v>10</v>
      </c>
      <c r="F170">
        <v>1.4833333333333301</v>
      </c>
      <c r="G170" s="2">
        <v>58</v>
      </c>
    </row>
    <row r="171" spans="1:7" x14ac:dyDescent="0.3">
      <c r="A171" t="s">
        <v>53</v>
      </c>
      <c r="B171" s="2">
        <v>7</v>
      </c>
      <c r="C171" s="2" t="s">
        <v>11</v>
      </c>
      <c r="D171" s="2">
        <v>20000</v>
      </c>
      <c r="E171" s="2" t="s">
        <v>10</v>
      </c>
      <c r="F171">
        <v>0.9</v>
      </c>
      <c r="G171" s="2">
        <v>58</v>
      </c>
    </row>
    <row r="172" spans="1:7" x14ac:dyDescent="0.3">
      <c r="A172" t="s">
        <v>53</v>
      </c>
      <c r="B172" s="2">
        <v>7</v>
      </c>
      <c r="C172" s="2" t="s">
        <v>11</v>
      </c>
      <c r="D172" s="2">
        <v>5000</v>
      </c>
      <c r="E172" s="2" t="s">
        <v>10</v>
      </c>
      <c r="F172">
        <v>1.0972222222222201</v>
      </c>
      <c r="G172" s="2">
        <v>58</v>
      </c>
    </row>
    <row r="173" spans="1:7" x14ac:dyDescent="0.3">
      <c r="A173" t="s">
        <v>53</v>
      </c>
      <c r="B173" s="2">
        <v>7</v>
      </c>
      <c r="C173" s="2" t="s">
        <v>11</v>
      </c>
      <c r="D173" s="2">
        <v>10000</v>
      </c>
      <c r="E173" s="2" t="s">
        <v>10</v>
      </c>
      <c r="F173">
        <v>1.3125</v>
      </c>
      <c r="G173" s="2">
        <v>58</v>
      </c>
    </row>
    <row r="174" spans="1:7" x14ac:dyDescent="0.3">
      <c r="A174" t="s">
        <v>53</v>
      </c>
      <c r="B174" s="2">
        <v>7</v>
      </c>
      <c r="C174" s="2" t="s">
        <v>11</v>
      </c>
      <c r="D174" s="2">
        <v>20000</v>
      </c>
      <c r="E174" s="2" t="s">
        <v>10</v>
      </c>
      <c r="F174">
        <v>0.82638888888888795</v>
      </c>
      <c r="G174" s="2">
        <v>58</v>
      </c>
    </row>
    <row r="175" spans="1:7" x14ac:dyDescent="0.3">
      <c r="A175" t="s">
        <v>53</v>
      </c>
      <c r="B175" s="2">
        <v>7</v>
      </c>
      <c r="C175" s="2" t="s">
        <v>11</v>
      </c>
      <c r="D175" s="2">
        <v>5000</v>
      </c>
      <c r="E175" s="2" t="s">
        <v>10</v>
      </c>
      <c r="F175">
        <v>1.12962962962962</v>
      </c>
      <c r="G175" s="2">
        <v>58</v>
      </c>
    </row>
    <row r="176" spans="1:7" x14ac:dyDescent="0.3">
      <c r="A176" t="s">
        <v>53</v>
      </c>
      <c r="B176" s="2">
        <v>7</v>
      </c>
      <c r="C176" s="2" t="s">
        <v>11</v>
      </c>
      <c r="D176" s="2">
        <v>10000</v>
      </c>
      <c r="E176" s="2" t="s">
        <v>10</v>
      </c>
      <c r="F176">
        <v>1.4074074074073999</v>
      </c>
      <c r="G176" s="2">
        <v>58</v>
      </c>
    </row>
    <row r="177" spans="1:7" x14ac:dyDescent="0.3">
      <c r="A177" t="s">
        <v>53</v>
      </c>
      <c r="B177" s="2">
        <v>7</v>
      </c>
      <c r="C177" s="2" t="s">
        <v>11</v>
      </c>
      <c r="D177" s="2">
        <v>20000</v>
      </c>
      <c r="E177" s="2" t="s">
        <v>10</v>
      </c>
      <c r="F177">
        <v>1.00925925925925</v>
      </c>
      <c r="G177" s="2">
        <v>58</v>
      </c>
    </row>
    <row r="178" spans="1:7" x14ac:dyDescent="0.3">
      <c r="A178" s="2" t="s">
        <v>214</v>
      </c>
      <c r="B178" s="2">
        <v>14</v>
      </c>
      <c r="C178" s="2" t="s">
        <v>11</v>
      </c>
      <c r="D178" s="2">
        <v>5000</v>
      </c>
      <c r="E178" s="2" t="s">
        <v>10</v>
      </c>
      <c r="F178">
        <v>1.1196581196581099</v>
      </c>
      <c r="G178" s="2">
        <v>58</v>
      </c>
    </row>
    <row r="179" spans="1:7" x14ac:dyDescent="0.3">
      <c r="A179" s="2" t="s">
        <v>214</v>
      </c>
      <c r="B179" s="2">
        <v>14</v>
      </c>
      <c r="C179" s="2" t="s">
        <v>11</v>
      </c>
      <c r="D179" s="2">
        <v>10000</v>
      </c>
      <c r="E179" s="2" t="s">
        <v>10</v>
      </c>
      <c r="F179">
        <v>1.3846153846153799</v>
      </c>
      <c r="G179" s="2">
        <v>58</v>
      </c>
    </row>
    <row r="180" spans="1:7" x14ac:dyDescent="0.3">
      <c r="A180" s="2" t="s">
        <v>214</v>
      </c>
      <c r="B180" s="2">
        <v>14</v>
      </c>
      <c r="C180" s="2" t="s">
        <v>11</v>
      </c>
      <c r="D180" s="2">
        <v>20000</v>
      </c>
      <c r="E180" s="2" t="s">
        <v>10</v>
      </c>
      <c r="F180">
        <v>0.73504273504273498</v>
      </c>
      <c r="G180" s="2">
        <v>58</v>
      </c>
    </row>
    <row r="181" spans="1:7" x14ac:dyDescent="0.3">
      <c r="A181" s="2" t="s">
        <v>214</v>
      </c>
      <c r="B181" s="2">
        <v>14</v>
      </c>
      <c r="C181" s="2" t="s">
        <v>11</v>
      </c>
      <c r="D181" s="2">
        <v>5000</v>
      </c>
      <c r="E181" s="2" t="s">
        <v>10</v>
      </c>
      <c r="F181">
        <v>1.0860927152317801</v>
      </c>
      <c r="G181" s="2">
        <v>58</v>
      </c>
    </row>
    <row r="182" spans="1:7" x14ac:dyDescent="0.3">
      <c r="A182" s="2" t="s">
        <v>214</v>
      </c>
      <c r="B182" s="2">
        <v>14</v>
      </c>
      <c r="C182" s="2" t="s">
        <v>11</v>
      </c>
      <c r="D182" s="2">
        <v>10000</v>
      </c>
      <c r="E182" s="2" t="s">
        <v>10</v>
      </c>
      <c r="F182">
        <v>1.35761589403973</v>
      </c>
      <c r="G182" s="2">
        <v>58</v>
      </c>
    </row>
    <row r="183" spans="1:7" x14ac:dyDescent="0.3">
      <c r="A183" s="2" t="s">
        <v>214</v>
      </c>
      <c r="B183" s="2">
        <v>14</v>
      </c>
      <c r="C183" s="2" t="s">
        <v>11</v>
      </c>
      <c r="D183" s="2">
        <v>20000</v>
      </c>
      <c r="E183" s="2" t="s">
        <v>10</v>
      </c>
      <c r="F183">
        <v>0.68874172185430405</v>
      </c>
      <c r="G183" s="2">
        <v>58</v>
      </c>
    </row>
    <row r="184" spans="1:7" x14ac:dyDescent="0.3">
      <c r="A184" s="2" t="s">
        <v>214</v>
      </c>
      <c r="B184" s="2">
        <v>14</v>
      </c>
      <c r="C184" s="2" t="s">
        <v>11</v>
      </c>
      <c r="D184" s="2">
        <v>5000</v>
      </c>
      <c r="E184" s="2" t="s">
        <v>10</v>
      </c>
      <c r="F184">
        <v>1.16363636363636</v>
      </c>
      <c r="G184" s="2">
        <v>58</v>
      </c>
    </row>
    <row r="185" spans="1:7" x14ac:dyDescent="0.3">
      <c r="A185" s="2" t="s">
        <v>214</v>
      </c>
      <c r="B185" s="2">
        <v>14</v>
      </c>
      <c r="C185" s="2" t="s">
        <v>11</v>
      </c>
      <c r="D185" s="2">
        <v>10000</v>
      </c>
      <c r="E185" s="2" t="s">
        <v>10</v>
      </c>
      <c r="F185">
        <v>1.4272727272727199</v>
      </c>
      <c r="G185" s="2">
        <v>58</v>
      </c>
    </row>
    <row r="186" spans="1:7" x14ac:dyDescent="0.3">
      <c r="A186" s="2" t="s">
        <v>214</v>
      </c>
      <c r="B186" s="2">
        <v>14</v>
      </c>
      <c r="C186" s="2" t="s">
        <v>11</v>
      </c>
      <c r="D186" s="2">
        <v>20000</v>
      </c>
      <c r="E186" s="2" t="s">
        <v>10</v>
      </c>
      <c r="F186">
        <v>1.0181818181818101</v>
      </c>
      <c r="G186" s="2">
        <v>58</v>
      </c>
    </row>
    <row r="187" spans="1:7" x14ac:dyDescent="0.3">
      <c r="A187" t="s">
        <v>53</v>
      </c>
      <c r="B187" s="2">
        <v>14</v>
      </c>
      <c r="C187" s="2" t="s">
        <v>11</v>
      </c>
      <c r="D187" s="2">
        <v>5000</v>
      </c>
      <c r="E187" s="2" t="s">
        <v>10</v>
      </c>
      <c r="F187">
        <v>1.05128205128205</v>
      </c>
      <c r="G187" s="2">
        <v>58</v>
      </c>
    </row>
    <row r="188" spans="1:7" x14ac:dyDescent="0.3">
      <c r="A188" t="s">
        <v>53</v>
      </c>
      <c r="B188" s="2">
        <v>14</v>
      </c>
      <c r="C188" s="2" t="s">
        <v>11</v>
      </c>
      <c r="D188" s="2">
        <v>10000</v>
      </c>
      <c r="E188" s="2" t="s">
        <v>10</v>
      </c>
      <c r="F188">
        <v>1.2820512820512799</v>
      </c>
      <c r="G188" s="2">
        <v>58</v>
      </c>
    </row>
    <row r="189" spans="1:7" x14ac:dyDescent="0.3">
      <c r="A189" t="s">
        <v>53</v>
      </c>
      <c r="B189" s="2">
        <v>14</v>
      </c>
      <c r="C189" s="2" t="s">
        <v>11</v>
      </c>
      <c r="D189" s="2">
        <v>20000</v>
      </c>
      <c r="E189" s="2" t="s">
        <v>10</v>
      </c>
      <c r="F189">
        <v>0.80341880341880301</v>
      </c>
      <c r="G189" s="2">
        <v>58</v>
      </c>
    </row>
    <row r="190" spans="1:7" x14ac:dyDescent="0.3">
      <c r="A190" t="s">
        <v>53</v>
      </c>
      <c r="B190" s="2">
        <v>14</v>
      </c>
      <c r="C190" s="2" t="s">
        <v>11</v>
      </c>
      <c r="D190" s="2">
        <v>5000</v>
      </c>
      <c r="E190" s="2" t="s">
        <v>10</v>
      </c>
      <c r="F190">
        <v>1.01324503311258</v>
      </c>
      <c r="G190" s="2">
        <v>58</v>
      </c>
    </row>
    <row r="191" spans="1:7" x14ac:dyDescent="0.3">
      <c r="A191" t="s">
        <v>53</v>
      </c>
      <c r="B191" s="2">
        <v>14</v>
      </c>
      <c r="C191" s="2" t="s">
        <v>11</v>
      </c>
      <c r="D191" s="2">
        <v>10000</v>
      </c>
      <c r="E191" s="2" t="s">
        <v>10</v>
      </c>
      <c r="F191">
        <v>1.1986754966887401</v>
      </c>
      <c r="G191" s="2">
        <v>58</v>
      </c>
    </row>
    <row r="192" spans="1:7" x14ac:dyDescent="0.3">
      <c r="A192" t="s">
        <v>53</v>
      </c>
      <c r="B192" s="2">
        <v>14</v>
      </c>
      <c r="C192" s="2" t="s">
        <v>11</v>
      </c>
      <c r="D192" s="2">
        <v>20000</v>
      </c>
      <c r="E192" s="2" t="s">
        <v>10</v>
      </c>
      <c r="F192">
        <v>0.76158940397350905</v>
      </c>
      <c r="G192" s="2">
        <v>58</v>
      </c>
    </row>
    <row r="193" spans="1:7" x14ac:dyDescent="0.3">
      <c r="A193" t="s">
        <v>53</v>
      </c>
      <c r="B193" s="2">
        <v>14</v>
      </c>
      <c r="C193" s="2" t="s">
        <v>11</v>
      </c>
      <c r="D193" s="2">
        <v>5000</v>
      </c>
      <c r="E193" s="2" t="s">
        <v>10</v>
      </c>
      <c r="F193">
        <v>1.0727272727272701</v>
      </c>
      <c r="G193" s="2">
        <v>58</v>
      </c>
    </row>
    <row r="194" spans="1:7" x14ac:dyDescent="0.3">
      <c r="A194" t="s">
        <v>53</v>
      </c>
      <c r="B194" s="2">
        <v>14</v>
      </c>
      <c r="C194" s="2" t="s">
        <v>11</v>
      </c>
      <c r="D194" s="2">
        <v>10000</v>
      </c>
      <c r="E194" s="2" t="s">
        <v>10</v>
      </c>
      <c r="F194">
        <v>1.2909090909090899</v>
      </c>
      <c r="G194" s="2">
        <v>58</v>
      </c>
    </row>
    <row r="195" spans="1:7" x14ac:dyDescent="0.3">
      <c r="A195" t="s">
        <v>53</v>
      </c>
      <c r="B195" s="2">
        <v>14</v>
      </c>
      <c r="C195" s="2" t="s">
        <v>11</v>
      </c>
      <c r="D195" s="2">
        <v>20000</v>
      </c>
      <c r="E195" s="2" t="s">
        <v>10</v>
      </c>
      <c r="F195">
        <v>1</v>
      </c>
      <c r="G195" s="2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2"/>
  <sheetViews>
    <sheetView workbookViewId="0">
      <pane ySplit="1" topLeftCell="A45" activePane="bottomLeft" state="frozen"/>
      <selection pane="bottomLeft" activeCell="H1" sqref="H1:H1048576"/>
    </sheetView>
  </sheetViews>
  <sheetFormatPr defaultRowHeight="13.5" x14ac:dyDescent="0.3"/>
  <cols>
    <col min="1" max="1" width="56.33203125" customWidth="1"/>
    <col min="3" max="3" width="20.46484375" customWidth="1"/>
    <col min="4" max="4" width="14.796875" customWidth="1"/>
    <col min="7" max="7" width="14.19921875" customWidth="1"/>
  </cols>
  <sheetData>
    <row r="1" spans="1:11" x14ac:dyDescent="0.3">
      <c r="A1" t="s">
        <v>87</v>
      </c>
      <c r="B1" t="s">
        <v>88</v>
      </c>
      <c r="C1" t="s">
        <v>93</v>
      </c>
      <c r="D1" t="s">
        <v>89</v>
      </c>
      <c r="E1" t="s">
        <v>90</v>
      </c>
      <c r="F1" t="s">
        <v>91</v>
      </c>
      <c r="G1" t="s">
        <v>92</v>
      </c>
      <c r="H1" t="s">
        <v>205</v>
      </c>
      <c r="I1" t="s">
        <v>206</v>
      </c>
      <c r="J1" t="s">
        <v>207</v>
      </c>
      <c r="K1" t="s">
        <v>208</v>
      </c>
    </row>
    <row r="2" spans="1:11" x14ac:dyDescent="0.3">
      <c r="A2" s="6" t="s">
        <v>51</v>
      </c>
      <c r="B2">
        <v>6895</v>
      </c>
      <c r="C2" t="s">
        <v>101</v>
      </c>
      <c r="D2" t="s">
        <v>86</v>
      </c>
      <c r="E2">
        <v>181.4</v>
      </c>
      <c r="F2">
        <v>4.05</v>
      </c>
      <c r="G2">
        <v>18</v>
      </c>
      <c r="H2">
        <v>4.0999999999999996</v>
      </c>
      <c r="I2">
        <v>0</v>
      </c>
      <c r="J2">
        <v>0</v>
      </c>
      <c r="K2">
        <v>0</v>
      </c>
    </row>
    <row r="3" spans="1:11" x14ac:dyDescent="0.3">
      <c r="A3" s="6" t="s">
        <v>94</v>
      </c>
      <c r="B3">
        <v>2734226</v>
      </c>
      <c r="C3" t="s">
        <v>99</v>
      </c>
      <c r="D3" t="s">
        <v>100</v>
      </c>
      <c r="E3">
        <v>251.43</v>
      </c>
      <c r="F3">
        <v>5.57</v>
      </c>
      <c r="G3">
        <v>1.4655</v>
      </c>
      <c r="H3">
        <v>4.5999999999999996</v>
      </c>
      <c r="I3">
        <v>0</v>
      </c>
      <c r="J3">
        <v>0</v>
      </c>
      <c r="K3">
        <v>9</v>
      </c>
    </row>
    <row r="4" spans="1:11" x14ac:dyDescent="0.3">
      <c r="A4" s="6" t="s">
        <v>95</v>
      </c>
      <c r="B4">
        <v>2734228</v>
      </c>
      <c r="C4" t="s">
        <v>97</v>
      </c>
      <c r="D4" t="s">
        <v>98</v>
      </c>
      <c r="E4">
        <v>251.43</v>
      </c>
      <c r="F4">
        <v>6.56</v>
      </c>
      <c r="G4">
        <v>0.13916999999999999</v>
      </c>
      <c r="H4">
        <v>5.7</v>
      </c>
      <c r="I4">
        <v>0</v>
      </c>
      <c r="J4">
        <v>2</v>
      </c>
      <c r="K4">
        <v>11</v>
      </c>
    </row>
    <row r="5" spans="1:11" x14ac:dyDescent="0.3">
      <c r="A5" s="6" t="s">
        <v>96</v>
      </c>
      <c r="B5">
        <v>2734224</v>
      </c>
      <c r="C5" t="s">
        <v>102</v>
      </c>
      <c r="D5" t="s">
        <v>103</v>
      </c>
      <c r="E5">
        <v>195.32</v>
      </c>
      <c r="F5">
        <v>4.59</v>
      </c>
      <c r="G5">
        <v>15.186999999999999</v>
      </c>
      <c r="H5">
        <v>3.5</v>
      </c>
      <c r="I5">
        <v>0</v>
      </c>
      <c r="J5">
        <v>2</v>
      </c>
      <c r="K5">
        <v>7</v>
      </c>
    </row>
    <row r="6" spans="1:11" x14ac:dyDescent="0.3">
      <c r="A6" s="6" t="s">
        <v>52</v>
      </c>
      <c r="B6">
        <v>37803</v>
      </c>
      <c r="C6" t="s">
        <v>118</v>
      </c>
      <c r="D6" t="s">
        <v>117</v>
      </c>
      <c r="E6">
        <v>257.5</v>
      </c>
      <c r="F6">
        <v>5.6</v>
      </c>
      <c r="G6">
        <v>0.13991000000000001</v>
      </c>
      <c r="H6">
        <v>5.6</v>
      </c>
      <c r="I6">
        <v>0</v>
      </c>
      <c r="J6">
        <v>0</v>
      </c>
      <c r="K6">
        <v>1</v>
      </c>
    </row>
    <row r="7" spans="1:11" x14ac:dyDescent="0.3">
      <c r="A7" s="6" t="s">
        <v>31</v>
      </c>
      <c r="B7">
        <v>33613</v>
      </c>
      <c r="C7" t="s">
        <v>120</v>
      </c>
      <c r="D7" t="s">
        <v>119</v>
      </c>
      <c r="E7">
        <v>365.4</v>
      </c>
      <c r="F7">
        <v>0.87</v>
      </c>
      <c r="G7" s="9">
        <v>1000000</v>
      </c>
      <c r="H7">
        <v>-2</v>
      </c>
      <c r="I7">
        <v>5</v>
      </c>
      <c r="J7">
        <v>8</v>
      </c>
      <c r="K7">
        <v>4</v>
      </c>
    </row>
    <row r="8" spans="1:11" x14ac:dyDescent="0.3">
      <c r="A8" s="6" t="s">
        <v>30</v>
      </c>
      <c r="B8">
        <v>6249</v>
      </c>
      <c r="C8" t="s">
        <v>122</v>
      </c>
      <c r="D8" t="s">
        <v>121</v>
      </c>
      <c r="E8">
        <v>349.4</v>
      </c>
      <c r="F8">
        <v>1.35</v>
      </c>
      <c r="G8">
        <v>10100</v>
      </c>
      <c r="H8">
        <v>-1.1000000000000001</v>
      </c>
      <c r="I8">
        <v>4</v>
      </c>
      <c r="J8">
        <v>7</v>
      </c>
      <c r="K8">
        <v>4</v>
      </c>
    </row>
    <row r="9" spans="1:11" x14ac:dyDescent="0.3">
      <c r="A9" s="6" t="s">
        <v>55</v>
      </c>
      <c r="B9">
        <v>6115</v>
      </c>
      <c r="C9" t="s">
        <v>124</v>
      </c>
      <c r="D9" t="s">
        <v>123</v>
      </c>
      <c r="E9">
        <v>93.13</v>
      </c>
      <c r="F9">
        <v>0.9</v>
      </c>
      <c r="G9">
        <v>36000</v>
      </c>
      <c r="H9">
        <v>0.9</v>
      </c>
      <c r="I9">
        <v>2</v>
      </c>
      <c r="J9">
        <v>1</v>
      </c>
      <c r="K9">
        <v>0</v>
      </c>
    </row>
    <row r="10" spans="1:11" x14ac:dyDescent="0.3">
      <c r="A10" s="6" t="s">
        <v>69</v>
      </c>
      <c r="B10">
        <v>8418</v>
      </c>
      <c r="C10" t="s">
        <v>125</v>
      </c>
      <c r="D10" t="s">
        <v>106</v>
      </c>
      <c r="E10">
        <v>178.23</v>
      </c>
      <c r="F10">
        <v>4.45</v>
      </c>
      <c r="G10">
        <v>4.3400000000000001E-2</v>
      </c>
      <c r="H10">
        <v>4.4000000000000004</v>
      </c>
      <c r="I10">
        <v>0</v>
      </c>
      <c r="J10">
        <v>0</v>
      </c>
      <c r="K10">
        <v>0</v>
      </c>
    </row>
    <row r="11" spans="1:11" x14ac:dyDescent="0.3">
      <c r="A11" s="6" t="s">
        <v>7</v>
      </c>
      <c r="B11">
        <v>2256</v>
      </c>
      <c r="C11" t="s">
        <v>126</v>
      </c>
      <c r="D11" t="s">
        <v>114</v>
      </c>
      <c r="E11">
        <v>215.68</v>
      </c>
      <c r="F11">
        <v>2.61</v>
      </c>
      <c r="G11">
        <v>34.700000000000003</v>
      </c>
      <c r="H11">
        <v>2.6</v>
      </c>
      <c r="I11">
        <v>2</v>
      </c>
      <c r="J11">
        <v>5</v>
      </c>
      <c r="K11">
        <v>4</v>
      </c>
    </row>
    <row r="12" spans="1:11" x14ac:dyDescent="0.3">
      <c r="A12" s="6" t="s">
        <v>74</v>
      </c>
      <c r="B12">
        <v>2336</v>
      </c>
      <c r="C12" t="s">
        <v>127</v>
      </c>
      <c r="D12" t="s">
        <v>108</v>
      </c>
      <c r="E12">
        <v>252.3</v>
      </c>
      <c r="F12">
        <v>5.99</v>
      </c>
      <c r="G12">
        <v>1.3285E-2</v>
      </c>
      <c r="H12">
        <v>6</v>
      </c>
      <c r="I12">
        <v>0</v>
      </c>
      <c r="J12">
        <v>0</v>
      </c>
      <c r="K12">
        <v>0</v>
      </c>
    </row>
    <row r="13" spans="1:11" x14ac:dyDescent="0.3">
      <c r="A13" s="6" t="s">
        <v>85</v>
      </c>
      <c r="B13">
        <v>14410</v>
      </c>
      <c r="C13" t="s">
        <v>128</v>
      </c>
      <c r="D13" t="s">
        <v>111</v>
      </c>
      <c r="E13">
        <v>959.2</v>
      </c>
      <c r="F13">
        <v>9.9700000000000006</v>
      </c>
      <c r="G13">
        <v>1E-4</v>
      </c>
      <c r="H13">
        <v>10.4</v>
      </c>
      <c r="I13">
        <v>0</v>
      </c>
      <c r="J13">
        <v>1</v>
      </c>
      <c r="K13">
        <v>2</v>
      </c>
    </row>
    <row r="14" spans="1:11" x14ac:dyDescent="0.3">
      <c r="A14" s="6" t="s">
        <v>84</v>
      </c>
      <c r="B14">
        <v>95170</v>
      </c>
      <c r="C14" t="s">
        <v>129</v>
      </c>
      <c r="D14" t="s">
        <v>112</v>
      </c>
      <c r="E14">
        <v>485.79</v>
      </c>
      <c r="F14">
        <v>6.77</v>
      </c>
      <c r="G14">
        <v>5.4233999999999997E-2</v>
      </c>
      <c r="H14">
        <v>6.2</v>
      </c>
      <c r="I14">
        <v>0</v>
      </c>
      <c r="J14">
        <v>1</v>
      </c>
      <c r="K14">
        <v>2</v>
      </c>
    </row>
    <row r="15" spans="1:11" x14ac:dyDescent="0.3">
      <c r="A15" s="6" t="s">
        <v>56</v>
      </c>
      <c r="B15">
        <v>7220</v>
      </c>
      <c r="C15" t="s">
        <v>131</v>
      </c>
      <c r="D15" t="s">
        <v>130</v>
      </c>
      <c r="E15">
        <v>119.12</v>
      </c>
      <c r="F15">
        <v>1.44</v>
      </c>
      <c r="G15">
        <v>19800</v>
      </c>
      <c r="H15">
        <v>1</v>
      </c>
      <c r="I15">
        <v>1</v>
      </c>
      <c r="J15">
        <v>3</v>
      </c>
      <c r="K15">
        <v>0</v>
      </c>
    </row>
    <row r="16" spans="1:11" x14ac:dyDescent="0.3">
      <c r="A16" s="6" t="s">
        <v>62</v>
      </c>
      <c r="B16">
        <v>6623</v>
      </c>
      <c r="C16" t="s">
        <v>133</v>
      </c>
      <c r="D16" t="s">
        <v>132</v>
      </c>
      <c r="E16">
        <v>228.29</v>
      </c>
      <c r="F16">
        <v>3.32</v>
      </c>
      <c r="G16">
        <v>120</v>
      </c>
      <c r="H16">
        <v>3.3</v>
      </c>
      <c r="I16">
        <v>2</v>
      </c>
      <c r="J16">
        <v>2</v>
      </c>
      <c r="K16">
        <v>2</v>
      </c>
    </row>
    <row r="17" spans="1:11" x14ac:dyDescent="0.3">
      <c r="A17" s="6" t="s">
        <v>54</v>
      </c>
      <c r="B17">
        <v>8343</v>
      </c>
      <c r="C17" t="s">
        <v>134</v>
      </c>
      <c r="D17" t="s">
        <v>109</v>
      </c>
      <c r="E17">
        <v>390.6</v>
      </c>
      <c r="F17">
        <v>7.6</v>
      </c>
      <c r="G17">
        <v>0.27</v>
      </c>
      <c r="H17">
        <v>7.4</v>
      </c>
      <c r="I17">
        <v>0</v>
      </c>
      <c r="J17">
        <v>4</v>
      </c>
      <c r="K17">
        <v>16</v>
      </c>
    </row>
    <row r="18" spans="1:11" x14ac:dyDescent="0.3">
      <c r="A18" s="6" t="s">
        <v>83</v>
      </c>
      <c r="B18">
        <v>6623</v>
      </c>
      <c r="C18" t="s">
        <v>133</v>
      </c>
      <c r="D18" t="s">
        <v>132</v>
      </c>
      <c r="E18">
        <v>228.29</v>
      </c>
      <c r="F18">
        <v>3.32</v>
      </c>
      <c r="G18">
        <v>120</v>
      </c>
      <c r="H18">
        <v>3.3</v>
      </c>
      <c r="I18">
        <v>2</v>
      </c>
      <c r="J18">
        <v>2</v>
      </c>
      <c r="K18">
        <v>2</v>
      </c>
    </row>
    <row r="19" spans="1:11" x14ac:dyDescent="0.3">
      <c r="A19" s="6" t="s">
        <v>13</v>
      </c>
      <c r="B19">
        <v>31677</v>
      </c>
      <c r="C19" t="s">
        <v>136</v>
      </c>
      <c r="D19" t="s">
        <v>135</v>
      </c>
      <c r="E19">
        <v>311.8</v>
      </c>
      <c r="F19">
        <v>4.5</v>
      </c>
      <c r="G19">
        <v>23</v>
      </c>
      <c r="H19">
        <v>4.5</v>
      </c>
      <c r="I19">
        <v>0</v>
      </c>
      <c r="J19">
        <v>3</v>
      </c>
      <c r="K19">
        <v>9</v>
      </c>
    </row>
    <row r="20" spans="1:11" x14ac:dyDescent="0.3">
      <c r="A20" s="6" t="s">
        <v>76</v>
      </c>
      <c r="B20">
        <v>36401</v>
      </c>
      <c r="C20" t="s">
        <v>138</v>
      </c>
      <c r="D20" t="s">
        <v>137</v>
      </c>
      <c r="E20">
        <v>292</v>
      </c>
      <c r="F20">
        <v>6.4</v>
      </c>
      <c r="G20">
        <v>4.5870000000000001E-2</v>
      </c>
      <c r="H20">
        <v>6.4</v>
      </c>
      <c r="I20">
        <v>0</v>
      </c>
      <c r="J20">
        <v>0</v>
      </c>
      <c r="K20">
        <v>1</v>
      </c>
    </row>
    <row r="21" spans="1:11" x14ac:dyDescent="0.3">
      <c r="A21" s="6" t="s">
        <v>14</v>
      </c>
      <c r="B21">
        <v>2730</v>
      </c>
      <c r="C21" t="s">
        <v>140</v>
      </c>
      <c r="D21" t="s">
        <v>139</v>
      </c>
      <c r="E21">
        <v>350.6</v>
      </c>
      <c r="F21">
        <v>4.96</v>
      </c>
      <c r="G21">
        <v>0.35699999999999998</v>
      </c>
      <c r="H21">
        <v>5.3</v>
      </c>
      <c r="I21">
        <v>0</v>
      </c>
      <c r="J21">
        <v>4</v>
      </c>
      <c r="K21">
        <v>6</v>
      </c>
    </row>
    <row r="22" spans="1:11" x14ac:dyDescent="0.3">
      <c r="A22" s="6" t="s">
        <v>25</v>
      </c>
      <c r="B22">
        <v>2764</v>
      </c>
      <c r="C22" t="s">
        <v>142</v>
      </c>
      <c r="D22" t="s">
        <v>141</v>
      </c>
      <c r="E22">
        <v>331.34</v>
      </c>
      <c r="F22">
        <v>0.28000000000000003</v>
      </c>
      <c r="G22" s="9">
        <v>11480</v>
      </c>
      <c r="H22">
        <v>-1.1000000000000001</v>
      </c>
      <c r="I22">
        <v>2</v>
      </c>
      <c r="J22">
        <v>6</v>
      </c>
      <c r="K22">
        <v>3</v>
      </c>
    </row>
    <row r="23" spans="1:11" x14ac:dyDescent="0.3">
      <c r="A23" s="6" t="s">
        <v>53</v>
      </c>
      <c r="B23">
        <v>8343</v>
      </c>
      <c r="C23" t="s">
        <v>134</v>
      </c>
      <c r="D23" t="s">
        <v>109</v>
      </c>
      <c r="E23">
        <v>390.6</v>
      </c>
      <c r="F23">
        <v>7.6</v>
      </c>
      <c r="G23">
        <v>0.27</v>
      </c>
      <c r="H23">
        <v>7.4</v>
      </c>
      <c r="I23">
        <v>0</v>
      </c>
      <c r="J23">
        <v>4</v>
      </c>
      <c r="K23">
        <v>16</v>
      </c>
    </row>
    <row r="24" spans="1:11" x14ac:dyDescent="0.3">
      <c r="A24" s="6" t="s">
        <v>67</v>
      </c>
      <c r="B24">
        <v>39985</v>
      </c>
      <c r="C24" t="s">
        <v>144</v>
      </c>
      <c r="D24" t="s">
        <v>143</v>
      </c>
      <c r="E24">
        <v>341.2</v>
      </c>
      <c r="F24">
        <v>4.5999999999999996</v>
      </c>
      <c r="G24">
        <v>0.79369999999999996</v>
      </c>
      <c r="H24">
        <v>4.8</v>
      </c>
      <c r="I24">
        <v>0</v>
      </c>
      <c r="J24">
        <v>4</v>
      </c>
      <c r="K24">
        <v>6</v>
      </c>
    </row>
    <row r="25" spans="1:11" x14ac:dyDescent="0.3">
      <c r="A25" s="6" t="s">
        <v>60</v>
      </c>
      <c r="B25">
        <v>6781</v>
      </c>
      <c r="C25" t="s">
        <v>146</v>
      </c>
      <c r="D25" t="s">
        <v>145</v>
      </c>
      <c r="E25">
        <v>222.24</v>
      </c>
      <c r="F25">
        <v>2.4700000000000002</v>
      </c>
      <c r="G25">
        <v>1080</v>
      </c>
      <c r="H25">
        <v>2.5</v>
      </c>
      <c r="I25">
        <v>0</v>
      </c>
      <c r="J25">
        <v>4</v>
      </c>
      <c r="K25">
        <v>6</v>
      </c>
    </row>
    <row r="26" spans="1:11" x14ac:dyDescent="0.3">
      <c r="A26" s="6" t="s">
        <v>81</v>
      </c>
      <c r="B26">
        <v>679</v>
      </c>
      <c r="C26" t="s">
        <v>148</v>
      </c>
      <c r="D26" t="s">
        <v>147</v>
      </c>
      <c r="E26">
        <v>78.14</v>
      </c>
      <c r="F26">
        <v>-1.35</v>
      </c>
      <c r="G26">
        <v>100000</v>
      </c>
      <c r="H26">
        <v>-0.6</v>
      </c>
      <c r="I26">
        <v>0</v>
      </c>
      <c r="J26">
        <v>1</v>
      </c>
      <c r="K26">
        <v>0</v>
      </c>
    </row>
    <row r="27" spans="1:11" x14ac:dyDescent="0.3">
      <c r="A27" s="6" t="s">
        <v>27</v>
      </c>
      <c r="B27">
        <v>71188</v>
      </c>
      <c r="C27" t="s">
        <v>149</v>
      </c>
      <c r="D27" t="s">
        <v>150</v>
      </c>
      <c r="E27">
        <v>359.4</v>
      </c>
      <c r="F27">
        <v>0.7</v>
      </c>
      <c r="G27">
        <v>3397</v>
      </c>
      <c r="H27">
        <v>-0.2</v>
      </c>
      <c r="I27">
        <v>1</v>
      </c>
      <c r="J27">
        <v>6</v>
      </c>
      <c r="K27">
        <v>4</v>
      </c>
    </row>
    <row r="28" spans="1:11" x14ac:dyDescent="0.3">
      <c r="A28" s="6" t="s">
        <v>20</v>
      </c>
      <c r="B28">
        <v>77338</v>
      </c>
      <c r="C28" t="s">
        <v>152</v>
      </c>
      <c r="D28" t="s">
        <v>151</v>
      </c>
      <c r="E28">
        <v>225.07</v>
      </c>
      <c r="F28">
        <v>4.17</v>
      </c>
      <c r="G28">
        <v>2.5</v>
      </c>
      <c r="H28">
        <v>4.2</v>
      </c>
      <c r="I28">
        <v>0</v>
      </c>
      <c r="J28">
        <v>2</v>
      </c>
      <c r="K28">
        <v>1</v>
      </c>
    </row>
    <row r="29" spans="1:11" x14ac:dyDescent="0.3">
      <c r="A29" s="6" t="s">
        <v>70</v>
      </c>
      <c r="B29">
        <v>9154</v>
      </c>
      <c r="C29" t="s">
        <v>153</v>
      </c>
      <c r="D29" t="s">
        <v>107</v>
      </c>
      <c r="E29">
        <v>202.25</v>
      </c>
      <c r="F29">
        <v>5.16</v>
      </c>
      <c r="G29">
        <v>0.26</v>
      </c>
      <c r="H29">
        <v>5.2</v>
      </c>
      <c r="I29">
        <v>0</v>
      </c>
      <c r="J29">
        <v>0</v>
      </c>
      <c r="K29">
        <v>0</v>
      </c>
    </row>
    <row r="30" spans="1:11" x14ac:dyDescent="0.3">
      <c r="A30" s="6" t="s">
        <v>71</v>
      </c>
      <c r="B30">
        <v>6853</v>
      </c>
      <c r="C30" t="s">
        <v>154</v>
      </c>
      <c r="D30" t="s">
        <v>104</v>
      </c>
      <c r="E30">
        <v>166.22</v>
      </c>
      <c r="F30">
        <v>4.18</v>
      </c>
      <c r="G30">
        <v>1.89</v>
      </c>
      <c r="H30">
        <v>4.2</v>
      </c>
      <c r="I30">
        <v>0</v>
      </c>
      <c r="J30">
        <v>0</v>
      </c>
      <c r="K30">
        <v>0</v>
      </c>
    </row>
    <row r="31" spans="1:11" x14ac:dyDescent="0.3">
      <c r="A31" s="6" t="s">
        <v>68</v>
      </c>
      <c r="B31">
        <v>50465</v>
      </c>
      <c r="C31" t="s">
        <v>156</v>
      </c>
      <c r="D31" t="s">
        <v>155</v>
      </c>
      <c r="E31">
        <v>255.03</v>
      </c>
      <c r="F31">
        <v>1.17</v>
      </c>
      <c r="G31">
        <v>91</v>
      </c>
      <c r="H31">
        <v>1.8</v>
      </c>
      <c r="I31">
        <v>3</v>
      </c>
      <c r="J31">
        <v>5</v>
      </c>
      <c r="K31">
        <v>3</v>
      </c>
    </row>
    <row r="32" spans="1:11" x14ac:dyDescent="0.3">
      <c r="A32" s="6" t="s">
        <v>34</v>
      </c>
      <c r="B32">
        <v>35766</v>
      </c>
      <c r="C32" t="s">
        <v>158</v>
      </c>
      <c r="D32" t="s">
        <v>157</v>
      </c>
      <c r="E32">
        <v>527.5</v>
      </c>
      <c r="F32">
        <v>-6.6</v>
      </c>
      <c r="G32">
        <v>50000</v>
      </c>
      <c r="H32">
        <v>-6.6</v>
      </c>
      <c r="I32">
        <v>13</v>
      </c>
      <c r="J32">
        <v>16</v>
      </c>
      <c r="K32">
        <v>6</v>
      </c>
    </row>
    <row r="33" spans="1:11" x14ac:dyDescent="0.3">
      <c r="A33" s="6" t="s">
        <v>15</v>
      </c>
      <c r="B33">
        <v>86287518</v>
      </c>
      <c r="C33" t="s">
        <v>159</v>
      </c>
      <c r="D33" t="s">
        <v>116</v>
      </c>
      <c r="E33">
        <v>255.66</v>
      </c>
      <c r="F33">
        <v>-0.41</v>
      </c>
      <c r="G33" s="9">
        <v>49730</v>
      </c>
      <c r="H33">
        <v>1.2</v>
      </c>
      <c r="I33">
        <v>1</v>
      </c>
      <c r="J33">
        <v>7</v>
      </c>
      <c r="K33">
        <v>4</v>
      </c>
    </row>
    <row r="34" spans="1:11" x14ac:dyDescent="0.3">
      <c r="A34" s="6" t="s">
        <v>79</v>
      </c>
      <c r="B34">
        <v>3825</v>
      </c>
      <c r="C34" t="s">
        <v>161</v>
      </c>
      <c r="D34" t="s">
        <v>160</v>
      </c>
      <c r="E34">
        <v>254.28</v>
      </c>
      <c r="F34">
        <v>3.12</v>
      </c>
      <c r="G34">
        <v>51</v>
      </c>
      <c r="H34">
        <v>3.1</v>
      </c>
      <c r="I34">
        <v>1</v>
      </c>
      <c r="J34">
        <v>3</v>
      </c>
      <c r="K34">
        <v>4</v>
      </c>
    </row>
    <row r="35" spans="1:11" x14ac:dyDescent="0.3">
      <c r="A35" s="6" t="s">
        <v>28</v>
      </c>
      <c r="B35">
        <v>149096</v>
      </c>
      <c r="C35" t="s">
        <v>163</v>
      </c>
      <c r="D35" t="s">
        <v>162</v>
      </c>
      <c r="E35">
        <v>361.4</v>
      </c>
      <c r="F35">
        <v>-2</v>
      </c>
      <c r="G35" s="9">
        <v>676200</v>
      </c>
      <c r="H35">
        <v>-0.4</v>
      </c>
      <c r="I35">
        <v>1</v>
      </c>
      <c r="J35">
        <v>7</v>
      </c>
      <c r="K35">
        <v>2</v>
      </c>
    </row>
    <row r="36" spans="1:11" x14ac:dyDescent="0.3">
      <c r="A36" s="6" t="s">
        <v>35</v>
      </c>
      <c r="B36">
        <v>9908810</v>
      </c>
      <c r="C36" t="s">
        <v>165</v>
      </c>
      <c r="D36" t="s">
        <v>164</v>
      </c>
      <c r="E36">
        <v>397.8</v>
      </c>
      <c r="F36">
        <v>-2</v>
      </c>
      <c r="G36" s="9">
        <v>676200</v>
      </c>
      <c r="H36">
        <v>2</v>
      </c>
      <c r="I36">
        <v>2</v>
      </c>
      <c r="J36">
        <v>8</v>
      </c>
      <c r="K36">
        <v>2</v>
      </c>
    </row>
    <row r="37" spans="1:11" x14ac:dyDescent="0.3">
      <c r="A37" s="6" t="s">
        <v>78</v>
      </c>
      <c r="B37">
        <v>629505</v>
      </c>
      <c r="C37" t="s">
        <v>167</v>
      </c>
      <c r="D37" t="s">
        <v>166</v>
      </c>
      <c r="E37">
        <v>322</v>
      </c>
      <c r="F37">
        <v>6.3</v>
      </c>
      <c r="G37" s="9">
        <v>3.023E-2</v>
      </c>
      <c r="H37">
        <v>6.3</v>
      </c>
      <c r="I37">
        <v>0</v>
      </c>
      <c r="J37">
        <v>1</v>
      </c>
      <c r="K37">
        <v>2</v>
      </c>
    </row>
    <row r="38" spans="1:11" x14ac:dyDescent="0.3">
      <c r="A38" s="6" t="s">
        <v>57</v>
      </c>
      <c r="B38">
        <v>15413</v>
      </c>
      <c r="C38" t="s">
        <v>169</v>
      </c>
      <c r="D38" t="s">
        <v>168</v>
      </c>
      <c r="E38">
        <v>88.15</v>
      </c>
      <c r="F38">
        <v>0.94</v>
      </c>
      <c r="G38" s="7">
        <v>19800</v>
      </c>
      <c r="H38">
        <v>0.9</v>
      </c>
      <c r="I38">
        <v>0</v>
      </c>
      <c r="J38">
        <v>1</v>
      </c>
      <c r="K38">
        <v>1</v>
      </c>
    </row>
    <row r="39" spans="1:11" x14ac:dyDescent="0.3">
      <c r="A39" s="6" t="s">
        <v>80</v>
      </c>
      <c r="B39">
        <v>6099</v>
      </c>
      <c r="C39" t="s">
        <v>171</v>
      </c>
      <c r="D39" t="s">
        <v>170</v>
      </c>
      <c r="E39">
        <v>319.89999999999998</v>
      </c>
      <c r="F39">
        <v>0.75</v>
      </c>
      <c r="G39" s="7">
        <v>43600</v>
      </c>
      <c r="H39">
        <v>0.5</v>
      </c>
      <c r="I39">
        <v>0</v>
      </c>
      <c r="J39">
        <v>4</v>
      </c>
      <c r="K39">
        <v>1</v>
      </c>
    </row>
    <row r="40" spans="1:11" x14ac:dyDescent="0.3">
      <c r="A40" s="6" t="s">
        <v>66</v>
      </c>
      <c r="B40">
        <v>4169</v>
      </c>
      <c r="C40" t="s">
        <v>173</v>
      </c>
      <c r="D40" t="s">
        <v>172</v>
      </c>
      <c r="E40">
        <v>283.79000000000002</v>
      </c>
      <c r="F40">
        <v>3.13</v>
      </c>
      <c r="G40">
        <v>50.86</v>
      </c>
      <c r="H40">
        <v>3.1</v>
      </c>
      <c r="I40">
        <v>0</v>
      </c>
      <c r="J40">
        <v>3</v>
      </c>
      <c r="K40">
        <v>6</v>
      </c>
    </row>
    <row r="41" spans="1:11" x14ac:dyDescent="0.3">
      <c r="A41" s="6" t="s">
        <v>63</v>
      </c>
      <c r="B41">
        <v>445434</v>
      </c>
      <c r="C41" t="s">
        <v>175</v>
      </c>
      <c r="D41" t="s">
        <v>174</v>
      </c>
      <c r="E41">
        <v>995.2</v>
      </c>
      <c r="F41">
        <v>2.2999999999999998</v>
      </c>
      <c r="G41">
        <v>2000</v>
      </c>
      <c r="H41">
        <v>2.2999999999999998</v>
      </c>
      <c r="I41">
        <v>12</v>
      </c>
      <c r="J41">
        <v>22</v>
      </c>
      <c r="K41">
        <v>16</v>
      </c>
    </row>
    <row r="42" spans="1:11" x14ac:dyDescent="0.3">
      <c r="A42" s="6" t="s">
        <v>48</v>
      </c>
      <c r="B42">
        <v>931</v>
      </c>
      <c r="C42" t="s">
        <v>176</v>
      </c>
      <c r="D42" t="s">
        <v>113</v>
      </c>
      <c r="E42">
        <v>128.16999999999999</v>
      </c>
      <c r="F42">
        <v>3.3</v>
      </c>
      <c r="G42">
        <v>31</v>
      </c>
      <c r="H42">
        <v>3.3</v>
      </c>
      <c r="I42">
        <v>0</v>
      </c>
      <c r="J42">
        <v>0</v>
      </c>
      <c r="K42">
        <v>0</v>
      </c>
    </row>
    <row r="43" spans="1:11" x14ac:dyDescent="0.3">
      <c r="A43" s="6" t="s">
        <v>64</v>
      </c>
      <c r="B43">
        <v>7416</v>
      </c>
      <c r="C43" t="s">
        <v>178</v>
      </c>
      <c r="D43" t="s">
        <v>177</v>
      </c>
      <c r="E43">
        <v>123.11</v>
      </c>
      <c r="F43">
        <v>-0.39</v>
      </c>
      <c r="G43">
        <v>2944.2</v>
      </c>
      <c r="H43">
        <v>1.9</v>
      </c>
      <c r="I43">
        <v>0</v>
      </c>
      <c r="J43">
        <v>3</v>
      </c>
      <c r="K43">
        <v>1</v>
      </c>
    </row>
    <row r="44" spans="1:11" x14ac:dyDescent="0.3">
      <c r="A44" s="6" t="s">
        <v>82</v>
      </c>
      <c r="B44">
        <v>6228</v>
      </c>
      <c r="C44" t="s">
        <v>180</v>
      </c>
      <c r="D44" t="s">
        <v>179</v>
      </c>
      <c r="E44">
        <v>73.09</v>
      </c>
      <c r="F44">
        <v>-1.01</v>
      </c>
      <c r="G44" s="9">
        <v>977900</v>
      </c>
      <c r="H44">
        <v>-1</v>
      </c>
      <c r="I44">
        <v>0</v>
      </c>
      <c r="J44">
        <v>2</v>
      </c>
      <c r="K44">
        <v>0</v>
      </c>
    </row>
    <row r="45" spans="1:11" x14ac:dyDescent="0.3">
      <c r="A45" s="6" t="s">
        <v>37</v>
      </c>
      <c r="B45">
        <v>4539</v>
      </c>
      <c r="C45" t="s">
        <v>182</v>
      </c>
      <c r="D45" t="s">
        <v>181</v>
      </c>
      <c r="E45">
        <v>319.33</v>
      </c>
      <c r="F45">
        <v>-1.03</v>
      </c>
      <c r="G45" s="9">
        <v>177900</v>
      </c>
      <c r="H45">
        <v>-1</v>
      </c>
      <c r="I45">
        <v>2</v>
      </c>
      <c r="J45">
        <v>6</v>
      </c>
      <c r="K45">
        <v>3</v>
      </c>
    </row>
    <row r="46" spans="1:11" x14ac:dyDescent="0.3">
      <c r="A46" s="6" t="s">
        <v>32</v>
      </c>
      <c r="B46">
        <v>4583</v>
      </c>
      <c r="C46" t="s">
        <v>163</v>
      </c>
      <c r="D46" t="s">
        <v>162</v>
      </c>
      <c r="E46">
        <v>361.4</v>
      </c>
      <c r="F46">
        <v>-2</v>
      </c>
      <c r="G46" s="9">
        <v>676200</v>
      </c>
      <c r="H46">
        <v>-0.4</v>
      </c>
      <c r="I46">
        <v>1</v>
      </c>
      <c r="J46">
        <v>7</v>
      </c>
      <c r="K46">
        <v>2</v>
      </c>
    </row>
    <row r="47" spans="1:11" x14ac:dyDescent="0.3">
      <c r="A47" s="6" t="s">
        <v>77</v>
      </c>
      <c r="B47">
        <v>105101</v>
      </c>
      <c r="C47" t="s">
        <v>184</v>
      </c>
      <c r="D47" t="s">
        <v>183</v>
      </c>
      <c r="E47">
        <v>308</v>
      </c>
      <c r="F47">
        <v>5.85</v>
      </c>
      <c r="G47" s="9">
        <v>0.41909999999999997</v>
      </c>
      <c r="H47">
        <v>6.1</v>
      </c>
      <c r="I47">
        <v>1</v>
      </c>
      <c r="J47">
        <v>1</v>
      </c>
      <c r="K47">
        <v>1</v>
      </c>
    </row>
    <row r="48" spans="1:11" x14ac:dyDescent="0.3">
      <c r="A48" s="6" t="s">
        <v>39</v>
      </c>
      <c r="B48">
        <v>54675779</v>
      </c>
      <c r="C48" t="s">
        <v>186</v>
      </c>
      <c r="D48" t="s">
        <v>185</v>
      </c>
      <c r="E48">
        <v>460.4</v>
      </c>
      <c r="F48">
        <v>-0.9</v>
      </c>
      <c r="G48">
        <v>313</v>
      </c>
      <c r="H48">
        <v>-1.6</v>
      </c>
      <c r="I48">
        <v>8</v>
      </c>
      <c r="J48">
        <v>11</v>
      </c>
      <c r="K48">
        <v>2</v>
      </c>
    </row>
    <row r="49" spans="1:11" x14ac:dyDescent="0.3">
      <c r="A49" s="6" t="s">
        <v>22</v>
      </c>
      <c r="B49">
        <v>158076</v>
      </c>
      <c r="C49" t="s">
        <v>188</v>
      </c>
      <c r="D49" t="s">
        <v>187</v>
      </c>
      <c r="E49">
        <v>293.79000000000002</v>
      </c>
      <c r="F49">
        <v>3.2</v>
      </c>
      <c r="G49">
        <v>24.68</v>
      </c>
      <c r="H49">
        <v>3.2</v>
      </c>
      <c r="I49">
        <v>1</v>
      </c>
      <c r="J49">
        <v>4</v>
      </c>
      <c r="K49">
        <v>5</v>
      </c>
    </row>
    <row r="50" spans="1:11" x14ac:dyDescent="0.3">
      <c r="A50" s="6" t="s">
        <v>75</v>
      </c>
      <c r="B50">
        <v>37803</v>
      </c>
      <c r="C50" t="s">
        <v>118</v>
      </c>
      <c r="D50" t="s">
        <v>117</v>
      </c>
      <c r="E50">
        <v>257.5</v>
      </c>
      <c r="F50">
        <v>5.6</v>
      </c>
      <c r="G50">
        <v>0.4</v>
      </c>
      <c r="H50">
        <v>5.6</v>
      </c>
      <c r="I50">
        <v>0</v>
      </c>
      <c r="J50">
        <v>0</v>
      </c>
      <c r="K50">
        <v>1</v>
      </c>
    </row>
    <row r="51" spans="1:11" x14ac:dyDescent="0.3">
      <c r="A51" s="6" t="s">
        <v>72</v>
      </c>
      <c r="B51">
        <v>995</v>
      </c>
      <c r="C51" t="s">
        <v>125</v>
      </c>
      <c r="D51" t="s">
        <v>105</v>
      </c>
      <c r="E51">
        <v>178.23</v>
      </c>
      <c r="F51">
        <v>4.46</v>
      </c>
      <c r="G51">
        <v>1.1499999999999999</v>
      </c>
      <c r="H51">
        <v>4.5</v>
      </c>
      <c r="I51">
        <v>0</v>
      </c>
      <c r="J51">
        <v>0</v>
      </c>
      <c r="K51">
        <v>0</v>
      </c>
    </row>
    <row r="52" spans="1:11" x14ac:dyDescent="0.3">
      <c r="A52" s="6" t="s">
        <v>50</v>
      </c>
      <c r="B52">
        <v>995</v>
      </c>
      <c r="C52" t="s">
        <v>125</v>
      </c>
      <c r="D52" t="s">
        <v>105</v>
      </c>
      <c r="E52">
        <v>178.23</v>
      </c>
      <c r="F52">
        <v>4.46</v>
      </c>
      <c r="G52">
        <v>1.1499999999999999</v>
      </c>
      <c r="H52">
        <v>4.5</v>
      </c>
      <c r="I52">
        <v>0</v>
      </c>
      <c r="J52">
        <v>0</v>
      </c>
      <c r="K52">
        <v>0</v>
      </c>
    </row>
    <row r="53" spans="1:11" x14ac:dyDescent="0.3">
      <c r="A53" s="6" t="s">
        <v>19</v>
      </c>
      <c r="B53">
        <v>91644</v>
      </c>
      <c r="C53" t="s">
        <v>136</v>
      </c>
      <c r="D53" t="s">
        <v>189</v>
      </c>
      <c r="E53">
        <v>311.8</v>
      </c>
      <c r="F53">
        <v>4.0999999999999996</v>
      </c>
      <c r="G53">
        <v>50</v>
      </c>
      <c r="H53">
        <v>4.0999999999999996</v>
      </c>
      <c r="I53">
        <v>0</v>
      </c>
      <c r="J53">
        <v>3</v>
      </c>
      <c r="K53">
        <v>9</v>
      </c>
    </row>
    <row r="54" spans="1:11" x14ac:dyDescent="0.3">
      <c r="A54" s="6" t="s">
        <v>73</v>
      </c>
      <c r="B54">
        <v>31423</v>
      </c>
      <c r="C54" t="s">
        <v>153</v>
      </c>
      <c r="D54" t="s">
        <v>110</v>
      </c>
      <c r="E54">
        <v>202.25</v>
      </c>
      <c r="F54">
        <v>4.88</v>
      </c>
      <c r="G54">
        <v>0.13500000000000001</v>
      </c>
      <c r="H54">
        <v>4.9000000000000004</v>
      </c>
      <c r="I54">
        <v>0</v>
      </c>
      <c r="J54">
        <v>0</v>
      </c>
      <c r="K54">
        <v>0</v>
      </c>
    </row>
    <row r="55" spans="1:11" x14ac:dyDescent="0.3">
      <c r="A55" s="6" t="s">
        <v>49</v>
      </c>
      <c r="B55">
        <v>31423</v>
      </c>
      <c r="C55" t="s">
        <v>153</v>
      </c>
      <c r="D55" t="s">
        <v>110</v>
      </c>
      <c r="E55">
        <v>202.25</v>
      </c>
      <c r="F55">
        <v>4.88</v>
      </c>
      <c r="G55">
        <v>0.13500000000000001</v>
      </c>
      <c r="H55">
        <v>4.9000000000000004</v>
      </c>
      <c r="I55">
        <v>0</v>
      </c>
      <c r="J55">
        <v>0</v>
      </c>
      <c r="K55">
        <v>0</v>
      </c>
    </row>
    <row r="56" spans="1:11" x14ac:dyDescent="0.3">
      <c r="A56" s="6" t="s">
        <v>24</v>
      </c>
      <c r="B56">
        <v>91739</v>
      </c>
      <c r="C56" t="s">
        <v>191</v>
      </c>
      <c r="D56" t="s">
        <v>190</v>
      </c>
      <c r="E56">
        <v>242.05</v>
      </c>
      <c r="F56">
        <v>2.97</v>
      </c>
      <c r="G56">
        <v>6.5000000000000002E-2</v>
      </c>
      <c r="H56">
        <v>3</v>
      </c>
      <c r="I56">
        <v>1</v>
      </c>
      <c r="J56">
        <v>3</v>
      </c>
      <c r="K56">
        <v>1</v>
      </c>
    </row>
    <row r="57" spans="1:11" x14ac:dyDescent="0.3">
      <c r="A57" s="6" t="s">
        <v>45</v>
      </c>
      <c r="B57">
        <v>1617113</v>
      </c>
      <c r="C57" t="s">
        <v>193</v>
      </c>
      <c r="D57" t="s">
        <v>192</v>
      </c>
      <c r="E57">
        <v>372.8</v>
      </c>
      <c r="F57">
        <v>4.3</v>
      </c>
      <c r="G57">
        <v>0.997</v>
      </c>
      <c r="H57">
        <v>4.3</v>
      </c>
      <c r="I57">
        <v>0</v>
      </c>
      <c r="J57">
        <v>6</v>
      </c>
      <c r="K57">
        <v>7</v>
      </c>
    </row>
    <row r="58" spans="1:11" ht="13.9" x14ac:dyDescent="0.35">
      <c r="A58" s="6" t="s">
        <v>18</v>
      </c>
      <c r="B58">
        <v>156542</v>
      </c>
      <c r="C58" t="s">
        <v>144</v>
      </c>
      <c r="D58" t="s">
        <v>210</v>
      </c>
      <c r="E58" s="10">
        <v>341.18599999999998</v>
      </c>
      <c r="F58">
        <v>4.62</v>
      </c>
      <c r="G58">
        <v>0.79369999999999996</v>
      </c>
      <c r="I58">
        <v>0</v>
      </c>
      <c r="J58">
        <v>4</v>
      </c>
      <c r="K58">
        <v>6</v>
      </c>
    </row>
    <row r="59" spans="1:11" x14ac:dyDescent="0.3">
      <c r="A59" s="6" t="s">
        <v>43</v>
      </c>
      <c r="B59">
        <v>11483556</v>
      </c>
      <c r="C59" t="s">
        <v>203</v>
      </c>
      <c r="D59" t="s">
        <v>211</v>
      </c>
      <c r="E59">
        <v>305.33</v>
      </c>
      <c r="F59">
        <v>0.73</v>
      </c>
      <c r="G59">
        <v>2720</v>
      </c>
      <c r="H59">
        <v>0.9</v>
      </c>
      <c r="I59">
        <v>2</v>
      </c>
      <c r="J59">
        <v>7</v>
      </c>
      <c r="K59">
        <v>5</v>
      </c>
    </row>
    <row r="60" spans="1:11" x14ac:dyDescent="0.3">
      <c r="A60" s="6" t="s">
        <v>46</v>
      </c>
      <c r="B60">
        <v>11601631</v>
      </c>
      <c r="C60" t="s">
        <v>173</v>
      </c>
      <c r="D60" t="s">
        <v>213</v>
      </c>
      <c r="E60">
        <v>283.79000000000002</v>
      </c>
      <c r="F60">
        <v>3.1</v>
      </c>
      <c r="G60">
        <v>530</v>
      </c>
      <c r="H60">
        <v>3.1</v>
      </c>
      <c r="I60">
        <v>0</v>
      </c>
      <c r="J60">
        <v>3</v>
      </c>
      <c r="K60">
        <v>6</v>
      </c>
    </row>
    <row r="61" spans="1:11" ht="13.9" x14ac:dyDescent="0.35">
      <c r="A61" s="6" t="s">
        <v>16</v>
      </c>
      <c r="B61">
        <v>156542</v>
      </c>
      <c r="C61" t="s">
        <v>144</v>
      </c>
      <c r="D61" t="s">
        <v>210</v>
      </c>
      <c r="E61" s="10">
        <v>341.18599999999998</v>
      </c>
      <c r="F61">
        <v>4.62</v>
      </c>
      <c r="G61">
        <v>0.79369999999999996</v>
      </c>
      <c r="I61">
        <v>0</v>
      </c>
      <c r="J61">
        <v>4</v>
      </c>
      <c r="K61">
        <v>6</v>
      </c>
    </row>
    <row r="62" spans="1:11" x14ac:dyDescent="0.3">
      <c r="A62" s="6" t="s">
        <v>42</v>
      </c>
      <c r="B62">
        <v>11483556</v>
      </c>
      <c r="C62" t="s">
        <v>203</v>
      </c>
      <c r="D62" t="s">
        <v>211</v>
      </c>
      <c r="E62">
        <v>305.33</v>
      </c>
      <c r="F62">
        <v>0.73</v>
      </c>
      <c r="G62">
        <v>2720</v>
      </c>
      <c r="H62">
        <v>0.9</v>
      </c>
      <c r="I62">
        <v>2</v>
      </c>
      <c r="J62">
        <v>7</v>
      </c>
      <c r="K62">
        <v>5</v>
      </c>
    </row>
    <row r="63" spans="1:11" x14ac:dyDescent="0.3">
      <c r="A63" s="6" t="s">
        <v>17</v>
      </c>
      <c r="B63">
        <v>156542</v>
      </c>
      <c r="C63" t="s">
        <v>144</v>
      </c>
      <c r="D63" t="s">
        <v>209</v>
      </c>
      <c r="E63">
        <v>341.2</v>
      </c>
      <c r="F63">
        <v>4.62</v>
      </c>
      <c r="G63">
        <v>0.79369999999999996</v>
      </c>
      <c r="I63">
        <v>0</v>
      </c>
      <c r="J63">
        <v>4</v>
      </c>
      <c r="K63">
        <v>6</v>
      </c>
    </row>
    <row r="64" spans="1:11" x14ac:dyDescent="0.3">
      <c r="A64" s="6" t="s">
        <v>44</v>
      </c>
      <c r="B64">
        <v>29919281</v>
      </c>
      <c r="C64" t="s">
        <v>203</v>
      </c>
      <c r="D64" t="s">
        <v>204</v>
      </c>
      <c r="E64">
        <v>305.33</v>
      </c>
      <c r="F64">
        <v>0.73</v>
      </c>
      <c r="G64">
        <v>2720</v>
      </c>
      <c r="H64">
        <v>0.9</v>
      </c>
      <c r="I64">
        <v>2</v>
      </c>
      <c r="J64">
        <v>7</v>
      </c>
      <c r="K64">
        <v>5</v>
      </c>
    </row>
    <row r="65" spans="1:11" x14ac:dyDescent="0.3">
      <c r="A65" s="6" t="s">
        <v>47</v>
      </c>
      <c r="B65">
        <v>11140605</v>
      </c>
      <c r="C65" t="s">
        <v>173</v>
      </c>
      <c r="D65" t="s">
        <v>212</v>
      </c>
      <c r="E65">
        <v>283.79000000000002</v>
      </c>
      <c r="F65">
        <v>3.1</v>
      </c>
      <c r="G65">
        <v>530</v>
      </c>
      <c r="H65">
        <v>3.1</v>
      </c>
      <c r="I65">
        <v>0</v>
      </c>
      <c r="J65">
        <v>3</v>
      </c>
      <c r="K65">
        <v>6</v>
      </c>
    </row>
    <row r="66" spans="1:11" x14ac:dyDescent="0.3">
      <c r="A66" s="6" t="s">
        <v>38</v>
      </c>
      <c r="B66">
        <v>5327</v>
      </c>
      <c r="C66" t="s">
        <v>202</v>
      </c>
      <c r="D66" t="s">
        <v>201</v>
      </c>
      <c r="E66">
        <v>278.33</v>
      </c>
      <c r="F66">
        <v>0.14000000000000001</v>
      </c>
      <c r="G66">
        <v>1500</v>
      </c>
      <c r="H66">
        <v>0.3</v>
      </c>
      <c r="I66">
        <v>2</v>
      </c>
      <c r="J66">
        <v>6</v>
      </c>
      <c r="K66">
        <v>3</v>
      </c>
    </row>
    <row r="67" spans="1:11" x14ac:dyDescent="0.3">
      <c r="A67" s="6" t="s">
        <v>26</v>
      </c>
      <c r="B67">
        <v>54675776</v>
      </c>
      <c r="C67" t="s">
        <v>200</v>
      </c>
      <c r="D67" t="s">
        <v>199</v>
      </c>
      <c r="E67">
        <v>444.4</v>
      </c>
      <c r="F67">
        <v>-1.37</v>
      </c>
      <c r="G67">
        <v>231</v>
      </c>
      <c r="H67">
        <v>-2</v>
      </c>
      <c r="I67">
        <v>7</v>
      </c>
      <c r="J67">
        <v>10</v>
      </c>
      <c r="K67">
        <v>2</v>
      </c>
    </row>
    <row r="68" spans="1:11" x14ac:dyDescent="0.3">
      <c r="A68" s="6" t="s">
        <v>41</v>
      </c>
      <c r="B68">
        <v>32184</v>
      </c>
      <c r="C68" t="s">
        <v>198</v>
      </c>
      <c r="D68" t="s">
        <v>197</v>
      </c>
      <c r="E68">
        <v>313.31</v>
      </c>
      <c r="F68">
        <v>3.34</v>
      </c>
      <c r="G68">
        <v>14.41</v>
      </c>
      <c r="H68">
        <v>3.5</v>
      </c>
      <c r="I68">
        <v>0</v>
      </c>
      <c r="J68">
        <v>6</v>
      </c>
      <c r="K68">
        <v>7</v>
      </c>
    </row>
    <row r="69" spans="1:11" x14ac:dyDescent="0.3">
      <c r="A69" s="6" t="s">
        <v>33</v>
      </c>
      <c r="B69">
        <v>5578</v>
      </c>
      <c r="C69" t="s">
        <v>196</v>
      </c>
      <c r="D69" t="s">
        <v>115</v>
      </c>
      <c r="E69">
        <v>290.32</v>
      </c>
      <c r="F69">
        <v>0.91</v>
      </c>
      <c r="G69">
        <v>400</v>
      </c>
      <c r="H69">
        <v>0.9</v>
      </c>
      <c r="I69">
        <v>4</v>
      </c>
      <c r="J69">
        <v>7</v>
      </c>
      <c r="K69">
        <v>5</v>
      </c>
    </row>
    <row r="70" spans="1:11" x14ac:dyDescent="0.3">
      <c r="A70" s="6" t="s">
        <v>40</v>
      </c>
      <c r="B70">
        <v>443629</v>
      </c>
      <c r="C70" t="s">
        <v>195</v>
      </c>
      <c r="D70" t="s">
        <v>194</v>
      </c>
      <c r="E70">
        <v>497.5</v>
      </c>
      <c r="F70">
        <v>-8.32</v>
      </c>
      <c r="G70">
        <v>140000</v>
      </c>
      <c r="H70">
        <v>-6.3</v>
      </c>
      <c r="I70">
        <v>12</v>
      </c>
      <c r="J70">
        <v>14</v>
      </c>
      <c r="K70">
        <v>7</v>
      </c>
    </row>
    <row r="71" spans="1:11" x14ac:dyDescent="0.3">
      <c r="A71" s="2" t="s">
        <v>214</v>
      </c>
      <c r="B71">
        <v>3026</v>
      </c>
      <c r="C71" t="s">
        <v>215</v>
      </c>
      <c r="D71" t="s">
        <v>216</v>
      </c>
      <c r="E71">
        <v>278.33999999999997</v>
      </c>
      <c r="F71">
        <v>4.5</v>
      </c>
      <c r="G71">
        <v>11.2</v>
      </c>
      <c r="I71">
        <v>0</v>
      </c>
      <c r="J71">
        <v>4</v>
      </c>
      <c r="K71">
        <v>10</v>
      </c>
    </row>
    <row r="72" spans="1:11" x14ac:dyDescent="0.3">
      <c r="A72" t="s">
        <v>217</v>
      </c>
      <c r="B72">
        <v>1483</v>
      </c>
      <c r="C72" t="s">
        <v>218</v>
      </c>
      <c r="D72" t="s">
        <v>219</v>
      </c>
      <c r="E72" s="8">
        <v>330.8</v>
      </c>
      <c r="F72">
        <v>4.13</v>
      </c>
      <c r="G72">
        <v>70</v>
      </c>
      <c r="I72">
        <v>1</v>
      </c>
      <c r="J72">
        <v>1</v>
      </c>
      <c r="K72">
        <v>0</v>
      </c>
    </row>
  </sheetData>
  <sortState ref="A1:A69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pesticide</vt:lpstr>
      <vt:lpstr>PPCP</vt:lpstr>
      <vt:lpstr>PAHs</vt:lpstr>
      <vt:lpstr>HOPs</vt:lpstr>
      <vt:lpstr>others</vt:lpstr>
      <vt:lpstr>PAEs</vt:lpstr>
      <vt:lpstr>refer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Wang Shuyuan</cp:lastModifiedBy>
  <dcterms:created xsi:type="dcterms:W3CDTF">2022-12-01T05:55:27Z</dcterms:created>
  <dcterms:modified xsi:type="dcterms:W3CDTF">2024-04-16T06:03:35Z</dcterms:modified>
</cp:coreProperties>
</file>