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olumbiabusiness-my.sharepoint.com/personal/am6427_gsb_columbia_edu/Documents/Other/Website/public/"/>
    </mc:Choice>
  </mc:AlternateContent>
  <xr:revisionPtr revIDLastSave="0" documentId="8_{D7A416EE-EB31-4D29-AAF2-AC9536F17D95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Presentation" sheetId="4" state="hidden" r:id="rId1"/>
    <sheet name="P&amp;L" sheetId="3" r:id="rId2"/>
    <sheet name="Model Build" sheetId="1" r:id="rId3"/>
    <sheet name="Comps" sheetId="2" r:id="rId4"/>
    <sheet name="Licensing Agre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0" i="3" l="1"/>
  <c r="L80" i="3" s="1"/>
  <c r="M80" i="3" s="1"/>
  <c r="N80" i="3" s="1"/>
  <c r="J80" i="3"/>
  <c r="I29" i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I28" i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I27" i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H83" i="3"/>
  <c r="H84" i="3" s="1"/>
  <c r="H85" i="3" s="1"/>
  <c r="H86" i="3" s="1"/>
  <c r="H82" i="3"/>
  <c r="H74" i="3"/>
  <c r="H75" i="3" s="1"/>
  <c r="H76" i="3" s="1"/>
  <c r="H72" i="3"/>
  <c r="H71" i="3"/>
  <c r="H51" i="1"/>
  <c r="H61" i="3"/>
  <c r="H62" i="3"/>
  <c r="H65" i="3"/>
  <c r="H66" i="3" s="1"/>
  <c r="H64" i="3"/>
  <c r="D60" i="3"/>
  <c r="F28" i="2" l="1"/>
  <c r="H46" i="5"/>
  <c r="H47" i="5" s="1"/>
  <c r="H48" i="5" s="1"/>
  <c r="H49" i="5" s="1"/>
  <c r="H50" i="5" s="1"/>
  <c r="E33" i="5"/>
  <c r="E32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9" i="5"/>
  <c r="G8" i="5"/>
  <c r="H14" i="5"/>
  <c r="I5" i="5" l="1"/>
  <c r="J5" i="5" s="1"/>
  <c r="I11" i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I10" i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J9" i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I9" i="1"/>
  <c r="I41" i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I40" i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I39" i="1"/>
  <c r="I33" i="1" s="1"/>
  <c r="I38" i="1"/>
  <c r="H38" i="1"/>
  <c r="G38" i="1"/>
  <c r="I59" i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I58" i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I57" i="1"/>
  <c r="I74" i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I73" i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H63" i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F77" i="2"/>
  <c r="G77" i="2" s="1"/>
  <c r="F76" i="2"/>
  <c r="G76" i="2" s="1"/>
  <c r="F75" i="2"/>
  <c r="G75" i="2" s="1"/>
  <c r="F74" i="2"/>
  <c r="G74" i="2" s="1"/>
  <c r="F73" i="2"/>
  <c r="G73" i="2" s="1"/>
  <c r="F72" i="2"/>
  <c r="G72" i="2" s="1"/>
  <c r="F71" i="2"/>
  <c r="G71" i="2" s="1"/>
  <c r="F70" i="2"/>
  <c r="G70" i="2" s="1"/>
  <c r="F69" i="2"/>
  <c r="G69" i="2" s="1"/>
  <c r="F68" i="2"/>
  <c r="G68" i="2" s="1"/>
  <c r="F67" i="2"/>
  <c r="G67" i="2" s="1"/>
  <c r="F66" i="2"/>
  <c r="G66" i="2" s="1"/>
  <c r="F65" i="2"/>
  <c r="G65" i="2" s="1"/>
  <c r="H4" i="3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G42" i="3"/>
  <c r="H40" i="3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A32" i="3" s="1"/>
  <c r="AA9" i="5" s="1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N77" i="2"/>
  <c r="O77" i="2" s="1"/>
  <c r="N76" i="2"/>
  <c r="O76" i="2" s="1"/>
  <c r="N75" i="2"/>
  <c r="O75" i="2" s="1"/>
  <c r="N74" i="2"/>
  <c r="O74" i="2" s="1"/>
  <c r="N73" i="2"/>
  <c r="O73" i="2" s="1"/>
  <c r="N72" i="2"/>
  <c r="O72" i="2" s="1"/>
  <c r="N71" i="2"/>
  <c r="O71" i="2" s="1"/>
  <c r="N70" i="2"/>
  <c r="O70" i="2" s="1"/>
  <c r="N69" i="2"/>
  <c r="O69" i="2" s="1"/>
  <c r="N68" i="2"/>
  <c r="O68" i="2" s="1"/>
  <c r="N67" i="2"/>
  <c r="O67" i="2" s="1"/>
  <c r="N66" i="2"/>
  <c r="O66" i="2" s="1"/>
  <c r="N65" i="2"/>
  <c r="O65" i="2" s="1"/>
  <c r="L77" i="2"/>
  <c r="M77" i="2" s="1"/>
  <c r="L76" i="2"/>
  <c r="M76" i="2" s="1"/>
  <c r="L75" i="2"/>
  <c r="M75" i="2" s="1"/>
  <c r="L74" i="2"/>
  <c r="M74" i="2" s="1"/>
  <c r="L73" i="2"/>
  <c r="M73" i="2" s="1"/>
  <c r="L72" i="2"/>
  <c r="M72" i="2" s="1"/>
  <c r="L71" i="2"/>
  <c r="M71" i="2" s="1"/>
  <c r="L70" i="2"/>
  <c r="M70" i="2" s="1"/>
  <c r="L69" i="2"/>
  <c r="M69" i="2" s="1"/>
  <c r="L68" i="2"/>
  <c r="M68" i="2" s="1"/>
  <c r="L67" i="2"/>
  <c r="M67" i="2" s="1"/>
  <c r="L66" i="2"/>
  <c r="M66" i="2" s="1"/>
  <c r="L65" i="2"/>
  <c r="M65" i="2" s="1"/>
  <c r="Q79" i="2"/>
  <c r="K79" i="2"/>
  <c r="J79" i="2"/>
  <c r="I79" i="2"/>
  <c r="H79" i="2"/>
  <c r="E79" i="2"/>
  <c r="Q78" i="2"/>
  <c r="K78" i="2"/>
  <c r="J78" i="2"/>
  <c r="I78" i="2"/>
  <c r="H78" i="2"/>
  <c r="E78" i="2"/>
  <c r="D79" i="2"/>
  <c r="D78" i="2"/>
  <c r="F60" i="2"/>
  <c r="F59" i="2"/>
  <c r="I23" i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I22" i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I21" i="1"/>
  <c r="I20" i="1" s="1"/>
  <c r="H20" i="1"/>
  <c r="G20" i="1"/>
  <c r="F48" i="2"/>
  <c r="F47" i="2"/>
  <c r="G37" i="2"/>
  <c r="G36" i="2"/>
  <c r="I65" i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I64" i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H56" i="1"/>
  <c r="G56" i="1"/>
  <c r="I47" i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I46" i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I45" i="1"/>
  <c r="J45" i="1" s="1"/>
  <c r="J44" i="1" s="1"/>
  <c r="J8" i="3" s="1"/>
  <c r="E4" i="4" s="1"/>
  <c r="H44" i="1"/>
  <c r="H8" i="3" s="1"/>
  <c r="C4" i="4" s="1"/>
  <c r="G44" i="1"/>
  <c r="H32" i="1"/>
  <c r="H18" i="3" s="1"/>
  <c r="G32" i="1"/>
  <c r="G15" i="2"/>
  <c r="K24" i="2"/>
  <c r="J24" i="2"/>
  <c r="K23" i="2"/>
  <c r="J23" i="2"/>
  <c r="H25" i="2"/>
  <c r="H32" i="2" s="1"/>
  <c r="G25" i="2"/>
  <c r="F25" i="2"/>
  <c r="F32" i="2" s="1"/>
  <c r="I25" i="2"/>
  <c r="I32" i="2" s="1"/>
  <c r="J57" i="1" l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I51" i="1"/>
  <c r="G79" i="2"/>
  <c r="G78" i="2"/>
  <c r="G43" i="3"/>
  <c r="G49" i="3" s="1"/>
  <c r="G11" i="5"/>
  <c r="G47" i="2"/>
  <c r="I35" i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I34" i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K5" i="5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I32" i="1"/>
  <c r="I18" i="3" s="1"/>
  <c r="J39" i="1"/>
  <c r="K39" i="1" s="1"/>
  <c r="K38" i="1" s="1"/>
  <c r="I56" i="1"/>
  <c r="I17" i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I16" i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I15" i="1"/>
  <c r="J21" i="1"/>
  <c r="J20" i="1" s="1"/>
  <c r="M32" i="3"/>
  <c r="M9" i="5" s="1"/>
  <c r="U32" i="3"/>
  <c r="U9" i="5" s="1"/>
  <c r="N32" i="3"/>
  <c r="N9" i="5" s="1"/>
  <c r="V32" i="3"/>
  <c r="V9" i="5" s="1"/>
  <c r="O32" i="3"/>
  <c r="O9" i="5" s="1"/>
  <c r="W32" i="3"/>
  <c r="W9" i="5" s="1"/>
  <c r="H32" i="3"/>
  <c r="H9" i="5" s="1"/>
  <c r="P32" i="3"/>
  <c r="P9" i="5" s="1"/>
  <c r="X32" i="3"/>
  <c r="X9" i="5" s="1"/>
  <c r="I32" i="3"/>
  <c r="I9" i="5" s="1"/>
  <c r="Q32" i="3"/>
  <c r="Q9" i="5" s="1"/>
  <c r="Y32" i="3"/>
  <c r="Y9" i="5" s="1"/>
  <c r="J32" i="3"/>
  <c r="J9" i="5" s="1"/>
  <c r="R32" i="3"/>
  <c r="R9" i="5" s="1"/>
  <c r="Z32" i="3"/>
  <c r="Z9" i="5" s="1"/>
  <c r="K32" i="3"/>
  <c r="K9" i="5" s="1"/>
  <c r="S32" i="3"/>
  <c r="S9" i="5" s="1"/>
  <c r="L32" i="3"/>
  <c r="L9" i="5" s="1"/>
  <c r="T32" i="3"/>
  <c r="T9" i="5" s="1"/>
  <c r="G48" i="2"/>
  <c r="F79" i="2"/>
  <c r="F78" i="2"/>
  <c r="O79" i="2"/>
  <c r="M79" i="2"/>
  <c r="M78" i="2"/>
  <c r="O78" i="2"/>
  <c r="L78" i="2"/>
  <c r="P78" i="2"/>
  <c r="P79" i="2"/>
  <c r="N78" i="2"/>
  <c r="N79" i="2"/>
  <c r="L79" i="2"/>
  <c r="J25" i="2"/>
  <c r="G32" i="2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I44" i="1"/>
  <c r="I8" i="3" s="1"/>
  <c r="D4" i="4" s="1"/>
  <c r="K25" i="2"/>
  <c r="K45" i="1"/>
  <c r="AA62" i="1"/>
  <c r="AA11" i="3" s="1"/>
  <c r="Z62" i="1"/>
  <c r="Z11" i="3" s="1"/>
  <c r="Y62" i="1"/>
  <c r="Y11" i="3" s="1"/>
  <c r="X62" i="1"/>
  <c r="X11" i="3" s="1"/>
  <c r="W62" i="1"/>
  <c r="W11" i="3" s="1"/>
  <c r="V62" i="1"/>
  <c r="V11" i="3" s="1"/>
  <c r="U62" i="1"/>
  <c r="U11" i="3" s="1"/>
  <c r="T62" i="1"/>
  <c r="T11" i="3" s="1"/>
  <c r="S62" i="1"/>
  <c r="S11" i="3" s="1"/>
  <c r="R62" i="1"/>
  <c r="R11" i="3" s="1"/>
  <c r="Q62" i="1"/>
  <c r="Q11" i="3" s="1"/>
  <c r="P62" i="1"/>
  <c r="P11" i="3" s="1"/>
  <c r="O62" i="1"/>
  <c r="O11" i="3" s="1"/>
  <c r="N62" i="1"/>
  <c r="N11" i="3" s="1"/>
  <c r="M62" i="1"/>
  <c r="M11" i="3" s="1"/>
  <c r="L62" i="1"/>
  <c r="L11" i="3" s="1"/>
  <c r="K62" i="1"/>
  <c r="K11" i="3" s="1"/>
  <c r="J62" i="1"/>
  <c r="J11" i="3" s="1"/>
  <c r="I62" i="1"/>
  <c r="I11" i="3" s="1"/>
  <c r="H62" i="1"/>
  <c r="H11" i="3" s="1"/>
  <c r="G62" i="1"/>
  <c r="G20" i="2"/>
  <c r="G19" i="2"/>
  <c r="G17" i="2"/>
  <c r="G18" i="2" s="1"/>
  <c r="G14" i="2"/>
  <c r="G13" i="2"/>
  <c r="K29" i="2"/>
  <c r="J29" i="2"/>
  <c r="K27" i="2"/>
  <c r="J27" i="2"/>
  <c r="K26" i="2"/>
  <c r="J26" i="2"/>
  <c r="K10" i="2"/>
  <c r="J10" i="2"/>
  <c r="K9" i="2"/>
  <c r="J9" i="2"/>
  <c r="K8" i="2"/>
  <c r="J8" i="2"/>
  <c r="K5" i="2"/>
  <c r="J5" i="2"/>
  <c r="K4" i="2"/>
  <c r="J4" i="2"/>
  <c r="I6" i="2"/>
  <c r="H6" i="2"/>
  <c r="F6" i="2"/>
  <c r="F15" i="2" s="1"/>
  <c r="AA26" i="1"/>
  <c r="AA9" i="3" s="1"/>
  <c r="Z26" i="1"/>
  <c r="Z9" i="3" s="1"/>
  <c r="Y26" i="1"/>
  <c r="Y9" i="3" s="1"/>
  <c r="X26" i="1"/>
  <c r="X9" i="3" s="1"/>
  <c r="W26" i="1"/>
  <c r="W9" i="3" s="1"/>
  <c r="V26" i="1"/>
  <c r="V9" i="3" s="1"/>
  <c r="U26" i="1"/>
  <c r="U9" i="3" s="1"/>
  <c r="T26" i="1"/>
  <c r="T9" i="3" s="1"/>
  <c r="S26" i="1"/>
  <c r="S9" i="3" s="1"/>
  <c r="R26" i="1"/>
  <c r="R9" i="3" s="1"/>
  <c r="Q26" i="1"/>
  <c r="Q9" i="3" s="1"/>
  <c r="P26" i="1"/>
  <c r="P9" i="3" s="1"/>
  <c r="O26" i="1"/>
  <c r="O9" i="3" s="1"/>
  <c r="N26" i="1"/>
  <c r="N9" i="3" s="1"/>
  <c r="M26" i="1"/>
  <c r="M9" i="3" s="1"/>
  <c r="L26" i="1"/>
  <c r="L9" i="3" s="1"/>
  <c r="K26" i="1"/>
  <c r="K9" i="3" s="1"/>
  <c r="J26" i="1"/>
  <c r="J9" i="3" s="1"/>
  <c r="I26" i="1"/>
  <c r="I9" i="3" s="1"/>
  <c r="H26" i="1"/>
  <c r="H9" i="3" s="1"/>
  <c r="G26" i="1"/>
  <c r="H14" i="1"/>
  <c r="H7" i="3" s="1"/>
  <c r="C6" i="4" s="1"/>
  <c r="G14" i="1"/>
  <c r="I3" i="3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A8" i="1"/>
  <c r="AA6" i="3" s="1"/>
  <c r="V5" i="4" s="1"/>
  <c r="Z8" i="1"/>
  <c r="Z6" i="3" s="1"/>
  <c r="U5" i="4" s="1"/>
  <c r="W8" i="1"/>
  <c r="W6" i="3" s="1"/>
  <c r="R5" i="4" s="1"/>
  <c r="Y8" i="1"/>
  <c r="Y6" i="3" s="1"/>
  <c r="T5" i="4" s="1"/>
  <c r="X8" i="1"/>
  <c r="X6" i="3" s="1"/>
  <c r="S5" i="4" s="1"/>
  <c r="V8" i="1"/>
  <c r="V6" i="3" s="1"/>
  <c r="Q5" i="4" s="1"/>
  <c r="G71" i="1"/>
  <c r="G50" i="1"/>
  <c r="T8" i="1"/>
  <c r="T6" i="3" s="1"/>
  <c r="O5" i="4" s="1"/>
  <c r="G8" i="1"/>
  <c r="U8" i="1"/>
  <c r="U6" i="3" s="1"/>
  <c r="P5" i="4" s="1"/>
  <c r="S8" i="1"/>
  <c r="S6" i="3" s="1"/>
  <c r="N5" i="4" s="1"/>
  <c r="R8" i="1"/>
  <c r="R6" i="3" s="1"/>
  <c r="M5" i="4" s="1"/>
  <c r="Q8" i="1"/>
  <c r="Q6" i="3" s="1"/>
  <c r="L5" i="4" s="1"/>
  <c r="P8" i="1"/>
  <c r="P6" i="3" s="1"/>
  <c r="K5" i="4" s="1"/>
  <c r="O8" i="1"/>
  <c r="O6" i="3" s="1"/>
  <c r="J5" i="4" s="1"/>
  <c r="N8" i="1"/>
  <c r="N6" i="3" s="1"/>
  <c r="I5" i="4" s="1"/>
  <c r="M8" i="1"/>
  <c r="M6" i="3" s="1"/>
  <c r="H5" i="4" s="1"/>
  <c r="L8" i="1"/>
  <c r="L6" i="3" s="1"/>
  <c r="G5" i="4" s="1"/>
  <c r="K8" i="1"/>
  <c r="K6" i="3" s="1"/>
  <c r="F5" i="4" s="1"/>
  <c r="J8" i="1"/>
  <c r="J6" i="3" s="1"/>
  <c r="E5" i="4" s="1"/>
  <c r="I8" i="1"/>
  <c r="I6" i="3" s="1"/>
  <c r="D5" i="4" s="1"/>
  <c r="H8" i="1"/>
  <c r="H6" i="3" s="1"/>
  <c r="C5" i="4" s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G12" i="5" l="1"/>
  <c r="H19" i="5"/>
  <c r="J33" i="1"/>
  <c r="J32" i="1" s="1"/>
  <c r="J18" i="3" s="1"/>
  <c r="G44" i="3"/>
  <c r="J38" i="1"/>
  <c r="L39" i="1"/>
  <c r="L38" i="1" s="1"/>
  <c r="J15" i="1"/>
  <c r="J14" i="1" s="1"/>
  <c r="J7" i="3" s="1"/>
  <c r="E6" i="4" s="1"/>
  <c r="K21" i="1"/>
  <c r="L21" i="1" s="1"/>
  <c r="I14" i="1"/>
  <c r="I7" i="3" s="1"/>
  <c r="D6" i="4" s="1"/>
  <c r="K32" i="2"/>
  <c r="J32" i="2"/>
  <c r="I52" i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J56" i="1"/>
  <c r="H14" i="2"/>
  <c r="H15" i="2"/>
  <c r="I14" i="2"/>
  <c r="I15" i="2"/>
  <c r="K44" i="1"/>
  <c r="K8" i="3" s="1"/>
  <c r="F4" i="4" s="1"/>
  <c r="L45" i="1"/>
  <c r="H17" i="2"/>
  <c r="H18" i="2" s="1"/>
  <c r="K6" i="2"/>
  <c r="F13" i="2"/>
  <c r="H20" i="2"/>
  <c r="I17" i="2"/>
  <c r="I18" i="2" s="1"/>
  <c r="I20" i="2"/>
  <c r="J6" i="2"/>
  <c r="F16" i="2"/>
  <c r="F19" i="2"/>
  <c r="G16" i="2"/>
  <c r="H16" i="2"/>
  <c r="H19" i="2"/>
  <c r="I16" i="2"/>
  <c r="I19" i="2"/>
  <c r="F17" i="2"/>
  <c r="F18" i="2" s="1"/>
  <c r="F20" i="2"/>
  <c r="H13" i="2"/>
  <c r="I13" i="2"/>
  <c r="F14" i="2"/>
  <c r="K33" i="1" l="1"/>
  <c r="K32" i="1" s="1"/>
  <c r="K18" i="3" s="1"/>
  <c r="M39" i="1"/>
  <c r="M38" i="1" s="1"/>
  <c r="K15" i="1"/>
  <c r="K14" i="1" s="1"/>
  <c r="K7" i="3" s="1"/>
  <c r="F6" i="4" s="1"/>
  <c r="K20" i="1"/>
  <c r="J51" i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A50" i="1" s="1"/>
  <c r="AA10" i="3" s="1"/>
  <c r="AA23" i="3" s="1"/>
  <c r="L20" i="1"/>
  <c r="M21" i="1"/>
  <c r="K15" i="2"/>
  <c r="H50" i="1"/>
  <c r="H10" i="3" s="1"/>
  <c r="H23" i="3" s="1"/>
  <c r="K56" i="1"/>
  <c r="J15" i="2"/>
  <c r="L44" i="1"/>
  <c r="L8" i="3" s="1"/>
  <c r="G4" i="4" s="1"/>
  <c r="M45" i="1"/>
  <c r="J18" i="2"/>
  <c r="H72" i="1" s="1"/>
  <c r="K18" i="2"/>
  <c r="J17" i="2"/>
  <c r="K19" i="2"/>
  <c r="J13" i="2"/>
  <c r="J19" i="2"/>
  <c r="K20" i="2"/>
  <c r="K17" i="2"/>
  <c r="K13" i="2"/>
  <c r="J20" i="2"/>
  <c r="K16" i="2"/>
  <c r="J16" i="2"/>
  <c r="K14" i="2"/>
  <c r="J14" i="2"/>
  <c r="L33" i="1" l="1"/>
  <c r="L32" i="1" s="1"/>
  <c r="L18" i="3" s="1"/>
  <c r="I72" i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H12" i="3"/>
  <c r="H99" i="3" s="1"/>
  <c r="H19" i="3"/>
  <c r="N39" i="1"/>
  <c r="O39" i="1" s="1"/>
  <c r="L15" i="1"/>
  <c r="L14" i="1" s="1"/>
  <c r="L7" i="3" s="1"/>
  <c r="G6" i="4" s="1"/>
  <c r="AA12" i="3"/>
  <c r="V3" i="4" s="1"/>
  <c r="Z50" i="1"/>
  <c r="Z10" i="3" s="1"/>
  <c r="Z23" i="3" s="1"/>
  <c r="K50" i="1"/>
  <c r="K10" i="3" s="1"/>
  <c r="L50" i="1"/>
  <c r="L10" i="3" s="1"/>
  <c r="V50" i="1"/>
  <c r="V10" i="3" s="1"/>
  <c r="V23" i="3" s="1"/>
  <c r="U50" i="1"/>
  <c r="U10" i="3" s="1"/>
  <c r="U23" i="3" s="1"/>
  <c r="Q50" i="1"/>
  <c r="Q10" i="3" s="1"/>
  <c r="Q23" i="3" s="1"/>
  <c r="P50" i="1"/>
  <c r="P10" i="3" s="1"/>
  <c r="P23" i="3" s="1"/>
  <c r="T50" i="1"/>
  <c r="T10" i="3" s="1"/>
  <c r="T23" i="3" s="1"/>
  <c r="M50" i="1"/>
  <c r="M10" i="3" s="1"/>
  <c r="M23" i="3" s="1"/>
  <c r="I50" i="1"/>
  <c r="I10" i="3" s="1"/>
  <c r="J50" i="1"/>
  <c r="J10" i="3" s="1"/>
  <c r="S50" i="1"/>
  <c r="S10" i="3" s="1"/>
  <c r="S23" i="3" s="1"/>
  <c r="W50" i="1"/>
  <c r="W10" i="3" s="1"/>
  <c r="W23" i="3" s="1"/>
  <c r="Y50" i="1"/>
  <c r="Y10" i="3" s="1"/>
  <c r="Y23" i="3" s="1"/>
  <c r="R50" i="1"/>
  <c r="R10" i="3" s="1"/>
  <c r="R23" i="3" s="1"/>
  <c r="X50" i="1"/>
  <c r="X10" i="3" s="1"/>
  <c r="X23" i="3" s="1"/>
  <c r="O50" i="1"/>
  <c r="O10" i="3" s="1"/>
  <c r="O23" i="3" s="1"/>
  <c r="N50" i="1"/>
  <c r="N10" i="3" s="1"/>
  <c r="N23" i="3" s="1"/>
  <c r="N21" i="1"/>
  <c r="M20" i="1"/>
  <c r="H14" i="3"/>
  <c r="H13" i="3"/>
  <c r="L56" i="1"/>
  <c r="H71" i="1"/>
  <c r="M44" i="1"/>
  <c r="M8" i="3" s="1"/>
  <c r="H4" i="4" s="1"/>
  <c r="N45" i="1"/>
  <c r="C3" i="4" l="1"/>
  <c r="H98" i="3"/>
  <c r="H100" i="3" s="1"/>
  <c r="H101" i="3" s="1"/>
  <c r="M33" i="1"/>
  <c r="N33" i="1" s="1"/>
  <c r="O33" i="1" s="1"/>
  <c r="L19" i="3"/>
  <c r="L23" i="3"/>
  <c r="K19" i="3"/>
  <c r="K23" i="3"/>
  <c r="J19" i="3"/>
  <c r="J23" i="3"/>
  <c r="I19" i="3"/>
  <c r="I23" i="3"/>
  <c r="N38" i="1"/>
  <c r="P39" i="1"/>
  <c r="O38" i="1"/>
  <c r="M15" i="1"/>
  <c r="M14" i="1" s="1"/>
  <c r="M7" i="3" s="1"/>
  <c r="O12" i="3"/>
  <c r="J3" i="4" s="1"/>
  <c r="R12" i="3"/>
  <c r="M3" i="4" s="1"/>
  <c r="Y12" i="3"/>
  <c r="T3" i="4" s="1"/>
  <c r="Q12" i="3"/>
  <c r="L3" i="4" s="1"/>
  <c r="W12" i="3"/>
  <c r="R3" i="4" s="1"/>
  <c r="U12" i="3"/>
  <c r="P3" i="4" s="1"/>
  <c r="Z12" i="3"/>
  <c r="U3" i="4" s="1"/>
  <c r="X12" i="3"/>
  <c r="S3" i="4" s="1"/>
  <c r="V12" i="3"/>
  <c r="Q3" i="4" s="1"/>
  <c r="J12" i="3"/>
  <c r="E3" i="4" s="1"/>
  <c r="L12" i="3"/>
  <c r="G3" i="4" s="1"/>
  <c r="M12" i="3"/>
  <c r="H3" i="4" s="1"/>
  <c r="P12" i="3"/>
  <c r="K3" i="4" s="1"/>
  <c r="S12" i="3"/>
  <c r="N3" i="4" s="1"/>
  <c r="N12" i="3"/>
  <c r="I3" i="4" s="1"/>
  <c r="I14" i="3"/>
  <c r="I12" i="3"/>
  <c r="D3" i="4" s="1"/>
  <c r="K14" i="3"/>
  <c r="K12" i="3"/>
  <c r="F3" i="4" s="1"/>
  <c r="T12" i="3"/>
  <c r="O3" i="4" s="1"/>
  <c r="L14" i="3"/>
  <c r="L13" i="3"/>
  <c r="J14" i="3"/>
  <c r="J13" i="3"/>
  <c r="K13" i="3"/>
  <c r="I13" i="3"/>
  <c r="O21" i="1"/>
  <c r="N20" i="1"/>
  <c r="H16" i="3"/>
  <c r="M13" i="3"/>
  <c r="M56" i="1"/>
  <c r="I71" i="1"/>
  <c r="O45" i="1"/>
  <c r="N44" i="1"/>
  <c r="N8" i="3" s="1"/>
  <c r="I4" i="4" s="1"/>
  <c r="N32" i="1" l="1"/>
  <c r="N18" i="3" s="1"/>
  <c r="N19" i="3" s="1"/>
  <c r="M32" i="1"/>
  <c r="M18" i="3" s="1"/>
  <c r="M19" i="3" s="1"/>
  <c r="M14" i="3"/>
  <c r="M16" i="3" s="1"/>
  <c r="H6" i="4"/>
  <c r="H20" i="3"/>
  <c r="H21" i="3" s="1"/>
  <c r="K16" i="3"/>
  <c r="P33" i="1"/>
  <c r="O32" i="1"/>
  <c r="O18" i="3" s="1"/>
  <c r="Q39" i="1"/>
  <c r="P38" i="1"/>
  <c r="N15" i="1"/>
  <c r="N14" i="1" s="1"/>
  <c r="N7" i="3" s="1"/>
  <c r="I16" i="3"/>
  <c r="J16" i="3"/>
  <c r="L16" i="3"/>
  <c r="P21" i="1"/>
  <c r="O20" i="1"/>
  <c r="N13" i="3"/>
  <c r="N56" i="1"/>
  <c r="J71" i="1"/>
  <c r="P45" i="1"/>
  <c r="O44" i="1"/>
  <c r="O8" i="3" s="1"/>
  <c r="J4" i="4" s="1"/>
  <c r="N14" i="3" l="1"/>
  <c r="N16" i="3" s="1"/>
  <c r="I6" i="4"/>
  <c r="H28" i="3"/>
  <c r="L20" i="3"/>
  <c r="L22" i="3" s="1"/>
  <c r="J20" i="3"/>
  <c r="J21" i="3" s="1"/>
  <c r="K20" i="3"/>
  <c r="K22" i="3" s="1"/>
  <c r="I20" i="3"/>
  <c r="I21" i="3" s="1"/>
  <c r="O19" i="3"/>
  <c r="H22" i="3"/>
  <c r="H26" i="3" s="1"/>
  <c r="M20" i="3"/>
  <c r="M22" i="3" s="1"/>
  <c r="O15" i="1"/>
  <c r="O14" i="1" s="1"/>
  <c r="O7" i="3" s="1"/>
  <c r="Q33" i="1"/>
  <c r="P32" i="1"/>
  <c r="P18" i="3" s="1"/>
  <c r="Q38" i="1"/>
  <c r="R39" i="1"/>
  <c r="Q21" i="1"/>
  <c r="P20" i="1"/>
  <c r="O13" i="3"/>
  <c r="O56" i="1"/>
  <c r="K71" i="1"/>
  <c r="Q45" i="1"/>
  <c r="P44" i="1"/>
  <c r="P8" i="3" s="1"/>
  <c r="K4" i="4" s="1"/>
  <c r="O14" i="3" l="1"/>
  <c r="O16" i="3" s="1"/>
  <c r="J6" i="4"/>
  <c r="K28" i="3"/>
  <c r="J28" i="3"/>
  <c r="K21" i="3"/>
  <c r="K26" i="3" s="1"/>
  <c r="H29" i="3"/>
  <c r="H30" i="3" s="1"/>
  <c r="H34" i="3" s="1"/>
  <c r="I22" i="3"/>
  <c r="I26" i="3" s="1"/>
  <c r="M21" i="3"/>
  <c r="M26" i="3" s="1"/>
  <c r="I28" i="3"/>
  <c r="J22" i="3"/>
  <c r="J26" i="3" s="1"/>
  <c r="N20" i="3"/>
  <c r="N22" i="3" s="1"/>
  <c r="L21" i="3"/>
  <c r="L26" i="3" s="1"/>
  <c r="P19" i="3"/>
  <c r="P15" i="1"/>
  <c r="P14" i="1" s="1"/>
  <c r="P7" i="3" s="1"/>
  <c r="R33" i="1"/>
  <c r="Q32" i="1"/>
  <c r="Q18" i="3" s="1"/>
  <c r="R38" i="1"/>
  <c r="S39" i="1"/>
  <c r="Q20" i="1"/>
  <c r="R21" i="1"/>
  <c r="P13" i="3"/>
  <c r="P56" i="1"/>
  <c r="L71" i="1"/>
  <c r="L28" i="3" s="1"/>
  <c r="R45" i="1"/>
  <c r="Q44" i="1"/>
  <c r="Q8" i="3" s="1"/>
  <c r="L4" i="4" s="1"/>
  <c r="P14" i="3" l="1"/>
  <c r="P16" i="3" s="1"/>
  <c r="K6" i="4"/>
  <c r="H36" i="3"/>
  <c r="H38" i="3" s="1"/>
  <c r="H43" i="3" s="1"/>
  <c r="H8" i="5"/>
  <c r="H12" i="5" s="1"/>
  <c r="K29" i="3"/>
  <c r="K30" i="3" s="1"/>
  <c r="K34" i="3" s="1"/>
  <c r="J29" i="3"/>
  <c r="J30" i="3" s="1"/>
  <c r="J34" i="3" s="1"/>
  <c r="L29" i="3"/>
  <c r="L30" i="3" s="1"/>
  <c r="L34" i="3" s="1"/>
  <c r="I29" i="3"/>
  <c r="I30" i="3" s="1"/>
  <c r="I34" i="3" s="1"/>
  <c r="N21" i="3"/>
  <c r="N26" i="3" s="1"/>
  <c r="O20" i="3"/>
  <c r="O22" i="3" s="1"/>
  <c r="Q19" i="3"/>
  <c r="Q15" i="1"/>
  <c r="Q14" i="1" s="1"/>
  <c r="Q7" i="3" s="1"/>
  <c r="S33" i="1"/>
  <c r="R32" i="1"/>
  <c r="R18" i="3" s="1"/>
  <c r="S38" i="1"/>
  <c r="T39" i="1"/>
  <c r="R20" i="1"/>
  <c r="S21" i="1"/>
  <c r="Q13" i="3"/>
  <c r="Q56" i="1"/>
  <c r="M71" i="1"/>
  <c r="M28" i="3" s="1"/>
  <c r="M29" i="3" s="1"/>
  <c r="R44" i="1"/>
  <c r="R8" i="3" s="1"/>
  <c r="M4" i="4" s="1"/>
  <c r="S45" i="1"/>
  <c r="H44" i="3" l="1"/>
  <c r="Q14" i="3"/>
  <c r="Q16" i="3" s="1"/>
  <c r="L6" i="4"/>
  <c r="R19" i="3"/>
  <c r="H49" i="3"/>
  <c r="K36" i="3"/>
  <c r="K38" i="3" s="1"/>
  <c r="K43" i="3" s="1"/>
  <c r="K49" i="3" s="1"/>
  <c r="K8" i="5"/>
  <c r="K12" i="5" s="1"/>
  <c r="I36" i="3"/>
  <c r="I38" i="3" s="1"/>
  <c r="I43" i="3" s="1"/>
  <c r="I49" i="3" s="1"/>
  <c r="I8" i="5"/>
  <c r="I12" i="5" s="1"/>
  <c r="L36" i="3"/>
  <c r="L38" i="3" s="1"/>
  <c r="L43" i="3" s="1"/>
  <c r="L49" i="3" s="1"/>
  <c r="L8" i="5"/>
  <c r="L12" i="5" s="1"/>
  <c r="H15" i="5"/>
  <c r="H16" i="5"/>
  <c r="H20" i="5" s="1"/>
  <c r="H21" i="5" s="1"/>
  <c r="I14" i="5" s="1"/>
  <c r="J36" i="3"/>
  <c r="J38" i="3" s="1"/>
  <c r="J43" i="3" s="1"/>
  <c r="J49" i="3" s="1"/>
  <c r="J8" i="5"/>
  <c r="J12" i="5" s="1"/>
  <c r="O21" i="3"/>
  <c r="O26" i="3" s="1"/>
  <c r="P20" i="3"/>
  <c r="P22" i="3" s="1"/>
  <c r="R15" i="1"/>
  <c r="R14" i="1" s="1"/>
  <c r="R7" i="3" s="1"/>
  <c r="S32" i="1"/>
  <c r="S18" i="3" s="1"/>
  <c r="T33" i="1"/>
  <c r="T38" i="1"/>
  <c r="U39" i="1"/>
  <c r="M30" i="3"/>
  <c r="M34" i="3" s="1"/>
  <c r="S20" i="1"/>
  <c r="T21" i="1"/>
  <c r="R13" i="3"/>
  <c r="R56" i="1"/>
  <c r="N71" i="1"/>
  <c r="N28" i="3" s="1"/>
  <c r="N29" i="3" s="1"/>
  <c r="S44" i="1"/>
  <c r="S8" i="3" s="1"/>
  <c r="N4" i="4" s="1"/>
  <c r="T45" i="1"/>
  <c r="R14" i="3" l="1"/>
  <c r="R16" i="3" s="1"/>
  <c r="M6" i="4"/>
  <c r="H24" i="5"/>
  <c r="H25" i="5" s="1"/>
  <c r="H27" i="5" s="1"/>
  <c r="H29" i="5" s="1"/>
  <c r="I19" i="5"/>
  <c r="M36" i="3"/>
  <c r="M38" i="3" s="1"/>
  <c r="M43" i="3" s="1"/>
  <c r="M49" i="3" s="1"/>
  <c r="M8" i="5"/>
  <c r="M12" i="5" s="1"/>
  <c r="I44" i="3"/>
  <c r="J44" i="3" s="1"/>
  <c r="K44" i="3" s="1"/>
  <c r="L44" i="3" s="1"/>
  <c r="P21" i="3"/>
  <c r="P26" i="3" s="1"/>
  <c r="Q20" i="3"/>
  <c r="Q22" i="3" s="1"/>
  <c r="S19" i="3"/>
  <c r="S15" i="1"/>
  <c r="S14" i="1" s="1"/>
  <c r="S7" i="3" s="1"/>
  <c r="U33" i="1"/>
  <c r="T32" i="1"/>
  <c r="T18" i="3" s="1"/>
  <c r="U38" i="1"/>
  <c r="V39" i="1"/>
  <c r="N30" i="3"/>
  <c r="N34" i="3" s="1"/>
  <c r="T20" i="1"/>
  <c r="U21" i="1"/>
  <c r="S13" i="3"/>
  <c r="S56" i="1"/>
  <c r="O71" i="1"/>
  <c r="O28" i="3" s="1"/>
  <c r="O29" i="3" s="1"/>
  <c r="T44" i="1"/>
  <c r="T8" i="3" s="1"/>
  <c r="O4" i="4" s="1"/>
  <c r="U45" i="1"/>
  <c r="S14" i="3" l="1"/>
  <c r="S16" i="3" s="1"/>
  <c r="N6" i="4"/>
  <c r="M44" i="3"/>
  <c r="H35" i="5"/>
  <c r="I15" i="5"/>
  <c r="I16" i="5"/>
  <c r="I20" i="5" s="1"/>
  <c r="I21" i="5" s="1"/>
  <c r="J14" i="5" s="1"/>
  <c r="N36" i="3"/>
  <c r="N38" i="3" s="1"/>
  <c r="N43" i="3" s="1"/>
  <c r="N8" i="5"/>
  <c r="N12" i="5" s="1"/>
  <c r="T19" i="3"/>
  <c r="R20" i="3"/>
  <c r="R22" i="3" s="1"/>
  <c r="Q21" i="3"/>
  <c r="Q26" i="3" s="1"/>
  <c r="T15" i="1"/>
  <c r="T14" i="1" s="1"/>
  <c r="T7" i="3" s="1"/>
  <c r="U15" i="1"/>
  <c r="U14" i="1" s="1"/>
  <c r="U7" i="3" s="1"/>
  <c r="P6" i="4" s="1"/>
  <c r="V33" i="1"/>
  <c r="U32" i="1"/>
  <c r="U18" i="3" s="1"/>
  <c r="W39" i="1"/>
  <c r="V38" i="1"/>
  <c r="O30" i="3"/>
  <c r="O34" i="3" s="1"/>
  <c r="V21" i="1"/>
  <c r="U20" i="1"/>
  <c r="T13" i="3"/>
  <c r="T56" i="1"/>
  <c r="P71" i="1"/>
  <c r="P28" i="3" s="1"/>
  <c r="P29" i="3" s="1"/>
  <c r="U44" i="1"/>
  <c r="U8" i="3" s="1"/>
  <c r="P4" i="4" s="1"/>
  <c r="V45" i="1"/>
  <c r="N49" i="3" l="1"/>
  <c r="T14" i="3"/>
  <c r="T16" i="3" s="1"/>
  <c r="O6" i="4"/>
  <c r="N44" i="3"/>
  <c r="H30" i="5"/>
  <c r="O36" i="3"/>
  <c r="O38" i="3" s="1"/>
  <c r="O43" i="3" s="1"/>
  <c r="O49" i="3" s="1"/>
  <c r="O8" i="5"/>
  <c r="O12" i="5" s="1"/>
  <c r="J19" i="5"/>
  <c r="I24" i="5"/>
  <c r="I25" i="5" s="1"/>
  <c r="U19" i="3"/>
  <c r="R21" i="3"/>
  <c r="R26" i="3" s="1"/>
  <c r="S20" i="3"/>
  <c r="S22" i="3" s="1"/>
  <c r="V15" i="1"/>
  <c r="W33" i="1"/>
  <c r="V32" i="1"/>
  <c r="V18" i="3" s="1"/>
  <c r="W38" i="1"/>
  <c r="X39" i="1"/>
  <c r="V14" i="1"/>
  <c r="V7" i="3" s="1"/>
  <c r="Q6" i="4" s="1"/>
  <c r="P30" i="3"/>
  <c r="P34" i="3" s="1"/>
  <c r="W21" i="1"/>
  <c r="V20" i="1"/>
  <c r="U14" i="3"/>
  <c r="U13" i="3"/>
  <c r="U56" i="1"/>
  <c r="Q71" i="1"/>
  <c r="Q28" i="3" s="1"/>
  <c r="Q29" i="3" s="1"/>
  <c r="W45" i="1"/>
  <c r="V44" i="1"/>
  <c r="V8" i="3" s="1"/>
  <c r="Q4" i="4" s="1"/>
  <c r="I27" i="5" l="1"/>
  <c r="I29" i="5" s="1"/>
  <c r="O44" i="3"/>
  <c r="P36" i="3"/>
  <c r="P38" i="3" s="1"/>
  <c r="P43" i="3" s="1"/>
  <c r="P49" i="3" s="1"/>
  <c r="P8" i="5"/>
  <c r="P12" i="5" s="1"/>
  <c r="J15" i="5"/>
  <c r="J16" i="5"/>
  <c r="J20" i="5" s="1"/>
  <c r="J21" i="5" s="1"/>
  <c r="K14" i="5" s="1"/>
  <c r="S21" i="3"/>
  <c r="S26" i="3" s="1"/>
  <c r="T20" i="3"/>
  <c r="T22" i="3" s="1"/>
  <c r="V19" i="3"/>
  <c r="W15" i="1"/>
  <c r="X33" i="1"/>
  <c r="W32" i="1"/>
  <c r="W18" i="3" s="1"/>
  <c r="Y39" i="1"/>
  <c r="X38" i="1"/>
  <c r="W14" i="1"/>
  <c r="W7" i="3" s="1"/>
  <c r="R6" i="4" s="1"/>
  <c r="Q30" i="3"/>
  <c r="Q34" i="3" s="1"/>
  <c r="W20" i="1"/>
  <c r="X21" i="1"/>
  <c r="U16" i="3"/>
  <c r="V13" i="3"/>
  <c r="V14" i="3"/>
  <c r="V56" i="1"/>
  <c r="R71" i="1"/>
  <c r="R28" i="3" s="1"/>
  <c r="R29" i="3" s="1"/>
  <c r="X45" i="1"/>
  <c r="W44" i="1"/>
  <c r="W8" i="3" s="1"/>
  <c r="R4" i="4" s="1"/>
  <c r="P44" i="3" l="1"/>
  <c r="I35" i="5"/>
  <c r="I30" i="5"/>
  <c r="K19" i="5"/>
  <c r="J24" i="5"/>
  <c r="J25" i="5" s="1"/>
  <c r="Q36" i="3"/>
  <c r="Q38" i="3" s="1"/>
  <c r="Q43" i="3" s="1"/>
  <c r="Q8" i="5"/>
  <c r="Q12" i="5" s="1"/>
  <c r="T21" i="3"/>
  <c r="T26" i="3" s="1"/>
  <c r="U20" i="3"/>
  <c r="U22" i="3" s="1"/>
  <c r="W19" i="3"/>
  <c r="X15" i="1"/>
  <c r="Y33" i="1"/>
  <c r="X32" i="1"/>
  <c r="X18" i="3" s="1"/>
  <c r="Z39" i="1"/>
  <c r="Y38" i="1"/>
  <c r="X14" i="1"/>
  <c r="X7" i="3" s="1"/>
  <c r="S6" i="4" s="1"/>
  <c r="R30" i="3"/>
  <c r="R34" i="3" s="1"/>
  <c r="Y21" i="1"/>
  <c r="X20" i="1"/>
  <c r="W14" i="3"/>
  <c r="W13" i="3"/>
  <c r="V16" i="3"/>
  <c r="W56" i="1"/>
  <c r="S71" i="1"/>
  <c r="S28" i="3" s="1"/>
  <c r="S29" i="3" s="1"/>
  <c r="Y45" i="1"/>
  <c r="X44" i="1"/>
  <c r="X8" i="3" s="1"/>
  <c r="S4" i="4" s="1"/>
  <c r="Q49" i="3" l="1"/>
  <c r="Q44" i="3"/>
  <c r="J27" i="5"/>
  <c r="J29" i="5" s="1"/>
  <c r="K16" i="5"/>
  <c r="K20" i="5" s="1"/>
  <c r="K21" i="5" s="1"/>
  <c r="L14" i="5" s="1"/>
  <c r="K15" i="5"/>
  <c r="R36" i="3"/>
  <c r="R38" i="3" s="1"/>
  <c r="R43" i="3" s="1"/>
  <c r="R49" i="3" s="1"/>
  <c r="R8" i="5"/>
  <c r="R12" i="5" s="1"/>
  <c r="U21" i="3"/>
  <c r="U26" i="3" s="1"/>
  <c r="V20" i="3"/>
  <c r="V22" i="3" s="1"/>
  <c r="X19" i="3"/>
  <c r="Y15" i="1"/>
  <c r="Y32" i="1"/>
  <c r="Y18" i="3" s="1"/>
  <c r="Z33" i="1"/>
  <c r="Z38" i="1"/>
  <c r="AA39" i="1"/>
  <c r="AA38" i="1" s="1"/>
  <c r="Y14" i="1"/>
  <c r="Y7" i="3" s="1"/>
  <c r="T6" i="4" s="1"/>
  <c r="S30" i="3"/>
  <c r="S34" i="3" s="1"/>
  <c r="Y20" i="1"/>
  <c r="Z21" i="1"/>
  <c r="Z15" i="1" s="1"/>
  <c r="W16" i="3"/>
  <c r="X13" i="3"/>
  <c r="X14" i="3"/>
  <c r="X56" i="1"/>
  <c r="T71" i="1"/>
  <c r="T28" i="3" s="1"/>
  <c r="T29" i="3" s="1"/>
  <c r="Z45" i="1"/>
  <c r="Y44" i="1"/>
  <c r="Y8" i="3" s="1"/>
  <c r="T4" i="4" s="1"/>
  <c r="R44" i="3" l="1"/>
  <c r="J35" i="5"/>
  <c r="J30" i="5"/>
  <c r="S36" i="3"/>
  <c r="S38" i="3" s="1"/>
  <c r="S43" i="3" s="1"/>
  <c r="S49" i="3" s="1"/>
  <c r="S8" i="5"/>
  <c r="S12" i="5" s="1"/>
  <c r="L19" i="5"/>
  <c r="K24" i="5"/>
  <c r="K25" i="5" s="1"/>
  <c r="W20" i="3"/>
  <c r="W22" i="3" s="1"/>
  <c r="V21" i="3"/>
  <c r="V26" i="3" s="1"/>
  <c r="Y19" i="3"/>
  <c r="AA33" i="1"/>
  <c r="AA32" i="1" s="1"/>
  <c r="AA18" i="3" s="1"/>
  <c r="Z32" i="1"/>
  <c r="Z18" i="3" s="1"/>
  <c r="Z14" i="1"/>
  <c r="Z7" i="3" s="1"/>
  <c r="U6" i="4" s="1"/>
  <c r="T30" i="3"/>
  <c r="T34" i="3" s="1"/>
  <c r="Z20" i="1"/>
  <c r="AA21" i="1"/>
  <c r="AA20" i="1" s="1"/>
  <c r="Y14" i="3"/>
  <c r="Y13" i="3"/>
  <c r="X16" i="3"/>
  <c r="Y56" i="1"/>
  <c r="U71" i="1"/>
  <c r="U28" i="3" s="1"/>
  <c r="U29" i="3" s="1"/>
  <c r="AA45" i="1"/>
  <c r="AA44" i="1" s="1"/>
  <c r="AA8" i="3" s="1"/>
  <c r="V4" i="4" s="1"/>
  <c r="Z44" i="1"/>
  <c r="Z8" i="3" s="1"/>
  <c r="U4" i="4" s="1"/>
  <c r="S44" i="3" l="1"/>
  <c r="K27" i="5"/>
  <c r="K29" i="5" s="1"/>
  <c r="L16" i="5"/>
  <c r="L20" i="5" s="1"/>
  <c r="L21" i="5" s="1"/>
  <c r="M14" i="5" s="1"/>
  <c r="L15" i="5"/>
  <c r="T36" i="3"/>
  <c r="T38" i="3" s="1"/>
  <c r="T43" i="3" s="1"/>
  <c r="T49" i="3" s="1"/>
  <c r="T8" i="5"/>
  <c r="T12" i="5" s="1"/>
  <c r="W21" i="3"/>
  <c r="W26" i="3" s="1"/>
  <c r="X20" i="3"/>
  <c r="X22" i="3" s="1"/>
  <c r="Z19" i="3"/>
  <c r="AA19" i="3"/>
  <c r="AA15" i="1"/>
  <c r="AA14" i="1" s="1"/>
  <c r="AA7" i="3" s="1"/>
  <c r="U30" i="3"/>
  <c r="U34" i="3" s="1"/>
  <c r="AA13" i="3"/>
  <c r="Z13" i="3"/>
  <c r="Z14" i="3"/>
  <c r="Y16" i="3"/>
  <c r="Z56" i="1"/>
  <c r="AA56" i="1"/>
  <c r="V71" i="1"/>
  <c r="V28" i="3" s="1"/>
  <c r="V29" i="3" s="1"/>
  <c r="AA14" i="3" l="1"/>
  <c r="AA16" i="3" s="1"/>
  <c r="V6" i="4"/>
  <c r="T44" i="3"/>
  <c r="K35" i="5"/>
  <c r="K30" i="5"/>
  <c r="U36" i="3"/>
  <c r="U38" i="3" s="1"/>
  <c r="U43" i="3" s="1"/>
  <c r="U49" i="3" s="1"/>
  <c r="U8" i="5"/>
  <c r="U12" i="5" s="1"/>
  <c r="L24" i="5"/>
  <c r="L25" i="5" s="1"/>
  <c r="M19" i="5"/>
  <c r="X21" i="3"/>
  <c r="X26" i="3" s="1"/>
  <c r="Y20" i="3"/>
  <c r="Y22" i="3" s="1"/>
  <c r="V30" i="3"/>
  <c r="V34" i="3" s="1"/>
  <c r="Z16" i="3"/>
  <c r="W71" i="1"/>
  <c r="W28" i="3" s="1"/>
  <c r="W29" i="3" s="1"/>
  <c r="L27" i="5" l="1"/>
  <c r="L29" i="5" s="1"/>
  <c r="V36" i="3"/>
  <c r="V38" i="3" s="1"/>
  <c r="V43" i="3" s="1"/>
  <c r="V49" i="3" s="1"/>
  <c r="V8" i="5"/>
  <c r="V12" i="5" s="1"/>
  <c r="M16" i="5"/>
  <c r="M20" i="5" s="1"/>
  <c r="M21" i="5" s="1"/>
  <c r="N14" i="5" s="1"/>
  <c r="M15" i="5"/>
  <c r="U44" i="3"/>
  <c r="Y21" i="3"/>
  <c r="Y26" i="3" s="1"/>
  <c r="AA20" i="3"/>
  <c r="AA22" i="3" s="1"/>
  <c r="Z20" i="3"/>
  <c r="Z22" i="3" s="1"/>
  <c r="W30" i="3"/>
  <c r="W34" i="3" s="1"/>
  <c r="X71" i="1"/>
  <c r="X28" i="3" s="1"/>
  <c r="X29" i="3" s="1"/>
  <c r="V44" i="3" l="1"/>
  <c r="L35" i="5"/>
  <c r="L30" i="5"/>
  <c r="N19" i="5"/>
  <c r="M24" i="5"/>
  <c r="M25" i="5" s="1"/>
  <c r="W36" i="3"/>
  <c r="W38" i="3" s="1"/>
  <c r="W43" i="3" s="1"/>
  <c r="W49" i="3" s="1"/>
  <c r="W8" i="5"/>
  <c r="W12" i="5" s="1"/>
  <c r="Z21" i="3"/>
  <c r="Z26" i="3" s="1"/>
  <c r="AA21" i="3"/>
  <c r="AA26" i="3" s="1"/>
  <c r="X30" i="3"/>
  <c r="X34" i="3" s="1"/>
  <c r="Y71" i="1"/>
  <c r="Y28" i="3" s="1"/>
  <c r="Y29" i="3" s="1"/>
  <c r="M27" i="5" l="1"/>
  <c r="M29" i="5" s="1"/>
  <c r="X36" i="3"/>
  <c r="X38" i="3" s="1"/>
  <c r="X43" i="3" s="1"/>
  <c r="X49" i="3" s="1"/>
  <c r="X8" i="5"/>
  <c r="X12" i="5" s="1"/>
  <c r="N15" i="5"/>
  <c r="N16" i="5"/>
  <c r="N20" i="5" s="1"/>
  <c r="N21" i="5" s="1"/>
  <c r="O14" i="5" s="1"/>
  <c r="W44" i="3"/>
  <c r="Y30" i="3"/>
  <c r="Y34" i="3" s="1"/>
  <c r="AA71" i="1"/>
  <c r="AA28" i="3" s="1"/>
  <c r="AA29" i="3" s="1"/>
  <c r="Z71" i="1"/>
  <c r="Z28" i="3" s="1"/>
  <c r="Z29" i="3" s="1"/>
  <c r="M35" i="5" l="1"/>
  <c r="M30" i="5"/>
  <c r="X44" i="3"/>
  <c r="Y36" i="3"/>
  <c r="Y38" i="3" s="1"/>
  <c r="Y43" i="3" s="1"/>
  <c r="Y49" i="3" s="1"/>
  <c r="Y8" i="5"/>
  <c r="Y12" i="5" s="1"/>
  <c r="O19" i="5"/>
  <c r="N24" i="5"/>
  <c r="N25" i="5" s="1"/>
  <c r="Z30" i="3"/>
  <c r="Z34" i="3" s="1"/>
  <c r="AA30" i="3"/>
  <c r="AA34" i="3" s="1"/>
  <c r="Y44" i="3" l="1"/>
  <c r="N27" i="5"/>
  <c r="N29" i="5" s="1"/>
  <c r="O16" i="5"/>
  <c r="O20" i="5" s="1"/>
  <c r="O21" i="5" s="1"/>
  <c r="P14" i="5" s="1"/>
  <c r="O15" i="5"/>
  <c r="Z36" i="3"/>
  <c r="Z38" i="3" s="1"/>
  <c r="Z43" i="3" s="1"/>
  <c r="Z49" i="3" s="1"/>
  <c r="Z8" i="5"/>
  <c r="Z12" i="5" s="1"/>
  <c r="AA36" i="3"/>
  <c r="AA38" i="3" s="1"/>
  <c r="AA43" i="3" s="1"/>
  <c r="AB43" i="3" s="1"/>
  <c r="AA8" i="5"/>
  <c r="AA12" i="5" s="1"/>
  <c r="AB49" i="3" l="1"/>
  <c r="E54" i="3"/>
  <c r="N35" i="5"/>
  <c r="N30" i="5"/>
  <c r="AA49" i="3"/>
  <c r="Z44" i="3"/>
  <c r="AA44" i="3" s="1"/>
  <c r="P19" i="5"/>
  <c r="O24" i="5"/>
  <c r="O25" i="5" s="1"/>
  <c r="E52" i="3" l="1"/>
  <c r="E51" i="3"/>
  <c r="O27" i="5"/>
  <c r="O29" i="5" s="1"/>
  <c r="P15" i="5"/>
  <c r="P16" i="5"/>
  <c r="P20" i="5" s="1"/>
  <c r="P21" i="5" s="1"/>
  <c r="Q14" i="5" s="1"/>
  <c r="H60" i="3" l="1"/>
  <c r="H80" i="3"/>
  <c r="H70" i="3"/>
  <c r="O35" i="5"/>
  <c r="O30" i="5"/>
  <c r="Q19" i="5"/>
  <c r="P24" i="5"/>
  <c r="P25" i="5" s="1"/>
  <c r="P27" i="5" l="1"/>
  <c r="P29" i="5" s="1"/>
  <c r="Q15" i="5"/>
  <c r="Q16" i="5"/>
  <c r="Q20" i="5" s="1"/>
  <c r="Q21" i="5" s="1"/>
  <c r="R14" i="5" s="1"/>
  <c r="P35" i="5" l="1"/>
  <c r="P30" i="5"/>
  <c r="Q24" i="5"/>
  <c r="Q25" i="5" s="1"/>
  <c r="R19" i="5"/>
  <c r="Q27" i="5" l="1"/>
  <c r="Q29" i="5" s="1"/>
  <c r="R15" i="5"/>
  <c r="R16" i="5"/>
  <c r="R20" i="5" s="1"/>
  <c r="R21" i="5" s="1"/>
  <c r="S14" i="5" s="1"/>
  <c r="Q35" i="5" l="1"/>
  <c r="Q30" i="5"/>
  <c r="S19" i="5"/>
  <c r="R24" i="5"/>
  <c r="R25" i="5" s="1"/>
  <c r="R27" i="5" l="1"/>
  <c r="R29" i="5" s="1"/>
  <c r="S15" i="5"/>
  <c r="S16" i="5"/>
  <c r="S20" i="5" s="1"/>
  <c r="S21" i="5" s="1"/>
  <c r="T14" i="5" s="1"/>
  <c r="R35" i="5" l="1"/>
  <c r="R30" i="5"/>
  <c r="S24" i="5"/>
  <c r="S25" i="5" s="1"/>
  <c r="T19" i="5"/>
  <c r="S27" i="5" l="1"/>
  <c r="S29" i="5" s="1"/>
  <c r="T16" i="5"/>
  <c r="T20" i="5" s="1"/>
  <c r="T21" i="5" s="1"/>
  <c r="U14" i="5" s="1"/>
  <c r="T15" i="5"/>
  <c r="S35" i="5" l="1"/>
  <c r="S30" i="5"/>
  <c r="T24" i="5"/>
  <c r="T25" i="5" s="1"/>
  <c r="U19" i="5"/>
  <c r="T27" i="5" l="1"/>
  <c r="T29" i="5" s="1"/>
  <c r="U16" i="5"/>
  <c r="U20" i="5" s="1"/>
  <c r="U21" i="5" s="1"/>
  <c r="V14" i="5" s="1"/>
  <c r="U15" i="5"/>
  <c r="T35" i="5" l="1"/>
  <c r="T30" i="5"/>
  <c r="V19" i="5"/>
  <c r="U24" i="5"/>
  <c r="U25" i="5" s="1"/>
  <c r="U27" i="5" l="1"/>
  <c r="U29" i="5" s="1"/>
  <c r="V16" i="5"/>
  <c r="V20" i="5" s="1"/>
  <c r="V21" i="5" s="1"/>
  <c r="W14" i="5" s="1"/>
  <c r="V15" i="5"/>
  <c r="U35" i="5" l="1"/>
  <c r="U30" i="5"/>
  <c r="W19" i="5"/>
  <c r="V24" i="5"/>
  <c r="V25" i="5" s="1"/>
  <c r="V27" i="5" l="1"/>
  <c r="V29" i="5" s="1"/>
  <c r="W16" i="5"/>
  <c r="W20" i="5" s="1"/>
  <c r="W21" i="5" s="1"/>
  <c r="X14" i="5" s="1"/>
  <c r="W15" i="5"/>
  <c r="V35" i="5" l="1"/>
  <c r="V30" i="5"/>
  <c r="X19" i="5"/>
  <c r="W24" i="5"/>
  <c r="W25" i="5" s="1"/>
  <c r="W27" i="5" l="1"/>
  <c r="X16" i="5"/>
  <c r="X20" i="5" s="1"/>
  <c r="X21" i="5" s="1"/>
  <c r="Y14" i="5" s="1"/>
  <c r="X15" i="5"/>
  <c r="W29" i="5" l="1"/>
  <c r="W35" i="5" s="1"/>
  <c r="X24" i="5"/>
  <c r="X25" i="5" s="1"/>
  <c r="Y19" i="5"/>
  <c r="W30" i="5" l="1"/>
  <c r="X27" i="5"/>
  <c r="X29" i="5" s="1"/>
  <c r="Y16" i="5"/>
  <c r="Y20" i="5" s="1"/>
  <c r="Y21" i="5" s="1"/>
  <c r="Z14" i="5" s="1"/>
  <c r="Y15" i="5"/>
  <c r="X35" i="5" l="1"/>
  <c r="X30" i="5"/>
  <c r="Y24" i="5"/>
  <c r="Y25" i="5" s="1"/>
  <c r="Z19" i="5"/>
  <c r="Y27" i="5" l="1"/>
  <c r="Y29" i="5" s="1"/>
  <c r="Z16" i="5"/>
  <c r="Z20" i="5" s="1"/>
  <c r="Z21" i="5" s="1"/>
  <c r="AA14" i="5" s="1"/>
  <c r="Z15" i="5"/>
  <c r="Y35" i="5" l="1"/>
  <c r="Y30" i="5"/>
  <c r="AA19" i="5"/>
  <c r="Z24" i="5"/>
  <c r="Z25" i="5" s="1"/>
  <c r="Z27" i="5" l="1"/>
  <c r="Z29" i="5" s="1"/>
  <c r="AA16" i="5"/>
  <c r="AA20" i="5" s="1"/>
  <c r="AA21" i="5" s="1"/>
  <c r="AA24" i="5" s="1"/>
  <c r="AA25" i="5" s="1"/>
  <c r="AA15" i="5"/>
  <c r="Z35" i="5" l="1"/>
  <c r="Z30" i="5"/>
  <c r="AA27" i="5"/>
  <c r="AA29" i="5" s="1"/>
  <c r="AB29" i="5" l="1"/>
  <c r="AB35" i="5" s="1"/>
  <c r="AA35" i="5"/>
  <c r="AA30" i="5"/>
  <c r="E38" i="5" l="1"/>
  <c r="H4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Motey</author>
  </authors>
  <commentList>
    <comment ref="B60" authorId="0" shapeId="0" xr:uid="{9410220F-5D75-484F-95F4-163AFC46DE6F}">
      <text>
        <r>
          <rPr>
            <b/>
            <sz val="9"/>
            <color indexed="81"/>
            <rFont val="Tahoma"/>
            <family val="2"/>
          </rPr>
          <t>Andrew Motey:</t>
        </r>
        <r>
          <rPr>
            <sz val="9"/>
            <color indexed="81"/>
            <rFont val="Tahoma"/>
            <family val="2"/>
          </rPr>
          <t xml:space="preserve">
Assuming low-tier destination theme park, rather than regional park, given Universal and Disney are closest comps with IP-branded parks</t>
        </r>
      </text>
    </comment>
    <comment ref="C80" authorId="0" shapeId="0" xr:uid="{44682EBC-9E38-4EF4-8F1D-5EBF14A08D8D}">
      <text>
        <r>
          <rPr>
            <b/>
            <sz val="9"/>
            <color indexed="81"/>
            <rFont val="Tahoma"/>
            <family val="2"/>
          </rPr>
          <t>Andrew Motey:</t>
        </r>
        <r>
          <rPr>
            <sz val="9"/>
            <color indexed="81"/>
            <rFont val="Tahoma"/>
            <family val="2"/>
          </rPr>
          <t xml:space="preserve">
In-line with Cedar Fair in-park purchases in 2023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Motey</author>
  </authors>
  <commentList>
    <comment ref="H21" authorId="0" shapeId="0" xr:uid="{43440FB4-74B6-4F1F-A3DE-DE228F791FBA}">
      <text>
        <r>
          <rPr>
            <b/>
            <sz val="9"/>
            <color indexed="81"/>
            <rFont val="Tahoma"/>
            <family val="2"/>
          </rPr>
          <t>Andrew Motey:</t>
        </r>
        <r>
          <rPr>
            <sz val="9"/>
            <color indexed="81"/>
            <rFont val="Tahoma"/>
            <family val="2"/>
          </rPr>
          <t xml:space="preserve">
Assuming growth is lower than long-term growth rate because ticketing revenue growth is driven by growth in attendance from comps </t>
        </r>
      </text>
    </comment>
    <comment ref="H45" authorId="0" shapeId="0" xr:uid="{0024D7A0-4702-458A-8CFB-8E18FB7602C9}">
      <text>
        <r>
          <rPr>
            <b/>
            <sz val="9"/>
            <color indexed="81"/>
            <rFont val="Tahoma"/>
            <family val="2"/>
          </rPr>
          <t>Andrew Motey:</t>
        </r>
        <r>
          <rPr>
            <sz val="9"/>
            <color indexed="81"/>
            <rFont val="Tahoma"/>
            <family val="2"/>
          </rPr>
          <t xml:space="preserve">
growing season pass mix by +1% per year to reach 60% by Y20, comparable to 59% of Six Flags</t>
        </r>
      </text>
    </comment>
    <comment ref="B63" authorId="0" shapeId="0" xr:uid="{676C2E1F-B06B-44BE-A4AD-93BCF2E6E1D2}">
      <text>
        <r>
          <rPr>
            <b/>
            <sz val="9"/>
            <color indexed="81"/>
            <rFont val="Tahoma"/>
            <family val="2"/>
          </rPr>
          <t>Andrew Motey:</t>
        </r>
        <r>
          <rPr>
            <sz val="9"/>
            <color indexed="81"/>
            <rFont val="Tahoma"/>
            <family val="2"/>
          </rPr>
          <t xml:space="preserve">
Year-round park</t>
        </r>
      </text>
    </comment>
    <comment ref="B65" authorId="0" shapeId="0" xr:uid="{563D382A-7FD7-4CCD-8411-A2B762E353E8}">
      <text>
        <r>
          <rPr>
            <b/>
            <sz val="9"/>
            <color indexed="81"/>
            <rFont val="Tahoma"/>
            <family val="2"/>
          </rPr>
          <t>Andrew Motey:</t>
        </r>
        <r>
          <rPr>
            <sz val="9"/>
            <color indexed="81"/>
            <rFont val="Tahoma"/>
            <family val="2"/>
          </rPr>
          <t xml:space="preserve">
Seasonal park</t>
        </r>
      </text>
    </comment>
    <comment ref="H72" authorId="0" shapeId="0" xr:uid="{C794909B-58FA-47E6-BC9B-9BD278E90AE2}">
      <text>
        <r>
          <rPr>
            <b/>
            <sz val="9"/>
            <color indexed="81"/>
            <rFont val="Tahoma"/>
            <family val="2"/>
          </rPr>
          <t>Andrew Motey:</t>
        </r>
        <r>
          <rPr>
            <sz val="9"/>
            <color indexed="81"/>
            <rFont val="Tahoma"/>
            <family val="2"/>
          </rPr>
          <t xml:space="preserve">
Decreasing Opex % rev by 0.2% to reach 75% by Y20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Motey</author>
  </authors>
  <commentList>
    <comment ref="F24" authorId="0" shapeId="0" xr:uid="{0CA52D97-4B08-44BA-9D04-FEF63EB16070}">
      <text>
        <r>
          <rPr>
            <b/>
            <sz val="9"/>
            <color indexed="81"/>
            <rFont val="Tahoma"/>
            <family val="2"/>
          </rPr>
          <t>Andrew Motey:</t>
        </r>
        <r>
          <rPr>
            <sz val="9"/>
            <color indexed="81"/>
            <rFont val="Tahoma"/>
            <family val="2"/>
          </rPr>
          <t xml:space="preserve">
11 theme parks + 4 water parks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81AAD-F31C-4A8E-96D9-14AE799CBFD4}" keepAlive="1" name="Query - Page001" description="Connection to the 'Page001' query in the workbook." type="5" refreshedVersion="0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<sst xmlns="http://schemas.openxmlformats.org/spreadsheetml/2006/main" count="330" uniqueCount="224">
  <si>
    <t>Year 0</t>
  </si>
  <si>
    <t>Revenue Build</t>
  </si>
  <si>
    <t>Active Case</t>
  </si>
  <si>
    <t>Base Case</t>
  </si>
  <si>
    <t>Upside Case</t>
  </si>
  <si>
    <t>Downside Case</t>
  </si>
  <si>
    <t>x</t>
  </si>
  <si>
    <t>(USDm)</t>
  </si>
  <si>
    <t>Cost Build</t>
  </si>
  <si>
    <t>COGS % Revenue</t>
  </si>
  <si>
    <t>Recoupment</t>
  </si>
  <si>
    <t>Share</t>
  </si>
  <si>
    <t>N/A</t>
  </si>
  <si>
    <t>Cedar Fair</t>
  </si>
  <si>
    <t>Comcast</t>
  </si>
  <si>
    <t>Disney</t>
  </si>
  <si>
    <t>Six Flags</t>
  </si>
  <si>
    <t>Median</t>
  </si>
  <si>
    <t>Mean</t>
  </si>
  <si>
    <t>Capex</t>
  </si>
  <si>
    <t>D&amp;A % Revenue</t>
  </si>
  <si>
    <t>Revenue</t>
  </si>
  <si>
    <t>Total Revenue</t>
  </si>
  <si>
    <t>(-) COGS</t>
  </si>
  <si>
    <t>(-) OPEX</t>
  </si>
  <si>
    <t>Gross Profit</t>
  </si>
  <si>
    <t>EBT</t>
  </si>
  <si>
    <t>Net Income</t>
  </si>
  <si>
    <t>Free Cash Flow</t>
  </si>
  <si>
    <t>(-) Interest Income/(Expense)</t>
  </si>
  <si>
    <t>(-) Taxes</t>
  </si>
  <si>
    <t>Tax Rate</t>
  </si>
  <si>
    <t>(-) Change in Working Capital</t>
  </si>
  <si>
    <t>(-) Capex</t>
  </si>
  <si>
    <t>Opex % Revenue</t>
  </si>
  <si>
    <t>Capex % Revenue</t>
  </si>
  <si>
    <t>Admissions Revenue</t>
  </si>
  <si>
    <t>COGS</t>
  </si>
  <si>
    <t>D&amp;A</t>
  </si>
  <si>
    <t>Admissions % Total Revenue</t>
  </si>
  <si>
    <t>F&amp;B % Total Revenue</t>
  </si>
  <si>
    <t>GM %</t>
  </si>
  <si>
    <t>Single Ticket Price</t>
  </si>
  <si>
    <t>Season Pass Price</t>
  </si>
  <si>
    <t>Operating Days</t>
  </si>
  <si>
    <t>WACC</t>
  </si>
  <si>
    <t>Long-Term Growth Rate</t>
  </si>
  <si>
    <t>Key Metrics</t>
  </si>
  <si>
    <t>Admissions Spending per Capita</t>
  </si>
  <si>
    <t>In-Park Spending Per Capita</t>
  </si>
  <si>
    <t>Season Pass &amp; Membership Attendance Mix</t>
  </si>
  <si>
    <t>Visits per Season Pass</t>
  </si>
  <si>
    <t>Food, Bev, &amp; Other Revenue</t>
  </si>
  <si>
    <t>Operating Income</t>
  </si>
  <si>
    <t>OI %</t>
  </si>
  <si>
    <t>Number of Parks</t>
  </si>
  <si>
    <t>Income Statement (2023, USDm)</t>
  </si>
  <si>
    <t>Total Annual Visitors (m)</t>
  </si>
  <si>
    <t>Average Annual Visitors per Park (m)</t>
  </si>
  <si>
    <t>(USD)</t>
  </si>
  <si>
    <t>Season Pass Mix</t>
  </si>
  <si>
    <t>Daily Attendance</t>
  </si>
  <si>
    <t>Average Daily Visits</t>
  </si>
  <si>
    <t>Daily Attendance Growth YoY</t>
  </si>
  <si>
    <t>Single Ticket Admissions Revenue</t>
  </si>
  <si>
    <t>Season Pass Admissions Revenue</t>
  </si>
  <si>
    <t>(-) Depreciation &amp; Amortization</t>
  </si>
  <si>
    <t>(+) Depreciation &amp; Amortization</t>
  </si>
  <si>
    <t>PV of Free Cash Flows</t>
  </si>
  <si>
    <t>Terminal Value</t>
  </si>
  <si>
    <t>IRR</t>
  </si>
  <si>
    <t>Theme Park</t>
  </si>
  <si>
    <t>Single-Day Ticket Price</t>
  </si>
  <si>
    <t>Source</t>
  </si>
  <si>
    <t>Walt Disney World Resort</t>
  </si>
  <si>
    <t>https://disneyworld.disney.go.com/admission/tickets/</t>
  </si>
  <si>
    <t>Disneyland Resort</t>
  </si>
  <si>
    <t>https://disneyland.disney.go.com/tickets/</t>
  </si>
  <si>
    <t>Universal Studios Hollywood</t>
  </si>
  <si>
    <t>https://www.viator.com/USA-tours/Theme-Park-Tickets-and-Tours/d77-g14-c50</t>
  </si>
  <si>
    <t>Universal Orlando Resort</t>
  </si>
  <si>
    <t>https://www.universalorlando.com/web/en/us/tickets-packages/park-tickets</t>
  </si>
  <si>
    <t>Busch Gardens Williamsburg</t>
  </si>
  <si>
    <t>https://buschgardens.com/williamsburg/tickets/theme-park-tickets/</t>
  </si>
  <si>
    <t>Diggerland USA</t>
  </si>
  <si>
    <t>https://diggerlandusa.com/admission/tickets/</t>
  </si>
  <si>
    <t>Nickelodeon Universe</t>
  </si>
  <si>
    <t>https://www.americandream.com/venue/nickelodeon-universe</t>
  </si>
  <si>
    <t>Holiday World &amp; Splashin’ Safari</t>
  </si>
  <si>
    <t>https://www.the-sun.com/travel/12381186/holiday-world-affordable-theme-park-lazy-river-freebies/</t>
  </si>
  <si>
    <t>https://www.undercovertourist.com/theme-parks/</t>
  </si>
  <si>
    <t>LEGOLAND Florida Resort</t>
  </si>
  <si>
    <t>Six Flags Magic Mountain</t>
  </si>
  <si>
    <t>https://www.sixflags.com/magicmountain/store/tickets</t>
  </si>
  <si>
    <t>Cedar Point</t>
  </si>
  <si>
    <t>https://www.cedarpoint.com/tickets-passes</t>
  </si>
  <si>
    <t>Ticket Price Growth</t>
  </si>
  <si>
    <t>Comparable Theme Park</t>
  </si>
  <si>
    <t>Disneyland Shanghai</t>
  </si>
  <si>
    <t>Development Costs (USDm)</t>
  </si>
  <si>
    <t>Universal Epic Universe</t>
  </si>
  <si>
    <t>Legoland New York</t>
  </si>
  <si>
    <t>Tokyo DisneySea</t>
  </si>
  <si>
    <t>Hong Kong Disneyland</t>
  </si>
  <si>
    <t>Universal Studios Beijing</t>
  </si>
  <si>
    <t>Disney 10-K</t>
  </si>
  <si>
    <t>Universal  10-K</t>
  </si>
  <si>
    <t>Merlin Entertainment Reports</t>
  </si>
  <si>
    <t>Disney Annual Reports</t>
  </si>
  <si>
    <t>Disney California Adventure (2001)</t>
  </si>
  <si>
    <t>Oriental Land Company filings</t>
  </si>
  <si>
    <t>Hong Kong Government Reports</t>
  </si>
  <si>
    <t>Universal Beijing Joint Venture filings</t>
  </si>
  <si>
    <t>Puy du Fou (UK, planned)</t>
  </si>
  <si>
    <t>https://www.oxfordmail.co.uk/news/24889209.puy-du-fou-reveals-plans-600m-site-near-bicester/</t>
  </si>
  <si>
    <t>Avg. Attendance</t>
  </si>
  <si>
    <t>Cost/Visitor</t>
  </si>
  <si>
    <t>Rev/Visitor</t>
  </si>
  <si>
    <t>Size (sqm)</t>
  </si>
  <si>
    <t>Cost/sqm</t>
  </si>
  <si>
    <t>Cost/sf</t>
  </si>
  <si>
    <t>Rev/sqm</t>
  </si>
  <si>
    <t>Rev/sf</t>
  </si>
  <si>
    <t>Rev/Cost</t>
  </si>
  <si>
    <t>ROI @ 30% EBITDA</t>
  </si>
  <si>
    <t>Euro Disney</t>
  </si>
  <si>
    <t>Universal Studios Japan</t>
  </si>
  <si>
    <t>Universal Studios Singapore</t>
  </si>
  <si>
    <t>China, Average</t>
  </si>
  <si>
    <t>Cedar Fair, Average</t>
  </si>
  <si>
    <t>Six Flags, Average</t>
  </si>
  <si>
    <t>Legoland, Average</t>
  </si>
  <si>
    <t>Waterparks, Average</t>
  </si>
  <si>
    <t>Merlin Midway, Average</t>
  </si>
  <si>
    <t>Kidzania, Average</t>
  </si>
  <si>
    <t>Joypolis, Japan</t>
  </si>
  <si>
    <t>Cost (USDm)</t>
  </si>
  <si>
    <t>Revenues (USDm)</t>
  </si>
  <si>
    <t>https://www.theparkdb.com/blog/the-business-of-theme-parks-part-ii-how-much-do-they-cost-and-earn/</t>
  </si>
  <si>
    <t xml:space="preserve">Source: </t>
  </si>
  <si>
    <t>Park Development Cost (USDm)</t>
  </si>
  <si>
    <t>Useful Life</t>
  </si>
  <si>
    <t>Depreciation (Straight-Line)</t>
  </si>
  <si>
    <t>Avg. Daily Attendance</t>
  </si>
  <si>
    <t>Annual Attendance</t>
  </si>
  <si>
    <t>Ratios (2023)</t>
  </si>
  <si>
    <t>KPIs (2023)</t>
  </si>
  <si>
    <t>OI Margin %</t>
  </si>
  <si>
    <t>Sum of PV of FCFs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</si>
  <si>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</si>
  <si>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</si>
  <si>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</si>
  <si>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</si>
  <si>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</si>
  <si>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</si>
  <si>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</si>
  <si>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</si>
  <si>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</si>
  <si>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</si>
  <si>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</si>
  <si>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</si>
  <si>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</si>
  <si>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</si>
  <si>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</si>
  <si>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</si>
  <si>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</si>
  <si>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</si>
  <si>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</si>
  <si>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</si>
  <si>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Annual Attendance (m)</t>
  </si>
  <si>
    <t>Cumulative</t>
  </si>
  <si>
    <t>Cumulative FCF</t>
  </si>
  <si>
    <t>(-) Changes in Working Capital</t>
  </si>
  <si>
    <t>Pre-Tax Net Cash Flow</t>
  </si>
  <si>
    <t>Total Recoupment</t>
  </si>
  <si>
    <t>Beginning Balance</t>
  </si>
  <si>
    <t xml:space="preserve">(-) Recoupment </t>
  </si>
  <si>
    <t>Ending Balance</t>
  </si>
  <si>
    <t>Pre-Recoupment</t>
  </si>
  <si>
    <t>Post-Recoupment</t>
  </si>
  <si>
    <t>Taxes</t>
  </si>
  <si>
    <t>Pre-Tax Profit to Third Party Developer</t>
  </si>
  <si>
    <t>Pre-Recoupment Share</t>
  </si>
  <si>
    <t>Sum of PV of Licensing Profit</t>
  </si>
  <si>
    <t>PV of Licensing Profit</t>
  </si>
  <si>
    <t>Post-</t>
  </si>
  <si>
    <t>Megapark</t>
  </si>
  <si>
    <t>Category</t>
  </si>
  <si>
    <t>Destination Park</t>
  </si>
  <si>
    <t>Destination park</t>
  </si>
  <si>
    <t>Regional Park</t>
  </si>
  <si>
    <t>Mid-Tier Themed Park</t>
  </si>
  <si>
    <t>Specialty Park</t>
  </si>
  <si>
    <t>Attraction-Based</t>
  </si>
  <si>
    <t>Experiential Entertainment</t>
  </si>
  <si>
    <t>Indoor Entertainment Center</t>
  </si>
  <si>
    <t>Growth YoY</t>
  </si>
  <si>
    <t>Daily Attendance/Cost</t>
  </si>
  <si>
    <t>Daily Attendance/Dev Cost</t>
  </si>
  <si>
    <t>In-Park Spending Growth</t>
  </si>
  <si>
    <t>In-Park Spending per Visit</t>
  </si>
  <si>
    <t>In-Park Spending Per Visit</t>
  </si>
  <si>
    <t>In-Park Spending Revenue</t>
  </si>
  <si>
    <t>In-Park % Total</t>
  </si>
  <si>
    <t>Admissions % Total</t>
  </si>
  <si>
    <t>Development Cost</t>
  </si>
  <si>
    <t>Daily</t>
  </si>
  <si>
    <t>Attendance</t>
  </si>
  <si>
    <t>Daily Attendance (Y1)</t>
  </si>
  <si>
    <t>Daily Attendance Growth</t>
  </si>
  <si>
    <t>NPV</t>
  </si>
  <si>
    <t>Visits Per Season Pass</t>
  </si>
  <si>
    <t>In-Park</t>
  </si>
  <si>
    <t>Spending</t>
  </si>
  <si>
    <t>per Visit</t>
  </si>
  <si>
    <t>single attendance</t>
  </si>
  <si>
    <t>season pass attendance</t>
  </si>
  <si>
    <t>total</t>
  </si>
  <si>
    <t>Company Licensing Revenue (Pre-Tax)</t>
  </si>
  <si>
    <t>Company Profit Rate</t>
  </si>
  <si>
    <t>Company License Fee</t>
  </si>
  <si>
    <t>Net Profit Rate to Company</t>
  </si>
  <si>
    <t>Pre-Tax Profit to Company</t>
  </si>
  <si>
    <t>Company Licensing Profit (Post-Tax)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</si>
</sst>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Year&quot;\ #"/>
    <numFmt numFmtId="165" formatCode="0.0%"/>
    <numFmt numFmtId="166" formatCode="_([$$]#,##0.0_);\([$$]#,##0.0\);_(&quot;–&quot;_);_(@_)"/>
    <numFmt numFmtId="167" formatCode="_([$$]#,##0_);\([$$]#,##0\);_(&quot;–&quot;_);_(@_)"/>
    <numFmt numFmtId="168" formatCode="_(* #,##0_);_(* \(#,##0\);_(* &quot;-&quot;??_);_(@_)"/>
    <numFmt numFmtId="169" formatCode="&quot;$&quot;#,##0.00"/>
    <numFmt numFmtId="170" formatCode="&quot;$&quot;#,##0"/>
    <numFmt numFmtId="171" formatCode="m/d/yy;@"/>
    <numFmt numFmtId="172" formatCode="[$$-380A]\ #,##0.0,,;[Red][$$-380A]\ \(#,##0.0,,\)"/>
    <numFmt numFmtId="173" formatCode="#,##0.0,,"/>
    <numFmt numFmtId="174" formatCode="_(#,##0%_);\(#,##0%\);_(&quot;–&quot;_)_%;_(@_)_%"/>
    <numFmt numFmtId="175" formatCode="&quot;$&quot;#,##0.0,,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4" tint="-0.499984740745262"/>
      <name val="Arial"/>
      <family val="2"/>
    </font>
    <font>
      <sz val="10"/>
      <color rgb="FF008000"/>
      <name val="Arial"/>
      <family val="2"/>
    </font>
    <font>
      <b/>
      <i/>
      <u/>
      <sz val="10"/>
      <color theme="1"/>
      <name val="Arial"/>
      <family val="2"/>
    </font>
    <font>
      <sz val="11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B050"/>
      <name val="Arial"/>
      <family val="2"/>
    </font>
    <font>
      <b/>
      <sz val="10"/>
      <color rgb="FF008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i/>
      <sz val="10"/>
      <color rgb="FF00B050"/>
      <name val="Arial"/>
      <family val="2"/>
    </font>
    <font>
      <i/>
      <sz val="10"/>
      <name val="Arial"/>
      <family val="2"/>
    </font>
    <font>
      <i/>
      <sz val="10"/>
      <color rgb="FF0000FF"/>
      <name val="Arial"/>
      <family val="2"/>
    </font>
    <font>
      <b/>
      <sz val="10"/>
      <color rgb="FF0000FF"/>
      <name val="Arial"/>
      <family val="2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rgb="FF566C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225">
    <xf numFmtId="0" fontId="0" fillId="0" borderId="0" xfId="0"/>
    <xf numFmtId="0" fontId="10" fillId="0" borderId="0" xfId="0" applyFont="1"/>
    <xf numFmtId="0" fontId="5" fillId="0" borderId="0" xfId="0" applyFont="1"/>
    <xf numFmtId="164" fontId="8" fillId="2" borderId="1" xfId="4" applyNumberFormat="1" applyFont="1" applyFill="1" applyBorder="1" applyAlignment="1">
      <alignment horizontal="right"/>
    </xf>
    <xf numFmtId="164" fontId="8" fillId="2" borderId="0" xfId="4" applyNumberFormat="1" applyFont="1" applyFill="1"/>
    <xf numFmtId="0" fontId="7" fillId="3" borderId="0" xfId="0" applyFont="1" applyFill="1"/>
    <xf numFmtId="0" fontId="5" fillId="3" borderId="0" xfId="0" applyFont="1" applyFill="1"/>
    <xf numFmtId="0" fontId="5" fillId="3" borderId="1" xfId="0" applyFont="1" applyFill="1" applyBorder="1"/>
    <xf numFmtId="0" fontId="7" fillId="0" borderId="0" xfId="0" applyFont="1"/>
    <xf numFmtId="0" fontId="5" fillId="0" borderId="1" xfId="0" applyFont="1" applyBorder="1"/>
    <xf numFmtId="164" fontId="8" fillId="0" borderId="0" xfId="4" applyNumberFormat="1" applyFont="1"/>
    <xf numFmtId="164" fontId="8" fillId="0" borderId="1" xfId="4" applyNumberFormat="1" applyFont="1" applyBorder="1"/>
    <xf numFmtId="0" fontId="8" fillId="4" borderId="2" xfId="0" applyFont="1" applyFill="1" applyBorder="1"/>
    <xf numFmtId="0" fontId="8" fillId="4" borderId="3" xfId="0" applyFont="1" applyFill="1" applyBorder="1"/>
    <xf numFmtId="0" fontId="5" fillId="0" borderId="0" xfId="0" applyFont="1" applyAlignment="1">
      <alignment horizontal="left" indent="1"/>
    </xf>
    <xf numFmtId="0" fontId="12" fillId="0" borderId="1" xfId="0" applyFont="1" applyBorder="1"/>
    <xf numFmtId="0" fontId="12" fillId="0" borderId="0" xfId="0" applyFont="1"/>
    <xf numFmtId="0" fontId="12" fillId="0" borderId="0" xfId="4" applyFont="1"/>
    <xf numFmtId="0" fontId="12" fillId="0" borderId="1" xfId="1" applyNumberFormat="1" applyFont="1" applyBorder="1"/>
    <xf numFmtId="0" fontId="12" fillId="0" borderId="0" xfId="1" applyNumberFormat="1" applyFont="1"/>
    <xf numFmtId="0" fontId="8" fillId="0" borderId="0" xfId="0" applyFont="1"/>
    <xf numFmtId="0" fontId="13" fillId="0" borderId="0" xfId="0" applyFont="1"/>
    <xf numFmtId="0" fontId="14" fillId="0" borderId="4" xfId="0" applyFont="1" applyBorder="1"/>
    <xf numFmtId="0" fontId="0" fillId="0" borderId="2" xfId="0" applyBorder="1"/>
    <xf numFmtId="0" fontId="15" fillId="0" borderId="5" xfId="0" applyFont="1" applyBorder="1"/>
    <xf numFmtId="9" fontId="12" fillId="0" borderId="1" xfId="0" applyNumberFormat="1" applyFont="1" applyBorder="1"/>
    <xf numFmtId="9" fontId="12" fillId="0" borderId="0" xfId="0" applyNumberFormat="1" applyFont="1"/>
    <xf numFmtId="9" fontId="8" fillId="4" borderId="3" xfId="3" applyFont="1" applyFill="1" applyBorder="1"/>
    <xf numFmtId="9" fontId="8" fillId="4" borderId="2" xfId="3" applyFont="1" applyFill="1" applyBorder="1"/>
    <xf numFmtId="9" fontId="12" fillId="0" borderId="1" xfId="3" applyFont="1" applyBorder="1"/>
    <xf numFmtId="9" fontId="12" fillId="0" borderId="0" xfId="3" applyFont="1"/>
    <xf numFmtId="0" fontId="7" fillId="3" borderId="0" xfId="0" applyFont="1" applyFill="1" applyAlignment="1">
      <alignment horizontal="centerContinuous"/>
    </xf>
    <xf numFmtId="0" fontId="9" fillId="3" borderId="0" xfId="0" applyFont="1" applyFill="1" applyAlignment="1">
      <alignment horizontal="centerContinuous"/>
    </xf>
    <xf numFmtId="0" fontId="9" fillId="3" borderId="0" xfId="0" applyFont="1" applyFill="1" applyAlignment="1">
      <alignment horizontal="centerContinuous" vertical="center" wrapText="1"/>
    </xf>
    <xf numFmtId="0" fontId="7" fillId="3" borderId="0" xfId="0" applyFont="1" applyFill="1" applyAlignment="1">
      <alignment horizontal="centerContinuous" vertical="center" wrapText="1"/>
    </xf>
    <xf numFmtId="0" fontId="7" fillId="6" borderId="8" xfId="0" applyFont="1" applyFill="1" applyBorder="1"/>
    <xf numFmtId="0" fontId="9" fillId="6" borderId="9" xfId="0" applyFont="1" applyFill="1" applyBorder="1"/>
    <xf numFmtId="0" fontId="7" fillId="6" borderId="5" xfId="0" applyFont="1" applyFill="1" applyBorder="1"/>
    <xf numFmtId="0" fontId="12" fillId="0" borderId="12" xfId="0" applyFont="1" applyBorder="1"/>
    <xf numFmtId="166" fontId="11" fillId="0" borderId="0" xfId="4" applyNumberFormat="1" applyFont="1"/>
    <xf numFmtId="0" fontId="13" fillId="0" borderId="0" xfId="0" applyFont="1" applyAlignment="1">
      <alignment horizontal="left" indent="1"/>
    </xf>
    <xf numFmtId="0" fontId="12" fillId="0" borderId="0" xfId="1" applyNumberFormat="1" applyFont="1" applyBorder="1"/>
    <xf numFmtId="0" fontId="13" fillId="0" borderId="11" xfId="0" applyFont="1" applyBorder="1"/>
    <xf numFmtId="9" fontId="12" fillId="0" borderId="0" xfId="3" applyFont="1" applyBorder="1"/>
    <xf numFmtId="0" fontId="10" fillId="0" borderId="11" xfId="0" applyFont="1" applyBorder="1"/>
    <xf numFmtId="0" fontId="11" fillId="0" borderId="0" xfId="0" applyFont="1"/>
    <xf numFmtId="0" fontId="12" fillId="0" borderId="0" xfId="0" applyFont="1" applyAlignment="1">
      <alignment horizontal="right"/>
    </xf>
    <xf numFmtId="9" fontId="12" fillId="0" borderId="0" xfId="3" applyFont="1" applyBorder="1" applyAlignment="1">
      <alignment horizontal="right"/>
    </xf>
    <xf numFmtId="0" fontId="18" fillId="0" borderId="11" xfId="0" applyFont="1" applyBorder="1"/>
    <xf numFmtId="0" fontId="12" fillId="0" borderId="15" xfId="0" applyFont="1" applyBorder="1"/>
    <xf numFmtId="8" fontId="12" fillId="0" borderId="0" xfId="0" applyNumberFormat="1" applyFont="1"/>
    <xf numFmtId="0" fontId="7" fillId="6" borderId="9" xfId="0" applyFont="1" applyFill="1" applyBorder="1" applyAlignment="1">
      <alignment horizontal="right"/>
    </xf>
    <xf numFmtId="2" fontId="12" fillId="0" borderId="12" xfId="0" applyNumberFormat="1" applyFont="1" applyBorder="1"/>
    <xf numFmtId="2" fontId="12" fillId="0" borderId="0" xfId="0" applyNumberFormat="1" applyFont="1"/>
    <xf numFmtId="2" fontId="11" fillId="0" borderId="0" xfId="0" applyNumberFormat="1" applyFont="1"/>
    <xf numFmtId="2" fontId="11" fillId="0" borderId="12" xfId="0" applyNumberFormat="1" applyFont="1" applyBorder="1"/>
    <xf numFmtId="8" fontId="12" fillId="0" borderId="12" xfId="0" applyNumberFormat="1" applyFont="1" applyBorder="1"/>
    <xf numFmtId="0" fontId="0" fillId="0" borderId="1" xfId="0" applyBorder="1"/>
    <xf numFmtId="9" fontId="12" fillId="0" borderId="13" xfId="0" applyNumberFormat="1" applyFont="1" applyBorder="1"/>
    <xf numFmtId="2" fontId="12" fillId="0" borderId="0" xfId="0" applyNumberFormat="1" applyFont="1" applyAlignment="1">
      <alignment horizontal="right"/>
    </xf>
    <xf numFmtId="9" fontId="22" fillId="0" borderId="0" xfId="0" applyNumberFormat="1" applyFont="1"/>
    <xf numFmtId="0" fontId="8" fillId="0" borderId="0" xfId="0" applyFont="1" applyAlignment="1">
      <alignment horizontal="left" indent="1"/>
    </xf>
    <xf numFmtId="1" fontId="12" fillId="0" borderId="0" xfId="1" applyNumberFormat="1" applyFont="1"/>
    <xf numFmtId="1" fontId="8" fillId="4" borderId="2" xfId="0" applyNumberFormat="1" applyFont="1" applyFill="1" applyBorder="1"/>
    <xf numFmtId="1" fontId="22" fillId="0" borderId="0" xfId="1" applyNumberFormat="1" applyFont="1"/>
    <xf numFmtId="9" fontId="11" fillId="0" borderId="0" xfId="3" applyFont="1"/>
    <xf numFmtId="1" fontId="11" fillId="0" borderId="0" xfId="1" applyNumberFormat="1" applyFont="1"/>
    <xf numFmtId="1" fontId="11" fillId="0" borderId="0" xfId="4" applyNumberFormat="1" applyFont="1"/>
    <xf numFmtId="167" fontId="11" fillId="0" borderId="0" xfId="4" applyNumberFormat="1" applyFont="1"/>
    <xf numFmtId="0" fontId="7" fillId="6" borderId="2" xfId="0" applyFont="1" applyFill="1" applyBorder="1"/>
    <xf numFmtId="0" fontId="7" fillId="6" borderId="4" xfId="0" applyFont="1" applyFill="1" applyBorder="1"/>
    <xf numFmtId="0" fontId="7" fillId="6" borderId="2" xfId="0" applyFont="1" applyFill="1" applyBorder="1" applyAlignment="1">
      <alignment horizontal="right"/>
    </xf>
    <xf numFmtId="0" fontId="7" fillId="6" borderId="5" xfId="0" applyFont="1" applyFill="1" applyBorder="1" applyAlignment="1">
      <alignment horizontal="right"/>
    </xf>
    <xf numFmtId="0" fontId="7" fillId="3" borderId="8" xfId="0" applyFont="1" applyFill="1" applyBorder="1"/>
    <xf numFmtId="0" fontId="7" fillId="3" borderId="9" xfId="0" applyFont="1" applyFill="1" applyBorder="1"/>
    <xf numFmtId="0" fontId="7" fillId="3" borderId="10" xfId="0" applyFont="1" applyFill="1" applyBorder="1"/>
    <xf numFmtId="168" fontId="12" fillId="0" borderId="14" xfId="1" applyNumberFormat="1" applyFont="1" applyBorder="1" applyAlignment="1"/>
    <xf numFmtId="0" fontId="19" fillId="0" borderId="15" xfId="0" applyFont="1" applyBorder="1"/>
    <xf numFmtId="1" fontId="0" fillId="0" borderId="13" xfId="0" applyNumberFormat="1" applyBorder="1"/>
    <xf numFmtId="38" fontId="17" fillId="0" borderId="1" xfId="4" applyNumberFormat="1" applyFont="1" applyBorder="1"/>
    <xf numFmtId="38" fontId="23" fillId="0" borderId="1" xfId="4" applyNumberFormat="1" applyFont="1" applyBorder="1"/>
    <xf numFmtId="38" fontId="8" fillId="4" borderId="3" xfId="1" applyNumberFormat="1" applyFont="1" applyFill="1" applyBorder="1"/>
    <xf numFmtId="171" fontId="8" fillId="2" borderId="1" xfId="4" applyNumberFormat="1" applyFont="1" applyFill="1" applyBorder="1" applyAlignment="1">
      <alignment horizontal="right"/>
    </xf>
    <xf numFmtId="171" fontId="8" fillId="2" borderId="0" xfId="4" applyNumberFormat="1" applyFont="1" applyFill="1"/>
    <xf numFmtId="3" fontId="11" fillId="0" borderId="0" xfId="4" applyNumberFormat="1" applyFont="1"/>
    <xf numFmtId="172" fontId="11" fillId="0" borderId="0" xfId="4" applyNumberFormat="1" applyFont="1"/>
    <xf numFmtId="172" fontId="8" fillId="4" borderId="2" xfId="1" applyNumberFormat="1" applyFont="1" applyFill="1" applyBorder="1"/>
    <xf numFmtId="172" fontId="22" fillId="0" borderId="0" xfId="4" applyNumberFormat="1" applyFont="1"/>
    <xf numFmtId="172" fontId="8" fillId="4" borderId="3" xfId="1" applyNumberFormat="1" applyFont="1" applyFill="1" applyBorder="1"/>
    <xf numFmtId="171" fontId="8" fillId="0" borderId="0" xfId="4" applyNumberFormat="1" applyFont="1"/>
    <xf numFmtId="3" fontId="8" fillId="4" borderId="2" xfId="0" applyNumberFormat="1" applyFont="1" applyFill="1" applyBorder="1"/>
    <xf numFmtId="3" fontId="11" fillId="0" borderId="0" xfId="1" applyNumberFormat="1" applyFont="1"/>
    <xf numFmtId="3" fontId="12" fillId="0" borderId="0" xfId="1" applyNumberFormat="1" applyFont="1"/>
    <xf numFmtId="0" fontId="4" fillId="0" borderId="0" xfId="0" applyFont="1"/>
    <xf numFmtId="173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5" xfId="0" applyFont="1" applyBorder="1" applyAlignment="1">
      <alignment horizontal="right"/>
    </xf>
    <xf numFmtId="1" fontId="8" fillId="4" borderId="3" xfId="0" applyNumberFormat="1" applyFont="1" applyFill="1" applyBorder="1"/>
    <xf numFmtId="1" fontId="12" fillId="0" borderId="1" xfId="1" applyNumberFormat="1" applyFont="1" applyBorder="1"/>
    <xf numFmtId="0" fontId="4" fillId="0" borderId="0" xfId="0" applyFont="1" applyAlignment="1">
      <alignment horizontal="left" indent="1"/>
    </xf>
    <xf numFmtId="172" fontId="25" fillId="0" borderId="0" xfId="4" applyNumberFormat="1" applyFont="1"/>
    <xf numFmtId="166" fontId="17" fillId="0" borderId="1" xfId="0" applyNumberFormat="1" applyFont="1" applyBorder="1"/>
    <xf numFmtId="0" fontId="8" fillId="4" borderId="2" xfId="0" applyFont="1" applyFill="1" applyBorder="1" applyAlignment="1">
      <alignment horizontal="left" indent="1"/>
    </xf>
    <xf numFmtId="0" fontId="4" fillId="0" borderId="1" xfId="0" applyFont="1" applyBorder="1"/>
    <xf numFmtId="174" fontId="4" fillId="0" borderId="0" xfId="3" applyNumberFormat="1" applyFont="1" applyFill="1" applyBorder="1"/>
    <xf numFmtId="9" fontId="4" fillId="0" borderId="0" xfId="0" applyNumberFormat="1" applyFont="1"/>
    <xf numFmtId="166" fontId="8" fillId="4" borderId="3" xfId="0" applyNumberFormat="1" applyFont="1" applyFill="1" applyBorder="1"/>
    <xf numFmtId="166" fontId="11" fillId="0" borderId="1" xfId="0" applyNumberFormat="1" applyFont="1" applyBorder="1"/>
    <xf numFmtId="172" fontId="11" fillId="0" borderId="1" xfId="4" applyNumberFormat="1" applyFont="1" applyBorder="1"/>
    <xf numFmtId="165" fontId="13" fillId="0" borderId="1" xfId="3" applyNumberFormat="1" applyFont="1" applyBorder="1"/>
    <xf numFmtId="9" fontId="26" fillId="0" borderId="0" xfId="0" applyNumberFormat="1" applyFont="1"/>
    <xf numFmtId="172" fontId="27" fillId="0" borderId="0" xfId="4" applyNumberFormat="1" applyFont="1"/>
    <xf numFmtId="0" fontId="4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4" xfId="0" applyFont="1" applyBorder="1"/>
    <xf numFmtId="9" fontId="12" fillId="0" borderId="15" xfId="0" applyNumberFormat="1" applyFont="1" applyBorder="1"/>
    <xf numFmtId="172" fontId="22" fillId="0" borderId="1" xfId="0" applyNumberFormat="1" applyFont="1" applyBorder="1"/>
    <xf numFmtId="0" fontId="4" fillId="0" borderId="9" xfId="0" applyFont="1" applyBorder="1"/>
    <xf numFmtId="9" fontId="22" fillId="0" borderId="10" xfId="0" applyNumberFormat="1" applyFont="1" applyBorder="1"/>
    <xf numFmtId="0" fontId="4" fillId="0" borderId="14" xfId="0" applyFont="1" applyBorder="1"/>
    <xf numFmtId="0" fontId="4" fillId="0" borderId="15" xfId="0" applyFont="1" applyBorder="1"/>
    <xf numFmtId="9" fontId="22" fillId="0" borderId="13" xfId="0" applyNumberFormat="1" applyFont="1" applyBorder="1"/>
    <xf numFmtId="0" fontId="8" fillId="7" borderId="4" xfId="0" applyFont="1" applyFill="1" applyBorder="1"/>
    <xf numFmtId="0" fontId="8" fillId="7" borderId="2" xfId="0" applyFont="1" applyFill="1" applyBorder="1"/>
    <xf numFmtId="172" fontId="8" fillId="7" borderId="5" xfId="0" applyNumberFormat="1" applyFont="1" applyFill="1" applyBorder="1"/>
    <xf numFmtId="0" fontId="4" fillId="0" borderId="11" xfId="0" applyFont="1" applyBorder="1"/>
    <xf numFmtId="165" fontId="4" fillId="0" borderId="0" xfId="0" applyNumberFormat="1" applyFont="1"/>
    <xf numFmtId="0" fontId="4" fillId="0" borderId="16" xfId="0" applyFont="1" applyBorder="1"/>
    <xf numFmtId="0" fontId="4" fillId="0" borderId="19" xfId="0" applyFont="1" applyBorder="1"/>
    <xf numFmtId="0" fontId="4" fillId="4" borderId="11" xfId="0" applyFont="1" applyFill="1" applyBorder="1"/>
    <xf numFmtId="0" fontId="4" fillId="4" borderId="12" xfId="0" applyFont="1" applyFill="1" applyBorder="1"/>
    <xf numFmtId="1" fontId="4" fillId="4" borderId="11" xfId="0" applyNumberFormat="1" applyFont="1" applyFill="1" applyBorder="1" applyAlignment="1">
      <alignment horizontal="right"/>
    </xf>
    <xf numFmtId="1" fontId="4" fillId="4" borderId="12" xfId="0" applyNumberFormat="1" applyFont="1" applyFill="1" applyBorder="1" applyAlignment="1">
      <alignment horizontal="right"/>
    </xf>
    <xf numFmtId="9" fontId="4" fillId="4" borderId="11" xfId="3" applyFont="1" applyFill="1" applyBorder="1" applyAlignment="1">
      <alignment horizontal="right"/>
    </xf>
    <xf numFmtId="9" fontId="4" fillId="4" borderId="12" xfId="3" applyFont="1" applyFill="1" applyBorder="1" applyAlignment="1">
      <alignment horizontal="right"/>
    </xf>
    <xf numFmtId="2" fontId="4" fillId="4" borderId="11" xfId="0" applyNumberFormat="1" applyFont="1" applyFill="1" applyBorder="1" applyAlignment="1">
      <alignment horizontal="right"/>
    </xf>
    <xf numFmtId="2" fontId="4" fillId="4" borderId="12" xfId="0" applyNumberFormat="1" applyFont="1" applyFill="1" applyBorder="1" applyAlignment="1">
      <alignment horizontal="right"/>
    </xf>
    <xf numFmtId="44" fontId="4" fillId="4" borderId="11" xfId="2" applyFont="1" applyFill="1" applyBorder="1" applyAlignment="1">
      <alignment horizontal="right"/>
    </xf>
    <xf numFmtId="44" fontId="4" fillId="4" borderId="12" xfId="2" applyFont="1" applyFill="1" applyBorder="1" applyAlignment="1">
      <alignment horizontal="right"/>
    </xf>
    <xf numFmtId="9" fontId="4" fillId="4" borderId="14" xfId="3" applyFont="1" applyFill="1" applyBorder="1" applyAlignment="1">
      <alignment horizontal="right"/>
    </xf>
    <xf numFmtId="9" fontId="4" fillId="4" borderId="13" xfId="3" applyFont="1" applyFill="1" applyBorder="1" applyAlignment="1">
      <alignment horizontal="right"/>
    </xf>
    <xf numFmtId="0" fontId="4" fillId="0" borderId="17" xfId="0" applyFont="1" applyBorder="1"/>
    <xf numFmtId="0" fontId="12" fillId="0" borderId="17" xfId="0" applyFont="1" applyBorder="1"/>
    <xf numFmtId="1" fontId="4" fillId="4" borderId="17" xfId="0" applyNumberFormat="1" applyFont="1" applyFill="1" applyBorder="1" applyAlignment="1">
      <alignment horizontal="right"/>
    </xf>
    <xf numFmtId="1" fontId="4" fillId="4" borderId="18" xfId="0" applyNumberFormat="1" applyFont="1" applyFill="1" applyBorder="1" applyAlignment="1">
      <alignment horizontal="right"/>
    </xf>
    <xf numFmtId="0" fontId="4" fillId="0" borderId="20" xfId="0" applyFont="1" applyBorder="1"/>
    <xf numFmtId="1" fontId="4" fillId="0" borderId="20" xfId="0" applyNumberFormat="1" applyFont="1" applyBorder="1"/>
    <xf numFmtId="1" fontId="4" fillId="4" borderId="20" xfId="0" applyNumberFormat="1" applyFont="1" applyFill="1" applyBorder="1" applyAlignment="1">
      <alignment horizontal="right"/>
    </xf>
    <xf numFmtId="1" fontId="4" fillId="4" borderId="21" xfId="0" applyNumberFormat="1" applyFont="1" applyFill="1" applyBorder="1" applyAlignment="1">
      <alignment horizontal="right"/>
    </xf>
    <xf numFmtId="170" fontId="4" fillId="0" borderId="0" xfId="0" applyNumberFormat="1" applyFont="1" applyAlignment="1">
      <alignment horizontal="right"/>
    </xf>
    <xf numFmtId="6" fontId="4" fillId="0" borderId="0" xfId="0" applyNumberFormat="1" applyFont="1" applyAlignment="1">
      <alignment horizontal="right"/>
    </xf>
    <xf numFmtId="0" fontId="4" fillId="0" borderId="12" xfId="0" applyFont="1" applyBorder="1" applyAlignment="1">
      <alignment horizontal="right"/>
    </xf>
    <xf numFmtId="170" fontId="4" fillId="0" borderId="15" xfId="0" applyNumberFormat="1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8" fillId="4" borderId="8" xfId="0" applyFont="1" applyFill="1" applyBorder="1"/>
    <xf numFmtId="0" fontId="8" fillId="4" borderId="9" xfId="0" applyFont="1" applyFill="1" applyBorder="1"/>
    <xf numFmtId="169" fontId="8" fillId="4" borderId="9" xfId="0" applyNumberFormat="1" applyFont="1" applyFill="1" applyBorder="1"/>
    <xf numFmtId="0" fontId="8" fillId="4" borderId="10" xfId="0" applyFont="1" applyFill="1" applyBorder="1"/>
    <xf numFmtId="0" fontId="8" fillId="4" borderId="14" xfId="0" applyFont="1" applyFill="1" applyBorder="1"/>
    <xf numFmtId="0" fontId="8" fillId="4" borderId="15" xfId="0" applyFont="1" applyFill="1" applyBorder="1"/>
    <xf numFmtId="169" fontId="8" fillId="4" borderId="15" xfId="0" applyNumberFormat="1" applyFont="1" applyFill="1" applyBorder="1"/>
    <xf numFmtId="0" fontId="8" fillId="4" borderId="13" xfId="0" applyFont="1" applyFill="1" applyBorder="1"/>
    <xf numFmtId="170" fontId="8" fillId="4" borderId="9" xfId="0" applyNumberFormat="1" applyFont="1" applyFill="1" applyBorder="1"/>
    <xf numFmtId="170" fontId="8" fillId="4" borderId="15" xfId="0" applyNumberFormat="1" applyFont="1" applyFill="1" applyBorder="1"/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/>
    </xf>
    <xf numFmtId="38" fontId="4" fillId="0" borderId="1" xfId="0" applyNumberFormat="1" applyFont="1" applyBorder="1"/>
    <xf numFmtId="9" fontId="13" fillId="0" borderId="0" xfId="3" applyFont="1"/>
    <xf numFmtId="9" fontId="28" fillId="0" borderId="0" xfId="0" applyNumberFormat="1" applyFont="1"/>
    <xf numFmtId="172" fontId="4" fillId="0" borderId="1" xfId="0" applyNumberFormat="1" applyFont="1" applyBorder="1"/>
    <xf numFmtId="172" fontId="13" fillId="0" borderId="1" xfId="0" applyNumberFormat="1" applyFont="1" applyBorder="1"/>
    <xf numFmtId="168" fontId="4" fillId="0" borderId="0" xfId="1" applyNumberFormat="1" applyFont="1"/>
    <xf numFmtId="172" fontId="8" fillId="0" borderId="0" xfId="0" applyNumberFormat="1" applyFont="1"/>
    <xf numFmtId="0" fontId="8" fillId="7" borderId="8" xfId="0" applyFont="1" applyFill="1" applyBorder="1"/>
    <xf numFmtId="0" fontId="8" fillId="7" borderId="9" xfId="0" applyFont="1" applyFill="1" applyBorder="1"/>
    <xf numFmtId="172" fontId="8" fillId="7" borderId="10" xfId="0" applyNumberFormat="1" applyFont="1" applyFill="1" applyBorder="1"/>
    <xf numFmtId="0" fontId="8" fillId="7" borderId="14" xfId="0" applyFont="1" applyFill="1" applyBorder="1"/>
    <xf numFmtId="0" fontId="8" fillId="7" borderId="15" xfId="0" applyFont="1" applyFill="1" applyBorder="1"/>
    <xf numFmtId="165" fontId="8" fillId="7" borderId="13" xfId="3" applyNumberFormat="1" applyFont="1" applyFill="1" applyBorder="1"/>
    <xf numFmtId="172" fontId="13" fillId="0" borderId="0" xfId="0" applyNumberFormat="1" applyFont="1"/>
    <xf numFmtId="172" fontId="16" fillId="3" borderId="6" xfId="0" applyNumberFormat="1" applyFont="1" applyFill="1" applyBorder="1" applyAlignment="1">
      <alignment horizontal="center"/>
    </xf>
    <xf numFmtId="9" fontId="9" fillId="3" borderId="6" xfId="0" applyNumberFormat="1" applyFont="1" applyFill="1" applyBorder="1" applyAlignment="1">
      <alignment horizontal="center"/>
    </xf>
    <xf numFmtId="9" fontId="9" fillId="3" borderId="6" xfId="3" applyFont="1" applyFill="1" applyBorder="1" applyAlignment="1">
      <alignment horizontal="center"/>
    </xf>
    <xf numFmtId="175" fontId="4" fillId="5" borderId="7" xfId="3" applyNumberFormat="1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6" fontId="3" fillId="0" borderId="0" xfId="0" applyNumberFormat="1" applyFont="1" applyAlignment="1">
      <alignment horizontal="right" vertical="center"/>
    </xf>
    <xf numFmtId="6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9" fontId="4" fillId="0" borderId="12" xfId="0" applyNumberFormat="1" applyFont="1" applyBorder="1" applyAlignment="1">
      <alignment horizontal="right" vertical="center"/>
    </xf>
    <xf numFmtId="0" fontId="4" fillId="0" borderId="14" xfId="0" applyFont="1" applyBorder="1" applyAlignment="1">
      <alignment vertical="center"/>
    </xf>
    <xf numFmtId="6" fontId="4" fillId="0" borderId="15" xfId="0" applyNumberFormat="1" applyFont="1" applyBorder="1" applyAlignment="1">
      <alignment horizontal="right" vertical="center"/>
    </xf>
    <xf numFmtId="3" fontId="4" fillId="0" borderId="15" xfId="0" applyNumberFormat="1" applyFont="1" applyBorder="1" applyAlignment="1">
      <alignment horizontal="right" vertical="center"/>
    </xf>
    <xf numFmtId="3" fontId="8" fillId="4" borderId="9" xfId="0" applyNumberFormat="1" applyFont="1" applyFill="1" applyBorder="1"/>
    <xf numFmtId="9" fontId="8" fillId="4" borderId="9" xfId="3" applyFont="1" applyFill="1" applyBorder="1" applyAlignment="1"/>
    <xf numFmtId="9" fontId="8" fillId="4" borderId="10" xfId="3" applyFont="1" applyFill="1" applyBorder="1" applyAlignment="1"/>
    <xf numFmtId="3" fontId="8" fillId="4" borderId="15" xfId="0" applyNumberFormat="1" applyFont="1" applyFill="1" applyBorder="1"/>
    <xf numFmtId="9" fontId="8" fillId="4" borderId="15" xfId="3" applyFont="1" applyFill="1" applyBorder="1" applyAlignment="1"/>
    <xf numFmtId="9" fontId="8" fillId="4" borderId="13" xfId="3" applyFont="1" applyFill="1" applyBorder="1" applyAlignment="1"/>
    <xf numFmtId="6" fontId="3" fillId="0" borderId="15" xfId="0" applyNumberFormat="1" applyFont="1" applyBorder="1" applyAlignment="1">
      <alignment horizontal="right" vertical="center"/>
    </xf>
    <xf numFmtId="0" fontId="13" fillId="0" borderId="11" xfId="0" applyFont="1" applyBorder="1" applyAlignment="1">
      <alignment horizontal="left" indent="2"/>
    </xf>
    <xf numFmtId="165" fontId="12" fillId="0" borderId="0" xfId="3" applyNumberFormat="1" applyFont="1"/>
    <xf numFmtId="165" fontId="12" fillId="0" borderId="12" xfId="0" applyNumberFormat="1" applyFont="1" applyBorder="1"/>
    <xf numFmtId="4" fontId="4" fillId="0" borderId="0" xfId="0" applyNumberFormat="1" applyFont="1"/>
    <xf numFmtId="4" fontId="13" fillId="0" borderId="0" xfId="3" applyNumberFormat="1" applyFont="1"/>
    <xf numFmtId="0" fontId="3" fillId="0" borderId="0" xfId="0" applyFont="1" applyAlignment="1">
      <alignment horizontal="left" indent="2"/>
    </xf>
    <xf numFmtId="0" fontId="8" fillId="0" borderId="8" xfId="0" applyFont="1" applyBorder="1"/>
    <xf numFmtId="9" fontId="29" fillId="0" borderId="10" xfId="0" applyNumberFormat="1" applyFont="1" applyBorder="1"/>
    <xf numFmtId="9" fontId="29" fillId="0" borderId="13" xfId="0" applyNumberFormat="1" applyFont="1" applyBorder="1"/>
    <xf numFmtId="0" fontId="2" fillId="0" borderId="4" xfId="0" applyFont="1" applyBorder="1"/>
    <xf numFmtId="3" fontId="12" fillId="0" borderId="5" xfId="1" applyNumberFormat="1" applyFont="1" applyBorder="1"/>
    <xf numFmtId="165" fontId="4" fillId="5" borderId="7" xfId="3" applyNumberFormat="1" applyFont="1" applyFill="1" applyBorder="1" applyAlignment="1">
      <alignment horizontal="center"/>
    </xf>
    <xf numFmtId="3" fontId="30" fillId="0" borderId="0" xfId="0" applyNumberFormat="1" applyFont="1"/>
    <xf numFmtId="9" fontId="12" fillId="0" borderId="5" xfId="3" applyFont="1" applyBorder="1"/>
    <xf numFmtId="165" fontId="16" fillId="3" borderId="6" xfId="0" applyNumberFormat="1" applyFont="1" applyFill="1" applyBorder="1" applyAlignment="1">
      <alignment horizontal="center"/>
    </xf>
    <xf numFmtId="3" fontId="9" fillId="3" borderId="6" xfId="3" applyNumberFormat="1" applyFont="1" applyFill="1" applyBorder="1" applyAlignment="1">
      <alignment horizontal="center"/>
    </xf>
    <xf numFmtId="3" fontId="9" fillId="3" borderId="6" xfId="0" applyNumberFormat="1" applyFont="1" applyFill="1" applyBorder="1" applyAlignment="1">
      <alignment horizontal="center"/>
    </xf>
    <xf numFmtId="0" fontId="8" fillId="8" borderId="4" xfId="0" applyFont="1" applyFill="1" applyBorder="1"/>
    <xf numFmtId="0" fontId="4" fillId="8" borderId="2" xfId="0" applyFont="1" applyFill="1" applyBorder="1"/>
    <xf numFmtId="172" fontId="8" fillId="8" borderId="5" xfId="0" applyNumberFormat="1" applyFont="1" applyFill="1" applyBorder="1"/>
    <xf numFmtId="165" fontId="8" fillId="5" borderId="7" xfId="3" applyNumberFormat="1" applyFont="1" applyFill="1" applyBorder="1" applyAlignment="1">
      <alignment horizontal="center"/>
    </xf>
    <xf numFmtId="0" fontId="12" fillId="0" borderId="10" xfId="1" applyNumberFormat="1" applyFont="1" applyBorder="1"/>
    <xf numFmtId="1" fontId="12" fillId="0" borderId="13" xfId="1" applyNumberFormat="1" applyFont="1" applyBorder="1"/>
    <xf numFmtId="0" fontId="1" fillId="0" borderId="0" xfId="0" applyFont="1"/>
  </cellXfs>
  <cellStyles count="5">
    <cellStyle name="Comma" xfId="1" builtinId="3"/>
    <cellStyle name="Currency" xfId="2" builtinId="4"/>
    <cellStyle name="Normal" xfId="0" builtinId="0"/>
    <cellStyle name="Normal 3" xfId="4" xr:uid="{8589BA61-C97E-4ACF-8182-5069ECE3B220}"/>
    <cellStyle name="Percent" xfId="3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2683-2B07-42B4-B25A-E0620BA718F4}">
  <dimension ref="B2:W6"/>
  <sheetViews>
    <sheetView topLeftCell="E1" workbookViewId="0">
      <selection activeCell="U6" sqref="U6"/>
    </sheetView>
  </sheetViews>
  <sheetFormatPr defaultRowHeight="12.5" outlineLevelCol="1" x14ac:dyDescent="0.25"/>
  <cols>
    <col min="1" max="1" width="8.7265625" style="93"/>
    <col min="2" max="2" width="19.08984375" style="93" bestFit="1" customWidth="1"/>
    <col min="3" max="3" width="8.7265625" style="93"/>
    <col min="4" max="4" width="0" style="93" hidden="1" customWidth="1" outlineLevel="1"/>
    <col min="5" max="5" width="8.7265625" style="93" collapsed="1"/>
    <col min="6" max="6" width="0" style="93" hidden="1" customWidth="1" outlineLevel="1"/>
    <col min="7" max="7" width="8.7265625" style="93" collapsed="1"/>
    <col min="8" max="8" width="0" style="93" hidden="1" customWidth="1" outlineLevel="1"/>
    <col min="9" max="9" width="8.7265625" style="93" collapsed="1"/>
    <col min="10" max="10" width="0" style="93" hidden="1" customWidth="1" outlineLevel="1"/>
    <col min="11" max="11" width="8.7265625" style="93" collapsed="1"/>
    <col min="12" max="12" width="0" style="93" hidden="1" customWidth="1" outlineLevel="1"/>
    <col min="13" max="13" width="8.7265625" style="93" collapsed="1"/>
    <col min="14" max="14" width="0" style="93" hidden="1" customWidth="1" outlineLevel="1"/>
    <col min="15" max="15" width="8.7265625" style="93" collapsed="1"/>
    <col min="16" max="16" width="0" style="93" hidden="1" customWidth="1" outlineLevel="1"/>
    <col min="17" max="17" width="8.7265625" style="93" collapsed="1"/>
    <col min="18" max="18" width="0" style="93" hidden="1" customWidth="1" outlineLevel="1"/>
    <col min="19" max="19" width="8.7265625" style="93" collapsed="1"/>
    <col min="20" max="20" width="0" style="93" hidden="1" customWidth="1" outlineLevel="1"/>
    <col min="21" max="21" width="8.7265625" style="93" collapsed="1"/>
    <col min="22" max="22" width="8.7265625" style="93" hidden="1" customWidth="1" outlineLevel="1"/>
    <col min="23" max="23" width="8.7265625" style="93" collapsed="1"/>
    <col min="24" max="16384" width="8.7265625" style="93"/>
  </cols>
  <sheetData>
    <row r="2" spans="2:22" x14ac:dyDescent="0.25">
      <c r="C2" s="96" t="s">
        <v>149</v>
      </c>
      <c r="D2" s="96" t="s">
        <v>150</v>
      </c>
      <c r="E2" s="96" t="s">
        <v>151</v>
      </c>
      <c r="F2" s="96" t="s">
        <v>152</v>
      </c>
      <c r="G2" s="96" t="s">
        <v>153</v>
      </c>
      <c r="H2" s="96" t="s">
        <v>154</v>
      </c>
      <c r="I2" s="96" t="s">
        <v>155</v>
      </c>
      <c r="J2" s="96" t="s">
        <v>156</v>
      </c>
      <c r="K2" s="96" t="s">
        <v>157</v>
      </c>
      <c r="L2" s="96" t="s">
        <v>158</v>
      </c>
      <c r="M2" s="96" t="s">
        <v>159</v>
      </c>
      <c r="N2" s="96" t="s">
        <v>160</v>
      </c>
      <c r="O2" s="96" t="s">
        <v>161</v>
      </c>
      <c r="P2" s="96" t="s">
        <v>162</v>
      </c>
      <c r="Q2" s="96" t="s">
        <v>163</v>
      </c>
      <c r="R2" s="96" t="s">
        <v>164</v>
      </c>
      <c r="S2" s="96" t="s">
        <v>165</v>
      </c>
      <c r="T2" s="96" t="s">
        <v>166</v>
      </c>
      <c r="U2" s="96" t="s">
        <v>167</v>
      </c>
      <c r="V2" s="96" t="s">
        <v>168</v>
      </c>
    </row>
    <row r="3" spans="2:22" x14ac:dyDescent="0.25">
      <c r="B3" s="93" t="s">
        <v>169</v>
      </c>
      <c r="C3" s="94">
        <f>'P&amp;L'!H12</f>
        <v>3000000</v>
      </c>
      <c r="D3" s="94">
        <f>'P&amp;L'!I12</f>
        <v>3060000</v>
      </c>
      <c r="E3" s="94">
        <f>'P&amp;L'!J12</f>
        <v>3121200.0000000005</v>
      </c>
      <c r="F3" s="94">
        <f>'P&amp;L'!K12</f>
        <v>3183624.0000000005</v>
      </c>
      <c r="G3" s="94">
        <f>'P&amp;L'!L12</f>
        <v>3247296.4800000004</v>
      </c>
      <c r="H3" s="94">
        <f>'P&amp;L'!M12</f>
        <v>3312242.4096000004</v>
      </c>
      <c r="I3" s="94">
        <f>'P&amp;L'!N12</f>
        <v>3378487.2577920007</v>
      </c>
      <c r="J3" s="94">
        <f>'P&amp;L'!O12</f>
        <v>3446057.0029478404</v>
      </c>
      <c r="K3" s="94">
        <f>'P&amp;L'!P12</f>
        <v>3514978.1430067974</v>
      </c>
      <c r="L3" s="94">
        <f>'P&amp;L'!Q12</f>
        <v>3585277.7058669333</v>
      </c>
      <c r="M3" s="94">
        <f>'P&amp;L'!R12</f>
        <v>3656983.2599842721</v>
      </c>
      <c r="N3" s="94">
        <f>'P&amp;L'!S12</f>
        <v>3730122.9251839579</v>
      </c>
      <c r="O3" s="94">
        <f>'P&amp;L'!T12</f>
        <v>3804725.3836876373</v>
      </c>
      <c r="P3" s="94">
        <f>'P&amp;L'!U12</f>
        <v>3880819.8913613902</v>
      </c>
      <c r="Q3" s="94">
        <f>'P&amp;L'!V12</f>
        <v>3958436.2891886178</v>
      </c>
      <c r="R3" s="94">
        <f>'P&amp;L'!W12</f>
        <v>4037605.0149723906</v>
      </c>
      <c r="S3" s="94">
        <f>'P&amp;L'!X12</f>
        <v>4118357.1152718388</v>
      </c>
      <c r="T3" s="94">
        <f>'P&amp;L'!Y12</f>
        <v>4200724.2575772749</v>
      </c>
      <c r="U3" s="94">
        <f>'P&amp;L'!Z12</f>
        <v>4284738.7427288201</v>
      </c>
      <c r="V3" s="94">
        <f>'P&amp;L'!AA12</f>
        <v>4370433.5175833963</v>
      </c>
    </row>
    <row r="4" spans="2:22" x14ac:dyDescent="0.25">
      <c r="B4" s="93" t="s">
        <v>60</v>
      </c>
      <c r="C4" s="105">
        <f>'P&amp;L'!H8</f>
        <v>0.4</v>
      </c>
      <c r="D4" s="105">
        <f>'P&amp;L'!I8</f>
        <v>0.41000000000000003</v>
      </c>
      <c r="E4" s="105">
        <f>'P&amp;L'!J8</f>
        <v>0.42000000000000004</v>
      </c>
      <c r="F4" s="105">
        <f>'P&amp;L'!K8</f>
        <v>0.43000000000000005</v>
      </c>
      <c r="G4" s="105">
        <f>'P&amp;L'!L8</f>
        <v>0.44000000000000006</v>
      </c>
      <c r="H4" s="105">
        <f>'P&amp;L'!M8</f>
        <v>0.45000000000000007</v>
      </c>
      <c r="I4" s="105">
        <f>'P&amp;L'!N8</f>
        <v>0.46000000000000008</v>
      </c>
      <c r="J4" s="105">
        <f>'P&amp;L'!O8</f>
        <v>0.47000000000000008</v>
      </c>
      <c r="K4" s="105">
        <f>'P&amp;L'!P8</f>
        <v>0.48000000000000009</v>
      </c>
      <c r="L4" s="105">
        <f>'P&amp;L'!Q8</f>
        <v>0.4900000000000001</v>
      </c>
      <c r="M4" s="105">
        <f>'P&amp;L'!R8</f>
        <v>0.50000000000000011</v>
      </c>
      <c r="N4" s="105">
        <f>'P&amp;L'!S8</f>
        <v>0.51000000000000012</v>
      </c>
      <c r="O4" s="105">
        <f>'P&amp;L'!T8</f>
        <v>0.52000000000000013</v>
      </c>
      <c r="P4" s="105">
        <f>'P&amp;L'!U8</f>
        <v>0.53000000000000014</v>
      </c>
      <c r="Q4" s="105">
        <f>'P&amp;L'!V8</f>
        <v>0.54000000000000015</v>
      </c>
      <c r="R4" s="105">
        <f>'P&amp;L'!W8</f>
        <v>0.55000000000000016</v>
      </c>
      <c r="S4" s="105">
        <f>'P&amp;L'!X8</f>
        <v>0.56000000000000016</v>
      </c>
      <c r="T4" s="105">
        <f>'P&amp;L'!Y8</f>
        <v>0.57000000000000017</v>
      </c>
      <c r="U4" s="105">
        <f>'P&amp;L'!Z8</f>
        <v>0.58000000000000018</v>
      </c>
      <c r="V4" s="105">
        <f>'P&amp;L'!AA8</f>
        <v>0.59000000000000019</v>
      </c>
    </row>
    <row r="5" spans="2:22" x14ac:dyDescent="0.25">
      <c r="B5" s="93" t="s">
        <v>42</v>
      </c>
      <c r="C5" s="68">
        <f>'P&amp;L'!H6</f>
        <v>100</v>
      </c>
      <c r="D5" s="68">
        <f>'P&amp;L'!I6</f>
        <v>102</v>
      </c>
      <c r="E5" s="68">
        <f>'P&amp;L'!J6</f>
        <v>104.04</v>
      </c>
      <c r="F5" s="68">
        <f>'P&amp;L'!K6</f>
        <v>106.1208</v>
      </c>
      <c r="G5" s="68">
        <f>'P&amp;L'!L6</f>
        <v>108.243216</v>
      </c>
      <c r="H5" s="68">
        <f>'P&amp;L'!M6</f>
        <v>110.40808032000001</v>
      </c>
      <c r="I5" s="68">
        <f>'P&amp;L'!N6</f>
        <v>112.61624192640001</v>
      </c>
      <c r="J5" s="68">
        <f>'P&amp;L'!O6</f>
        <v>114.868566764928</v>
      </c>
      <c r="K5" s="68">
        <f>'P&amp;L'!P6</f>
        <v>117.16593810022657</v>
      </c>
      <c r="L5" s="68">
        <f>'P&amp;L'!Q6</f>
        <v>119.5092568622311</v>
      </c>
      <c r="M5" s="68">
        <f>'P&amp;L'!R6</f>
        <v>121.89944199947573</v>
      </c>
      <c r="N5" s="68">
        <f>'P&amp;L'!S6</f>
        <v>124.33743083946524</v>
      </c>
      <c r="O5" s="68">
        <f>'P&amp;L'!T6</f>
        <v>126.82417945625456</v>
      </c>
      <c r="P5" s="68">
        <f>'P&amp;L'!U6</f>
        <v>129.36066304537965</v>
      </c>
      <c r="Q5" s="68">
        <f>'P&amp;L'!V6</f>
        <v>131.94787630628724</v>
      </c>
      <c r="R5" s="68">
        <f>'P&amp;L'!W6</f>
        <v>134.58683383241299</v>
      </c>
      <c r="S5" s="68">
        <f>'P&amp;L'!X6</f>
        <v>137.27857050906127</v>
      </c>
      <c r="T5" s="68">
        <f>'P&amp;L'!Y6</f>
        <v>140.02414191924251</v>
      </c>
      <c r="U5" s="68">
        <f>'P&amp;L'!Z6</f>
        <v>142.82462475762736</v>
      </c>
      <c r="V5" s="68">
        <f>'P&amp;L'!AA6</f>
        <v>145.6811172527799</v>
      </c>
    </row>
    <row r="6" spans="2:22" x14ac:dyDescent="0.25">
      <c r="B6" s="93" t="s">
        <v>43</v>
      </c>
      <c r="C6" s="68">
        <f>'P&amp;L'!H7</f>
        <v>250</v>
      </c>
      <c r="D6" s="68">
        <f>'P&amp;L'!I7</f>
        <v>255</v>
      </c>
      <c r="E6" s="68">
        <f>'P&amp;L'!J7</f>
        <v>260.10000000000002</v>
      </c>
      <c r="F6" s="68">
        <f>'P&amp;L'!K7</f>
        <v>265.30200000000002</v>
      </c>
      <c r="G6" s="68">
        <f>'P&amp;L'!L7</f>
        <v>270.60804000000002</v>
      </c>
      <c r="H6" s="68">
        <f>'P&amp;L'!M7</f>
        <v>276.0202008</v>
      </c>
      <c r="I6" s="68">
        <f>'P&amp;L'!N7</f>
        <v>281.54060481599998</v>
      </c>
      <c r="J6" s="68">
        <f>'P&amp;L'!O7</f>
        <v>287.17141691232001</v>
      </c>
      <c r="K6" s="68">
        <f>'P&amp;L'!P7</f>
        <v>292.91484525056643</v>
      </c>
      <c r="L6" s="68">
        <f>'P&amp;L'!Q7</f>
        <v>298.77314215557777</v>
      </c>
      <c r="M6" s="68">
        <f>'P&amp;L'!R7</f>
        <v>304.74860499868936</v>
      </c>
      <c r="N6" s="68">
        <f>'P&amp;L'!S7</f>
        <v>310.84357709866316</v>
      </c>
      <c r="O6" s="68">
        <f>'P&amp;L'!T7</f>
        <v>317.06044864063642</v>
      </c>
      <c r="P6" s="68">
        <f>'P&amp;L'!U7</f>
        <v>323.40165761344917</v>
      </c>
      <c r="Q6" s="68">
        <f>'P&amp;L'!V7</f>
        <v>329.86969076571819</v>
      </c>
      <c r="R6" s="68">
        <f>'P&amp;L'!W7</f>
        <v>336.46708458103257</v>
      </c>
      <c r="S6" s="68">
        <f>'P&amp;L'!X7</f>
        <v>343.19642627265324</v>
      </c>
      <c r="T6" s="68">
        <f>'P&amp;L'!Y7</f>
        <v>350.06035479810629</v>
      </c>
      <c r="U6" s="68">
        <f>'P&amp;L'!Z7</f>
        <v>357.0615618940684</v>
      </c>
      <c r="V6" s="68">
        <f>'P&amp;L'!AA7</f>
        <v>364.20279313194976</v>
      </c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D1C8-8785-494F-B99B-B62B63C9F789}">
  <sheetPr>
    <tabColor theme="9" tint="0.79998168889431442"/>
  </sheetPr>
  <dimension ref="B1:AB101"/>
  <sheetViews>
    <sheetView showGridLines="0" zoomScale="81" zoomScaleNormal="115" workbookViewId="0">
      <selection activeCell="C1" sqref="C1"/>
    </sheetView>
  </sheetViews>
  <sheetFormatPr defaultRowHeight="12.5" outlineLevelRow="2" x14ac:dyDescent="0.25"/>
  <cols>
    <col min="1" max="1" width="8.7265625" style="93"/>
    <col min="2" max="2" width="29.08984375" style="93" bestFit="1" customWidth="1"/>
    <col min="3" max="4" width="8.6328125" style="93" customWidth="1"/>
    <col min="5" max="5" width="16.81640625" style="93" bestFit="1" customWidth="1"/>
    <col min="6" max="6" width="8.6328125" style="93" customWidth="1"/>
    <col min="7" max="7" width="13.81640625" style="103" bestFit="1" customWidth="1"/>
    <col min="8" max="27" width="13.453125" style="93" customWidth="1"/>
    <col min="28" max="28" width="13.81640625" style="93" bestFit="1" customWidth="1"/>
    <col min="29" max="29" width="13.453125" style="93" customWidth="1"/>
    <col min="30" max="16384" width="8.7265625" style="93"/>
  </cols>
  <sheetData>
    <row r="1" spans="2:28" x14ac:dyDescent="0.25">
      <c r="G1" s="93"/>
    </row>
    <row r="3" spans="2:28" ht="13" x14ac:dyDescent="0.3">
      <c r="B3" s="21" t="s">
        <v>7</v>
      </c>
      <c r="G3" s="3" t="s">
        <v>0</v>
      </c>
      <c r="H3" s="4">
        <v>1</v>
      </c>
      <c r="I3" s="4">
        <f>H3+1</f>
        <v>2</v>
      </c>
      <c r="J3" s="4">
        <f t="shared" ref="J3:AA3" si="0">I3+1</f>
        <v>3</v>
      </c>
      <c r="K3" s="4">
        <f t="shared" si="0"/>
        <v>4</v>
      </c>
      <c r="L3" s="4">
        <f t="shared" si="0"/>
        <v>5</v>
      </c>
      <c r="M3" s="4">
        <f t="shared" si="0"/>
        <v>6</v>
      </c>
      <c r="N3" s="4">
        <f t="shared" si="0"/>
        <v>7</v>
      </c>
      <c r="O3" s="4">
        <f t="shared" si="0"/>
        <v>8</v>
      </c>
      <c r="P3" s="4">
        <f t="shared" si="0"/>
        <v>9</v>
      </c>
      <c r="Q3" s="4">
        <f t="shared" si="0"/>
        <v>10</v>
      </c>
      <c r="R3" s="4">
        <f t="shared" si="0"/>
        <v>11</v>
      </c>
      <c r="S3" s="4">
        <f t="shared" si="0"/>
        <v>12</v>
      </c>
      <c r="T3" s="4">
        <f t="shared" si="0"/>
        <v>13</v>
      </c>
      <c r="U3" s="4">
        <f t="shared" si="0"/>
        <v>14</v>
      </c>
      <c r="V3" s="4">
        <f t="shared" si="0"/>
        <v>15</v>
      </c>
      <c r="W3" s="4">
        <f t="shared" si="0"/>
        <v>16</v>
      </c>
      <c r="X3" s="4">
        <f t="shared" si="0"/>
        <v>17</v>
      </c>
      <c r="Y3" s="4">
        <f t="shared" si="0"/>
        <v>18</v>
      </c>
      <c r="Z3" s="4">
        <f t="shared" si="0"/>
        <v>19</v>
      </c>
      <c r="AA3" s="4">
        <f t="shared" si="0"/>
        <v>20</v>
      </c>
    </row>
    <row r="4" spans="2:28" ht="13" outlineLevel="1" x14ac:dyDescent="0.3">
      <c r="B4" s="8" t="s">
        <v>21</v>
      </c>
      <c r="C4" s="8"/>
      <c r="G4" s="82">
        <v>45657</v>
      </c>
      <c r="H4" s="83">
        <f>EDATE(G4,12)</f>
        <v>46022</v>
      </c>
      <c r="I4" s="83">
        <f t="shared" ref="I4:AA4" si="1">EDATE(H4,12)</f>
        <v>46387</v>
      </c>
      <c r="J4" s="83">
        <f t="shared" si="1"/>
        <v>46752</v>
      </c>
      <c r="K4" s="83">
        <f t="shared" si="1"/>
        <v>47118</v>
      </c>
      <c r="L4" s="83">
        <f t="shared" si="1"/>
        <v>47483</v>
      </c>
      <c r="M4" s="83">
        <f t="shared" si="1"/>
        <v>47848</v>
      </c>
      <c r="N4" s="83">
        <f t="shared" si="1"/>
        <v>48213</v>
      </c>
      <c r="O4" s="83">
        <f t="shared" si="1"/>
        <v>48579</v>
      </c>
      <c r="P4" s="83">
        <f t="shared" si="1"/>
        <v>48944</v>
      </c>
      <c r="Q4" s="83">
        <f t="shared" si="1"/>
        <v>49309</v>
      </c>
      <c r="R4" s="83">
        <f t="shared" si="1"/>
        <v>49674</v>
      </c>
      <c r="S4" s="83">
        <f t="shared" si="1"/>
        <v>50040</v>
      </c>
      <c r="T4" s="83">
        <f t="shared" si="1"/>
        <v>50405</v>
      </c>
      <c r="U4" s="83">
        <f t="shared" si="1"/>
        <v>50770</v>
      </c>
      <c r="V4" s="83">
        <f t="shared" si="1"/>
        <v>51135</v>
      </c>
      <c r="W4" s="83">
        <f t="shared" si="1"/>
        <v>51501</v>
      </c>
      <c r="X4" s="83">
        <f t="shared" si="1"/>
        <v>51866</v>
      </c>
      <c r="Y4" s="83">
        <f t="shared" si="1"/>
        <v>52231</v>
      </c>
      <c r="Z4" s="83">
        <f t="shared" si="1"/>
        <v>52596</v>
      </c>
      <c r="AA4" s="83">
        <f t="shared" si="1"/>
        <v>52962</v>
      </c>
      <c r="AB4" s="89">
        <f>EDATE(AA4,12)</f>
        <v>53327</v>
      </c>
    </row>
    <row r="5" spans="2:28" ht="13" outlineLevel="1" x14ac:dyDescent="0.3">
      <c r="B5" s="8"/>
      <c r="C5" s="8"/>
      <c r="G5" s="79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89"/>
    </row>
    <row r="6" spans="2:28" outlineLevel="1" x14ac:dyDescent="0.25">
      <c r="B6" s="165" t="s">
        <v>42</v>
      </c>
      <c r="G6" s="79"/>
      <c r="H6" s="68">
        <f>'Model Build'!H8</f>
        <v>100</v>
      </c>
      <c r="I6" s="68">
        <f>'Model Build'!I8</f>
        <v>102</v>
      </c>
      <c r="J6" s="68">
        <f>'Model Build'!J8</f>
        <v>104.04</v>
      </c>
      <c r="K6" s="68">
        <f>'Model Build'!K8</f>
        <v>106.1208</v>
      </c>
      <c r="L6" s="68">
        <f>'Model Build'!L8</f>
        <v>108.243216</v>
      </c>
      <c r="M6" s="68">
        <f>'Model Build'!M8</f>
        <v>110.40808032000001</v>
      </c>
      <c r="N6" s="68">
        <f>'Model Build'!N8</f>
        <v>112.61624192640001</v>
      </c>
      <c r="O6" s="68">
        <f>'Model Build'!O8</f>
        <v>114.868566764928</v>
      </c>
      <c r="P6" s="68">
        <f>'Model Build'!P8</f>
        <v>117.16593810022657</v>
      </c>
      <c r="Q6" s="68">
        <f>'Model Build'!Q8</f>
        <v>119.5092568622311</v>
      </c>
      <c r="R6" s="68">
        <f>'Model Build'!R8</f>
        <v>121.89944199947573</v>
      </c>
      <c r="S6" s="68">
        <f>'Model Build'!S8</f>
        <v>124.33743083946524</v>
      </c>
      <c r="T6" s="68">
        <f>'Model Build'!T8</f>
        <v>126.82417945625456</v>
      </c>
      <c r="U6" s="68">
        <f>'Model Build'!U8</f>
        <v>129.36066304537965</v>
      </c>
      <c r="V6" s="68">
        <f>'Model Build'!V8</f>
        <v>131.94787630628724</v>
      </c>
      <c r="W6" s="68">
        <f>'Model Build'!W8</f>
        <v>134.58683383241299</v>
      </c>
      <c r="X6" s="68">
        <f>'Model Build'!X8</f>
        <v>137.27857050906127</v>
      </c>
      <c r="Y6" s="68">
        <f>'Model Build'!Y8</f>
        <v>140.02414191924251</v>
      </c>
      <c r="Z6" s="68">
        <f>'Model Build'!Z8</f>
        <v>142.82462475762736</v>
      </c>
      <c r="AA6" s="68">
        <f>'Model Build'!AA8</f>
        <v>145.6811172527799</v>
      </c>
    </row>
    <row r="7" spans="2:28" outlineLevel="1" x14ac:dyDescent="0.25">
      <c r="B7" s="165" t="s">
        <v>43</v>
      </c>
      <c r="G7" s="79"/>
      <c r="H7" s="68">
        <f>'Model Build'!H14</f>
        <v>250</v>
      </c>
      <c r="I7" s="68">
        <f>'Model Build'!I14</f>
        <v>255</v>
      </c>
      <c r="J7" s="68">
        <f>'Model Build'!J14</f>
        <v>260.10000000000002</v>
      </c>
      <c r="K7" s="68">
        <f>'Model Build'!K14</f>
        <v>265.30200000000002</v>
      </c>
      <c r="L7" s="68">
        <f>'Model Build'!L14</f>
        <v>270.60804000000002</v>
      </c>
      <c r="M7" s="68">
        <f>'Model Build'!M14</f>
        <v>276.0202008</v>
      </c>
      <c r="N7" s="68">
        <f>'Model Build'!N14</f>
        <v>281.54060481599998</v>
      </c>
      <c r="O7" s="68">
        <f>'Model Build'!O14</f>
        <v>287.17141691232001</v>
      </c>
      <c r="P7" s="68">
        <f>'Model Build'!P14</f>
        <v>292.91484525056643</v>
      </c>
      <c r="Q7" s="68">
        <f>'Model Build'!Q14</f>
        <v>298.77314215557777</v>
      </c>
      <c r="R7" s="68">
        <f>'Model Build'!R14</f>
        <v>304.74860499868936</v>
      </c>
      <c r="S7" s="68">
        <f>'Model Build'!S14</f>
        <v>310.84357709866316</v>
      </c>
      <c r="T7" s="68">
        <f>'Model Build'!T14</f>
        <v>317.06044864063642</v>
      </c>
      <c r="U7" s="68">
        <f>'Model Build'!U14</f>
        <v>323.40165761344917</v>
      </c>
      <c r="V7" s="68">
        <f>'Model Build'!V14</f>
        <v>329.86969076571819</v>
      </c>
      <c r="W7" s="68">
        <f>'Model Build'!W14</f>
        <v>336.46708458103257</v>
      </c>
      <c r="X7" s="68">
        <f>'Model Build'!X14</f>
        <v>343.19642627265324</v>
      </c>
      <c r="Y7" s="68">
        <f>'Model Build'!Y14</f>
        <v>350.06035479810629</v>
      </c>
      <c r="Z7" s="68">
        <f>'Model Build'!Z14</f>
        <v>357.0615618940684</v>
      </c>
      <c r="AA7" s="68">
        <f>'Model Build'!AA14</f>
        <v>364.20279313194976</v>
      </c>
    </row>
    <row r="8" spans="2:28" outlineLevel="1" x14ac:dyDescent="0.25">
      <c r="B8" s="165" t="s">
        <v>60</v>
      </c>
      <c r="G8" s="79"/>
      <c r="H8" s="65">
        <f>'Model Build'!H44</f>
        <v>0.4</v>
      </c>
      <c r="I8" s="65">
        <f>'Model Build'!I44</f>
        <v>0.41000000000000003</v>
      </c>
      <c r="J8" s="65">
        <f>'Model Build'!J44</f>
        <v>0.42000000000000004</v>
      </c>
      <c r="K8" s="65">
        <f>'Model Build'!K44</f>
        <v>0.43000000000000005</v>
      </c>
      <c r="L8" s="65">
        <f>'Model Build'!L44</f>
        <v>0.44000000000000006</v>
      </c>
      <c r="M8" s="65">
        <f>'Model Build'!M44</f>
        <v>0.45000000000000007</v>
      </c>
      <c r="N8" s="65">
        <f>'Model Build'!N44</f>
        <v>0.46000000000000008</v>
      </c>
      <c r="O8" s="65">
        <f>'Model Build'!O44</f>
        <v>0.47000000000000008</v>
      </c>
      <c r="P8" s="65">
        <f>'Model Build'!P44</f>
        <v>0.48000000000000009</v>
      </c>
      <c r="Q8" s="65">
        <f>'Model Build'!Q44</f>
        <v>0.4900000000000001</v>
      </c>
      <c r="R8" s="65">
        <f>'Model Build'!R44</f>
        <v>0.50000000000000011</v>
      </c>
      <c r="S8" s="65">
        <f>'Model Build'!S44</f>
        <v>0.51000000000000012</v>
      </c>
      <c r="T8" s="65">
        <f>'Model Build'!T44</f>
        <v>0.52000000000000013</v>
      </c>
      <c r="U8" s="65">
        <f>'Model Build'!U44</f>
        <v>0.53000000000000014</v>
      </c>
      <c r="V8" s="65">
        <f>'Model Build'!V44</f>
        <v>0.54000000000000015</v>
      </c>
      <c r="W8" s="65">
        <f>'Model Build'!W44</f>
        <v>0.55000000000000016</v>
      </c>
      <c r="X8" s="65">
        <f>'Model Build'!X44</f>
        <v>0.56000000000000016</v>
      </c>
      <c r="Y8" s="65">
        <f>'Model Build'!Y44</f>
        <v>0.57000000000000017</v>
      </c>
      <c r="Z8" s="65">
        <f>'Model Build'!Z44</f>
        <v>0.58000000000000018</v>
      </c>
      <c r="AA8" s="65">
        <f>'Model Build'!AA44</f>
        <v>0.59000000000000019</v>
      </c>
    </row>
    <row r="9" spans="2:28" outlineLevel="1" x14ac:dyDescent="0.25">
      <c r="B9" s="165" t="s">
        <v>51</v>
      </c>
      <c r="G9" s="79"/>
      <c r="H9" s="67">
        <f>'Model Build'!H26</f>
        <v>3</v>
      </c>
      <c r="I9" s="67">
        <f>'Model Build'!I26</f>
        <v>3</v>
      </c>
      <c r="J9" s="67">
        <f>'Model Build'!J26</f>
        <v>3</v>
      </c>
      <c r="K9" s="67">
        <f>'Model Build'!K26</f>
        <v>3</v>
      </c>
      <c r="L9" s="67">
        <f>'Model Build'!L26</f>
        <v>3</v>
      </c>
      <c r="M9" s="67">
        <f>'Model Build'!M26</f>
        <v>3</v>
      </c>
      <c r="N9" s="67">
        <f>'Model Build'!N26</f>
        <v>3</v>
      </c>
      <c r="O9" s="67">
        <f>'Model Build'!O26</f>
        <v>3</v>
      </c>
      <c r="P9" s="67">
        <f>'Model Build'!P26</f>
        <v>3</v>
      </c>
      <c r="Q9" s="67">
        <f>'Model Build'!Q26</f>
        <v>3</v>
      </c>
      <c r="R9" s="67">
        <f>'Model Build'!R26</f>
        <v>3</v>
      </c>
      <c r="S9" s="67">
        <f>'Model Build'!S26</f>
        <v>3</v>
      </c>
      <c r="T9" s="67">
        <f>'Model Build'!T26</f>
        <v>3</v>
      </c>
      <c r="U9" s="67">
        <f>'Model Build'!U26</f>
        <v>3</v>
      </c>
      <c r="V9" s="67">
        <f>'Model Build'!V26</f>
        <v>3</v>
      </c>
      <c r="W9" s="67">
        <f>'Model Build'!W26</f>
        <v>3</v>
      </c>
      <c r="X9" s="67">
        <f>'Model Build'!X26</f>
        <v>3</v>
      </c>
      <c r="Y9" s="67">
        <f>'Model Build'!Y26</f>
        <v>3</v>
      </c>
      <c r="Z9" s="67">
        <f>'Model Build'!Z26</f>
        <v>3</v>
      </c>
      <c r="AA9" s="67">
        <f>'Model Build'!AA26</f>
        <v>3</v>
      </c>
    </row>
    <row r="10" spans="2:28" s="20" customFormat="1" ht="13" outlineLevel="1" x14ac:dyDescent="0.3">
      <c r="B10" s="165" t="s">
        <v>61</v>
      </c>
      <c r="G10" s="79"/>
      <c r="H10" s="84">
        <f>'Model Build'!H50</f>
        <v>12000</v>
      </c>
      <c r="I10" s="84">
        <f>'Model Build'!I50</f>
        <v>12240</v>
      </c>
      <c r="J10" s="84">
        <f>'Model Build'!J50</f>
        <v>12484.800000000001</v>
      </c>
      <c r="K10" s="84">
        <f>'Model Build'!K50</f>
        <v>12734.496000000001</v>
      </c>
      <c r="L10" s="84">
        <f>'Model Build'!L50</f>
        <v>12989.185920000002</v>
      </c>
      <c r="M10" s="84">
        <f>'Model Build'!M50</f>
        <v>13248.969638400002</v>
      </c>
      <c r="N10" s="84">
        <f>'Model Build'!N50</f>
        <v>13513.949031168002</v>
      </c>
      <c r="O10" s="84">
        <f>'Model Build'!O50</f>
        <v>13784.228011791361</v>
      </c>
      <c r="P10" s="84">
        <f>'Model Build'!P50</f>
        <v>14059.91257202719</v>
      </c>
      <c r="Q10" s="84">
        <f>'Model Build'!Q50</f>
        <v>14341.110823467734</v>
      </c>
      <c r="R10" s="84">
        <f>'Model Build'!R50</f>
        <v>14627.933039937088</v>
      </c>
      <c r="S10" s="84">
        <f>'Model Build'!S50</f>
        <v>14920.491700735831</v>
      </c>
      <c r="T10" s="84">
        <f>'Model Build'!T50</f>
        <v>15218.901534750548</v>
      </c>
      <c r="U10" s="84">
        <f>'Model Build'!U50</f>
        <v>15523.27956544556</v>
      </c>
      <c r="V10" s="84">
        <f>'Model Build'!V50</f>
        <v>15833.745156754472</v>
      </c>
      <c r="W10" s="84">
        <f>'Model Build'!W50</f>
        <v>16150.420059889562</v>
      </c>
      <c r="X10" s="84">
        <f>'Model Build'!X50</f>
        <v>16473.428461087355</v>
      </c>
      <c r="Y10" s="84">
        <f>'Model Build'!Y50</f>
        <v>16802.897030309101</v>
      </c>
      <c r="Z10" s="84">
        <f>'Model Build'!Z50</f>
        <v>17138.954970915282</v>
      </c>
      <c r="AA10" s="84">
        <f>'Model Build'!AA50</f>
        <v>17481.734070333587</v>
      </c>
    </row>
    <row r="11" spans="2:28" s="20" customFormat="1" ht="13" outlineLevel="1" x14ac:dyDescent="0.3">
      <c r="B11" s="165" t="s">
        <v>44</v>
      </c>
      <c r="G11" s="79"/>
      <c r="H11" s="84">
        <f>'Model Build'!H62</f>
        <v>250</v>
      </c>
      <c r="I11" s="84">
        <f>'Model Build'!I62</f>
        <v>250</v>
      </c>
      <c r="J11" s="84">
        <f>'Model Build'!J62</f>
        <v>250</v>
      </c>
      <c r="K11" s="84">
        <f>'Model Build'!K62</f>
        <v>250</v>
      </c>
      <c r="L11" s="84">
        <f>'Model Build'!L62</f>
        <v>250</v>
      </c>
      <c r="M11" s="84">
        <f>'Model Build'!M62</f>
        <v>250</v>
      </c>
      <c r="N11" s="84">
        <f>'Model Build'!N62</f>
        <v>250</v>
      </c>
      <c r="O11" s="84">
        <f>'Model Build'!O62</f>
        <v>250</v>
      </c>
      <c r="P11" s="84">
        <f>'Model Build'!P62</f>
        <v>250</v>
      </c>
      <c r="Q11" s="84">
        <f>'Model Build'!Q62</f>
        <v>250</v>
      </c>
      <c r="R11" s="84">
        <f>'Model Build'!R62</f>
        <v>250</v>
      </c>
      <c r="S11" s="84">
        <f>'Model Build'!S62</f>
        <v>250</v>
      </c>
      <c r="T11" s="84">
        <f>'Model Build'!T62</f>
        <v>250</v>
      </c>
      <c r="U11" s="84">
        <f>'Model Build'!U62</f>
        <v>250</v>
      </c>
      <c r="V11" s="84">
        <f>'Model Build'!V62</f>
        <v>250</v>
      </c>
      <c r="W11" s="84">
        <f>'Model Build'!W62</f>
        <v>250</v>
      </c>
      <c r="X11" s="84">
        <f>'Model Build'!X62</f>
        <v>250</v>
      </c>
      <c r="Y11" s="84">
        <f>'Model Build'!Y62</f>
        <v>250</v>
      </c>
      <c r="Z11" s="84">
        <f>'Model Build'!Z62</f>
        <v>250</v>
      </c>
      <c r="AA11" s="84">
        <f>'Model Build'!AA62</f>
        <v>250</v>
      </c>
    </row>
    <row r="12" spans="2:28" s="20" customFormat="1" ht="13" outlineLevel="1" x14ac:dyDescent="0.3">
      <c r="B12" s="165" t="s">
        <v>144</v>
      </c>
      <c r="G12" s="79"/>
      <c r="H12" s="84">
        <f>H11*H10</f>
        <v>3000000</v>
      </c>
      <c r="I12" s="84">
        <f t="shared" ref="I12:AA12" si="2">I11*I10</f>
        <v>3060000</v>
      </c>
      <c r="J12" s="84">
        <f t="shared" si="2"/>
        <v>3121200.0000000005</v>
      </c>
      <c r="K12" s="84">
        <f t="shared" si="2"/>
        <v>3183624.0000000005</v>
      </c>
      <c r="L12" s="84">
        <f t="shared" si="2"/>
        <v>3247296.4800000004</v>
      </c>
      <c r="M12" s="84">
        <f t="shared" si="2"/>
        <v>3312242.4096000004</v>
      </c>
      <c r="N12" s="84">
        <f t="shared" si="2"/>
        <v>3378487.2577920007</v>
      </c>
      <c r="O12" s="84">
        <f t="shared" si="2"/>
        <v>3446057.0029478404</v>
      </c>
      <c r="P12" s="84">
        <f t="shared" si="2"/>
        <v>3514978.1430067974</v>
      </c>
      <c r="Q12" s="84">
        <f t="shared" si="2"/>
        <v>3585277.7058669333</v>
      </c>
      <c r="R12" s="84">
        <f t="shared" si="2"/>
        <v>3656983.2599842721</v>
      </c>
      <c r="S12" s="84">
        <f t="shared" si="2"/>
        <v>3730122.9251839579</v>
      </c>
      <c r="T12" s="84">
        <f t="shared" si="2"/>
        <v>3804725.3836876373</v>
      </c>
      <c r="U12" s="84">
        <f t="shared" si="2"/>
        <v>3880819.8913613902</v>
      </c>
      <c r="V12" s="84">
        <f t="shared" si="2"/>
        <v>3958436.2891886178</v>
      </c>
      <c r="W12" s="84">
        <f t="shared" si="2"/>
        <v>4037605.0149723906</v>
      </c>
      <c r="X12" s="84">
        <f t="shared" si="2"/>
        <v>4118357.1152718388</v>
      </c>
      <c r="Y12" s="84">
        <f t="shared" si="2"/>
        <v>4200724.2575772749</v>
      </c>
      <c r="Z12" s="84">
        <f t="shared" si="2"/>
        <v>4284738.7427288201</v>
      </c>
      <c r="AA12" s="84">
        <f t="shared" si="2"/>
        <v>4370433.5175833963</v>
      </c>
    </row>
    <row r="13" spans="2:28" s="20" customFormat="1" ht="13" outlineLevel="1" x14ac:dyDescent="0.3">
      <c r="B13" s="165" t="s">
        <v>64</v>
      </c>
      <c r="G13" s="79"/>
      <c r="H13" s="85">
        <f>H11*H10*(1-H8)*H6</f>
        <v>180000000</v>
      </c>
      <c r="I13" s="85">
        <f t="shared" ref="I13:AA13" si="3">I11*I10*(1-I8)*I6</f>
        <v>184150800</v>
      </c>
      <c r="J13" s="85">
        <f t="shared" si="3"/>
        <v>188343195.84000003</v>
      </c>
      <c r="K13" s="85">
        <f t="shared" si="3"/>
        <v>192573773.69414401</v>
      </c>
      <c r="L13" s="85">
        <f t="shared" si="3"/>
        <v>196838776.00838062</v>
      </c>
      <c r="M13" s="85">
        <f t="shared" si="3"/>
        <v>201134079.29913494</v>
      </c>
      <c r="N13" s="85">
        <f t="shared" si="3"/>
        <v>205455170.71913236</v>
      </c>
      <c r="O13" s="85">
        <f t="shared" si="3"/>
        <v>209797123.32699665</v>
      </c>
      <c r="P13" s="85">
        <f t="shared" si="3"/>
        <v>214154569.99413553</v>
      </c>
      <c r="Q13" s="85">
        <f t="shared" si="3"/>
        <v>218521675.87916976</v>
      </c>
      <c r="R13" s="85">
        <f t="shared" si="3"/>
        <v>222892109.39675316</v>
      </c>
      <c r="S13" s="85">
        <f t="shared" si="3"/>
        <v>227259011.60405439</v>
      </c>
      <c r="T13" s="85">
        <f t="shared" si="3"/>
        <v>231614963.92443252</v>
      </c>
      <c r="U13" s="85">
        <f t="shared" si="3"/>
        <v>235951954.12391752</v>
      </c>
      <c r="V13" s="85">
        <f t="shared" si="3"/>
        <v>240261340.45200199</v>
      </c>
      <c r="W13" s="85">
        <f t="shared" si="3"/>
        <v>244533813.85395285</v>
      </c>
      <c r="X13" s="85">
        <f t="shared" si="3"/>
        <v>248759358.1573492</v>
      </c>
      <c r="Y13" s="85">
        <f t="shared" si="3"/>
        <v>252927208.13084006</v>
      </c>
      <c r="Z13" s="85">
        <f t="shared" si="3"/>
        <v>257025805.30817881</v>
      </c>
      <c r="AA13" s="85">
        <f t="shared" si="3"/>
        <v>261042751.46542376</v>
      </c>
    </row>
    <row r="14" spans="2:28" s="20" customFormat="1" ht="13" outlineLevel="1" x14ac:dyDescent="0.3">
      <c r="B14" s="165" t="s">
        <v>65</v>
      </c>
      <c r="G14" s="79"/>
      <c r="H14" s="85">
        <f>H11*H10*H8/H9*H7</f>
        <v>100000000</v>
      </c>
      <c r="I14" s="85">
        <f t="shared" ref="I14:AA14" si="4">I11*I10*I8/I9*I7</f>
        <v>106641000</v>
      </c>
      <c r="J14" s="85">
        <f t="shared" si="4"/>
        <v>113655376.80000003</v>
      </c>
      <c r="K14" s="85">
        <f t="shared" si="4"/>
        <v>121062460.07088004</v>
      </c>
      <c r="L14" s="85">
        <f t="shared" si="4"/>
        <v>128882531.91024926</v>
      </c>
      <c r="M14" s="85">
        <f t="shared" si="4"/>
        <v>137136872.24941021</v>
      </c>
      <c r="N14" s="85">
        <f t="shared" si="4"/>
        <v>145847806.37469277</v>
      </c>
      <c r="O14" s="85">
        <f t="shared" si="4"/>
        <v>155038754.65988752</v>
      </c>
      <c r="P14" s="85">
        <f t="shared" si="4"/>
        <v>164734284.61087355</v>
      </c>
      <c r="Q14" s="85">
        <f t="shared" si="4"/>
        <v>174960165.32809353</v>
      </c>
      <c r="R14" s="85">
        <f t="shared" si="4"/>
        <v>185743424.49729443</v>
      </c>
      <c r="S14" s="85">
        <f t="shared" si="4"/>
        <v>197112408.02392483</v>
      </c>
      <c r="T14" s="85">
        <f t="shared" si="4"/>
        <v>209096842.43177947</v>
      </c>
      <c r="U14" s="85">
        <f t="shared" si="4"/>
        <v>221727900.15190849</v>
      </c>
      <c r="V14" s="85">
        <f t="shared" si="4"/>
        <v>235038267.83348039</v>
      </c>
      <c r="W14" s="85">
        <f t="shared" si="4"/>
        <v>249062217.81421146</v>
      </c>
      <c r="X14" s="85">
        <f t="shared" si="4"/>
        <v>263835682.89415845</v>
      </c>
      <c r="Y14" s="85">
        <f t="shared" si="4"/>
        <v>279396334.56313747</v>
      </c>
      <c r="Z14" s="85">
        <f t="shared" si="4"/>
        <v>295783664.83877742</v>
      </c>
      <c r="AA14" s="85">
        <f t="shared" si="4"/>
        <v>313039071.87926859</v>
      </c>
    </row>
    <row r="15" spans="2:28" s="20" customFormat="1" ht="13" outlineLevel="2" x14ac:dyDescent="0.3">
      <c r="B15" s="165"/>
      <c r="G15" s="79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</row>
    <row r="16" spans="2:28" ht="13" x14ac:dyDescent="0.3">
      <c r="B16" s="61" t="s">
        <v>36</v>
      </c>
      <c r="G16" s="79"/>
      <c r="H16" s="85">
        <f>SUM(H13:H14)</f>
        <v>280000000</v>
      </c>
      <c r="I16" s="85">
        <f t="shared" ref="I16:AA16" si="5">SUM(I13:I14)</f>
        <v>290791800</v>
      </c>
      <c r="J16" s="85">
        <f t="shared" si="5"/>
        <v>301998572.64000005</v>
      </c>
      <c r="K16" s="85">
        <f t="shared" si="5"/>
        <v>313636233.76502407</v>
      </c>
      <c r="L16" s="85">
        <f t="shared" si="5"/>
        <v>325721307.91862988</v>
      </c>
      <c r="M16" s="85">
        <f t="shared" si="5"/>
        <v>338270951.54854512</v>
      </c>
      <c r="N16" s="85">
        <f t="shared" si="5"/>
        <v>351302977.0938251</v>
      </c>
      <c r="O16" s="85">
        <f t="shared" si="5"/>
        <v>364835877.98688418</v>
      </c>
      <c r="P16" s="85">
        <f t="shared" si="5"/>
        <v>378888854.60500908</v>
      </c>
      <c r="Q16" s="85">
        <f t="shared" si="5"/>
        <v>393481841.20726329</v>
      </c>
      <c r="R16" s="85">
        <f t="shared" si="5"/>
        <v>408635533.89404762</v>
      </c>
      <c r="S16" s="85">
        <f t="shared" si="5"/>
        <v>424371419.62797922</v>
      </c>
      <c r="T16" s="85">
        <f t="shared" si="5"/>
        <v>440711806.35621202</v>
      </c>
      <c r="U16" s="85">
        <f t="shared" si="5"/>
        <v>457679854.27582598</v>
      </c>
      <c r="V16" s="85">
        <f t="shared" si="5"/>
        <v>475299608.28548241</v>
      </c>
      <c r="W16" s="85">
        <f t="shared" si="5"/>
        <v>493596031.66816431</v>
      </c>
      <c r="X16" s="85">
        <f t="shared" si="5"/>
        <v>512595041.05150765</v>
      </c>
      <c r="Y16" s="85">
        <f t="shared" si="5"/>
        <v>532323542.69397753</v>
      </c>
      <c r="Z16" s="85">
        <f t="shared" si="5"/>
        <v>552809470.14695621</v>
      </c>
      <c r="AA16" s="85">
        <f t="shared" si="5"/>
        <v>574081823.34469235</v>
      </c>
    </row>
    <row r="17" spans="2:27" outlineLevel="1" x14ac:dyDescent="0.25">
      <c r="B17" s="166"/>
      <c r="G17" s="7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2:27" outlineLevel="1" x14ac:dyDescent="0.25">
      <c r="B18" s="206" t="s">
        <v>201</v>
      </c>
      <c r="G18" s="79"/>
      <c r="H18" s="39">
        <f>'Model Build'!H32</f>
        <v>60</v>
      </c>
      <c r="I18" s="39">
        <f>'Model Build'!I32</f>
        <v>61.800000000000004</v>
      </c>
      <c r="J18" s="39">
        <f>'Model Build'!J32</f>
        <v>63.654000000000003</v>
      </c>
      <c r="K18" s="39">
        <f>'Model Build'!K32</f>
        <v>65.56362</v>
      </c>
      <c r="L18" s="39">
        <f>'Model Build'!L32</f>
        <v>67.530528599999997</v>
      </c>
      <c r="M18" s="39">
        <f>'Model Build'!M32</f>
        <v>69.556444458000001</v>
      </c>
      <c r="N18" s="39">
        <f>'Model Build'!N32</f>
        <v>71.643137791740003</v>
      </c>
      <c r="O18" s="39">
        <f>'Model Build'!O32</f>
        <v>73.79243192549221</v>
      </c>
      <c r="P18" s="39">
        <f>'Model Build'!P32</f>
        <v>76.006204883256984</v>
      </c>
      <c r="Q18" s="39">
        <f>'Model Build'!Q32</f>
        <v>78.286391029754697</v>
      </c>
      <c r="R18" s="39">
        <f>'Model Build'!R32</f>
        <v>80.634982760647333</v>
      </c>
      <c r="S18" s="39">
        <f>'Model Build'!S32</f>
        <v>83.05403224346675</v>
      </c>
      <c r="T18" s="39">
        <f>'Model Build'!T32</f>
        <v>85.545653210770752</v>
      </c>
      <c r="U18" s="39">
        <f>'Model Build'!U32</f>
        <v>88.112022807093879</v>
      </c>
      <c r="V18" s="39">
        <f>'Model Build'!V32</f>
        <v>90.755383491306702</v>
      </c>
      <c r="W18" s="39">
        <f>'Model Build'!W32</f>
        <v>93.478044996045909</v>
      </c>
      <c r="X18" s="39">
        <f>'Model Build'!X32</f>
        <v>96.282386345927293</v>
      </c>
      <c r="Y18" s="39">
        <f>'Model Build'!Y32</f>
        <v>99.170857936305111</v>
      </c>
      <c r="Z18" s="39">
        <f>'Model Build'!Z32</f>
        <v>102.14598367439427</v>
      </c>
      <c r="AA18" s="39">
        <f>'Model Build'!AA32</f>
        <v>105.2103631846261</v>
      </c>
    </row>
    <row r="19" spans="2:27" s="20" customFormat="1" ht="13" x14ac:dyDescent="0.3">
      <c r="B19" s="61" t="s">
        <v>202</v>
      </c>
      <c r="G19" s="80"/>
      <c r="H19" s="85">
        <f>(H10*(1-H8)+H10*H8*H9)*H11*H18</f>
        <v>324000000</v>
      </c>
      <c r="I19" s="85">
        <f t="shared" ref="I19:AA19" si="6">(I10*(1-I8)+I10*I8*I9)*I11*I18</f>
        <v>344176560</v>
      </c>
      <c r="J19" s="85">
        <f t="shared" si="6"/>
        <v>365565431.23200005</v>
      </c>
      <c r="K19" s="85">
        <f t="shared" si="6"/>
        <v>388237640.33551693</v>
      </c>
      <c r="L19" s="85">
        <f t="shared" si="6"/>
        <v>412268297.89280033</v>
      </c>
      <c r="M19" s="85">
        <f t="shared" si="6"/>
        <v>437736829.87007165</v>
      </c>
      <c r="N19" s="85">
        <f t="shared" si="6"/>
        <v>464727222.02424985</v>
      </c>
      <c r="O19" s="85">
        <f t="shared" si="6"/>
        <v>493328277.99470496</v>
      </c>
      <c r="P19" s="85">
        <f t="shared" si="6"/>
        <v>523633891.83918786</v>
      </c>
      <c r="Q19" s="85">
        <f t="shared" si="6"/>
        <v>555743335.81488597</v>
      </c>
      <c r="R19" s="85">
        <f t="shared" si="6"/>
        <v>589761564.24961531</v>
      </c>
      <c r="S19" s="85">
        <f t="shared" si="6"/>
        <v>625799534.39465249</v>
      </c>
      <c r="T19" s="85">
        <f t="shared" si="6"/>
        <v>663974545.19972503</v>
      </c>
      <c r="U19" s="85">
        <f t="shared" si="6"/>
        <v>704410595.00238848</v>
      </c>
      <c r="V19" s="85">
        <f t="shared" si="6"/>
        <v>747238759.17853367</v>
      </c>
      <c r="W19" s="85">
        <f t="shared" si="6"/>
        <v>792597588.85828447</v>
      </c>
      <c r="X19" s="85">
        <f t="shared" si="6"/>
        <v>840633531.87217581</v>
      </c>
      <c r="Y19" s="85">
        <f t="shared" si="6"/>
        <v>891501377.15646374</v>
      </c>
      <c r="Z19" s="85">
        <f t="shared" si="6"/>
        <v>945364723.91385722</v>
      </c>
      <c r="AA19" s="85">
        <f t="shared" si="6"/>
        <v>1002396476.8970827</v>
      </c>
    </row>
    <row r="20" spans="2:27" ht="13" x14ac:dyDescent="0.3">
      <c r="B20" s="12" t="s">
        <v>22</v>
      </c>
      <c r="C20" s="12"/>
      <c r="D20" s="12"/>
      <c r="E20" s="12"/>
      <c r="F20" s="12"/>
      <c r="G20" s="81"/>
      <c r="H20" s="86">
        <f>SUM(H19,H16)</f>
        <v>604000000</v>
      </c>
      <c r="I20" s="86">
        <f t="shared" ref="I20:AA20" si="7">SUM(I19,I16)</f>
        <v>634968360</v>
      </c>
      <c r="J20" s="86">
        <f t="shared" si="7"/>
        <v>667564003.8720001</v>
      </c>
      <c r="K20" s="86">
        <f t="shared" si="7"/>
        <v>701873874.100541</v>
      </c>
      <c r="L20" s="86">
        <f t="shared" si="7"/>
        <v>737989605.81143022</v>
      </c>
      <c r="M20" s="86">
        <f t="shared" si="7"/>
        <v>776007781.41861677</v>
      </c>
      <c r="N20" s="86">
        <f t="shared" si="7"/>
        <v>816030199.11807489</v>
      </c>
      <c r="O20" s="86">
        <f t="shared" si="7"/>
        <v>858164155.98158908</v>
      </c>
      <c r="P20" s="86">
        <f t="shared" si="7"/>
        <v>902522746.44419694</v>
      </c>
      <c r="Q20" s="86">
        <f t="shared" si="7"/>
        <v>949225177.02214932</v>
      </c>
      <c r="R20" s="86">
        <f t="shared" si="7"/>
        <v>998397098.14366293</v>
      </c>
      <c r="S20" s="86">
        <f t="shared" si="7"/>
        <v>1050170954.0226316</v>
      </c>
      <c r="T20" s="86">
        <f t="shared" si="7"/>
        <v>1104686351.5559371</v>
      </c>
      <c r="U20" s="86">
        <f t="shared" si="7"/>
        <v>1162090449.2782145</v>
      </c>
      <c r="V20" s="86">
        <f t="shared" si="7"/>
        <v>1222538367.464016</v>
      </c>
      <c r="W20" s="86">
        <f t="shared" si="7"/>
        <v>1286193620.5264487</v>
      </c>
      <c r="X20" s="86">
        <f t="shared" si="7"/>
        <v>1353228572.9236834</v>
      </c>
      <c r="Y20" s="86">
        <f t="shared" si="7"/>
        <v>1423824919.8504412</v>
      </c>
      <c r="Z20" s="86">
        <f t="shared" si="7"/>
        <v>1498174194.0608134</v>
      </c>
      <c r="AA20" s="86">
        <f t="shared" si="7"/>
        <v>1576478300.241775</v>
      </c>
    </row>
    <row r="21" spans="2:27" ht="13" hidden="1" outlineLevel="1" x14ac:dyDescent="0.3">
      <c r="B21" s="21" t="s">
        <v>204</v>
      </c>
      <c r="G21" s="167"/>
      <c r="H21" s="168">
        <f>H16/H$20</f>
        <v>0.46357615894039733</v>
      </c>
      <c r="I21" s="168">
        <f t="shared" ref="I21:AA21" si="8">I16/I$20</f>
        <v>0.45796266132063651</v>
      </c>
      <c r="J21" s="168">
        <f t="shared" si="8"/>
        <v>0.45238894081818376</v>
      </c>
      <c r="K21" s="168">
        <f t="shared" si="8"/>
        <v>0.44685554675610673</v>
      </c>
      <c r="L21" s="168">
        <f t="shared" si="8"/>
        <v>0.44136300207168178</v>
      </c>
      <c r="M21" s="168">
        <f t="shared" si="8"/>
        <v>0.43591180352618802</v>
      </c>
      <c r="N21" s="168">
        <f t="shared" si="8"/>
        <v>0.43050242193670774</v>
      </c>
      <c r="O21" s="168">
        <f t="shared" si="8"/>
        <v>0.42513530242891118</v>
      </c>
      <c r="P21" s="168">
        <f t="shared" si="8"/>
        <v>0.41981086470980794</v>
      </c>
      <c r="Q21" s="168">
        <f t="shared" si="8"/>
        <v>0.41452950335943495</v>
      </c>
      <c r="R21" s="168">
        <f t="shared" si="8"/>
        <v>0.40929158814046113</v>
      </c>
      <c r="S21" s="168">
        <f t="shared" si="8"/>
        <v>0.40409746432468352</v>
      </c>
      <c r="T21" s="168">
        <f t="shared" si="8"/>
        <v>0.39894745303540224</v>
      </c>
      <c r="U21" s="168">
        <f t="shared" si="8"/>
        <v>0.3938418516046624</v>
      </c>
      <c r="V21" s="168">
        <f t="shared" si="8"/>
        <v>0.38878093394436747</v>
      </c>
      <c r="W21" s="168">
        <f t="shared" si="8"/>
        <v>0.38376495093027418</v>
      </c>
      <c r="X21" s="168">
        <f t="shared" si="8"/>
        <v>0.37879413079789881</v>
      </c>
      <c r="Y21" s="168">
        <f t="shared" si="8"/>
        <v>0.37386867954937386</v>
      </c>
      <c r="Z21" s="168">
        <f t="shared" si="8"/>
        <v>0.36898878137031688</v>
      </c>
      <c r="AA21" s="168">
        <f t="shared" si="8"/>
        <v>0.36415459905578712</v>
      </c>
    </row>
    <row r="22" spans="2:27" ht="13" hidden="1" outlineLevel="1" x14ac:dyDescent="0.3">
      <c r="B22" s="21" t="s">
        <v>203</v>
      </c>
      <c r="G22" s="167"/>
      <c r="H22" s="168">
        <f>H19/H$20</f>
        <v>0.53642384105960261</v>
      </c>
      <c r="I22" s="168">
        <f t="shared" ref="I22:AA22" si="9">I19/I$20</f>
        <v>0.54203733867936343</v>
      </c>
      <c r="J22" s="168">
        <f t="shared" si="9"/>
        <v>0.5476110591818163</v>
      </c>
      <c r="K22" s="168">
        <f t="shared" si="9"/>
        <v>0.55314445324389327</v>
      </c>
      <c r="L22" s="168">
        <f t="shared" si="9"/>
        <v>0.55863699792831822</v>
      </c>
      <c r="M22" s="168">
        <f t="shared" si="9"/>
        <v>0.56408819647381203</v>
      </c>
      <c r="N22" s="168">
        <f t="shared" si="9"/>
        <v>0.56949757806329238</v>
      </c>
      <c r="O22" s="168">
        <f t="shared" si="9"/>
        <v>0.57486469757108893</v>
      </c>
      <c r="P22" s="168">
        <f t="shared" si="9"/>
        <v>0.580189135290192</v>
      </c>
      <c r="Q22" s="168">
        <f t="shared" si="9"/>
        <v>0.58547049664056494</v>
      </c>
      <c r="R22" s="168">
        <f t="shared" si="9"/>
        <v>0.59070841185953893</v>
      </c>
      <c r="S22" s="168">
        <f t="shared" si="9"/>
        <v>0.59590253567531659</v>
      </c>
      <c r="T22" s="168">
        <f t="shared" si="9"/>
        <v>0.60105254696459776</v>
      </c>
      <c r="U22" s="168">
        <f t="shared" si="9"/>
        <v>0.60615814839533766</v>
      </c>
      <c r="V22" s="168">
        <f t="shared" si="9"/>
        <v>0.6112190660556327</v>
      </c>
      <c r="W22" s="168">
        <f t="shared" si="9"/>
        <v>0.61623504906972582</v>
      </c>
      <c r="X22" s="168">
        <f t="shared" si="9"/>
        <v>0.6212058692021013</v>
      </c>
      <c r="Y22" s="168">
        <f t="shared" si="9"/>
        <v>0.62613132045062614</v>
      </c>
      <c r="Z22" s="168">
        <f t="shared" si="9"/>
        <v>0.63101121862968312</v>
      </c>
      <c r="AA22" s="168">
        <f t="shared" si="9"/>
        <v>0.63584540094421294</v>
      </c>
    </row>
    <row r="23" spans="2:27" ht="13" hidden="1" outlineLevel="1" x14ac:dyDescent="0.3">
      <c r="B23" s="21" t="s">
        <v>198</v>
      </c>
      <c r="G23" s="167"/>
      <c r="H23" s="205">
        <f>H10/'P&amp;L'!$B$60</f>
        <v>16</v>
      </c>
      <c r="I23" s="205">
        <f>I10/'P&amp;L'!$B$60</f>
        <v>16.32</v>
      </c>
      <c r="J23" s="205">
        <f>J10/'P&amp;L'!$B$60</f>
        <v>16.6464</v>
      </c>
      <c r="K23" s="205">
        <f>K10/'P&amp;L'!$B$60</f>
        <v>16.979328000000002</v>
      </c>
      <c r="L23" s="205">
        <f>L10/'P&amp;L'!$B$60</f>
        <v>17.318914560000003</v>
      </c>
      <c r="M23" s="205">
        <f>M10/'P&amp;L'!$B$60</f>
        <v>17.665292851200004</v>
      </c>
      <c r="N23" s="205">
        <f>N10/'P&amp;L'!$B$60</f>
        <v>18.018598708224001</v>
      </c>
      <c r="O23" s="205">
        <f>O10/'P&amp;L'!$B$60</f>
        <v>18.378970682388481</v>
      </c>
      <c r="P23" s="205">
        <f>P10/'P&amp;L'!$B$60</f>
        <v>18.746550096036252</v>
      </c>
      <c r="Q23" s="205">
        <f>Q10/'P&amp;L'!$B$60</f>
        <v>19.121481097956977</v>
      </c>
      <c r="R23" s="205">
        <f>R10/'P&amp;L'!$B$60</f>
        <v>19.503910719916117</v>
      </c>
      <c r="S23" s="205">
        <f>S10/'P&amp;L'!$B$60</f>
        <v>19.893988934314439</v>
      </c>
      <c r="T23" s="205">
        <f>T10/'P&amp;L'!$B$60</f>
        <v>20.291868713000731</v>
      </c>
      <c r="U23" s="205">
        <f>U10/'P&amp;L'!$B$60</f>
        <v>20.697706087260748</v>
      </c>
      <c r="V23" s="205">
        <f>V10/'P&amp;L'!$B$60</f>
        <v>21.111660209005962</v>
      </c>
      <c r="W23" s="205">
        <f>W10/'P&amp;L'!$B$60</f>
        <v>21.533893413186082</v>
      </c>
      <c r="X23" s="205">
        <f>X10/'P&amp;L'!$B$60</f>
        <v>21.964571281449807</v>
      </c>
      <c r="Y23" s="205">
        <f>Y10/'P&amp;L'!$B$60</f>
        <v>22.403862707078801</v>
      </c>
      <c r="Z23" s="205">
        <f>Z10/'P&amp;L'!$B$60</f>
        <v>22.851939961220374</v>
      </c>
      <c r="AA23" s="205">
        <f>AA10/'P&amp;L'!$B$60</f>
        <v>23.308978760444781</v>
      </c>
    </row>
    <row r="24" spans="2:27" collapsed="1" x14ac:dyDescent="0.25">
      <c r="G24" s="167"/>
    </row>
    <row r="25" spans="2:27" x14ac:dyDescent="0.25">
      <c r="B25" s="99" t="s">
        <v>23</v>
      </c>
      <c r="G25" s="167"/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  <c r="Q25" s="85">
        <v>0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  <c r="X25" s="85">
        <v>0</v>
      </c>
      <c r="Y25" s="85">
        <v>0</v>
      </c>
      <c r="Z25" s="85">
        <v>0</v>
      </c>
      <c r="AA25" s="85">
        <v>0</v>
      </c>
    </row>
    <row r="26" spans="2:27" ht="13" x14ac:dyDescent="0.3">
      <c r="B26" s="12" t="s">
        <v>25</v>
      </c>
      <c r="C26" s="12"/>
      <c r="D26" s="12"/>
      <c r="E26" s="12"/>
      <c r="F26" s="12"/>
      <c r="G26" s="81"/>
      <c r="H26" s="86">
        <f>SUM(H20:H25)</f>
        <v>604000017</v>
      </c>
      <c r="I26" s="86">
        <f t="shared" ref="I26:AA26" si="10">SUM(I20:I25)</f>
        <v>634968377.32000005</v>
      </c>
      <c r="J26" s="86">
        <f t="shared" si="10"/>
        <v>667564021.51840007</v>
      </c>
      <c r="K26" s="86">
        <f t="shared" si="10"/>
        <v>701873892.07986903</v>
      </c>
      <c r="L26" s="86">
        <f t="shared" si="10"/>
        <v>737989624.13034475</v>
      </c>
      <c r="M26" s="86">
        <f t="shared" si="10"/>
        <v>776007800.08390963</v>
      </c>
      <c r="N26" s="86">
        <f t="shared" si="10"/>
        <v>816030218.13667357</v>
      </c>
      <c r="O26" s="86">
        <f t="shared" si="10"/>
        <v>858164175.3605597</v>
      </c>
      <c r="P26" s="86">
        <f t="shared" si="10"/>
        <v>902522766.19074702</v>
      </c>
      <c r="Q26" s="86">
        <f t="shared" si="10"/>
        <v>949225197.14363039</v>
      </c>
      <c r="R26" s="86">
        <f t="shared" si="10"/>
        <v>998397118.64757359</v>
      </c>
      <c r="S26" s="86">
        <f t="shared" si="10"/>
        <v>1050170974.9166206</v>
      </c>
      <c r="T26" s="86">
        <f t="shared" si="10"/>
        <v>1104686372.8478057</v>
      </c>
      <c r="U26" s="86">
        <f t="shared" si="10"/>
        <v>1162090470.9759204</v>
      </c>
      <c r="V26" s="86">
        <f t="shared" si="10"/>
        <v>1222538389.5756762</v>
      </c>
      <c r="W26" s="86">
        <f t="shared" si="10"/>
        <v>1286193643.0603421</v>
      </c>
      <c r="X26" s="86">
        <f t="shared" si="10"/>
        <v>1353228595.8882546</v>
      </c>
      <c r="Y26" s="86">
        <f t="shared" si="10"/>
        <v>1423824943.2543039</v>
      </c>
      <c r="Z26" s="86">
        <f t="shared" si="10"/>
        <v>1498174217.9127533</v>
      </c>
      <c r="AA26" s="86">
        <f t="shared" si="10"/>
        <v>1576478324.5507538</v>
      </c>
    </row>
    <row r="27" spans="2:27" x14ac:dyDescent="0.25">
      <c r="G27" s="167"/>
    </row>
    <row r="28" spans="2:27" x14ac:dyDescent="0.25">
      <c r="B28" s="99" t="s">
        <v>24</v>
      </c>
      <c r="G28" s="167"/>
      <c r="H28" s="85">
        <f>-'Model Build'!H71*'P&amp;L'!H20</f>
        <v>-474898725.78625619</v>
      </c>
      <c r="I28" s="85">
        <f>-'Model Build'!I71*'P&amp;L'!I20</f>
        <v>-497977853.14521325</v>
      </c>
      <c r="J28" s="85">
        <f>-'Model Build'!J71*'P&amp;L'!J20</f>
        <v>-522206059.91097593</v>
      </c>
      <c r="K28" s="85">
        <f>-'Model Build'!K71*'P&amp;L'!K20</f>
        <v>-547641419.79018164</v>
      </c>
      <c r="L28" s="85">
        <f>-'Model Build'!L71*'P&amp;L'!L20</f>
        <v>-574344963.02660406</v>
      </c>
      <c r="M28" s="85">
        <f>-'Model Build'!M71*'P&amp;L'!M20</f>
        <v>-602380827.14594746</v>
      </c>
      <c r="N28" s="85">
        <f>-'Model Build'!N71*'P&amp;L'!N20</f>
        <v>-631816415.36601138</v>
      </c>
      <c r="O28" s="85">
        <f>-'Model Build'!O71*'P&amp;L'!O20</f>
        <v>-662722563.05979192</v>
      </c>
      <c r="P28" s="85">
        <f>-'Model Build'!P71*'P&amp;L'!P20</f>
        <v>-695173712.67851782</v>
      </c>
      <c r="Q28" s="85">
        <f>-'Model Build'!Q71*'P&amp;L'!Q20</f>
        <v>-729248097.56203198</v>
      </c>
      <c r="R28" s="85">
        <f>-'Model Build'!R71*'P&amp;L'!R20</f>
        <v>-765027935.08534074</v>
      </c>
      <c r="S28" s="85">
        <f>-'Model Build'!S71*'P&amp;L'!S20</f>
        <v>-802599629.61263585</v>
      </c>
      <c r="T28" s="85">
        <f>-'Model Build'!T71*'P&amp;L'!T20</f>
        <v>-842053985.75368845</v>
      </c>
      <c r="U28" s="85">
        <f>-'Model Build'!U71*'P&amp;L'!U20</f>
        <v>-883486432.4422797</v>
      </c>
      <c r="V28" s="85">
        <f>-'Model Build'!V71*'P&amp;L'!V20</f>
        <v>-926997258.38231719</v>
      </c>
      <c r="W28" s="85">
        <f>-'Model Build'!W71*'P&amp;L'!W20</f>
        <v>-972691859.43457401</v>
      </c>
      <c r="X28" s="85">
        <f>-'Model Build'!X71*'P&amp;L'!X20</f>
        <v>-1020680998.5455996</v>
      </c>
      <c r="Y28" s="85">
        <f>-'Model Build'!Y71*'P&amp;L'!Y20</f>
        <v>-1071081078.8504043</v>
      </c>
      <c r="Z28" s="85">
        <f>-'Model Build'!Z71*'P&amp;L'!Z20</f>
        <v>-1124014430.6120417</v>
      </c>
      <c r="AA28" s="85">
        <f>-'Model Build'!AA71*'P&amp;L'!AA20</f>
        <v>-1179609612.6942925</v>
      </c>
    </row>
    <row r="29" spans="2:27" ht="13" x14ac:dyDescent="0.3">
      <c r="B29" s="12" t="s">
        <v>53</v>
      </c>
      <c r="C29" s="12"/>
      <c r="D29" s="12"/>
      <c r="E29" s="12"/>
      <c r="F29" s="12"/>
      <c r="G29" s="81"/>
      <c r="H29" s="86">
        <f>SUM(H26:H28)</f>
        <v>129101291.21374381</v>
      </c>
      <c r="I29" s="86">
        <f t="shared" ref="I29:AA29" si="11">SUM(I26:I28)</f>
        <v>136990524.17478681</v>
      </c>
      <c r="J29" s="86">
        <f t="shared" si="11"/>
        <v>145357961.60742414</v>
      </c>
      <c r="K29" s="86">
        <f t="shared" si="11"/>
        <v>154232472.2896874</v>
      </c>
      <c r="L29" s="86">
        <f t="shared" si="11"/>
        <v>163644661.10374069</v>
      </c>
      <c r="M29" s="86">
        <f t="shared" si="11"/>
        <v>173626972.93796217</v>
      </c>
      <c r="N29" s="86">
        <f t="shared" si="11"/>
        <v>184213802.77066219</v>
      </c>
      <c r="O29" s="86">
        <f t="shared" si="11"/>
        <v>195441612.30076778</v>
      </c>
      <c r="P29" s="86">
        <f t="shared" si="11"/>
        <v>207349053.5122292</v>
      </c>
      <c r="Q29" s="86">
        <f t="shared" si="11"/>
        <v>219977099.5815984</v>
      </c>
      <c r="R29" s="86">
        <f t="shared" si="11"/>
        <v>233369183.56223285</v>
      </c>
      <c r="S29" s="86">
        <f t="shared" si="11"/>
        <v>247571345.30398476</v>
      </c>
      <c r="T29" s="86">
        <f t="shared" si="11"/>
        <v>262632387.09411728</v>
      </c>
      <c r="U29" s="86">
        <f t="shared" si="11"/>
        <v>278604038.53364074</v>
      </c>
      <c r="V29" s="86">
        <f t="shared" si="11"/>
        <v>295541131.19335902</v>
      </c>
      <c r="W29" s="86">
        <f t="shared" si="11"/>
        <v>313501783.62576807</v>
      </c>
      <c r="X29" s="86">
        <f t="shared" si="11"/>
        <v>332547597.34265506</v>
      </c>
      <c r="Y29" s="86">
        <f t="shared" si="11"/>
        <v>352743864.40389967</v>
      </c>
      <c r="Z29" s="86">
        <f t="shared" si="11"/>
        <v>374159787.30071163</v>
      </c>
      <c r="AA29" s="86">
        <f t="shared" si="11"/>
        <v>396868711.85646129</v>
      </c>
    </row>
    <row r="30" spans="2:27" ht="13" x14ac:dyDescent="0.3">
      <c r="B30" s="21" t="s">
        <v>147</v>
      </c>
      <c r="G30" s="167"/>
      <c r="H30" s="168">
        <f>H29/H20</f>
        <v>0.21374385962540365</v>
      </c>
      <c r="I30" s="168">
        <f t="shared" ref="I30:AA30" si="12">I29/I20</f>
        <v>0.21574385875665805</v>
      </c>
      <c r="J30" s="168">
        <f t="shared" si="12"/>
        <v>0.21774385791372797</v>
      </c>
      <c r="K30" s="168">
        <f t="shared" si="12"/>
        <v>0.21974385709588917</v>
      </c>
      <c r="L30" s="168">
        <f t="shared" si="12"/>
        <v>0.22174385630243534</v>
      </c>
      <c r="M30" s="168">
        <f t="shared" si="12"/>
        <v>0.22374385553267956</v>
      </c>
      <c r="N30" s="168">
        <f t="shared" si="12"/>
        <v>0.22574385478595199</v>
      </c>
      <c r="O30" s="168">
        <f t="shared" si="12"/>
        <v>0.22774385406160072</v>
      </c>
      <c r="P30" s="168">
        <f t="shared" si="12"/>
        <v>0.22974385335899078</v>
      </c>
      <c r="Q30" s="168">
        <f t="shared" si="12"/>
        <v>0.23174385267750375</v>
      </c>
      <c r="R30" s="168">
        <f t="shared" si="12"/>
        <v>0.23374385201653755</v>
      </c>
      <c r="S30" s="168">
        <f t="shared" si="12"/>
        <v>0.23574385137550613</v>
      </c>
      <c r="T30" s="168">
        <f t="shared" si="12"/>
        <v>0.23774385075383869</v>
      </c>
      <c r="U30" s="168">
        <f t="shared" si="12"/>
        <v>0.23974385015097954</v>
      </c>
      <c r="V30" s="168">
        <f t="shared" si="12"/>
        <v>0.24174384956638831</v>
      </c>
      <c r="W30" s="168">
        <f t="shared" si="12"/>
        <v>0.24374384899953822</v>
      </c>
      <c r="X30" s="168">
        <f t="shared" si="12"/>
        <v>0.24574384844991695</v>
      </c>
      <c r="Y30" s="168">
        <f t="shared" si="12"/>
        <v>0.24774384791702617</v>
      </c>
      <c r="Z30" s="168">
        <f t="shared" si="12"/>
        <v>0.24974384740038036</v>
      </c>
      <c r="AA30" s="168">
        <f t="shared" si="12"/>
        <v>0.25174384689950752</v>
      </c>
    </row>
    <row r="31" spans="2:27" ht="13" x14ac:dyDescent="0.3">
      <c r="G31" s="167"/>
      <c r="H31" s="168"/>
    </row>
    <row r="32" spans="2:27" x14ac:dyDescent="0.25">
      <c r="B32" s="99" t="s">
        <v>66</v>
      </c>
      <c r="G32" s="167"/>
      <c r="H32" s="85">
        <f>-H40</f>
        <v>-15000000</v>
      </c>
      <c r="I32" s="85">
        <f t="shared" ref="I32:AA32" si="13">-I40</f>
        <v>-15000000</v>
      </c>
      <c r="J32" s="85">
        <f t="shared" si="13"/>
        <v>-15000000</v>
      </c>
      <c r="K32" s="85">
        <f t="shared" si="13"/>
        <v>-15000000</v>
      </c>
      <c r="L32" s="85">
        <f t="shared" si="13"/>
        <v>-15000000</v>
      </c>
      <c r="M32" s="85">
        <f t="shared" si="13"/>
        <v>-15000000</v>
      </c>
      <c r="N32" s="85">
        <f t="shared" si="13"/>
        <v>-15000000</v>
      </c>
      <c r="O32" s="85">
        <f t="shared" si="13"/>
        <v>-15000000</v>
      </c>
      <c r="P32" s="85">
        <f t="shared" si="13"/>
        <v>-15000000</v>
      </c>
      <c r="Q32" s="85">
        <f t="shared" si="13"/>
        <v>-15000000</v>
      </c>
      <c r="R32" s="85">
        <f t="shared" si="13"/>
        <v>-15000000</v>
      </c>
      <c r="S32" s="85">
        <f t="shared" si="13"/>
        <v>-15000000</v>
      </c>
      <c r="T32" s="85">
        <f t="shared" si="13"/>
        <v>-15000000</v>
      </c>
      <c r="U32" s="85">
        <f t="shared" si="13"/>
        <v>-15000000</v>
      </c>
      <c r="V32" s="85">
        <f t="shared" si="13"/>
        <v>-15000000</v>
      </c>
      <c r="W32" s="85">
        <f t="shared" si="13"/>
        <v>-15000000</v>
      </c>
      <c r="X32" s="85">
        <f t="shared" si="13"/>
        <v>-15000000</v>
      </c>
      <c r="Y32" s="85">
        <f t="shared" si="13"/>
        <v>-15000000</v>
      </c>
      <c r="Z32" s="85">
        <f t="shared" si="13"/>
        <v>-15000000</v>
      </c>
      <c r="AA32" s="85">
        <f t="shared" si="13"/>
        <v>-15000000</v>
      </c>
    </row>
    <row r="33" spans="2:28" x14ac:dyDescent="0.25">
      <c r="B33" s="99" t="s">
        <v>29</v>
      </c>
      <c r="G33" s="167"/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5">
        <v>0</v>
      </c>
      <c r="P33" s="85">
        <v>0</v>
      </c>
      <c r="Q33" s="85">
        <v>0</v>
      </c>
      <c r="R33" s="85">
        <v>0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</row>
    <row r="34" spans="2:28" ht="13" x14ac:dyDescent="0.3">
      <c r="B34" s="12" t="s">
        <v>26</v>
      </c>
      <c r="C34" s="12"/>
      <c r="D34" s="12"/>
      <c r="E34" s="12"/>
      <c r="F34" s="12"/>
      <c r="G34" s="81"/>
      <c r="H34" s="86">
        <f>SUM(H29:H33)</f>
        <v>114101291.42748767</v>
      </c>
      <c r="I34" s="86">
        <f t="shared" ref="I34:AA34" si="14">SUM(I29:I33)</f>
        <v>121990524.39053068</v>
      </c>
      <c r="J34" s="86">
        <f t="shared" si="14"/>
        <v>130357961.82516798</v>
      </c>
      <c r="K34" s="86">
        <f t="shared" si="14"/>
        <v>139232472.50943124</v>
      </c>
      <c r="L34" s="86">
        <f t="shared" si="14"/>
        <v>148644661.32548454</v>
      </c>
      <c r="M34" s="86">
        <f t="shared" si="14"/>
        <v>158626973.16170603</v>
      </c>
      <c r="N34" s="86">
        <f t="shared" si="14"/>
        <v>169213802.99640605</v>
      </c>
      <c r="O34" s="86">
        <f t="shared" si="14"/>
        <v>180441612.52851164</v>
      </c>
      <c r="P34" s="86">
        <f t="shared" si="14"/>
        <v>192349053.74197307</v>
      </c>
      <c r="Q34" s="86">
        <f t="shared" si="14"/>
        <v>204977099.81334224</v>
      </c>
      <c r="R34" s="86">
        <f t="shared" si="14"/>
        <v>218369183.7959767</v>
      </c>
      <c r="S34" s="86">
        <f t="shared" si="14"/>
        <v>232571345.53972861</v>
      </c>
      <c r="T34" s="86">
        <f t="shared" si="14"/>
        <v>247632387.33186114</v>
      </c>
      <c r="U34" s="86">
        <f t="shared" si="14"/>
        <v>263604038.77338457</v>
      </c>
      <c r="V34" s="86">
        <f t="shared" si="14"/>
        <v>280541131.43510288</v>
      </c>
      <c r="W34" s="86">
        <f t="shared" si="14"/>
        <v>298501783.8695119</v>
      </c>
      <c r="X34" s="86">
        <f t="shared" si="14"/>
        <v>317547597.58839893</v>
      </c>
      <c r="Y34" s="86">
        <f t="shared" si="14"/>
        <v>337743864.65164351</v>
      </c>
      <c r="Z34" s="86">
        <f t="shared" si="14"/>
        <v>359159787.55045545</v>
      </c>
      <c r="AA34" s="86">
        <f t="shared" si="14"/>
        <v>381868712.10820514</v>
      </c>
    </row>
    <row r="35" spans="2:28" x14ac:dyDescent="0.25">
      <c r="G35" s="167"/>
    </row>
    <row r="36" spans="2:28" x14ac:dyDescent="0.25">
      <c r="B36" s="99" t="s">
        <v>30</v>
      </c>
      <c r="G36" s="167"/>
      <c r="H36" s="85">
        <f>-H34*H37</f>
        <v>-23961271.19977241</v>
      </c>
      <c r="I36" s="85">
        <f t="shared" ref="I36:AA36" si="15">-I34*I37</f>
        <v>-25618010.122011442</v>
      </c>
      <c r="J36" s="85">
        <f t="shared" si="15"/>
        <v>-27375171.983285274</v>
      </c>
      <c r="K36" s="85">
        <f t="shared" si="15"/>
        <v>-29238819.22698056</v>
      </c>
      <c r="L36" s="85">
        <f t="shared" si="15"/>
        <v>-31215378.878351752</v>
      </c>
      <c r="M36" s="85">
        <f t="shared" si="15"/>
        <v>-33311664.363958266</v>
      </c>
      <c r="N36" s="85">
        <f t="shared" si="15"/>
        <v>-35534898.629245266</v>
      </c>
      <c r="O36" s="85">
        <f t="shared" si="15"/>
        <v>-37892738.630987443</v>
      </c>
      <c r="P36" s="85">
        <f t="shared" si="15"/>
        <v>-40393301.285814345</v>
      </c>
      <c r="Q36" s="85">
        <f t="shared" si="15"/>
        <v>-43045190.96080187</v>
      </c>
      <c r="R36" s="85">
        <f t="shared" si="15"/>
        <v>-45857528.597155102</v>
      </c>
      <c r="S36" s="85">
        <f t="shared" si="15"/>
        <v>-48839982.563343003</v>
      </c>
      <c r="T36" s="85">
        <f t="shared" si="15"/>
        <v>-52002801.339690834</v>
      </c>
      <c r="U36" s="85">
        <f t="shared" si="15"/>
        <v>-55356848.142410755</v>
      </c>
      <c r="V36" s="85">
        <f t="shared" si="15"/>
        <v>-58913637.601371601</v>
      </c>
      <c r="W36" s="85">
        <f t="shared" si="15"/>
        <v>-62685374.612597495</v>
      </c>
      <c r="X36" s="85">
        <f t="shared" si="15"/>
        <v>-66684995.493563771</v>
      </c>
      <c r="Y36" s="85">
        <f t="shared" si="15"/>
        <v>-70926211.576845139</v>
      </c>
      <c r="Z36" s="85">
        <f t="shared" si="15"/>
        <v>-75423555.385595635</v>
      </c>
      <c r="AA36" s="85">
        <f t="shared" si="15"/>
        <v>-80192429.542723075</v>
      </c>
    </row>
    <row r="37" spans="2:28" ht="13" x14ac:dyDescent="0.3">
      <c r="B37" s="40" t="s">
        <v>31</v>
      </c>
      <c r="G37" s="167"/>
      <c r="H37" s="169">
        <v>0.21</v>
      </c>
      <c r="I37" s="169">
        <v>0.21</v>
      </c>
      <c r="J37" s="169">
        <v>0.21</v>
      </c>
      <c r="K37" s="169">
        <v>0.21</v>
      </c>
      <c r="L37" s="169">
        <v>0.21</v>
      </c>
      <c r="M37" s="169">
        <v>0.21</v>
      </c>
      <c r="N37" s="169">
        <v>0.21</v>
      </c>
      <c r="O37" s="169">
        <v>0.21</v>
      </c>
      <c r="P37" s="169">
        <v>0.21</v>
      </c>
      <c r="Q37" s="169">
        <v>0.21</v>
      </c>
      <c r="R37" s="169">
        <v>0.21</v>
      </c>
      <c r="S37" s="169">
        <v>0.21</v>
      </c>
      <c r="T37" s="169">
        <v>0.21</v>
      </c>
      <c r="U37" s="169">
        <v>0.21</v>
      </c>
      <c r="V37" s="169">
        <v>0.21</v>
      </c>
      <c r="W37" s="169">
        <v>0.21</v>
      </c>
      <c r="X37" s="169">
        <v>0.21</v>
      </c>
      <c r="Y37" s="169">
        <v>0.21</v>
      </c>
      <c r="Z37" s="169">
        <v>0.21</v>
      </c>
      <c r="AA37" s="169">
        <v>0.21</v>
      </c>
    </row>
    <row r="38" spans="2:28" ht="13" x14ac:dyDescent="0.3">
      <c r="B38" s="12" t="s">
        <v>27</v>
      </c>
      <c r="C38" s="12"/>
      <c r="D38" s="12"/>
      <c r="E38" s="12"/>
      <c r="F38" s="12"/>
      <c r="G38" s="81"/>
      <c r="H38" s="86">
        <f>SUM(H34:H36)</f>
        <v>90140020.227715254</v>
      </c>
      <c r="I38" s="86">
        <f t="shared" ref="I38:AA38" si="16">SUM(I34:I36)</f>
        <v>96372514.268519238</v>
      </c>
      <c r="J38" s="86">
        <f t="shared" si="16"/>
        <v>102982789.84188271</v>
      </c>
      <c r="K38" s="86">
        <f t="shared" si="16"/>
        <v>109993653.28245068</v>
      </c>
      <c r="L38" s="86">
        <f t="shared" si="16"/>
        <v>117429282.4471328</v>
      </c>
      <c r="M38" s="86">
        <f t="shared" si="16"/>
        <v>125315308.79774776</v>
      </c>
      <c r="N38" s="86">
        <f t="shared" si="16"/>
        <v>133678904.36716078</v>
      </c>
      <c r="O38" s="86">
        <f t="shared" si="16"/>
        <v>142548873.89752421</v>
      </c>
      <c r="P38" s="86">
        <f t="shared" si="16"/>
        <v>151955752.45615873</v>
      </c>
      <c r="Q38" s="86">
        <f t="shared" si="16"/>
        <v>161931908.85254037</v>
      </c>
      <c r="R38" s="86">
        <f t="shared" si="16"/>
        <v>172511655.1988216</v>
      </c>
      <c r="S38" s="86">
        <f t="shared" si="16"/>
        <v>183731362.97638559</v>
      </c>
      <c r="T38" s="86">
        <f t="shared" si="16"/>
        <v>195629585.9921703</v>
      </c>
      <c r="U38" s="86">
        <f t="shared" si="16"/>
        <v>208247190.63097382</v>
      </c>
      <c r="V38" s="86">
        <f t="shared" si="16"/>
        <v>221627493.83373129</v>
      </c>
      <c r="W38" s="86">
        <f t="shared" si="16"/>
        <v>235816409.25691441</v>
      </c>
      <c r="X38" s="86">
        <f t="shared" si="16"/>
        <v>250862602.09483516</v>
      </c>
      <c r="Y38" s="86">
        <f t="shared" si="16"/>
        <v>266817653.07479838</v>
      </c>
      <c r="Z38" s="86">
        <f t="shared" si="16"/>
        <v>283736232.16485983</v>
      </c>
      <c r="AA38" s="86">
        <f t="shared" si="16"/>
        <v>301676282.56548208</v>
      </c>
    </row>
    <row r="39" spans="2:28" x14ac:dyDescent="0.25">
      <c r="G39" s="167"/>
    </row>
    <row r="40" spans="2:28" x14ac:dyDescent="0.25">
      <c r="B40" s="99" t="s">
        <v>67</v>
      </c>
      <c r="G40" s="170"/>
      <c r="H40" s="87">
        <f>'P&amp;L'!D60*10^6</f>
        <v>15000000</v>
      </c>
      <c r="I40" s="85">
        <f>H40</f>
        <v>15000000</v>
      </c>
      <c r="J40" s="85">
        <f t="shared" ref="J40:AA40" si="17">I40</f>
        <v>15000000</v>
      </c>
      <c r="K40" s="85">
        <f t="shared" si="17"/>
        <v>15000000</v>
      </c>
      <c r="L40" s="85">
        <f t="shared" si="17"/>
        <v>15000000</v>
      </c>
      <c r="M40" s="85">
        <f t="shared" si="17"/>
        <v>15000000</v>
      </c>
      <c r="N40" s="85">
        <f t="shared" si="17"/>
        <v>15000000</v>
      </c>
      <c r="O40" s="85">
        <f t="shared" si="17"/>
        <v>15000000</v>
      </c>
      <c r="P40" s="85">
        <f t="shared" si="17"/>
        <v>15000000</v>
      </c>
      <c r="Q40" s="85">
        <f t="shared" si="17"/>
        <v>15000000</v>
      </c>
      <c r="R40" s="85">
        <f t="shared" si="17"/>
        <v>15000000</v>
      </c>
      <c r="S40" s="85">
        <f t="shared" si="17"/>
        <v>15000000</v>
      </c>
      <c r="T40" s="85">
        <f t="shared" si="17"/>
        <v>15000000</v>
      </c>
      <c r="U40" s="85">
        <f t="shared" si="17"/>
        <v>15000000</v>
      </c>
      <c r="V40" s="85">
        <f t="shared" si="17"/>
        <v>15000000</v>
      </c>
      <c r="W40" s="85">
        <f t="shared" si="17"/>
        <v>15000000</v>
      </c>
      <c r="X40" s="85">
        <f t="shared" si="17"/>
        <v>15000000</v>
      </c>
      <c r="Y40" s="85">
        <f t="shared" si="17"/>
        <v>15000000</v>
      </c>
      <c r="Z40" s="85">
        <f t="shared" si="17"/>
        <v>15000000</v>
      </c>
      <c r="AA40" s="85">
        <f t="shared" si="17"/>
        <v>15000000</v>
      </c>
    </row>
    <row r="41" spans="2:28" x14ac:dyDescent="0.25">
      <c r="B41" s="99" t="s">
        <v>32</v>
      </c>
      <c r="G41" s="170"/>
      <c r="H41" s="85">
        <v>0</v>
      </c>
      <c r="I41" s="85">
        <v>0</v>
      </c>
      <c r="J41" s="85">
        <v>0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  <c r="Q41" s="85">
        <v>0</v>
      </c>
      <c r="R41" s="85">
        <v>0</v>
      </c>
      <c r="S41" s="85">
        <v>0</v>
      </c>
      <c r="T41" s="85">
        <v>0</v>
      </c>
      <c r="U41" s="85">
        <v>0</v>
      </c>
      <c r="V41" s="85">
        <v>0</v>
      </c>
      <c r="W41" s="85">
        <v>0</v>
      </c>
      <c r="X41" s="85">
        <v>0</v>
      </c>
      <c r="Y41" s="85">
        <v>0</v>
      </c>
      <c r="Z41" s="85">
        <v>0</v>
      </c>
      <c r="AA41" s="85">
        <v>0</v>
      </c>
    </row>
    <row r="42" spans="2:28" ht="13" x14ac:dyDescent="0.3">
      <c r="B42" s="99" t="s">
        <v>33</v>
      </c>
      <c r="G42" s="170">
        <f>-'P&amp;L'!B60*10^6</f>
        <v>-750000000</v>
      </c>
      <c r="H42" s="85">
        <v>0</v>
      </c>
      <c r="I42" s="85">
        <v>0</v>
      </c>
      <c r="J42" s="85">
        <v>0</v>
      </c>
      <c r="K42" s="85">
        <v>0</v>
      </c>
      <c r="L42" s="85">
        <v>0</v>
      </c>
      <c r="M42" s="85">
        <v>0</v>
      </c>
      <c r="N42" s="85">
        <v>0</v>
      </c>
      <c r="O42" s="85">
        <v>0</v>
      </c>
      <c r="P42" s="85">
        <v>0</v>
      </c>
      <c r="Q42" s="85">
        <v>0</v>
      </c>
      <c r="R42" s="85">
        <v>0</v>
      </c>
      <c r="S42" s="85">
        <v>0</v>
      </c>
      <c r="T42" s="85">
        <v>0</v>
      </c>
      <c r="U42" s="85">
        <v>0</v>
      </c>
      <c r="V42" s="85">
        <v>0</v>
      </c>
      <c r="W42" s="85">
        <v>0</v>
      </c>
      <c r="X42" s="85">
        <v>0</v>
      </c>
      <c r="Y42" s="85">
        <v>0</v>
      </c>
      <c r="Z42" s="85">
        <v>0</v>
      </c>
      <c r="AA42" s="85">
        <v>0</v>
      </c>
      <c r="AB42" s="1" t="s">
        <v>69</v>
      </c>
    </row>
    <row r="43" spans="2:28" ht="13" x14ac:dyDescent="0.3">
      <c r="B43" s="12" t="s">
        <v>28</v>
      </c>
      <c r="C43" s="12"/>
      <c r="D43" s="12"/>
      <c r="E43" s="12"/>
      <c r="F43" s="12"/>
      <c r="G43" s="88">
        <f t="shared" ref="G43" si="18">SUM(G38:G42)</f>
        <v>-750000000</v>
      </c>
      <c r="H43" s="86">
        <f>SUM(H38:H42)</f>
        <v>105140020.22771525</v>
      </c>
      <c r="I43" s="86">
        <f t="shared" ref="I43:AA43" si="19">SUM(I38:I42)</f>
        <v>111372514.26851924</v>
      </c>
      <c r="J43" s="86">
        <f t="shared" si="19"/>
        <v>117982789.84188271</v>
      </c>
      <c r="K43" s="86">
        <f t="shared" si="19"/>
        <v>124993653.28245068</v>
      </c>
      <c r="L43" s="86">
        <f t="shared" si="19"/>
        <v>132429282.4471328</v>
      </c>
      <c r="M43" s="86">
        <f t="shared" si="19"/>
        <v>140315308.79774776</v>
      </c>
      <c r="N43" s="86">
        <f t="shared" si="19"/>
        <v>148678904.3671608</v>
      </c>
      <c r="O43" s="86">
        <f t="shared" si="19"/>
        <v>157548873.89752421</v>
      </c>
      <c r="P43" s="86">
        <f t="shared" si="19"/>
        <v>166955752.45615873</v>
      </c>
      <c r="Q43" s="86">
        <f t="shared" si="19"/>
        <v>176931908.85254037</v>
      </c>
      <c r="R43" s="86">
        <f t="shared" si="19"/>
        <v>187511655.1988216</v>
      </c>
      <c r="S43" s="86">
        <f t="shared" si="19"/>
        <v>198731362.97638559</v>
      </c>
      <c r="T43" s="86">
        <f t="shared" si="19"/>
        <v>210629585.9921703</v>
      </c>
      <c r="U43" s="86">
        <f t="shared" si="19"/>
        <v>223247190.63097382</v>
      </c>
      <c r="V43" s="86">
        <f t="shared" si="19"/>
        <v>236627493.83373129</v>
      </c>
      <c r="W43" s="86">
        <f t="shared" si="19"/>
        <v>250816409.25691441</v>
      </c>
      <c r="X43" s="86">
        <f t="shared" si="19"/>
        <v>265862602.09483516</v>
      </c>
      <c r="Y43" s="86">
        <f t="shared" si="19"/>
        <v>281817653.07479835</v>
      </c>
      <c r="Z43" s="86">
        <f t="shared" si="19"/>
        <v>298736232.16485983</v>
      </c>
      <c r="AA43" s="86">
        <f t="shared" si="19"/>
        <v>316676282.56548208</v>
      </c>
      <c r="AB43" s="100">
        <f>AA43*(1+$E$47)/($E$46-$E$47)</f>
        <v>4659665300.6063786</v>
      </c>
    </row>
    <row r="44" spans="2:28" ht="13" x14ac:dyDescent="0.3">
      <c r="B44" s="40" t="s">
        <v>171</v>
      </c>
      <c r="G44" s="171">
        <f>G43</f>
        <v>-750000000</v>
      </c>
      <c r="H44" s="111">
        <f>H43+G44</f>
        <v>-644859979.77228475</v>
      </c>
      <c r="I44" s="111">
        <f t="shared" ref="I44:AA44" si="20">I43+H44</f>
        <v>-533487465.50376552</v>
      </c>
      <c r="J44" s="111">
        <f t="shared" si="20"/>
        <v>-415504675.66188282</v>
      </c>
      <c r="K44" s="111">
        <f t="shared" si="20"/>
        <v>-290511022.37943214</v>
      </c>
      <c r="L44" s="111">
        <f t="shared" si="20"/>
        <v>-158081739.93229935</v>
      </c>
      <c r="M44" s="111">
        <f t="shared" si="20"/>
        <v>-17766431.134551585</v>
      </c>
      <c r="N44" s="111">
        <f t="shared" si="20"/>
        <v>130912473.23260921</v>
      </c>
      <c r="O44" s="111">
        <f t="shared" si="20"/>
        <v>288461347.13013339</v>
      </c>
      <c r="P44" s="111">
        <f t="shared" si="20"/>
        <v>455417099.58629215</v>
      </c>
      <c r="Q44" s="111">
        <f t="shared" si="20"/>
        <v>632349008.43883252</v>
      </c>
      <c r="R44" s="111">
        <f t="shared" si="20"/>
        <v>819860663.63765407</v>
      </c>
      <c r="S44" s="111">
        <f t="shared" si="20"/>
        <v>1018592026.6140397</v>
      </c>
      <c r="T44" s="111">
        <f t="shared" si="20"/>
        <v>1229221612.60621</v>
      </c>
      <c r="U44" s="111">
        <f t="shared" si="20"/>
        <v>1452468803.2371838</v>
      </c>
      <c r="V44" s="111">
        <f t="shared" si="20"/>
        <v>1689096297.0709152</v>
      </c>
      <c r="W44" s="111">
        <f t="shared" si="20"/>
        <v>1939912706.3278296</v>
      </c>
      <c r="X44" s="111">
        <f t="shared" si="20"/>
        <v>2205775308.4226646</v>
      </c>
      <c r="Y44" s="111">
        <f t="shared" si="20"/>
        <v>2487592961.4974632</v>
      </c>
      <c r="Z44" s="111">
        <f t="shared" si="20"/>
        <v>2786329193.662323</v>
      </c>
      <c r="AA44" s="111">
        <f t="shared" si="20"/>
        <v>3103005476.2278051</v>
      </c>
      <c r="AB44" s="20"/>
    </row>
    <row r="45" spans="2:28" ht="13" x14ac:dyDescent="0.3">
      <c r="G45" s="167"/>
      <c r="AB45" s="20"/>
    </row>
    <row r="46" spans="2:28" ht="13" x14ac:dyDescent="0.3">
      <c r="B46" s="207" t="s">
        <v>45</v>
      </c>
      <c r="C46" s="118"/>
      <c r="D46" s="118"/>
      <c r="E46" s="208">
        <v>0.1</v>
      </c>
      <c r="G46" s="167"/>
      <c r="AB46" s="20"/>
    </row>
    <row r="47" spans="2:28" ht="13" x14ac:dyDescent="0.3">
      <c r="B47" s="115" t="s">
        <v>46</v>
      </c>
      <c r="C47" s="121"/>
      <c r="D47" s="121"/>
      <c r="E47" s="209">
        <v>0.03</v>
      </c>
      <c r="G47" s="167"/>
      <c r="AB47" s="20"/>
    </row>
    <row r="48" spans="2:28" ht="13" x14ac:dyDescent="0.3">
      <c r="G48" s="167"/>
      <c r="H48" s="172"/>
      <c r="AB48" s="20"/>
    </row>
    <row r="49" spans="2:28" ht="13" x14ac:dyDescent="0.3">
      <c r="B49" s="12" t="s">
        <v>68</v>
      </c>
      <c r="C49" s="12"/>
      <c r="D49" s="12"/>
      <c r="E49" s="12"/>
      <c r="F49" s="12"/>
      <c r="G49" s="88">
        <f>G43</f>
        <v>-750000000</v>
      </c>
      <c r="H49" s="86">
        <f>H43/(1+$E$46)^H3</f>
        <v>95581836.57065022</v>
      </c>
      <c r="I49" s="86">
        <f t="shared" ref="I49:AA49" si="21">I43/(1+$E$46)^I3</f>
        <v>92043400.221916705</v>
      </c>
      <c r="J49" s="86">
        <f t="shared" si="21"/>
        <v>88642216.259866774</v>
      </c>
      <c r="K49" s="86">
        <f t="shared" si="21"/>
        <v>85372347.027150229</v>
      </c>
      <c r="L49" s="86">
        <f t="shared" si="21"/>
        <v>82228165.268848225</v>
      </c>
      <c r="M49" s="86">
        <f t="shared" si="21"/>
        <v>79204333.803774014</v>
      </c>
      <c r="N49" s="86">
        <f t="shared" si="21"/>
        <v>76295786.785655394</v>
      </c>
      <c r="O49" s="86">
        <f t="shared" si="21"/>
        <v>73497712.416927636</v>
      </c>
      <c r="P49" s="86">
        <f t="shared" si="21"/>
        <v>70805536.990243018</v>
      </c>
      <c r="Q49" s="86">
        <f t="shared" si="21"/>
        <v>68214910.144054458</v>
      </c>
      <c r="R49" s="86">
        <f t="shared" si="21"/>
        <v>65721691.228845254</v>
      </c>
      <c r="S49" s="86">
        <f t="shared" si="21"/>
        <v>63321936.68985942</v>
      </c>
      <c r="T49" s="86">
        <f t="shared" si="21"/>
        <v>61011888.38061735</v>
      </c>
      <c r="U49" s="86">
        <f t="shared" si="21"/>
        <v>58787962.729162827</v>
      </c>
      <c r="V49" s="86">
        <f t="shared" si="21"/>
        <v>56646740.68594601</v>
      </c>
      <c r="W49" s="86">
        <f t="shared" si="21"/>
        <v>54584958.388570495</v>
      </c>
      <c r="X49" s="86">
        <f t="shared" si="21"/>
        <v>52599498.484381005</v>
      </c>
      <c r="Y49" s="86">
        <f t="shared" si="21"/>
        <v>50687382.057087816</v>
      </c>
      <c r="Z49" s="86">
        <f t="shared" si="21"/>
        <v>48845761.108372353</v>
      </c>
      <c r="AA49" s="86">
        <f t="shared" si="21"/>
        <v>47071911.549732074</v>
      </c>
      <c r="AB49" s="173">
        <f>AB43/(1+$E$46)^AA3</f>
        <v>692629555.66034329</v>
      </c>
    </row>
    <row r="51" spans="2:28" ht="13" x14ac:dyDescent="0.3">
      <c r="B51" s="174" t="s">
        <v>148</v>
      </c>
      <c r="C51" s="175"/>
      <c r="D51" s="175"/>
      <c r="E51" s="176">
        <f>SUM(G49:AB49)</f>
        <v>1313795532.4520044</v>
      </c>
    </row>
    <row r="52" spans="2:28" ht="13" x14ac:dyDescent="0.3">
      <c r="B52" s="177" t="s">
        <v>70</v>
      </c>
      <c r="C52" s="178"/>
      <c r="D52" s="178"/>
      <c r="E52" s="179">
        <f>XIRR($G$49:$AB$49,$G$4:$AB$4)</f>
        <v>9.8765939474105835E-2</v>
      </c>
      <c r="I52" s="127"/>
    </row>
    <row r="54" spans="2:28" ht="13" x14ac:dyDescent="0.3">
      <c r="B54" s="218" t="s">
        <v>210</v>
      </c>
      <c r="C54" s="219"/>
      <c r="D54" s="219"/>
      <c r="E54" s="220">
        <f>G43+NPV(E46,H43:AB43)</f>
        <v>1250829209.2101545</v>
      </c>
    </row>
    <row r="59" spans="2:28" ht="13" x14ac:dyDescent="0.3">
      <c r="B59" s="73" t="s">
        <v>140</v>
      </c>
      <c r="C59" s="74" t="s">
        <v>141</v>
      </c>
      <c r="D59" s="75" t="s">
        <v>142</v>
      </c>
      <c r="G59" s="93"/>
      <c r="H59" s="31" t="s">
        <v>205</v>
      </c>
      <c r="I59" s="32"/>
      <c r="J59" s="32"/>
      <c r="K59" s="32"/>
      <c r="L59" s="32"/>
      <c r="M59" s="32"/>
      <c r="N59" s="32"/>
    </row>
    <row r="60" spans="2:28" ht="14.5" x14ac:dyDescent="0.35">
      <c r="B60" s="76">
        <v>750</v>
      </c>
      <c r="C60" s="77">
        <v>50</v>
      </c>
      <c r="D60" s="78">
        <f>B60/C60</f>
        <v>15</v>
      </c>
      <c r="G60" s="33"/>
      <c r="H60" s="215">
        <f>$E$52</f>
        <v>9.8765939474105835E-2</v>
      </c>
      <c r="I60" s="217">
        <v>350</v>
      </c>
      <c r="J60" s="217">
        <v>500</v>
      </c>
      <c r="K60" s="217">
        <v>750</v>
      </c>
      <c r="L60" s="217">
        <v>1000</v>
      </c>
      <c r="M60" s="217">
        <v>1500</v>
      </c>
      <c r="N60" s="217">
        <v>2000</v>
      </c>
    </row>
    <row r="61" spans="2:28" ht="13" x14ac:dyDescent="0.25">
      <c r="G61" s="34"/>
      <c r="H61" s="216">
        <f>H62-3000</f>
        <v>6000</v>
      </c>
      <c r="I61" s="212">
        <f t="dataTable" ref="I61:N66" dt2D="1" dtr="1" r1="B60" r2="C62" ca="1"/>
        <v>0.10782745480537417</v>
      </c>
      <c r="J61" s="212">
        <v>6.5423449873924261E-2</v>
      </c>
      <c r="K61" s="212">
        <v>2.7285435795783998E-2</v>
      </c>
      <c r="L61" s="212">
        <v>4.4843465089797968E-3</v>
      </c>
      <c r="M61" s="212">
        <v>-2.3541232943534853E-2</v>
      </c>
      <c r="N61" s="212">
        <v>-4.1227784752845761E-2</v>
      </c>
    </row>
    <row r="62" spans="2:28" ht="13" x14ac:dyDescent="0.25">
      <c r="B62" s="210" t="s">
        <v>208</v>
      </c>
      <c r="C62" s="211">
        <v>12000</v>
      </c>
      <c r="G62" s="34" t="s">
        <v>206</v>
      </c>
      <c r="H62" s="216">
        <f>H63-3000</f>
        <v>9000</v>
      </c>
      <c r="I62" s="212">
        <v>0.17296912074089055</v>
      </c>
      <c r="J62" s="212">
        <v>0.11453314423561098</v>
      </c>
      <c r="K62" s="212">
        <v>6.5423443913459792E-2</v>
      </c>
      <c r="L62" s="212">
        <v>3.7528976798057556E-2</v>
      </c>
      <c r="M62" s="212">
        <v>4.4843465089797968E-3</v>
      </c>
      <c r="N62" s="212">
        <v>-1.5814068913459777E-2</v>
      </c>
    </row>
    <row r="63" spans="2:28" ht="13" x14ac:dyDescent="0.3">
      <c r="G63" s="34" t="s">
        <v>207</v>
      </c>
      <c r="H63" s="216">
        <v>12000</v>
      </c>
      <c r="I63" s="212">
        <v>0.23685289025306697</v>
      </c>
      <c r="J63" s="212">
        <v>0.16015719771385198</v>
      </c>
      <c r="K63" s="221">
        <v>9.8765939474105835E-2</v>
      </c>
      <c r="L63" s="212">
        <v>6.5423443913459792E-2</v>
      </c>
      <c r="M63" s="212">
        <v>2.7285429835319522E-2</v>
      </c>
      <c r="N63" s="212">
        <v>4.4843465089797968E-3</v>
      </c>
    </row>
    <row r="64" spans="2:28" ht="13" x14ac:dyDescent="0.25">
      <c r="B64" s="210" t="s">
        <v>209</v>
      </c>
      <c r="C64" s="214">
        <v>0.02</v>
      </c>
      <c r="G64" s="34"/>
      <c r="H64" s="216">
        <f>H63+3000</f>
        <v>15000</v>
      </c>
      <c r="I64" s="212">
        <v>0.30129311680793769</v>
      </c>
      <c r="J64" s="212">
        <v>0.20489031672477723</v>
      </c>
      <c r="K64" s="212">
        <v>0.129947167634964</v>
      </c>
      <c r="L64" s="212">
        <v>9.0699979662895211E-2</v>
      </c>
      <c r="M64" s="212">
        <v>4.7229626774787911E-2</v>
      </c>
      <c r="N64" s="212">
        <v>2.1913990378379829E-2</v>
      </c>
    </row>
    <row r="65" spans="2:14" x14ac:dyDescent="0.25">
      <c r="G65" s="33"/>
      <c r="H65" s="216">
        <f t="shared" ref="H65:H66" si="22">H64+3000</f>
        <v>18000</v>
      </c>
      <c r="I65" s="212">
        <v>0.36644826531410224</v>
      </c>
      <c r="J65" s="212">
        <v>0.2496797263622284</v>
      </c>
      <c r="K65" s="212">
        <v>0.16015719771385198</v>
      </c>
      <c r="L65" s="212">
        <v>0.11453313231468201</v>
      </c>
      <c r="M65" s="212">
        <v>6.5423437952995309E-2</v>
      </c>
      <c r="N65" s="212">
        <v>3.7528970837593087E-2</v>
      </c>
    </row>
    <row r="66" spans="2:14" x14ac:dyDescent="0.25">
      <c r="G66" s="33"/>
      <c r="H66" s="216">
        <f t="shared" si="22"/>
        <v>21000</v>
      </c>
      <c r="I66" s="212">
        <v>0.43209987282752993</v>
      </c>
      <c r="J66" s="212">
        <v>0.29481436610221878</v>
      </c>
      <c r="K66" s="212">
        <v>0.19000077843666072</v>
      </c>
      <c r="L66" s="212">
        <v>0.13756027817726138</v>
      </c>
      <c r="M66" s="212">
        <v>8.2477638125419625E-2</v>
      </c>
      <c r="N66" s="212">
        <v>5.1912680268287673E-2</v>
      </c>
    </row>
    <row r="69" spans="2:14" ht="13" x14ac:dyDescent="0.3">
      <c r="G69" s="93"/>
      <c r="H69" s="31" t="s">
        <v>209</v>
      </c>
      <c r="I69" s="32"/>
      <c r="J69" s="32"/>
      <c r="K69" s="32"/>
      <c r="L69" s="32"/>
      <c r="M69" s="32"/>
      <c r="N69" s="32"/>
    </row>
    <row r="70" spans="2:14" x14ac:dyDescent="0.25">
      <c r="G70" s="33"/>
      <c r="H70" s="215">
        <f>$E$52</f>
        <v>9.8765939474105835E-2</v>
      </c>
      <c r="I70" s="183">
        <v>0</v>
      </c>
      <c r="J70" s="183">
        <v>0.01</v>
      </c>
      <c r="K70" s="183">
        <v>0.02</v>
      </c>
      <c r="L70" s="183">
        <v>0.03</v>
      </c>
      <c r="M70" s="183">
        <v>0.04</v>
      </c>
      <c r="N70" s="183">
        <v>0.05</v>
      </c>
    </row>
    <row r="71" spans="2:14" ht="13" x14ac:dyDescent="0.25">
      <c r="G71" s="34"/>
      <c r="H71" s="216">
        <f>H72-3000</f>
        <v>6000</v>
      </c>
      <c r="I71" s="212">
        <f t="dataTable" ref="I71:N76" dt2D="1" dtr="1" r1="C64" r2="C62"/>
        <v>9.8377615213394165E-3</v>
      </c>
      <c r="J71" s="212">
        <v>1.8548592925071723E-2</v>
      </c>
      <c r="K71" s="212">
        <v>2.7285435795783998E-2</v>
      </c>
      <c r="L71" s="212">
        <v>3.6043480038642897E-2</v>
      </c>
      <c r="M71" s="212">
        <v>4.4818708300590523E-2</v>
      </c>
      <c r="N71" s="212">
        <v>5.36077231168747E-2</v>
      </c>
    </row>
    <row r="72" spans="2:14" ht="13" x14ac:dyDescent="0.25">
      <c r="G72" s="34" t="s">
        <v>206</v>
      </c>
      <c r="H72" s="216">
        <f>H73-3000</f>
        <v>9000</v>
      </c>
      <c r="I72" s="212">
        <v>4.7423723340034474E-2</v>
      </c>
      <c r="J72" s="212">
        <v>5.6416001915931699E-2</v>
      </c>
      <c r="K72" s="212">
        <v>6.5423443913459792E-2</v>
      </c>
      <c r="L72" s="212">
        <v>7.4443003535270696E-2</v>
      </c>
      <c r="M72" s="212">
        <v>8.3472129702568051E-2</v>
      </c>
      <c r="N72" s="212">
        <v>9.2508670687675501E-2</v>
      </c>
    </row>
    <row r="73" spans="2:14" ht="13" x14ac:dyDescent="0.3">
      <c r="G73" s="34" t="s">
        <v>207</v>
      </c>
      <c r="H73" s="216">
        <v>12000</v>
      </c>
      <c r="I73" s="212">
        <v>8.0421659350395233E-2</v>
      </c>
      <c r="J73" s="212">
        <v>8.9588853716850284E-2</v>
      </c>
      <c r="K73" s="221">
        <v>9.8765939474105835E-2</v>
      </c>
      <c r="L73" s="212">
        <v>0.10795080065727233</v>
      </c>
      <c r="M73" s="212">
        <v>0.11714165806770324</v>
      </c>
      <c r="N73" s="212">
        <v>0.12633700966835018</v>
      </c>
    </row>
    <row r="74" spans="2:14" ht="13" x14ac:dyDescent="0.25">
      <c r="G74" s="34"/>
      <c r="H74" s="216">
        <f>H73+3000</f>
        <v>15000</v>
      </c>
      <c r="I74" s="212">
        <v>0.11137796044349671</v>
      </c>
      <c r="J74" s="212">
        <v>0.12065901160240172</v>
      </c>
      <c r="K74" s="212">
        <v>0.129947167634964</v>
      </c>
      <c r="L74" s="212">
        <v>0.13924090266227723</v>
      </c>
      <c r="M74" s="212">
        <v>0.14853888154029848</v>
      </c>
      <c r="N74" s="212">
        <v>0.15783998370170593</v>
      </c>
    </row>
    <row r="75" spans="2:14" x14ac:dyDescent="0.25">
      <c r="G75" s="33"/>
      <c r="H75" s="216">
        <f t="shared" ref="H75:H76" si="23">H74+3000</f>
        <v>18000</v>
      </c>
      <c r="I75" s="212">
        <v>0.14144377112388615</v>
      </c>
      <c r="J75" s="212">
        <v>0.15079764723777775</v>
      </c>
      <c r="K75" s="212">
        <v>0.16015719771385198</v>
      </c>
      <c r="L75" s="212">
        <v>0.1695212304592133</v>
      </c>
      <c r="M75" s="212">
        <v>0.17888875603675844</v>
      </c>
      <c r="N75" s="212">
        <v>0.18825889229774476</v>
      </c>
    </row>
    <row r="76" spans="2:14" x14ac:dyDescent="0.25">
      <c r="G76" s="33"/>
      <c r="H76" s="216">
        <f t="shared" si="23"/>
        <v>21000</v>
      </c>
      <c r="I76" s="212">
        <v>0.17120037674903868</v>
      </c>
      <c r="J76" s="212">
        <v>0.18059808611869813</v>
      </c>
      <c r="K76" s="212">
        <v>0.19000077843666072</v>
      </c>
      <c r="L76" s="212">
        <v>0.19940751194953918</v>
      </c>
      <c r="M76" s="212">
        <v>0.20881751179695129</v>
      </c>
      <c r="N76" s="212">
        <v>0.21823006272315978</v>
      </c>
    </row>
    <row r="79" spans="2:14" ht="13" x14ac:dyDescent="0.3">
      <c r="B79" s="112" t="s">
        <v>51</v>
      </c>
      <c r="C79" s="222">
        <v>3</v>
      </c>
      <c r="G79" s="93"/>
      <c r="H79" s="31" t="s">
        <v>211</v>
      </c>
      <c r="I79" s="32"/>
      <c r="J79" s="32"/>
      <c r="K79" s="32"/>
      <c r="L79" s="32"/>
      <c r="M79" s="32"/>
      <c r="N79" s="32"/>
    </row>
    <row r="80" spans="2:14" x14ac:dyDescent="0.25">
      <c r="B80" s="120" t="s">
        <v>200</v>
      </c>
      <c r="C80" s="223">
        <v>60</v>
      </c>
      <c r="G80" s="33"/>
      <c r="H80" s="215">
        <f>$E$52</f>
        <v>9.8765939474105835E-2</v>
      </c>
      <c r="I80" s="217">
        <v>1</v>
      </c>
      <c r="J80" s="217">
        <f>I80+1</f>
        <v>2</v>
      </c>
      <c r="K80" s="217">
        <f t="shared" ref="K80:N80" si="24">J80+1</f>
        <v>3</v>
      </c>
      <c r="L80" s="217">
        <f t="shared" si="24"/>
        <v>4</v>
      </c>
      <c r="M80" s="217">
        <f t="shared" si="24"/>
        <v>5</v>
      </c>
      <c r="N80" s="217">
        <f t="shared" si="24"/>
        <v>6</v>
      </c>
    </row>
    <row r="81" spans="7:14" ht="13" x14ac:dyDescent="0.25">
      <c r="G81" s="34"/>
      <c r="H81" s="216">
        <v>20</v>
      </c>
      <c r="I81" s="212">
        <f t="dataTable" ref="I81:N86" dt2D="1" dtr="1" r1="C79" r2="C80" ca="1"/>
        <v>8.3328661322593714E-2</v>
      </c>
      <c r="J81" s="212">
        <v>5.1303568482399003E-2</v>
      </c>
      <c r="K81" s="212">
        <v>4.4623520970344555E-2</v>
      </c>
      <c r="L81" s="212">
        <v>4.5073059201240551E-2</v>
      </c>
      <c r="M81" s="212">
        <v>4.835452139377594E-2</v>
      </c>
      <c r="N81" s="212">
        <v>5.2925357222557062E-2</v>
      </c>
    </row>
    <row r="82" spans="7:14" ht="13" x14ac:dyDescent="0.25">
      <c r="G82" s="34" t="s">
        <v>212</v>
      </c>
      <c r="H82" s="216">
        <f>H81+20</f>
        <v>40</v>
      </c>
      <c r="I82" s="212">
        <v>9.6334189176559448E-2</v>
      </c>
      <c r="J82" s="212">
        <v>7.2600367665290835E-2</v>
      </c>
      <c r="K82" s="212">
        <v>7.3213365674018885E-2</v>
      </c>
      <c r="L82" s="212">
        <v>7.9964283108711273E-2</v>
      </c>
      <c r="M82" s="212">
        <v>8.8833716511726404E-2</v>
      </c>
      <c r="N82" s="212">
        <v>9.8509198427200323E-2</v>
      </c>
    </row>
    <row r="83" spans="7:14" ht="13" x14ac:dyDescent="0.3">
      <c r="G83" s="34" t="s">
        <v>213</v>
      </c>
      <c r="H83" s="216">
        <f t="shared" ref="H83:H86" si="25">H82+20</f>
        <v>60</v>
      </c>
      <c r="I83" s="212">
        <v>0.10899152159690856</v>
      </c>
      <c r="J83" s="212">
        <v>9.2263773083686815E-2</v>
      </c>
      <c r="K83" s="221">
        <v>9.8765939474105835E-2</v>
      </c>
      <c r="L83" s="212">
        <v>0.11064506173133848</v>
      </c>
      <c r="M83" s="212">
        <v>0.1242235243320465</v>
      </c>
      <c r="N83" s="212">
        <v>0.1383948385715485</v>
      </c>
    </row>
    <row r="84" spans="7:14" ht="13" x14ac:dyDescent="0.25">
      <c r="G84" s="34" t="s">
        <v>214</v>
      </c>
      <c r="H84" s="216">
        <f t="shared" si="25"/>
        <v>80</v>
      </c>
      <c r="I84" s="212">
        <v>0.12139257788658142</v>
      </c>
      <c r="J84" s="212">
        <v>0.11088611483573912</v>
      </c>
      <c r="K84" s="212">
        <v>0.12262923121452332</v>
      </c>
      <c r="L84" s="212">
        <v>0.13924180865287783</v>
      </c>
      <c r="M84" s="212">
        <v>0.15735213160514833</v>
      </c>
      <c r="N84" s="212">
        <v>0.17600809931755065</v>
      </c>
    </row>
    <row r="85" spans="7:14" x14ac:dyDescent="0.25">
      <c r="G85" s="33"/>
      <c r="H85" s="216">
        <f t="shared" si="25"/>
        <v>100</v>
      </c>
      <c r="I85" s="212">
        <v>0.13360660672187805</v>
      </c>
      <c r="J85" s="212">
        <v>0.12882869839668276</v>
      </c>
      <c r="K85" s="212">
        <v>0.14551270604133604</v>
      </c>
      <c r="L85" s="212">
        <v>0.16676208376884458</v>
      </c>
      <c r="M85" s="212">
        <v>0.18945217728614808</v>
      </c>
      <c r="N85" s="212">
        <v>0.21273372769355778</v>
      </c>
    </row>
    <row r="86" spans="7:14" x14ac:dyDescent="0.25">
      <c r="G86" s="33"/>
      <c r="H86" s="216">
        <f t="shared" si="25"/>
        <v>120</v>
      </c>
      <c r="I86" s="212">
        <v>0.14568653702735904</v>
      </c>
      <c r="J86" s="212">
        <v>0.14632595181465152</v>
      </c>
      <c r="K86" s="212">
        <v>0.16782843470573428</v>
      </c>
      <c r="L86" s="212">
        <v>0.19374296069145203</v>
      </c>
      <c r="M86" s="212">
        <v>0.22112880349159239</v>
      </c>
      <c r="N86" s="212">
        <v>0.24919155240058899</v>
      </c>
    </row>
    <row r="98" spans="2:8" x14ac:dyDescent="0.25">
      <c r="B98" s="224" t="s">
        <v>215</v>
      </c>
      <c r="H98" s="93">
        <f>H12*(1-H8)</f>
        <v>1800000</v>
      </c>
    </row>
    <row r="99" spans="2:8" x14ac:dyDescent="0.25">
      <c r="B99" s="224" t="s">
        <v>216</v>
      </c>
      <c r="H99" s="93">
        <f>H12*H8*H9</f>
        <v>3600000</v>
      </c>
    </row>
    <row r="100" spans="2:8" x14ac:dyDescent="0.25">
      <c r="B100" s="224" t="s">
        <v>217</v>
      </c>
      <c r="H100" s="93">
        <f>SUM(H98:H99)</f>
        <v>5400000</v>
      </c>
    </row>
    <row r="101" spans="2:8" x14ac:dyDescent="0.25">
      <c r="H101" s="85">
        <f>H100*H18</f>
        <v>324000000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AA79"/>
  <sheetViews>
    <sheetView showGridLines="0" zoomScale="83" zoomScaleNormal="100" workbookViewId="0">
      <selection activeCell="D76" sqref="D76"/>
    </sheetView>
  </sheetViews>
  <sheetFormatPr defaultRowHeight="14.5" x14ac:dyDescent="0.35"/>
  <cols>
    <col min="2" max="2" width="28.453125" bestFit="1" customWidth="1"/>
    <col min="3" max="3" width="10" bestFit="1" customWidth="1"/>
    <col min="4" max="4" width="24.81640625" bestFit="1" customWidth="1"/>
    <col min="7" max="7" width="8.7265625" style="57"/>
    <col min="8" max="13" width="9.453125" bestFit="1" customWidth="1"/>
    <col min="14" max="27" width="10.36328125" bestFit="1" customWidth="1"/>
    <col min="30" max="30" width="28.453125" bestFit="1" customWidth="1"/>
    <col min="31" max="31" width="10" bestFit="1" customWidth="1"/>
    <col min="32" max="32" width="24.81640625" bestFit="1" customWidth="1"/>
  </cols>
  <sheetData>
    <row r="1" spans="1:27" x14ac:dyDescent="0.35">
      <c r="G1"/>
    </row>
    <row r="2" spans="1:27" x14ac:dyDescent="0.35">
      <c r="B2" s="22" t="s">
        <v>2</v>
      </c>
      <c r="C2" s="23"/>
      <c r="D2" s="24">
        <v>1</v>
      </c>
      <c r="G2"/>
    </row>
    <row r="3" spans="1:27" x14ac:dyDescent="0.35">
      <c r="G3"/>
    </row>
    <row r="4" spans="1:27" x14ac:dyDescent="0.35">
      <c r="B4" s="21" t="s">
        <v>59</v>
      </c>
      <c r="C4" s="2"/>
      <c r="D4" s="2"/>
      <c r="E4" s="2"/>
      <c r="F4" s="2"/>
      <c r="G4" s="3" t="s">
        <v>0</v>
      </c>
      <c r="H4" s="4">
        <v>1</v>
      </c>
      <c r="I4" s="4">
        <f>H4+1</f>
        <v>2</v>
      </c>
      <c r="J4" s="4">
        <f t="shared" ref="J4:U4" si="0">I4+1</f>
        <v>3</v>
      </c>
      <c r="K4" s="4">
        <f t="shared" si="0"/>
        <v>4</v>
      </c>
      <c r="L4" s="4">
        <f t="shared" si="0"/>
        <v>5</v>
      </c>
      <c r="M4" s="4">
        <f t="shared" si="0"/>
        <v>6</v>
      </c>
      <c r="N4" s="4">
        <f t="shared" si="0"/>
        <v>7</v>
      </c>
      <c r="O4" s="4">
        <f t="shared" si="0"/>
        <v>8</v>
      </c>
      <c r="P4" s="4">
        <f t="shared" si="0"/>
        <v>9</v>
      </c>
      <c r="Q4" s="4">
        <f t="shared" si="0"/>
        <v>10</v>
      </c>
      <c r="R4" s="4">
        <f t="shared" si="0"/>
        <v>11</v>
      </c>
      <c r="S4" s="4">
        <f t="shared" si="0"/>
        <v>12</v>
      </c>
      <c r="T4" s="4">
        <f t="shared" si="0"/>
        <v>13</v>
      </c>
      <c r="U4" s="4">
        <f t="shared" si="0"/>
        <v>14</v>
      </c>
      <c r="V4" s="4">
        <f t="shared" ref="V4" si="1">U4+1</f>
        <v>15</v>
      </c>
      <c r="W4" s="4">
        <f t="shared" ref="W4" si="2">V4+1</f>
        <v>16</v>
      </c>
      <c r="X4" s="4">
        <f t="shared" ref="X4" si="3">W4+1</f>
        <v>17</v>
      </c>
      <c r="Y4" s="4">
        <f t="shared" ref="Y4" si="4">X4+1</f>
        <v>18</v>
      </c>
      <c r="Z4" s="4">
        <f t="shared" ref="Z4" si="5">Y4+1</f>
        <v>19</v>
      </c>
      <c r="AA4" s="4">
        <f t="shared" ref="AA4" si="6">Z4+1</f>
        <v>20</v>
      </c>
    </row>
    <row r="5" spans="1:27" x14ac:dyDescent="0.35">
      <c r="B5" s="5" t="s">
        <v>1</v>
      </c>
      <c r="C5" s="5"/>
      <c r="D5" s="6"/>
      <c r="E5" s="6"/>
      <c r="F5" s="6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5">
      <c r="B6" s="8"/>
      <c r="C6" s="8"/>
      <c r="D6" s="2"/>
      <c r="E6" s="2"/>
      <c r="F6" s="2"/>
      <c r="G6" s="9"/>
      <c r="H6" s="2"/>
      <c r="I6" s="2"/>
      <c r="J6" s="2"/>
      <c r="K6" s="2"/>
      <c r="L6" s="2"/>
      <c r="M6" s="2"/>
      <c r="N6" s="2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5">
      <c r="B7" s="1" t="s">
        <v>42</v>
      </c>
      <c r="C7" s="2"/>
      <c r="D7" s="2"/>
      <c r="E7" s="2"/>
      <c r="F7" s="2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5">
      <c r="A8" t="s">
        <v>6</v>
      </c>
      <c r="B8" s="12" t="s">
        <v>2</v>
      </c>
      <c r="C8" s="12"/>
      <c r="D8" s="12"/>
      <c r="E8" s="12"/>
      <c r="F8" s="12"/>
      <c r="G8" s="97">
        <f>CHOOSE($D$2,G9,G10,G11)</f>
        <v>0</v>
      </c>
      <c r="H8" s="63">
        <f t="shared" ref="H8:U8" si="7">CHOOSE($D$2,H9,H10,H11)</f>
        <v>100</v>
      </c>
      <c r="I8" s="63">
        <f t="shared" si="7"/>
        <v>102</v>
      </c>
      <c r="J8" s="63">
        <f t="shared" si="7"/>
        <v>104.04</v>
      </c>
      <c r="K8" s="63">
        <f t="shared" si="7"/>
        <v>106.1208</v>
      </c>
      <c r="L8" s="63">
        <f t="shared" si="7"/>
        <v>108.243216</v>
      </c>
      <c r="M8" s="63">
        <f t="shared" si="7"/>
        <v>110.40808032000001</v>
      </c>
      <c r="N8" s="63">
        <f t="shared" si="7"/>
        <v>112.61624192640001</v>
      </c>
      <c r="O8" s="63">
        <f t="shared" si="7"/>
        <v>114.868566764928</v>
      </c>
      <c r="P8" s="63">
        <f t="shared" si="7"/>
        <v>117.16593810022657</v>
      </c>
      <c r="Q8" s="63">
        <f t="shared" si="7"/>
        <v>119.5092568622311</v>
      </c>
      <c r="R8" s="63">
        <f t="shared" si="7"/>
        <v>121.89944199947573</v>
      </c>
      <c r="S8" s="63">
        <f t="shared" si="7"/>
        <v>124.33743083946524</v>
      </c>
      <c r="T8" s="63">
        <f t="shared" si="7"/>
        <v>126.82417945625456</v>
      </c>
      <c r="U8" s="63">
        <f t="shared" si="7"/>
        <v>129.36066304537965</v>
      </c>
      <c r="V8" s="63">
        <f t="shared" ref="V8" si="8">CHOOSE($D$2,V9,V10,V11)</f>
        <v>131.94787630628724</v>
      </c>
      <c r="W8" s="63">
        <f t="shared" ref="W8" si="9">CHOOSE($D$2,W9,W10,W11)</f>
        <v>134.58683383241299</v>
      </c>
      <c r="X8" s="63">
        <f t="shared" ref="X8" si="10">CHOOSE($D$2,X9,X10,X11)</f>
        <v>137.27857050906127</v>
      </c>
      <c r="Y8" s="63">
        <f t="shared" ref="Y8" si="11">CHOOSE($D$2,Y9,Y10,Y11)</f>
        <v>140.02414191924251</v>
      </c>
      <c r="Z8" s="63">
        <f t="shared" ref="Z8" si="12">CHOOSE($D$2,Z9,Z10,Z11)</f>
        <v>142.82462475762736</v>
      </c>
      <c r="AA8" s="63">
        <f t="shared" ref="AA8" si="13">CHOOSE($D$2,AA9,AA10,AA11)</f>
        <v>145.6811172527799</v>
      </c>
    </row>
    <row r="9" spans="1:27" x14ac:dyDescent="0.35">
      <c r="B9" s="14" t="s">
        <v>3</v>
      </c>
      <c r="C9" s="2"/>
      <c r="D9" s="2"/>
      <c r="E9" s="2"/>
      <c r="F9" s="2"/>
      <c r="G9" s="98">
        <v>0</v>
      </c>
      <c r="H9" s="62">
        <v>100</v>
      </c>
      <c r="I9" s="66">
        <f>H9*(1+I21)</f>
        <v>102</v>
      </c>
      <c r="J9" s="66">
        <f t="shared" ref="J9:AA9" si="14">I9*(1+J21)</f>
        <v>104.04</v>
      </c>
      <c r="K9" s="66">
        <f t="shared" si="14"/>
        <v>106.1208</v>
      </c>
      <c r="L9" s="66">
        <f t="shared" si="14"/>
        <v>108.243216</v>
      </c>
      <c r="M9" s="66">
        <f t="shared" si="14"/>
        <v>110.40808032000001</v>
      </c>
      <c r="N9" s="66">
        <f t="shared" si="14"/>
        <v>112.61624192640001</v>
      </c>
      <c r="O9" s="66">
        <f t="shared" si="14"/>
        <v>114.868566764928</v>
      </c>
      <c r="P9" s="66">
        <f t="shared" si="14"/>
        <v>117.16593810022657</v>
      </c>
      <c r="Q9" s="66">
        <f t="shared" si="14"/>
        <v>119.5092568622311</v>
      </c>
      <c r="R9" s="66">
        <f t="shared" si="14"/>
        <v>121.89944199947573</v>
      </c>
      <c r="S9" s="66">
        <f t="shared" si="14"/>
        <v>124.33743083946524</v>
      </c>
      <c r="T9" s="66">
        <f t="shared" si="14"/>
        <v>126.82417945625456</v>
      </c>
      <c r="U9" s="66">
        <f t="shared" si="14"/>
        <v>129.36066304537965</v>
      </c>
      <c r="V9" s="66">
        <f t="shared" si="14"/>
        <v>131.94787630628724</v>
      </c>
      <c r="W9" s="66">
        <f t="shared" si="14"/>
        <v>134.58683383241299</v>
      </c>
      <c r="X9" s="66">
        <f t="shared" si="14"/>
        <v>137.27857050906127</v>
      </c>
      <c r="Y9" s="66">
        <f t="shared" si="14"/>
        <v>140.02414191924251</v>
      </c>
      <c r="Z9" s="66">
        <f t="shared" si="14"/>
        <v>142.82462475762736</v>
      </c>
      <c r="AA9" s="66">
        <f t="shared" si="14"/>
        <v>145.6811172527799</v>
      </c>
    </row>
    <row r="10" spans="1:27" x14ac:dyDescent="0.35">
      <c r="B10" s="14" t="s">
        <v>4</v>
      </c>
      <c r="C10" s="2"/>
      <c r="D10" s="2"/>
      <c r="E10" s="2"/>
      <c r="F10" s="2"/>
      <c r="G10" s="98">
        <v>0</v>
      </c>
      <c r="H10" s="62">
        <v>125</v>
      </c>
      <c r="I10" s="66">
        <f t="shared" ref="I10:AA10" si="15">H10*(1+I22)</f>
        <v>128.75</v>
      </c>
      <c r="J10" s="66">
        <f t="shared" si="15"/>
        <v>132.61250000000001</v>
      </c>
      <c r="K10" s="66">
        <f t="shared" si="15"/>
        <v>136.59087500000001</v>
      </c>
      <c r="L10" s="66">
        <f t="shared" si="15"/>
        <v>140.68860125</v>
      </c>
      <c r="M10" s="66">
        <f t="shared" si="15"/>
        <v>144.90925928750002</v>
      </c>
      <c r="N10" s="66">
        <f t="shared" si="15"/>
        <v>149.25653706612502</v>
      </c>
      <c r="O10" s="66">
        <f t="shared" si="15"/>
        <v>153.73423317810878</v>
      </c>
      <c r="P10" s="66">
        <f t="shared" si="15"/>
        <v>158.34626017345204</v>
      </c>
      <c r="Q10" s="66">
        <f t="shared" si="15"/>
        <v>163.0966479786556</v>
      </c>
      <c r="R10" s="66">
        <f t="shared" si="15"/>
        <v>167.98954741801526</v>
      </c>
      <c r="S10" s="66">
        <f t="shared" si="15"/>
        <v>173.02923384055572</v>
      </c>
      <c r="T10" s="66">
        <f t="shared" si="15"/>
        <v>178.22011085577239</v>
      </c>
      <c r="U10" s="66">
        <f t="shared" si="15"/>
        <v>183.56671418144558</v>
      </c>
      <c r="V10" s="66">
        <f t="shared" si="15"/>
        <v>189.07371560688895</v>
      </c>
      <c r="W10" s="66">
        <f t="shared" si="15"/>
        <v>194.74592707509564</v>
      </c>
      <c r="X10" s="66">
        <f t="shared" si="15"/>
        <v>200.5883048873485</v>
      </c>
      <c r="Y10" s="66">
        <f t="shared" si="15"/>
        <v>206.60595403396897</v>
      </c>
      <c r="Z10" s="66">
        <f t="shared" si="15"/>
        <v>212.80413265498805</v>
      </c>
      <c r="AA10" s="66">
        <f t="shared" si="15"/>
        <v>219.1882566346377</v>
      </c>
    </row>
    <row r="11" spans="1:27" x14ac:dyDescent="0.35">
      <c r="B11" s="14" t="s">
        <v>5</v>
      </c>
      <c r="C11" s="2"/>
      <c r="D11" s="2"/>
      <c r="E11" s="2"/>
      <c r="F11" s="2"/>
      <c r="G11" s="98">
        <v>0</v>
      </c>
      <c r="H11" s="62">
        <v>50</v>
      </c>
      <c r="I11" s="66">
        <f t="shared" ref="I11:AA11" si="16">H11*(1+I23)</f>
        <v>50.5</v>
      </c>
      <c r="J11" s="66">
        <f t="shared" si="16"/>
        <v>51.005000000000003</v>
      </c>
      <c r="K11" s="66">
        <f t="shared" si="16"/>
        <v>51.515050000000002</v>
      </c>
      <c r="L11" s="66">
        <f t="shared" si="16"/>
        <v>52.030200499999999</v>
      </c>
      <c r="M11" s="66">
        <f t="shared" si="16"/>
        <v>52.550502504999997</v>
      </c>
      <c r="N11" s="66">
        <f t="shared" si="16"/>
        <v>53.076007530049999</v>
      </c>
      <c r="O11" s="66">
        <f t="shared" si="16"/>
        <v>53.606767605350498</v>
      </c>
      <c r="P11" s="66">
        <f t="shared" si="16"/>
        <v>54.142835281404004</v>
      </c>
      <c r="Q11" s="66">
        <f t="shared" si="16"/>
        <v>54.684263634218041</v>
      </c>
      <c r="R11" s="66">
        <f t="shared" si="16"/>
        <v>55.231106270560225</v>
      </c>
      <c r="S11" s="66">
        <f t="shared" si="16"/>
        <v>55.783417333265831</v>
      </c>
      <c r="T11" s="66">
        <f t="shared" si="16"/>
        <v>56.341251506598489</v>
      </c>
      <c r="U11" s="66">
        <f t="shared" si="16"/>
        <v>56.904664021664473</v>
      </c>
      <c r="V11" s="66">
        <f t="shared" si="16"/>
        <v>57.473710661881121</v>
      </c>
      <c r="W11" s="66">
        <f t="shared" si="16"/>
        <v>58.048447768499933</v>
      </c>
      <c r="X11" s="66">
        <f t="shared" si="16"/>
        <v>58.628932246184931</v>
      </c>
      <c r="Y11" s="66">
        <f t="shared" si="16"/>
        <v>59.215221568646783</v>
      </c>
      <c r="Z11" s="66">
        <f t="shared" si="16"/>
        <v>59.807373784333251</v>
      </c>
      <c r="AA11" s="66">
        <f t="shared" si="16"/>
        <v>60.405447522176587</v>
      </c>
    </row>
    <row r="12" spans="1:27" x14ac:dyDescent="0.35">
      <c r="B12" s="14"/>
      <c r="C12" s="2"/>
      <c r="D12" s="2"/>
      <c r="E12" s="2"/>
      <c r="F12" s="2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35">
      <c r="B13" s="1" t="s">
        <v>43</v>
      </c>
      <c r="C13" s="2"/>
      <c r="D13" s="2"/>
      <c r="E13" s="2"/>
      <c r="F13" s="2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5">
      <c r="A14" t="s">
        <v>6</v>
      </c>
      <c r="B14" s="12" t="s">
        <v>2</v>
      </c>
      <c r="C14" s="12"/>
      <c r="D14" s="12"/>
      <c r="E14" s="12"/>
      <c r="F14" s="12"/>
      <c r="G14" s="13">
        <f>CHOOSE($D$2,G15,G16,G17)</f>
        <v>0</v>
      </c>
      <c r="H14" s="63">
        <f t="shared" ref="H14" si="17">CHOOSE($D$2,H15,H16,H17)</f>
        <v>250</v>
      </c>
      <c r="I14" s="63">
        <f t="shared" ref="I14" si="18">CHOOSE($D$2,I15,I16,I17)</f>
        <v>255</v>
      </c>
      <c r="J14" s="63">
        <f t="shared" ref="J14" si="19">CHOOSE($D$2,J15,J16,J17)</f>
        <v>260.10000000000002</v>
      </c>
      <c r="K14" s="63">
        <f t="shared" ref="K14" si="20">CHOOSE($D$2,K15,K16,K17)</f>
        <v>265.30200000000002</v>
      </c>
      <c r="L14" s="63">
        <f t="shared" ref="L14" si="21">CHOOSE($D$2,L15,L16,L17)</f>
        <v>270.60804000000002</v>
      </c>
      <c r="M14" s="63">
        <f t="shared" ref="M14" si="22">CHOOSE($D$2,M15,M16,M17)</f>
        <v>276.0202008</v>
      </c>
      <c r="N14" s="63">
        <f t="shared" ref="N14" si="23">CHOOSE($D$2,N15,N16,N17)</f>
        <v>281.54060481599998</v>
      </c>
      <c r="O14" s="63">
        <f t="shared" ref="O14" si="24">CHOOSE($D$2,O15,O16,O17)</f>
        <v>287.17141691232001</v>
      </c>
      <c r="P14" s="63">
        <f t="shared" ref="P14" si="25">CHOOSE($D$2,P15,P16,P17)</f>
        <v>292.91484525056643</v>
      </c>
      <c r="Q14" s="63">
        <f t="shared" ref="Q14" si="26">CHOOSE($D$2,Q15,Q16,Q17)</f>
        <v>298.77314215557777</v>
      </c>
      <c r="R14" s="63">
        <f t="shared" ref="R14" si="27">CHOOSE($D$2,R15,R16,R17)</f>
        <v>304.74860499868936</v>
      </c>
      <c r="S14" s="63">
        <f t="shared" ref="S14" si="28">CHOOSE($D$2,S15,S16,S17)</f>
        <v>310.84357709866316</v>
      </c>
      <c r="T14" s="63">
        <f t="shared" ref="T14" si="29">CHOOSE($D$2,T15,T16,T17)</f>
        <v>317.06044864063642</v>
      </c>
      <c r="U14" s="63">
        <f t="shared" ref="U14" si="30">CHOOSE($D$2,U15,U16,U17)</f>
        <v>323.40165761344917</v>
      </c>
      <c r="V14" s="63">
        <f t="shared" ref="V14" si="31">CHOOSE($D$2,V15,V16,V17)</f>
        <v>329.86969076571819</v>
      </c>
      <c r="W14" s="63">
        <f t="shared" ref="W14" si="32">CHOOSE($D$2,W15,W16,W17)</f>
        <v>336.46708458103257</v>
      </c>
      <c r="X14" s="63">
        <f t="shared" ref="X14" si="33">CHOOSE($D$2,X15,X16,X17)</f>
        <v>343.19642627265324</v>
      </c>
      <c r="Y14" s="63">
        <f t="shared" ref="Y14" si="34">CHOOSE($D$2,Y15,Y16,Y17)</f>
        <v>350.06035479810629</v>
      </c>
      <c r="Z14" s="63">
        <f t="shared" ref="Z14" si="35">CHOOSE($D$2,Z15,Z16,Z17)</f>
        <v>357.0615618940684</v>
      </c>
      <c r="AA14" s="63">
        <f t="shared" ref="AA14" si="36">CHOOSE($D$2,AA15,AA16,AA17)</f>
        <v>364.20279313194976</v>
      </c>
    </row>
    <row r="15" spans="1:27" x14ac:dyDescent="0.35">
      <c r="B15" s="14" t="s">
        <v>3</v>
      </c>
      <c r="C15" s="2"/>
      <c r="D15" s="2"/>
      <c r="E15" s="2"/>
      <c r="F15" s="2"/>
      <c r="G15" s="18">
        <v>0</v>
      </c>
      <c r="H15" s="62">
        <v>250</v>
      </c>
      <c r="I15" s="66">
        <f>H15*(1+I21)</f>
        <v>255</v>
      </c>
      <c r="J15" s="66">
        <f t="shared" ref="J15:AA15" si="37">I15*(1+J21)</f>
        <v>260.10000000000002</v>
      </c>
      <c r="K15" s="66">
        <f t="shared" si="37"/>
        <v>265.30200000000002</v>
      </c>
      <c r="L15" s="66">
        <f t="shared" si="37"/>
        <v>270.60804000000002</v>
      </c>
      <c r="M15" s="66">
        <f t="shared" si="37"/>
        <v>276.0202008</v>
      </c>
      <c r="N15" s="66">
        <f t="shared" si="37"/>
        <v>281.54060481599998</v>
      </c>
      <c r="O15" s="66">
        <f t="shared" si="37"/>
        <v>287.17141691232001</v>
      </c>
      <c r="P15" s="66">
        <f t="shared" si="37"/>
        <v>292.91484525056643</v>
      </c>
      <c r="Q15" s="66">
        <f t="shared" si="37"/>
        <v>298.77314215557777</v>
      </c>
      <c r="R15" s="66">
        <f t="shared" si="37"/>
        <v>304.74860499868936</v>
      </c>
      <c r="S15" s="66">
        <f t="shared" si="37"/>
        <v>310.84357709866316</v>
      </c>
      <c r="T15" s="66">
        <f t="shared" si="37"/>
        <v>317.06044864063642</v>
      </c>
      <c r="U15" s="66">
        <f t="shared" si="37"/>
        <v>323.40165761344917</v>
      </c>
      <c r="V15" s="66">
        <f t="shared" si="37"/>
        <v>329.86969076571819</v>
      </c>
      <c r="W15" s="66">
        <f t="shared" si="37"/>
        <v>336.46708458103257</v>
      </c>
      <c r="X15" s="66">
        <f t="shared" si="37"/>
        <v>343.19642627265324</v>
      </c>
      <c r="Y15" s="66">
        <f t="shared" si="37"/>
        <v>350.06035479810629</v>
      </c>
      <c r="Z15" s="66">
        <f t="shared" si="37"/>
        <v>357.0615618940684</v>
      </c>
      <c r="AA15" s="66">
        <f t="shared" si="37"/>
        <v>364.20279313194976</v>
      </c>
    </row>
    <row r="16" spans="1:27" x14ac:dyDescent="0.35">
      <c r="B16" s="14" t="s">
        <v>4</v>
      </c>
      <c r="C16" s="2"/>
      <c r="D16" s="2"/>
      <c r="E16" s="2"/>
      <c r="F16" s="2"/>
      <c r="G16" s="18">
        <v>0</v>
      </c>
      <c r="H16" s="62">
        <v>300</v>
      </c>
      <c r="I16" s="66">
        <f t="shared" ref="I16:AA16" si="38">H16*(1+I22)</f>
        <v>309</v>
      </c>
      <c r="J16" s="66">
        <f t="shared" si="38"/>
        <v>318.27</v>
      </c>
      <c r="K16" s="66">
        <f t="shared" si="38"/>
        <v>327.81810000000002</v>
      </c>
      <c r="L16" s="66">
        <f t="shared" si="38"/>
        <v>337.65264300000001</v>
      </c>
      <c r="M16" s="66">
        <f t="shared" si="38"/>
        <v>347.78222228999999</v>
      </c>
      <c r="N16" s="66">
        <f t="shared" si="38"/>
        <v>358.21568895870001</v>
      </c>
      <c r="O16" s="66">
        <f t="shared" si="38"/>
        <v>368.96215962746101</v>
      </c>
      <c r="P16" s="66">
        <f t="shared" si="38"/>
        <v>380.03102441628482</v>
      </c>
      <c r="Q16" s="66">
        <f t="shared" si="38"/>
        <v>391.4319551487734</v>
      </c>
      <c r="R16" s="66">
        <f t="shared" si="38"/>
        <v>403.17491380323662</v>
      </c>
      <c r="S16" s="66">
        <f t="shared" si="38"/>
        <v>415.27016121733374</v>
      </c>
      <c r="T16" s="66">
        <f t="shared" si="38"/>
        <v>427.72826605385376</v>
      </c>
      <c r="U16" s="66">
        <f t="shared" si="38"/>
        <v>440.56011403546938</v>
      </c>
      <c r="V16" s="66">
        <f t="shared" si="38"/>
        <v>453.77691745653345</v>
      </c>
      <c r="W16" s="66">
        <f t="shared" si="38"/>
        <v>467.39022498022945</v>
      </c>
      <c r="X16" s="66">
        <f t="shared" si="38"/>
        <v>481.41193172963636</v>
      </c>
      <c r="Y16" s="66">
        <f t="shared" si="38"/>
        <v>495.85428968152547</v>
      </c>
      <c r="Z16" s="66">
        <f t="shared" si="38"/>
        <v>510.72991837197122</v>
      </c>
      <c r="AA16" s="66">
        <f t="shared" si="38"/>
        <v>526.05181592313033</v>
      </c>
    </row>
    <row r="17" spans="1:27" x14ac:dyDescent="0.35">
      <c r="B17" s="14" t="s">
        <v>5</v>
      </c>
      <c r="C17" s="2"/>
      <c r="D17" s="2"/>
      <c r="E17" s="2"/>
      <c r="F17" s="2"/>
      <c r="G17" s="18">
        <v>0</v>
      </c>
      <c r="H17" s="62">
        <v>150</v>
      </c>
      <c r="I17" s="66">
        <f t="shared" ref="I17:AA17" si="39">H17*(1+I23)</f>
        <v>151.5</v>
      </c>
      <c r="J17" s="66">
        <f t="shared" si="39"/>
        <v>153.01500000000001</v>
      </c>
      <c r="K17" s="66">
        <f t="shared" si="39"/>
        <v>154.54515000000001</v>
      </c>
      <c r="L17" s="66">
        <f t="shared" si="39"/>
        <v>156.09060150000002</v>
      </c>
      <c r="M17" s="66">
        <f t="shared" si="39"/>
        <v>157.65150751500002</v>
      </c>
      <c r="N17" s="66">
        <f t="shared" si="39"/>
        <v>159.22802259015003</v>
      </c>
      <c r="O17" s="66">
        <f t="shared" si="39"/>
        <v>160.82030281605154</v>
      </c>
      <c r="P17" s="66">
        <f t="shared" si="39"/>
        <v>162.42850584421205</v>
      </c>
      <c r="Q17" s="66">
        <f t="shared" si="39"/>
        <v>164.05279090265418</v>
      </c>
      <c r="R17" s="66">
        <f t="shared" si="39"/>
        <v>165.69331881168071</v>
      </c>
      <c r="S17" s="66">
        <f t="shared" si="39"/>
        <v>167.35025199979751</v>
      </c>
      <c r="T17" s="66">
        <f t="shared" si="39"/>
        <v>169.02375451979549</v>
      </c>
      <c r="U17" s="66">
        <f t="shared" si="39"/>
        <v>170.71399206499345</v>
      </c>
      <c r="V17" s="66">
        <f t="shared" si="39"/>
        <v>172.42113198564337</v>
      </c>
      <c r="W17" s="66">
        <f t="shared" si="39"/>
        <v>174.14534330549981</v>
      </c>
      <c r="X17" s="66">
        <f t="shared" si="39"/>
        <v>175.88679673855481</v>
      </c>
      <c r="Y17" s="66">
        <f t="shared" si="39"/>
        <v>177.64566470594036</v>
      </c>
      <c r="Z17" s="66">
        <f t="shared" si="39"/>
        <v>179.42212135299977</v>
      </c>
      <c r="AA17" s="66">
        <f t="shared" si="39"/>
        <v>181.21634256652976</v>
      </c>
    </row>
    <row r="18" spans="1:27" x14ac:dyDescent="0.35">
      <c r="B18" s="14"/>
      <c r="C18" s="2"/>
      <c r="D18" s="2"/>
      <c r="E18" s="2"/>
      <c r="F18" s="2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35">
      <c r="B19" s="1" t="s">
        <v>96</v>
      </c>
      <c r="C19" s="2"/>
      <c r="D19" s="2"/>
      <c r="E19" s="2"/>
      <c r="F19" s="2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5">
      <c r="A20" t="s">
        <v>6</v>
      </c>
      <c r="B20" s="12" t="s">
        <v>2</v>
      </c>
      <c r="C20" s="12"/>
      <c r="D20" s="12"/>
      <c r="E20" s="12"/>
      <c r="F20" s="12"/>
      <c r="G20" s="27">
        <f t="shared" ref="G20" si="40">CHOOSE($D$2,G21,G22,G23)</f>
        <v>0</v>
      </c>
      <c r="H20" s="28">
        <f t="shared" ref="H20" si="41">CHOOSE($D$2,H21,H22,H23)</f>
        <v>0.02</v>
      </c>
      <c r="I20" s="28">
        <f t="shared" ref="I20" si="42">CHOOSE($D$2,I21,I22,I23)</f>
        <v>0.02</v>
      </c>
      <c r="J20" s="28">
        <f t="shared" ref="J20" si="43">CHOOSE($D$2,J21,J22,J23)</f>
        <v>0.02</v>
      </c>
      <c r="K20" s="28">
        <f t="shared" ref="K20" si="44">CHOOSE($D$2,K21,K22,K23)</f>
        <v>0.02</v>
      </c>
      <c r="L20" s="28">
        <f t="shared" ref="L20" si="45">CHOOSE($D$2,L21,L22,L23)</f>
        <v>0.02</v>
      </c>
      <c r="M20" s="28">
        <f t="shared" ref="M20" si="46">CHOOSE($D$2,M21,M22,M23)</f>
        <v>0.02</v>
      </c>
      <c r="N20" s="28">
        <f t="shared" ref="N20" si="47">CHOOSE($D$2,N21,N22,N23)</f>
        <v>0.02</v>
      </c>
      <c r="O20" s="28">
        <f t="shared" ref="O20" si="48">CHOOSE($D$2,O21,O22,O23)</f>
        <v>0.02</v>
      </c>
      <c r="P20" s="28">
        <f t="shared" ref="P20" si="49">CHOOSE($D$2,P21,P22,P23)</f>
        <v>0.02</v>
      </c>
      <c r="Q20" s="28">
        <f t="shared" ref="Q20" si="50">CHOOSE($D$2,Q21,Q22,Q23)</f>
        <v>0.02</v>
      </c>
      <c r="R20" s="28">
        <f t="shared" ref="R20" si="51">CHOOSE($D$2,R21,R22,R23)</f>
        <v>0.02</v>
      </c>
      <c r="S20" s="28">
        <f t="shared" ref="S20" si="52">CHOOSE($D$2,S21,S22,S23)</f>
        <v>0.02</v>
      </c>
      <c r="T20" s="28">
        <f t="shared" ref="T20" si="53">CHOOSE($D$2,T21,T22,T23)</f>
        <v>0.02</v>
      </c>
      <c r="U20" s="28">
        <f t="shared" ref="U20" si="54">CHOOSE($D$2,U21,U22,U23)</f>
        <v>0.02</v>
      </c>
      <c r="V20" s="28">
        <f t="shared" ref="V20" si="55">CHOOSE($D$2,V21,V22,V23)</f>
        <v>0.02</v>
      </c>
      <c r="W20" s="28">
        <f t="shared" ref="W20" si="56">CHOOSE($D$2,W21,W22,W23)</f>
        <v>0.02</v>
      </c>
      <c r="X20" s="28">
        <f t="shared" ref="X20" si="57">CHOOSE($D$2,X21,X22,X23)</f>
        <v>0.02</v>
      </c>
      <c r="Y20" s="28">
        <f t="shared" ref="Y20" si="58">CHOOSE($D$2,Y21,Y22,Y23)</f>
        <v>0.02</v>
      </c>
      <c r="Z20" s="28">
        <f t="shared" ref="Z20" si="59">CHOOSE($D$2,Z21,Z22,Z23)</f>
        <v>0.02</v>
      </c>
      <c r="AA20" s="28">
        <f t="shared" ref="AA20" si="60">CHOOSE($D$2,AA21,AA22,AA23)</f>
        <v>0.02</v>
      </c>
    </row>
    <row r="21" spans="1:27" x14ac:dyDescent="0.35">
      <c r="B21" s="14" t="s">
        <v>3</v>
      </c>
      <c r="C21" s="2"/>
      <c r="D21" s="2"/>
      <c r="E21" s="2"/>
      <c r="F21" s="2"/>
      <c r="G21" s="29">
        <v>0</v>
      </c>
      <c r="H21" s="26">
        <v>0.02</v>
      </c>
      <c r="I21" s="26">
        <f>H21</f>
        <v>0.02</v>
      </c>
      <c r="J21" s="26">
        <f t="shared" ref="J21:AA21" si="61">I21</f>
        <v>0.02</v>
      </c>
      <c r="K21" s="26">
        <f t="shared" si="61"/>
        <v>0.02</v>
      </c>
      <c r="L21" s="26">
        <f t="shared" si="61"/>
        <v>0.02</v>
      </c>
      <c r="M21" s="26">
        <f t="shared" si="61"/>
        <v>0.02</v>
      </c>
      <c r="N21" s="26">
        <f t="shared" si="61"/>
        <v>0.02</v>
      </c>
      <c r="O21" s="26">
        <f t="shared" si="61"/>
        <v>0.02</v>
      </c>
      <c r="P21" s="26">
        <f t="shared" si="61"/>
        <v>0.02</v>
      </c>
      <c r="Q21" s="26">
        <f t="shared" si="61"/>
        <v>0.02</v>
      </c>
      <c r="R21" s="26">
        <f t="shared" si="61"/>
        <v>0.02</v>
      </c>
      <c r="S21" s="26">
        <f t="shared" si="61"/>
        <v>0.02</v>
      </c>
      <c r="T21" s="26">
        <f t="shared" si="61"/>
        <v>0.02</v>
      </c>
      <c r="U21" s="26">
        <f t="shared" si="61"/>
        <v>0.02</v>
      </c>
      <c r="V21" s="26">
        <f t="shared" si="61"/>
        <v>0.02</v>
      </c>
      <c r="W21" s="26">
        <f t="shared" si="61"/>
        <v>0.02</v>
      </c>
      <c r="X21" s="26">
        <f t="shared" si="61"/>
        <v>0.02</v>
      </c>
      <c r="Y21" s="26">
        <f t="shared" si="61"/>
        <v>0.02</v>
      </c>
      <c r="Z21" s="26">
        <f t="shared" si="61"/>
        <v>0.02</v>
      </c>
      <c r="AA21" s="26">
        <f t="shared" si="61"/>
        <v>0.02</v>
      </c>
    </row>
    <row r="22" spans="1:27" x14ac:dyDescent="0.35">
      <c r="B22" s="14" t="s">
        <v>4</v>
      </c>
      <c r="C22" s="2"/>
      <c r="D22" s="2"/>
      <c r="E22" s="2"/>
      <c r="F22" s="2"/>
      <c r="G22" s="29">
        <v>0</v>
      </c>
      <c r="H22" s="26">
        <v>0.03</v>
      </c>
      <c r="I22" s="26">
        <f t="shared" ref="I22:AA22" si="62">H22</f>
        <v>0.03</v>
      </c>
      <c r="J22" s="26">
        <f t="shared" si="62"/>
        <v>0.03</v>
      </c>
      <c r="K22" s="26">
        <f t="shared" si="62"/>
        <v>0.03</v>
      </c>
      <c r="L22" s="26">
        <f t="shared" si="62"/>
        <v>0.03</v>
      </c>
      <c r="M22" s="26">
        <f t="shared" si="62"/>
        <v>0.03</v>
      </c>
      <c r="N22" s="26">
        <f t="shared" si="62"/>
        <v>0.03</v>
      </c>
      <c r="O22" s="26">
        <f t="shared" si="62"/>
        <v>0.03</v>
      </c>
      <c r="P22" s="26">
        <f t="shared" si="62"/>
        <v>0.03</v>
      </c>
      <c r="Q22" s="26">
        <f t="shared" si="62"/>
        <v>0.03</v>
      </c>
      <c r="R22" s="26">
        <f t="shared" si="62"/>
        <v>0.03</v>
      </c>
      <c r="S22" s="26">
        <f t="shared" si="62"/>
        <v>0.03</v>
      </c>
      <c r="T22" s="26">
        <f t="shared" si="62"/>
        <v>0.03</v>
      </c>
      <c r="U22" s="26">
        <f t="shared" si="62"/>
        <v>0.03</v>
      </c>
      <c r="V22" s="26">
        <f t="shared" si="62"/>
        <v>0.03</v>
      </c>
      <c r="W22" s="26">
        <f t="shared" si="62"/>
        <v>0.03</v>
      </c>
      <c r="X22" s="26">
        <f t="shared" si="62"/>
        <v>0.03</v>
      </c>
      <c r="Y22" s="26">
        <f t="shared" si="62"/>
        <v>0.03</v>
      </c>
      <c r="Z22" s="26">
        <f t="shared" si="62"/>
        <v>0.03</v>
      </c>
      <c r="AA22" s="26">
        <f t="shared" si="62"/>
        <v>0.03</v>
      </c>
    </row>
    <row r="23" spans="1:27" x14ac:dyDescent="0.35">
      <c r="B23" s="14" t="s">
        <v>5</v>
      </c>
      <c r="C23" s="2"/>
      <c r="D23" s="2"/>
      <c r="E23" s="2"/>
      <c r="F23" s="2"/>
      <c r="G23" s="29">
        <v>0</v>
      </c>
      <c r="H23" s="26">
        <v>0.01</v>
      </c>
      <c r="I23" s="26">
        <f t="shared" ref="I23:AA23" si="63">H23</f>
        <v>0.01</v>
      </c>
      <c r="J23" s="26">
        <f t="shared" si="63"/>
        <v>0.01</v>
      </c>
      <c r="K23" s="26">
        <f t="shared" si="63"/>
        <v>0.01</v>
      </c>
      <c r="L23" s="26">
        <f t="shared" si="63"/>
        <v>0.01</v>
      </c>
      <c r="M23" s="26">
        <f t="shared" si="63"/>
        <v>0.01</v>
      </c>
      <c r="N23" s="26">
        <f t="shared" si="63"/>
        <v>0.01</v>
      </c>
      <c r="O23" s="26">
        <f t="shared" si="63"/>
        <v>0.01</v>
      </c>
      <c r="P23" s="26">
        <f t="shared" si="63"/>
        <v>0.01</v>
      </c>
      <c r="Q23" s="26">
        <f t="shared" si="63"/>
        <v>0.01</v>
      </c>
      <c r="R23" s="26">
        <f t="shared" si="63"/>
        <v>0.01</v>
      </c>
      <c r="S23" s="26">
        <f t="shared" si="63"/>
        <v>0.01</v>
      </c>
      <c r="T23" s="26">
        <f t="shared" si="63"/>
        <v>0.01</v>
      </c>
      <c r="U23" s="26">
        <f t="shared" si="63"/>
        <v>0.01</v>
      </c>
      <c r="V23" s="26">
        <f t="shared" si="63"/>
        <v>0.01</v>
      </c>
      <c r="W23" s="26">
        <f t="shared" si="63"/>
        <v>0.01</v>
      </c>
      <c r="X23" s="26">
        <f t="shared" si="63"/>
        <v>0.01</v>
      </c>
      <c r="Y23" s="26">
        <f t="shared" si="63"/>
        <v>0.01</v>
      </c>
      <c r="Z23" s="26">
        <f t="shared" si="63"/>
        <v>0.01</v>
      </c>
      <c r="AA23" s="26">
        <f t="shared" si="63"/>
        <v>0.01</v>
      </c>
    </row>
    <row r="24" spans="1:27" x14ac:dyDescent="0.35">
      <c r="B24" s="14"/>
      <c r="C24" s="2"/>
      <c r="D24" s="2"/>
      <c r="E24" s="2"/>
      <c r="F24" s="2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35">
      <c r="B25" s="1" t="s">
        <v>51</v>
      </c>
      <c r="C25" s="2"/>
      <c r="D25" s="2"/>
      <c r="E25" s="2"/>
      <c r="F25" s="2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35">
      <c r="A26" t="s">
        <v>6</v>
      </c>
      <c r="B26" s="12" t="s">
        <v>2</v>
      </c>
      <c r="C26" s="12"/>
      <c r="D26" s="12"/>
      <c r="E26" s="12"/>
      <c r="F26" s="12"/>
      <c r="G26" s="13">
        <f>CHOOSE($D$2,G27,G28,G29)</f>
        <v>0</v>
      </c>
      <c r="H26" s="12">
        <f>CHOOSE($D$2,'P&amp;L'!C79,H28,H29)</f>
        <v>3</v>
      </c>
      <c r="I26" s="12">
        <f t="shared" ref="I26" si="64">CHOOSE($D$2,I27,I28,I29)</f>
        <v>3</v>
      </c>
      <c r="J26" s="12">
        <f t="shared" ref="J26" si="65">CHOOSE($D$2,J27,J28,J29)</f>
        <v>3</v>
      </c>
      <c r="K26" s="12">
        <f t="shared" ref="K26" si="66">CHOOSE($D$2,K27,K28,K29)</f>
        <v>3</v>
      </c>
      <c r="L26" s="12">
        <f t="shared" ref="L26" si="67">CHOOSE($D$2,L27,L28,L29)</f>
        <v>3</v>
      </c>
      <c r="M26" s="12">
        <f t="shared" ref="M26" si="68">CHOOSE($D$2,M27,M28,M29)</f>
        <v>3</v>
      </c>
      <c r="N26" s="12">
        <f t="shared" ref="N26" si="69">CHOOSE($D$2,N27,N28,N29)</f>
        <v>3</v>
      </c>
      <c r="O26" s="12">
        <f t="shared" ref="O26" si="70">CHOOSE($D$2,O27,O28,O29)</f>
        <v>3</v>
      </c>
      <c r="P26" s="12">
        <f t="shared" ref="P26" si="71">CHOOSE($D$2,P27,P28,P29)</f>
        <v>3</v>
      </c>
      <c r="Q26" s="12">
        <f t="shared" ref="Q26" si="72">CHOOSE($D$2,Q27,Q28,Q29)</f>
        <v>3</v>
      </c>
      <c r="R26" s="12">
        <f t="shared" ref="R26" si="73">CHOOSE($D$2,R27,R28,R29)</f>
        <v>3</v>
      </c>
      <c r="S26" s="12">
        <f t="shared" ref="S26" si="74">CHOOSE($D$2,S27,S28,S29)</f>
        <v>3</v>
      </c>
      <c r="T26" s="12">
        <f t="shared" ref="T26" si="75">CHOOSE($D$2,T27,T28,T29)</f>
        <v>3</v>
      </c>
      <c r="U26" s="12">
        <f t="shared" ref="U26" si="76">CHOOSE($D$2,U27,U28,U29)</f>
        <v>3</v>
      </c>
      <c r="V26" s="12">
        <f t="shared" ref="V26" si="77">CHOOSE($D$2,V27,V28,V29)</f>
        <v>3</v>
      </c>
      <c r="W26" s="12">
        <f t="shared" ref="W26" si="78">CHOOSE($D$2,W27,W28,W29)</f>
        <v>3</v>
      </c>
      <c r="X26" s="12">
        <f t="shared" ref="X26" si="79">CHOOSE($D$2,X27,X28,X29)</f>
        <v>3</v>
      </c>
      <c r="Y26" s="12">
        <f t="shared" ref="Y26" si="80">CHOOSE($D$2,Y27,Y28,Y29)</f>
        <v>3</v>
      </c>
      <c r="Z26" s="12">
        <f t="shared" ref="Z26" si="81">CHOOSE($D$2,Z27,Z28,Z29)</f>
        <v>3</v>
      </c>
      <c r="AA26" s="12">
        <f t="shared" ref="AA26" si="82">CHOOSE($D$2,AA27,AA28,AA29)</f>
        <v>3</v>
      </c>
    </row>
    <row r="27" spans="1:27" x14ac:dyDescent="0.35">
      <c r="B27" s="14" t="s">
        <v>3</v>
      </c>
      <c r="C27" s="2"/>
      <c r="D27" s="2"/>
      <c r="E27" s="2"/>
      <c r="F27" s="2"/>
      <c r="G27" s="18">
        <v>0</v>
      </c>
      <c r="I27" s="19">
        <f>'P&amp;L'!C79</f>
        <v>3</v>
      </c>
      <c r="J27" s="19">
        <f t="shared" ref="J27:AA27" si="83">I27</f>
        <v>3</v>
      </c>
      <c r="K27" s="19">
        <f t="shared" si="83"/>
        <v>3</v>
      </c>
      <c r="L27" s="19">
        <f t="shared" si="83"/>
        <v>3</v>
      </c>
      <c r="M27" s="19">
        <f t="shared" si="83"/>
        <v>3</v>
      </c>
      <c r="N27" s="19">
        <f t="shared" si="83"/>
        <v>3</v>
      </c>
      <c r="O27" s="19">
        <f t="shared" si="83"/>
        <v>3</v>
      </c>
      <c r="P27" s="19">
        <f t="shared" si="83"/>
        <v>3</v>
      </c>
      <c r="Q27" s="19">
        <f t="shared" si="83"/>
        <v>3</v>
      </c>
      <c r="R27" s="19">
        <f t="shared" si="83"/>
        <v>3</v>
      </c>
      <c r="S27" s="19">
        <f t="shared" si="83"/>
        <v>3</v>
      </c>
      <c r="T27" s="19">
        <f t="shared" si="83"/>
        <v>3</v>
      </c>
      <c r="U27" s="19">
        <f t="shared" si="83"/>
        <v>3</v>
      </c>
      <c r="V27" s="19">
        <f t="shared" si="83"/>
        <v>3</v>
      </c>
      <c r="W27" s="19">
        <f t="shared" si="83"/>
        <v>3</v>
      </c>
      <c r="X27" s="19">
        <f t="shared" si="83"/>
        <v>3</v>
      </c>
      <c r="Y27" s="19">
        <f t="shared" si="83"/>
        <v>3</v>
      </c>
      <c r="Z27" s="19">
        <f t="shared" si="83"/>
        <v>3</v>
      </c>
      <c r="AA27" s="19">
        <f t="shared" si="83"/>
        <v>3</v>
      </c>
    </row>
    <row r="28" spans="1:27" x14ac:dyDescent="0.35">
      <c r="B28" s="14" t="s">
        <v>4</v>
      </c>
      <c r="C28" s="2"/>
      <c r="D28" s="2"/>
      <c r="E28" s="2"/>
      <c r="F28" s="2"/>
      <c r="G28" s="18">
        <v>0</v>
      </c>
      <c r="H28" s="19">
        <v>3</v>
      </c>
      <c r="I28" s="19">
        <f t="shared" ref="I28:AA28" si="84">H28</f>
        <v>3</v>
      </c>
      <c r="J28" s="19">
        <f t="shared" si="84"/>
        <v>3</v>
      </c>
      <c r="K28" s="19">
        <f t="shared" si="84"/>
        <v>3</v>
      </c>
      <c r="L28" s="19">
        <f t="shared" si="84"/>
        <v>3</v>
      </c>
      <c r="M28" s="19">
        <f t="shared" si="84"/>
        <v>3</v>
      </c>
      <c r="N28" s="19">
        <f t="shared" si="84"/>
        <v>3</v>
      </c>
      <c r="O28" s="19">
        <f t="shared" si="84"/>
        <v>3</v>
      </c>
      <c r="P28" s="19">
        <f t="shared" si="84"/>
        <v>3</v>
      </c>
      <c r="Q28" s="19">
        <f t="shared" si="84"/>
        <v>3</v>
      </c>
      <c r="R28" s="19">
        <f t="shared" si="84"/>
        <v>3</v>
      </c>
      <c r="S28" s="19">
        <f t="shared" si="84"/>
        <v>3</v>
      </c>
      <c r="T28" s="19">
        <f t="shared" si="84"/>
        <v>3</v>
      </c>
      <c r="U28" s="19">
        <f t="shared" si="84"/>
        <v>3</v>
      </c>
      <c r="V28" s="19">
        <f t="shared" si="84"/>
        <v>3</v>
      </c>
      <c r="W28" s="19">
        <f t="shared" si="84"/>
        <v>3</v>
      </c>
      <c r="X28" s="19">
        <f t="shared" si="84"/>
        <v>3</v>
      </c>
      <c r="Y28" s="19">
        <f t="shared" si="84"/>
        <v>3</v>
      </c>
      <c r="Z28" s="19">
        <f t="shared" si="84"/>
        <v>3</v>
      </c>
      <c r="AA28" s="19">
        <f t="shared" si="84"/>
        <v>3</v>
      </c>
    </row>
    <row r="29" spans="1:27" x14ac:dyDescent="0.35">
      <c r="B29" s="14" t="s">
        <v>5</v>
      </c>
      <c r="C29" s="2"/>
      <c r="D29" s="2"/>
      <c r="E29" s="2"/>
      <c r="F29" s="2"/>
      <c r="G29" s="18">
        <v>0</v>
      </c>
      <c r="H29" s="19">
        <v>3</v>
      </c>
      <c r="I29" s="19">
        <f t="shared" ref="I29:AA29" si="85">H29</f>
        <v>3</v>
      </c>
      <c r="J29" s="19">
        <f t="shared" si="85"/>
        <v>3</v>
      </c>
      <c r="K29" s="19">
        <f t="shared" si="85"/>
        <v>3</v>
      </c>
      <c r="L29" s="19">
        <f t="shared" si="85"/>
        <v>3</v>
      </c>
      <c r="M29" s="19">
        <f t="shared" si="85"/>
        <v>3</v>
      </c>
      <c r="N29" s="19">
        <f t="shared" si="85"/>
        <v>3</v>
      </c>
      <c r="O29" s="19">
        <f t="shared" si="85"/>
        <v>3</v>
      </c>
      <c r="P29" s="19">
        <f t="shared" si="85"/>
        <v>3</v>
      </c>
      <c r="Q29" s="19">
        <f t="shared" si="85"/>
        <v>3</v>
      </c>
      <c r="R29" s="19">
        <f t="shared" si="85"/>
        <v>3</v>
      </c>
      <c r="S29" s="19">
        <f t="shared" si="85"/>
        <v>3</v>
      </c>
      <c r="T29" s="19">
        <f t="shared" si="85"/>
        <v>3</v>
      </c>
      <c r="U29" s="19">
        <f t="shared" si="85"/>
        <v>3</v>
      </c>
      <c r="V29" s="19">
        <f t="shared" si="85"/>
        <v>3</v>
      </c>
      <c r="W29" s="19">
        <f t="shared" si="85"/>
        <v>3</v>
      </c>
      <c r="X29" s="19">
        <f t="shared" si="85"/>
        <v>3</v>
      </c>
      <c r="Y29" s="19">
        <f t="shared" si="85"/>
        <v>3</v>
      </c>
      <c r="Z29" s="19">
        <f t="shared" si="85"/>
        <v>3</v>
      </c>
      <c r="AA29" s="19">
        <f t="shared" si="85"/>
        <v>3</v>
      </c>
    </row>
    <row r="30" spans="1:27" x14ac:dyDescent="0.35">
      <c r="B30" s="14"/>
      <c r="C30" s="2"/>
      <c r="D30" s="2"/>
      <c r="E30" s="2"/>
      <c r="F30" s="2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x14ac:dyDescent="0.35">
      <c r="B31" s="1" t="s">
        <v>200</v>
      </c>
      <c r="C31" s="2"/>
      <c r="D31" s="2"/>
      <c r="E31" s="2"/>
      <c r="F31" s="2"/>
      <c r="G31" s="1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35">
      <c r="A32" t="s">
        <v>6</v>
      </c>
      <c r="B32" s="12" t="s">
        <v>2</v>
      </c>
      <c r="C32" s="12"/>
      <c r="D32" s="12"/>
      <c r="E32" s="12"/>
      <c r="F32" s="12"/>
      <c r="G32" s="13">
        <f>CHOOSE($D$2,G33,G34,G35)</f>
        <v>0</v>
      </c>
      <c r="H32" s="63">
        <f>CHOOSE($D$2,'P&amp;L'!C80,H34,H35)</f>
        <v>60</v>
      </c>
      <c r="I32" s="63">
        <f t="shared" ref="I32" si="86">CHOOSE($D$2,I33,I34,I35)</f>
        <v>61.800000000000004</v>
      </c>
      <c r="J32" s="63">
        <f t="shared" ref="J32" si="87">CHOOSE($D$2,J33,J34,J35)</f>
        <v>63.654000000000003</v>
      </c>
      <c r="K32" s="63">
        <f t="shared" ref="K32" si="88">CHOOSE($D$2,K33,K34,K35)</f>
        <v>65.56362</v>
      </c>
      <c r="L32" s="63">
        <f t="shared" ref="L32" si="89">CHOOSE($D$2,L33,L34,L35)</f>
        <v>67.530528599999997</v>
      </c>
      <c r="M32" s="63">
        <f t="shared" ref="M32" si="90">CHOOSE($D$2,M33,M34,M35)</f>
        <v>69.556444458000001</v>
      </c>
      <c r="N32" s="63">
        <f t="shared" ref="N32" si="91">CHOOSE($D$2,N33,N34,N35)</f>
        <v>71.643137791740003</v>
      </c>
      <c r="O32" s="63">
        <f t="shared" ref="O32" si="92">CHOOSE($D$2,O33,O34,O35)</f>
        <v>73.79243192549221</v>
      </c>
      <c r="P32" s="63">
        <f t="shared" ref="P32" si="93">CHOOSE($D$2,P33,P34,P35)</f>
        <v>76.006204883256984</v>
      </c>
      <c r="Q32" s="63">
        <f t="shared" ref="Q32" si="94">CHOOSE($D$2,Q33,Q34,Q35)</f>
        <v>78.286391029754697</v>
      </c>
      <c r="R32" s="63">
        <f t="shared" ref="R32" si="95">CHOOSE($D$2,R33,R34,R35)</f>
        <v>80.634982760647333</v>
      </c>
      <c r="S32" s="63">
        <f t="shared" ref="S32" si="96">CHOOSE($D$2,S33,S34,S35)</f>
        <v>83.05403224346675</v>
      </c>
      <c r="T32" s="63">
        <f t="shared" ref="T32" si="97">CHOOSE($D$2,T33,T34,T35)</f>
        <v>85.545653210770752</v>
      </c>
      <c r="U32" s="63">
        <f t="shared" ref="U32" si="98">CHOOSE($D$2,U33,U34,U35)</f>
        <v>88.112022807093879</v>
      </c>
      <c r="V32" s="63">
        <f t="shared" ref="V32" si="99">CHOOSE($D$2,V33,V34,V35)</f>
        <v>90.755383491306702</v>
      </c>
      <c r="W32" s="63">
        <f t="shared" ref="W32" si="100">CHOOSE($D$2,W33,W34,W35)</f>
        <v>93.478044996045909</v>
      </c>
      <c r="X32" s="63">
        <f t="shared" ref="X32" si="101">CHOOSE($D$2,X33,X34,X35)</f>
        <v>96.282386345927293</v>
      </c>
      <c r="Y32" s="63">
        <f t="shared" ref="Y32" si="102">CHOOSE($D$2,Y33,Y34,Y35)</f>
        <v>99.170857936305111</v>
      </c>
      <c r="Z32" s="63">
        <f t="shared" ref="Z32" si="103">CHOOSE($D$2,Z33,Z34,Z35)</f>
        <v>102.14598367439427</v>
      </c>
      <c r="AA32" s="63">
        <f t="shared" ref="AA32" si="104">CHOOSE($D$2,AA33,AA34,AA35)</f>
        <v>105.2103631846261</v>
      </c>
    </row>
    <row r="33" spans="1:27" x14ac:dyDescent="0.35">
      <c r="B33" s="14" t="s">
        <v>3</v>
      </c>
      <c r="C33" s="2"/>
      <c r="D33" s="2"/>
      <c r="E33" s="2"/>
      <c r="F33" s="2"/>
      <c r="G33" s="18">
        <v>0</v>
      </c>
      <c r="I33" s="66">
        <f>'P&amp;L'!C80*(1+I39)</f>
        <v>61.800000000000004</v>
      </c>
      <c r="J33" s="66">
        <f t="shared" ref="J33:AA33" si="105">I33*(1+J39)</f>
        <v>63.654000000000003</v>
      </c>
      <c r="K33" s="66">
        <f t="shared" si="105"/>
        <v>65.56362</v>
      </c>
      <c r="L33" s="66">
        <f t="shared" si="105"/>
        <v>67.530528599999997</v>
      </c>
      <c r="M33" s="66">
        <f t="shared" si="105"/>
        <v>69.556444458000001</v>
      </c>
      <c r="N33" s="66">
        <f t="shared" si="105"/>
        <v>71.643137791740003</v>
      </c>
      <c r="O33" s="66">
        <f t="shared" si="105"/>
        <v>73.79243192549221</v>
      </c>
      <c r="P33" s="66">
        <f t="shared" si="105"/>
        <v>76.006204883256984</v>
      </c>
      <c r="Q33" s="66">
        <f t="shared" si="105"/>
        <v>78.286391029754697</v>
      </c>
      <c r="R33" s="66">
        <f t="shared" si="105"/>
        <v>80.634982760647333</v>
      </c>
      <c r="S33" s="66">
        <f t="shared" si="105"/>
        <v>83.05403224346675</v>
      </c>
      <c r="T33" s="66">
        <f t="shared" si="105"/>
        <v>85.545653210770752</v>
      </c>
      <c r="U33" s="66">
        <f t="shared" si="105"/>
        <v>88.112022807093879</v>
      </c>
      <c r="V33" s="66">
        <f t="shared" si="105"/>
        <v>90.755383491306702</v>
      </c>
      <c r="W33" s="66">
        <f t="shared" si="105"/>
        <v>93.478044996045909</v>
      </c>
      <c r="X33" s="66">
        <f t="shared" si="105"/>
        <v>96.282386345927293</v>
      </c>
      <c r="Y33" s="66">
        <f t="shared" si="105"/>
        <v>99.170857936305111</v>
      </c>
      <c r="Z33" s="66">
        <f t="shared" si="105"/>
        <v>102.14598367439427</v>
      </c>
      <c r="AA33" s="66">
        <f t="shared" si="105"/>
        <v>105.2103631846261</v>
      </c>
    </row>
    <row r="34" spans="1:27" x14ac:dyDescent="0.35">
      <c r="B34" s="14" t="s">
        <v>4</v>
      </c>
      <c r="C34" s="2"/>
      <c r="D34" s="2"/>
      <c r="E34" s="2"/>
      <c r="F34" s="2"/>
      <c r="G34" s="18">
        <v>0</v>
      </c>
      <c r="H34" s="62">
        <v>80</v>
      </c>
      <c r="I34" s="66">
        <f t="shared" ref="I34:AA34" si="106">H34*(1+I40)</f>
        <v>83.2</v>
      </c>
      <c r="J34" s="66">
        <f t="shared" si="106"/>
        <v>86.528000000000006</v>
      </c>
      <c r="K34" s="66">
        <f t="shared" si="106"/>
        <v>89.989120000000014</v>
      </c>
      <c r="L34" s="66">
        <f t="shared" si="106"/>
        <v>93.588684800000024</v>
      </c>
      <c r="M34" s="66">
        <f t="shared" si="106"/>
        <v>97.332232192000035</v>
      </c>
      <c r="N34" s="66">
        <f t="shared" si="106"/>
        <v>101.22552147968004</v>
      </c>
      <c r="O34" s="66">
        <f t="shared" si="106"/>
        <v>105.27454233886725</v>
      </c>
      <c r="P34" s="66">
        <f t="shared" si="106"/>
        <v>109.48552403242195</v>
      </c>
      <c r="Q34" s="66">
        <f t="shared" si="106"/>
        <v>113.86494499371884</v>
      </c>
      <c r="R34" s="66">
        <f t="shared" si="106"/>
        <v>118.4195427934676</v>
      </c>
      <c r="S34" s="66">
        <f t="shared" si="106"/>
        <v>123.15632450520631</v>
      </c>
      <c r="T34" s="66">
        <f t="shared" si="106"/>
        <v>128.08257748541456</v>
      </c>
      <c r="U34" s="66">
        <f t="shared" si="106"/>
        <v>133.20588058483114</v>
      </c>
      <c r="V34" s="66">
        <f t="shared" si="106"/>
        <v>138.53411580822439</v>
      </c>
      <c r="W34" s="66">
        <f t="shared" si="106"/>
        <v>144.07548044055338</v>
      </c>
      <c r="X34" s="66">
        <f t="shared" si="106"/>
        <v>149.83849965817552</v>
      </c>
      <c r="Y34" s="66">
        <f t="shared" si="106"/>
        <v>155.83203964450254</v>
      </c>
      <c r="Z34" s="66">
        <f t="shared" si="106"/>
        <v>162.06532123028265</v>
      </c>
      <c r="AA34" s="66">
        <f t="shared" si="106"/>
        <v>168.54793407949396</v>
      </c>
    </row>
    <row r="35" spans="1:27" x14ac:dyDescent="0.35">
      <c r="B35" s="14" t="s">
        <v>5</v>
      </c>
      <c r="C35" s="2"/>
      <c r="D35" s="2"/>
      <c r="E35" s="2"/>
      <c r="F35" s="2"/>
      <c r="G35" s="18">
        <v>0</v>
      </c>
      <c r="H35" s="62">
        <v>40</v>
      </c>
      <c r="I35" s="66">
        <f t="shared" ref="I35:AA35" si="107">H35*(1+I41)</f>
        <v>40.799999999999997</v>
      </c>
      <c r="J35" s="66">
        <f t="shared" si="107"/>
        <v>41.616</v>
      </c>
      <c r="K35" s="66">
        <f t="shared" si="107"/>
        <v>42.448320000000002</v>
      </c>
      <c r="L35" s="66">
        <f t="shared" si="107"/>
        <v>43.297286400000004</v>
      </c>
      <c r="M35" s="66">
        <f t="shared" si="107"/>
        <v>44.163232128000004</v>
      </c>
      <c r="N35" s="66">
        <f t="shared" si="107"/>
        <v>45.046496770560005</v>
      </c>
      <c r="O35" s="66">
        <f t="shared" si="107"/>
        <v>45.947426705971203</v>
      </c>
      <c r="P35" s="66">
        <f t="shared" si="107"/>
        <v>46.866375240090626</v>
      </c>
      <c r="Q35" s="66">
        <f t="shared" si="107"/>
        <v>47.803702744892441</v>
      </c>
      <c r="R35" s="66">
        <f t="shared" si="107"/>
        <v>48.759776799790288</v>
      </c>
      <c r="S35" s="66">
        <f t="shared" si="107"/>
        <v>49.734972335786097</v>
      </c>
      <c r="T35" s="66">
        <f t="shared" si="107"/>
        <v>50.729671782501818</v>
      </c>
      <c r="U35" s="66">
        <f t="shared" si="107"/>
        <v>51.744265218151853</v>
      </c>
      <c r="V35" s="66">
        <f t="shared" si="107"/>
        <v>52.77915052251489</v>
      </c>
      <c r="W35" s="66">
        <f t="shared" si="107"/>
        <v>53.834733532965188</v>
      </c>
      <c r="X35" s="66">
        <f t="shared" si="107"/>
        <v>54.911428203624496</v>
      </c>
      <c r="Y35" s="66">
        <f t="shared" si="107"/>
        <v>56.009656767696988</v>
      </c>
      <c r="Z35" s="66">
        <f t="shared" si="107"/>
        <v>57.129849903050932</v>
      </c>
      <c r="AA35" s="66">
        <f t="shared" si="107"/>
        <v>58.272446901111948</v>
      </c>
    </row>
    <row r="36" spans="1:27" x14ac:dyDescent="0.35">
      <c r="B36" s="14"/>
      <c r="C36" s="2"/>
      <c r="D36" s="2"/>
      <c r="E36" s="2"/>
      <c r="F36" s="2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x14ac:dyDescent="0.35">
      <c r="B37" s="1" t="s">
        <v>199</v>
      </c>
      <c r="C37" s="2"/>
      <c r="D37" s="2"/>
      <c r="E37" s="2"/>
      <c r="F37" s="2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35">
      <c r="A38" t="s">
        <v>6</v>
      </c>
      <c r="B38" s="12" t="s">
        <v>2</v>
      </c>
      <c r="C38" s="12"/>
      <c r="D38" s="12"/>
      <c r="E38" s="12"/>
      <c r="F38" s="12"/>
      <c r="G38" s="27">
        <f t="shared" ref="G38:AA38" si="108">CHOOSE($D$2,G39,G40,G41)</f>
        <v>0</v>
      </c>
      <c r="H38" s="28">
        <f t="shared" si="108"/>
        <v>0.03</v>
      </c>
      <c r="I38" s="28">
        <f t="shared" si="108"/>
        <v>0.03</v>
      </c>
      <c r="J38" s="28">
        <f t="shared" si="108"/>
        <v>0.03</v>
      </c>
      <c r="K38" s="28">
        <f t="shared" si="108"/>
        <v>0.03</v>
      </c>
      <c r="L38" s="28">
        <f t="shared" si="108"/>
        <v>0.03</v>
      </c>
      <c r="M38" s="28">
        <f t="shared" si="108"/>
        <v>0.03</v>
      </c>
      <c r="N38" s="28">
        <f t="shared" si="108"/>
        <v>0.03</v>
      </c>
      <c r="O38" s="28">
        <f t="shared" si="108"/>
        <v>0.03</v>
      </c>
      <c r="P38" s="28">
        <f t="shared" si="108"/>
        <v>0.03</v>
      </c>
      <c r="Q38" s="28">
        <f t="shared" si="108"/>
        <v>0.03</v>
      </c>
      <c r="R38" s="28">
        <f t="shared" si="108"/>
        <v>0.03</v>
      </c>
      <c r="S38" s="28">
        <f t="shared" si="108"/>
        <v>0.03</v>
      </c>
      <c r="T38" s="28">
        <f t="shared" si="108"/>
        <v>0.03</v>
      </c>
      <c r="U38" s="28">
        <f t="shared" si="108"/>
        <v>0.03</v>
      </c>
      <c r="V38" s="28">
        <f t="shared" si="108"/>
        <v>0.03</v>
      </c>
      <c r="W38" s="28">
        <f t="shared" si="108"/>
        <v>0.03</v>
      </c>
      <c r="X38" s="28">
        <f t="shared" si="108"/>
        <v>0.03</v>
      </c>
      <c r="Y38" s="28">
        <f t="shared" si="108"/>
        <v>0.03</v>
      </c>
      <c r="Z38" s="28">
        <f t="shared" si="108"/>
        <v>0.03</v>
      </c>
      <c r="AA38" s="28">
        <f t="shared" si="108"/>
        <v>0.03</v>
      </c>
    </row>
    <row r="39" spans="1:27" x14ac:dyDescent="0.35">
      <c r="B39" s="14" t="s">
        <v>3</v>
      </c>
      <c r="C39" s="2"/>
      <c r="D39" s="2"/>
      <c r="E39" s="2"/>
      <c r="F39" s="2"/>
      <c r="G39" s="29">
        <v>0</v>
      </c>
      <c r="H39" s="26">
        <v>0.03</v>
      </c>
      <c r="I39" s="26">
        <f>H39</f>
        <v>0.03</v>
      </c>
      <c r="J39" s="26">
        <f t="shared" ref="J39:J41" si="109">I39</f>
        <v>0.03</v>
      </c>
      <c r="K39" s="26">
        <f t="shared" ref="K39:K41" si="110">J39</f>
        <v>0.03</v>
      </c>
      <c r="L39" s="26">
        <f t="shared" ref="L39:L41" si="111">K39</f>
        <v>0.03</v>
      </c>
      <c r="M39" s="26">
        <f t="shared" ref="M39:M41" si="112">L39</f>
        <v>0.03</v>
      </c>
      <c r="N39" s="26">
        <f t="shared" ref="N39:N41" si="113">M39</f>
        <v>0.03</v>
      </c>
      <c r="O39" s="26">
        <f t="shared" ref="O39:O41" si="114">N39</f>
        <v>0.03</v>
      </c>
      <c r="P39" s="26">
        <f t="shared" ref="P39:P41" si="115">O39</f>
        <v>0.03</v>
      </c>
      <c r="Q39" s="26">
        <f t="shared" ref="Q39:Q41" si="116">P39</f>
        <v>0.03</v>
      </c>
      <c r="R39" s="26">
        <f t="shared" ref="R39:R41" si="117">Q39</f>
        <v>0.03</v>
      </c>
      <c r="S39" s="26">
        <f t="shared" ref="S39:S41" si="118">R39</f>
        <v>0.03</v>
      </c>
      <c r="T39" s="26">
        <f t="shared" ref="T39:T41" si="119">S39</f>
        <v>0.03</v>
      </c>
      <c r="U39" s="26">
        <f t="shared" ref="U39:U41" si="120">T39</f>
        <v>0.03</v>
      </c>
      <c r="V39" s="26">
        <f t="shared" ref="V39:V41" si="121">U39</f>
        <v>0.03</v>
      </c>
      <c r="W39" s="26">
        <f t="shared" ref="W39:W41" si="122">V39</f>
        <v>0.03</v>
      </c>
      <c r="X39" s="26">
        <f t="shared" ref="X39:X41" si="123">W39</f>
        <v>0.03</v>
      </c>
      <c r="Y39" s="26">
        <f t="shared" ref="Y39:Y41" si="124">X39</f>
        <v>0.03</v>
      </c>
      <c r="Z39" s="26">
        <f t="shared" ref="Z39:Z41" si="125">Y39</f>
        <v>0.03</v>
      </c>
      <c r="AA39" s="26">
        <f t="shared" ref="AA39:AA41" si="126">Z39</f>
        <v>0.03</v>
      </c>
    </row>
    <row r="40" spans="1:27" x14ac:dyDescent="0.35">
      <c r="B40" s="14" t="s">
        <v>4</v>
      </c>
      <c r="C40" s="2"/>
      <c r="D40" s="2"/>
      <c r="E40" s="2"/>
      <c r="F40" s="2"/>
      <c r="G40" s="29">
        <v>0</v>
      </c>
      <c r="H40" s="26">
        <v>0.04</v>
      </c>
      <c r="I40" s="26">
        <f t="shared" ref="I40:I41" si="127">H40</f>
        <v>0.04</v>
      </c>
      <c r="J40" s="26">
        <f t="shared" si="109"/>
        <v>0.04</v>
      </c>
      <c r="K40" s="26">
        <f t="shared" si="110"/>
        <v>0.04</v>
      </c>
      <c r="L40" s="26">
        <f t="shared" si="111"/>
        <v>0.04</v>
      </c>
      <c r="M40" s="26">
        <f t="shared" si="112"/>
        <v>0.04</v>
      </c>
      <c r="N40" s="26">
        <f t="shared" si="113"/>
        <v>0.04</v>
      </c>
      <c r="O40" s="26">
        <f t="shared" si="114"/>
        <v>0.04</v>
      </c>
      <c r="P40" s="26">
        <f t="shared" si="115"/>
        <v>0.04</v>
      </c>
      <c r="Q40" s="26">
        <f t="shared" si="116"/>
        <v>0.04</v>
      </c>
      <c r="R40" s="26">
        <f t="shared" si="117"/>
        <v>0.04</v>
      </c>
      <c r="S40" s="26">
        <f t="shared" si="118"/>
        <v>0.04</v>
      </c>
      <c r="T40" s="26">
        <f t="shared" si="119"/>
        <v>0.04</v>
      </c>
      <c r="U40" s="26">
        <f t="shared" si="120"/>
        <v>0.04</v>
      </c>
      <c r="V40" s="26">
        <f t="shared" si="121"/>
        <v>0.04</v>
      </c>
      <c r="W40" s="26">
        <f t="shared" si="122"/>
        <v>0.04</v>
      </c>
      <c r="X40" s="26">
        <f t="shared" si="123"/>
        <v>0.04</v>
      </c>
      <c r="Y40" s="26">
        <f t="shared" si="124"/>
        <v>0.04</v>
      </c>
      <c r="Z40" s="26">
        <f t="shared" si="125"/>
        <v>0.04</v>
      </c>
      <c r="AA40" s="26">
        <f t="shared" si="126"/>
        <v>0.04</v>
      </c>
    </row>
    <row r="41" spans="1:27" x14ac:dyDescent="0.35">
      <c r="B41" s="14" t="s">
        <v>5</v>
      </c>
      <c r="C41" s="2"/>
      <c r="D41" s="2"/>
      <c r="E41" s="2"/>
      <c r="F41" s="2"/>
      <c r="G41" s="29">
        <v>0</v>
      </c>
      <c r="H41" s="26">
        <v>0.02</v>
      </c>
      <c r="I41" s="26">
        <f t="shared" si="127"/>
        <v>0.02</v>
      </c>
      <c r="J41" s="26">
        <f t="shared" si="109"/>
        <v>0.02</v>
      </c>
      <c r="K41" s="26">
        <f t="shared" si="110"/>
        <v>0.02</v>
      </c>
      <c r="L41" s="26">
        <f t="shared" si="111"/>
        <v>0.02</v>
      </c>
      <c r="M41" s="26">
        <f t="shared" si="112"/>
        <v>0.02</v>
      </c>
      <c r="N41" s="26">
        <f t="shared" si="113"/>
        <v>0.02</v>
      </c>
      <c r="O41" s="26">
        <f t="shared" si="114"/>
        <v>0.02</v>
      </c>
      <c r="P41" s="26">
        <f t="shared" si="115"/>
        <v>0.02</v>
      </c>
      <c r="Q41" s="26">
        <f t="shared" si="116"/>
        <v>0.02</v>
      </c>
      <c r="R41" s="26">
        <f t="shared" si="117"/>
        <v>0.02</v>
      </c>
      <c r="S41" s="26">
        <f t="shared" si="118"/>
        <v>0.02</v>
      </c>
      <c r="T41" s="26">
        <f t="shared" si="119"/>
        <v>0.02</v>
      </c>
      <c r="U41" s="26">
        <f t="shared" si="120"/>
        <v>0.02</v>
      </c>
      <c r="V41" s="26">
        <f t="shared" si="121"/>
        <v>0.02</v>
      </c>
      <c r="W41" s="26">
        <f t="shared" si="122"/>
        <v>0.02</v>
      </c>
      <c r="X41" s="26">
        <f t="shared" si="123"/>
        <v>0.02</v>
      </c>
      <c r="Y41" s="26">
        <f t="shared" si="124"/>
        <v>0.02</v>
      </c>
      <c r="Z41" s="26">
        <f t="shared" si="125"/>
        <v>0.02</v>
      </c>
      <c r="AA41" s="26">
        <f t="shared" si="126"/>
        <v>0.02</v>
      </c>
    </row>
    <row r="42" spans="1:27" x14ac:dyDescent="0.35">
      <c r="B42" s="14"/>
      <c r="C42" s="2"/>
      <c r="D42" s="2"/>
      <c r="E42" s="2"/>
      <c r="F42" s="2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x14ac:dyDescent="0.35">
      <c r="B43" s="1" t="s">
        <v>60</v>
      </c>
      <c r="C43" s="2"/>
      <c r="D43" s="2"/>
      <c r="E43" s="2"/>
      <c r="F43" s="2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35">
      <c r="A44" t="s">
        <v>6</v>
      </c>
      <c r="B44" s="12" t="s">
        <v>2</v>
      </c>
      <c r="C44" s="12"/>
      <c r="D44" s="12"/>
      <c r="E44" s="12"/>
      <c r="F44" s="12"/>
      <c r="G44" s="27">
        <f t="shared" ref="G44" si="128">CHOOSE($D$2,G45,G46,G47)</f>
        <v>0</v>
      </c>
      <c r="H44" s="28">
        <f t="shared" ref="H44" si="129">CHOOSE($D$2,H45,H46,H47)</f>
        <v>0.4</v>
      </c>
      <c r="I44" s="28">
        <f t="shared" ref="I44" si="130">CHOOSE($D$2,I45,I46,I47)</f>
        <v>0.41000000000000003</v>
      </c>
      <c r="J44" s="28">
        <f t="shared" ref="J44" si="131">CHOOSE($D$2,J45,J46,J47)</f>
        <v>0.42000000000000004</v>
      </c>
      <c r="K44" s="28">
        <f t="shared" ref="K44" si="132">CHOOSE($D$2,K45,K46,K47)</f>
        <v>0.43000000000000005</v>
      </c>
      <c r="L44" s="28">
        <f t="shared" ref="L44" si="133">CHOOSE($D$2,L45,L46,L47)</f>
        <v>0.44000000000000006</v>
      </c>
      <c r="M44" s="28">
        <f t="shared" ref="M44" si="134">CHOOSE($D$2,M45,M46,M47)</f>
        <v>0.45000000000000007</v>
      </c>
      <c r="N44" s="28">
        <f t="shared" ref="N44" si="135">CHOOSE($D$2,N45,N46,N47)</f>
        <v>0.46000000000000008</v>
      </c>
      <c r="O44" s="28">
        <f t="shared" ref="O44" si="136">CHOOSE($D$2,O45,O46,O47)</f>
        <v>0.47000000000000008</v>
      </c>
      <c r="P44" s="28">
        <f t="shared" ref="P44" si="137">CHOOSE($D$2,P45,P46,P47)</f>
        <v>0.48000000000000009</v>
      </c>
      <c r="Q44" s="28">
        <f t="shared" ref="Q44" si="138">CHOOSE($D$2,Q45,Q46,Q47)</f>
        <v>0.4900000000000001</v>
      </c>
      <c r="R44" s="28">
        <f t="shared" ref="R44" si="139">CHOOSE($D$2,R45,R46,R47)</f>
        <v>0.50000000000000011</v>
      </c>
      <c r="S44" s="28">
        <f t="shared" ref="S44" si="140">CHOOSE($D$2,S45,S46,S47)</f>
        <v>0.51000000000000012</v>
      </c>
      <c r="T44" s="28">
        <f t="shared" ref="T44" si="141">CHOOSE($D$2,T45,T46,T47)</f>
        <v>0.52000000000000013</v>
      </c>
      <c r="U44" s="28">
        <f t="shared" ref="U44" si="142">CHOOSE($D$2,U45,U46,U47)</f>
        <v>0.53000000000000014</v>
      </c>
      <c r="V44" s="28">
        <f t="shared" ref="V44" si="143">CHOOSE($D$2,V45,V46,V47)</f>
        <v>0.54000000000000015</v>
      </c>
      <c r="W44" s="28">
        <f t="shared" ref="W44" si="144">CHOOSE($D$2,W45,W46,W47)</f>
        <v>0.55000000000000016</v>
      </c>
      <c r="X44" s="28">
        <f t="shared" ref="X44" si="145">CHOOSE($D$2,X45,X46,X47)</f>
        <v>0.56000000000000016</v>
      </c>
      <c r="Y44" s="28">
        <f t="shared" ref="Y44" si="146">CHOOSE($D$2,Y45,Y46,Y47)</f>
        <v>0.57000000000000017</v>
      </c>
      <c r="Z44" s="28">
        <f t="shared" ref="Z44" si="147">CHOOSE($D$2,Z45,Z46,Z47)</f>
        <v>0.58000000000000018</v>
      </c>
      <c r="AA44" s="28">
        <f t="shared" ref="AA44" si="148">CHOOSE($D$2,AA45,AA46,AA47)</f>
        <v>0.59000000000000019</v>
      </c>
    </row>
    <row r="45" spans="1:27" x14ac:dyDescent="0.35">
      <c r="B45" s="14" t="s">
        <v>3</v>
      </c>
      <c r="C45" s="2"/>
      <c r="D45" s="2"/>
      <c r="E45" s="2"/>
      <c r="F45" s="2"/>
      <c r="G45" s="29">
        <v>0</v>
      </c>
      <c r="H45" s="43">
        <v>0.4</v>
      </c>
      <c r="I45" s="43">
        <f>H45+0.01</f>
        <v>0.41000000000000003</v>
      </c>
      <c r="J45" s="43">
        <f t="shared" ref="J45:AA45" si="149">I45+0.01</f>
        <v>0.42000000000000004</v>
      </c>
      <c r="K45" s="43">
        <f t="shared" si="149"/>
        <v>0.43000000000000005</v>
      </c>
      <c r="L45" s="43">
        <f t="shared" si="149"/>
        <v>0.44000000000000006</v>
      </c>
      <c r="M45" s="43">
        <f t="shared" si="149"/>
        <v>0.45000000000000007</v>
      </c>
      <c r="N45" s="43">
        <f t="shared" si="149"/>
        <v>0.46000000000000008</v>
      </c>
      <c r="O45" s="43">
        <f t="shared" si="149"/>
        <v>0.47000000000000008</v>
      </c>
      <c r="P45" s="43">
        <f t="shared" si="149"/>
        <v>0.48000000000000009</v>
      </c>
      <c r="Q45" s="43">
        <f t="shared" si="149"/>
        <v>0.4900000000000001</v>
      </c>
      <c r="R45" s="43">
        <f t="shared" si="149"/>
        <v>0.50000000000000011</v>
      </c>
      <c r="S45" s="43">
        <f t="shared" si="149"/>
        <v>0.51000000000000012</v>
      </c>
      <c r="T45" s="43">
        <f t="shared" si="149"/>
        <v>0.52000000000000013</v>
      </c>
      <c r="U45" s="43">
        <f t="shared" si="149"/>
        <v>0.53000000000000014</v>
      </c>
      <c r="V45" s="43">
        <f t="shared" si="149"/>
        <v>0.54000000000000015</v>
      </c>
      <c r="W45" s="43">
        <f t="shared" si="149"/>
        <v>0.55000000000000016</v>
      </c>
      <c r="X45" s="43">
        <f t="shared" si="149"/>
        <v>0.56000000000000016</v>
      </c>
      <c r="Y45" s="43">
        <f t="shared" si="149"/>
        <v>0.57000000000000017</v>
      </c>
      <c r="Z45" s="43">
        <f t="shared" si="149"/>
        <v>0.58000000000000018</v>
      </c>
      <c r="AA45" s="43">
        <f t="shared" si="149"/>
        <v>0.59000000000000019</v>
      </c>
    </row>
    <row r="46" spans="1:27" x14ac:dyDescent="0.35">
      <c r="B46" s="14" t="s">
        <v>4</v>
      </c>
      <c r="C46" s="2"/>
      <c r="D46" s="2"/>
      <c r="E46" s="2"/>
      <c r="F46" s="2"/>
      <c r="G46" s="29">
        <v>0</v>
      </c>
      <c r="H46" s="43">
        <v>0.5</v>
      </c>
      <c r="I46" s="43">
        <f t="shared" ref="I46:AA46" si="150">H46+0.01</f>
        <v>0.51</v>
      </c>
      <c r="J46" s="43">
        <f t="shared" si="150"/>
        <v>0.52</v>
      </c>
      <c r="K46" s="43">
        <f t="shared" si="150"/>
        <v>0.53</v>
      </c>
      <c r="L46" s="43">
        <f t="shared" si="150"/>
        <v>0.54</v>
      </c>
      <c r="M46" s="43">
        <f t="shared" si="150"/>
        <v>0.55000000000000004</v>
      </c>
      <c r="N46" s="43">
        <f t="shared" si="150"/>
        <v>0.56000000000000005</v>
      </c>
      <c r="O46" s="43">
        <f t="shared" si="150"/>
        <v>0.57000000000000006</v>
      </c>
      <c r="P46" s="43">
        <f t="shared" si="150"/>
        <v>0.58000000000000007</v>
      </c>
      <c r="Q46" s="43">
        <f t="shared" si="150"/>
        <v>0.59000000000000008</v>
      </c>
      <c r="R46" s="43">
        <f t="shared" si="150"/>
        <v>0.60000000000000009</v>
      </c>
      <c r="S46" s="43">
        <f t="shared" si="150"/>
        <v>0.6100000000000001</v>
      </c>
      <c r="T46" s="43">
        <f t="shared" si="150"/>
        <v>0.62000000000000011</v>
      </c>
      <c r="U46" s="43">
        <f t="shared" si="150"/>
        <v>0.63000000000000012</v>
      </c>
      <c r="V46" s="43">
        <f t="shared" si="150"/>
        <v>0.64000000000000012</v>
      </c>
      <c r="W46" s="43">
        <f t="shared" si="150"/>
        <v>0.65000000000000013</v>
      </c>
      <c r="X46" s="43">
        <f t="shared" si="150"/>
        <v>0.66000000000000014</v>
      </c>
      <c r="Y46" s="43">
        <f t="shared" si="150"/>
        <v>0.67000000000000015</v>
      </c>
      <c r="Z46" s="43">
        <f t="shared" si="150"/>
        <v>0.68000000000000016</v>
      </c>
      <c r="AA46" s="43">
        <f t="shared" si="150"/>
        <v>0.69000000000000017</v>
      </c>
    </row>
    <row r="47" spans="1:27" x14ac:dyDescent="0.35">
      <c r="B47" s="14" t="s">
        <v>5</v>
      </c>
      <c r="C47" s="2"/>
      <c r="D47" s="2"/>
      <c r="E47" s="2"/>
      <c r="F47" s="2"/>
      <c r="G47" s="29">
        <v>0</v>
      </c>
      <c r="H47" s="43">
        <v>0.2</v>
      </c>
      <c r="I47" s="43">
        <f t="shared" ref="I47:AA47" si="151">H47+0.01</f>
        <v>0.21000000000000002</v>
      </c>
      <c r="J47" s="43">
        <f t="shared" si="151"/>
        <v>0.22000000000000003</v>
      </c>
      <c r="K47" s="43">
        <f t="shared" si="151"/>
        <v>0.23000000000000004</v>
      </c>
      <c r="L47" s="43">
        <f t="shared" si="151"/>
        <v>0.24000000000000005</v>
      </c>
      <c r="M47" s="43">
        <f t="shared" si="151"/>
        <v>0.25000000000000006</v>
      </c>
      <c r="N47" s="43">
        <f t="shared" si="151"/>
        <v>0.26000000000000006</v>
      </c>
      <c r="O47" s="43">
        <f t="shared" si="151"/>
        <v>0.27000000000000007</v>
      </c>
      <c r="P47" s="43">
        <f t="shared" si="151"/>
        <v>0.28000000000000008</v>
      </c>
      <c r="Q47" s="43">
        <f t="shared" si="151"/>
        <v>0.29000000000000009</v>
      </c>
      <c r="R47" s="43">
        <f t="shared" si="151"/>
        <v>0.3000000000000001</v>
      </c>
      <c r="S47" s="43">
        <f t="shared" si="151"/>
        <v>0.31000000000000011</v>
      </c>
      <c r="T47" s="43">
        <f t="shared" si="151"/>
        <v>0.32000000000000012</v>
      </c>
      <c r="U47" s="43">
        <f t="shared" si="151"/>
        <v>0.33000000000000013</v>
      </c>
      <c r="V47" s="43">
        <f t="shared" si="151"/>
        <v>0.34000000000000014</v>
      </c>
      <c r="W47" s="43">
        <f t="shared" si="151"/>
        <v>0.35000000000000014</v>
      </c>
      <c r="X47" s="43">
        <f t="shared" si="151"/>
        <v>0.36000000000000015</v>
      </c>
      <c r="Y47" s="43">
        <f t="shared" si="151"/>
        <v>0.37000000000000016</v>
      </c>
      <c r="Z47" s="43">
        <f t="shared" si="151"/>
        <v>0.38000000000000017</v>
      </c>
      <c r="AA47" s="43">
        <f t="shared" si="151"/>
        <v>0.39000000000000018</v>
      </c>
    </row>
    <row r="48" spans="1:27" x14ac:dyDescent="0.35">
      <c r="B48" s="14"/>
      <c r="C48" s="2"/>
      <c r="D48" s="2"/>
      <c r="E48" s="2"/>
      <c r="F48" s="2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x14ac:dyDescent="0.35">
      <c r="B49" s="1" t="s">
        <v>61</v>
      </c>
      <c r="C49" s="2"/>
      <c r="D49" s="2"/>
      <c r="E49" s="2"/>
      <c r="F49" s="2"/>
      <c r="G49" s="15"/>
      <c r="H49" s="16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x14ac:dyDescent="0.35">
      <c r="A50" t="s">
        <v>6</v>
      </c>
      <c r="B50" s="12" t="s">
        <v>2</v>
      </c>
      <c r="C50" s="12"/>
      <c r="D50" s="12"/>
      <c r="E50" s="12"/>
      <c r="F50" s="12"/>
      <c r="G50" s="13">
        <f>CHOOSE($D$2,G51,G52,G53)</f>
        <v>0</v>
      </c>
      <c r="H50" s="90">
        <f>CHOOSE($D$2,'P&amp;L'!C62,H52,H53)</f>
        <v>12000</v>
      </c>
      <c r="I50" s="90">
        <f t="shared" ref="I50:U50" si="152">CHOOSE($D$2,I51,I52,I53)</f>
        <v>12240</v>
      </c>
      <c r="J50" s="90">
        <f t="shared" si="152"/>
        <v>12484.800000000001</v>
      </c>
      <c r="K50" s="90">
        <f t="shared" si="152"/>
        <v>12734.496000000001</v>
      </c>
      <c r="L50" s="90">
        <f t="shared" si="152"/>
        <v>12989.185920000002</v>
      </c>
      <c r="M50" s="90">
        <f t="shared" si="152"/>
        <v>13248.969638400002</v>
      </c>
      <c r="N50" s="90">
        <f t="shared" si="152"/>
        <v>13513.949031168002</v>
      </c>
      <c r="O50" s="90">
        <f t="shared" si="152"/>
        <v>13784.228011791361</v>
      </c>
      <c r="P50" s="90">
        <f t="shared" si="152"/>
        <v>14059.91257202719</v>
      </c>
      <c r="Q50" s="90">
        <f t="shared" si="152"/>
        <v>14341.110823467734</v>
      </c>
      <c r="R50" s="90">
        <f t="shared" si="152"/>
        <v>14627.933039937088</v>
      </c>
      <c r="S50" s="90">
        <f t="shared" si="152"/>
        <v>14920.491700735831</v>
      </c>
      <c r="T50" s="90">
        <f t="shared" si="152"/>
        <v>15218.901534750548</v>
      </c>
      <c r="U50" s="90">
        <f t="shared" si="152"/>
        <v>15523.27956544556</v>
      </c>
      <c r="V50" s="90">
        <f t="shared" ref="V50" si="153">CHOOSE($D$2,V51,V52,V53)</f>
        <v>15833.745156754472</v>
      </c>
      <c r="W50" s="90">
        <f t="shared" ref="W50" si="154">CHOOSE($D$2,W51,W52,W53)</f>
        <v>16150.420059889562</v>
      </c>
      <c r="X50" s="90">
        <f t="shared" ref="X50" si="155">CHOOSE($D$2,X51,X52,X53)</f>
        <v>16473.428461087355</v>
      </c>
      <c r="Y50" s="90">
        <f t="shared" ref="Y50" si="156">CHOOSE($D$2,Y51,Y52,Y53)</f>
        <v>16802.897030309101</v>
      </c>
      <c r="Z50" s="90">
        <f t="shared" ref="Z50" si="157">CHOOSE($D$2,Z51,Z52,Z53)</f>
        <v>17138.954970915282</v>
      </c>
      <c r="AA50" s="90">
        <f t="shared" ref="AA50" si="158">CHOOSE($D$2,AA51,AA52,AA53)</f>
        <v>17481.734070333587</v>
      </c>
    </row>
    <row r="51" spans="1:27" x14ac:dyDescent="0.35">
      <c r="B51" s="14" t="s">
        <v>3</v>
      </c>
      <c r="C51" s="2"/>
      <c r="D51" s="2"/>
      <c r="E51" s="2"/>
      <c r="F51" s="2"/>
      <c r="G51" s="18">
        <v>0</v>
      </c>
      <c r="H51" s="213">
        <f>'P&amp;L'!C62</f>
        <v>12000</v>
      </c>
      <c r="I51" s="91">
        <f t="shared" ref="I51:AA51" si="159">H51*(1+I57)</f>
        <v>12240</v>
      </c>
      <c r="J51" s="91">
        <f t="shared" si="159"/>
        <v>12484.800000000001</v>
      </c>
      <c r="K51" s="91">
        <f t="shared" si="159"/>
        <v>12734.496000000001</v>
      </c>
      <c r="L51" s="91">
        <f t="shared" si="159"/>
        <v>12989.185920000002</v>
      </c>
      <c r="M51" s="91">
        <f t="shared" si="159"/>
        <v>13248.969638400002</v>
      </c>
      <c r="N51" s="91">
        <f t="shared" si="159"/>
        <v>13513.949031168002</v>
      </c>
      <c r="O51" s="91">
        <f t="shared" si="159"/>
        <v>13784.228011791361</v>
      </c>
      <c r="P51" s="91">
        <f t="shared" si="159"/>
        <v>14059.91257202719</v>
      </c>
      <c r="Q51" s="91">
        <f t="shared" si="159"/>
        <v>14341.110823467734</v>
      </c>
      <c r="R51" s="91">
        <f t="shared" si="159"/>
        <v>14627.933039937088</v>
      </c>
      <c r="S51" s="91">
        <f t="shared" si="159"/>
        <v>14920.491700735831</v>
      </c>
      <c r="T51" s="91">
        <f t="shared" si="159"/>
        <v>15218.901534750548</v>
      </c>
      <c r="U51" s="91">
        <f t="shared" si="159"/>
        <v>15523.27956544556</v>
      </c>
      <c r="V51" s="91">
        <f t="shared" si="159"/>
        <v>15833.745156754472</v>
      </c>
      <c r="W51" s="91">
        <f t="shared" si="159"/>
        <v>16150.420059889562</v>
      </c>
      <c r="X51" s="91">
        <f t="shared" si="159"/>
        <v>16473.428461087355</v>
      </c>
      <c r="Y51" s="91">
        <f t="shared" si="159"/>
        <v>16802.897030309101</v>
      </c>
      <c r="Z51" s="91">
        <f t="shared" si="159"/>
        <v>17138.954970915282</v>
      </c>
      <c r="AA51" s="91">
        <f t="shared" si="159"/>
        <v>17481.734070333587</v>
      </c>
    </row>
    <row r="52" spans="1:27" x14ac:dyDescent="0.35">
      <c r="B52" s="14" t="s">
        <v>4</v>
      </c>
      <c r="C52" s="20"/>
      <c r="D52" s="20"/>
      <c r="E52" s="20"/>
      <c r="F52" s="20"/>
      <c r="G52" s="18">
        <v>0</v>
      </c>
      <c r="H52" s="92">
        <v>15000</v>
      </c>
      <c r="I52" s="91">
        <f t="shared" ref="I52:AA52" si="160">H52*(1+I58)</f>
        <v>15450</v>
      </c>
      <c r="J52" s="91">
        <f t="shared" si="160"/>
        <v>15913.5</v>
      </c>
      <c r="K52" s="91">
        <f t="shared" si="160"/>
        <v>16390.904999999999</v>
      </c>
      <c r="L52" s="91">
        <f t="shared" si="160"/>
        <v>16882.632149999998</v>
      </c>
      <c r="M52" s="91">
        <f t="shared" si="160"/>
        <v>17389.1111145</v>
      </c>
      <c r="N52" s="91">
        <f t="shared" si="160"/>
        <v>17910.784447934999</v>
      </c>
      <c r="O52" s="91">
        <f t="shared" si="160"/>
        <v>18448.10798137305</v>
      </c>
      <c r="P52" s="91">
        <f t="shared" si="160"/>
        <v>19001.551220814243</v>
      </c>
      <c r="Q52" s="91">
        <f t="shared" si="160"/>
        <v>19571.597757438671</v>
      </c>
      <c r="R52" s="91">
        <f t="shared" si="160"/>
        <v>20158.745690161832</v>
      </c>
      <c r="S52" s="91">
        <f t="shared" si="160"/>
        <v>20763.508060866687</v>
      </c>
      <c r="T52" s="91">
        <f t="shared" si="160"/>
        <v>21386.413302692687</v>
      </c>
      <c r="U52" s="91">
        <f t="shared" si="160"/>
        <v>22028.005701773469</v>
      </c>
      <c r="V52" s="91">
        <f t="shared" si="160"/>
        <v>22688.845872826674</v>
      </c>
      <c r="W52" s="91">
        <f t="shared" si="160"/>
        <v>23369.511249011473</v>
      </c>
      <c r="X52" s="91">
        <f t="shared" si="160"/>
        <v>24070.596586481817</v>
      </c>
      <c r="Y52" s="91">
        <f t="shared" si="160"/>
        <v>24792.714484076274</v>
      </c>
      <c r="Z52" s="91">
        <f t="shared" si="160"/>
        <v>25536.495918598564</v>
      </c>
      <c r="AA52" s="91">
        <f t="shared" si="160"/>
        <v>26302.590796156521</v>
      </c>
    </row>
    <row r="53" spans="1:27" x14ac:dyDescent="0.35">
      <c r="B53" s="14" t="s">
        <v>5</v>
      </c>
      <c r="C53" s="20"/>
      <c r="D53" s="20"/>
      <c r="E53" s="20"/>
      <c r="F53" s="20"/>
      <c r="G53" s="18">
        <v>0</v>
      </c>
      <c r="H53" s="92">
        <v>8000</v>
      </c>
      <c r="I53" s="91">
        <f t="shared" ref="I53:AA53" si="161">H53*(1+I59)</f>
        <v>8080</v>
      </c>
      <c r="J53" s="91">
        <f t="shared" si="161"/>
        <v>8160.8</v>
      </c>
      <c r="K53" s="91">
        <f t="shared" si="161"/>
        <v>8242.4079999999994</v>
      </c>
      <c r="L53" s="91">
        <f t="shared" si="161"/>
        <v>8324.8320800000001</v>
      </c>
      <c r="M53" s="91">
        <f t="shared" si="161"/>
        <v>8408.0804007999996</v>
      </c>
      <c r="N53" s="91">
        <f t="shared" si="161"/>
        <v>8492.1612048079987</v>
      </c>
      <c r="O53" s="91">
        <f t="shared" si="161"/>
        <v>8577.0828168560784</v>
      </c>
      <c r="P53" s="91">
        <f t="shared" si="161"/>
        <v>8662.8536450246393</v>
      </c>
      <c r="Q53" s="91">
        <f t="shared" si="161"/>
        <v>8749.4821814748866</v>
      </c>
      <c r="R53" s="91">
        <f t="shared" si="161"/>
        <v>8836.9770032896358</v>
      </c>
      <c r="S53" s="91">
        <f t="shared" si="161"/>
        <v>8925.3467733225316</v>
      </c>
      <c r="T53" s="91">
        <f t="shared" si="161"/>
        <v>9014.6002410557576</v>
      </c>
      <c r="U53" s="91">
        <f t="shared" si="161"/>
        <v>9104.7462434663157</v>
      </c>
      <c r="V53" s="91">
        <f t="shared" si="161"/>
        <v>9195.7937059009782</v>
      </c>
      <c r="W53" s="91">
        <f t="shared" si="161"/>
        <v>9287.7516429599873</v>
      </c>
      <c r="X53" s="91">
        <f t="shared" si="161"/>
        <v>9380.6291593895876</v>
      </c>
      <c r="Y53" s="91">
        <f t="shared" si="161"/>
        <v>9474.435450983483</v>
      </c>
      <c r="Z53" s="91">
        <f t="shared" si="161"/>
        <v>9569.179805493317</v>
      </c>
      <c r="AA53" s="91">
        <f t="shared" si="161"/>
        <v>9664.8716035482503</v>
      </c>
    </row>
    <row r="54" spans="1:27" x14ac:dyDescent="0.35">
      <c r="B54" s="14"/>
      <c r="C54" s="20"/>
      <c r="D54" s="20"/>
      <c r="E54" s="20"/>
      <c r="F54" s="20"/>
      <c r="G54" s="18"/>
      <c r="H54" s="64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spans="1:27" x14ac:dyDescent="0.35">
      <c r="B55" s="1" t="s">
        <v>63</v>
      </c>
      <c r="C55" s="2"/>
      <c r="D55" s="2"/>
      <c r="E55" s="2"/>
      <c r="F55" s="2"/>
      <c r="G55" s="15"/>
      <c r="H55" s="16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x14ac:dyDescent="0.35">
      <c r="A56" t="s">
        <v>6</v>
      </c>
      <c r="B56" s="12" t="s">
        <v>2</v>
      </c>
      <c r="C56" s="12"/>
      <c r="D56" s="12"/>
      <c r="E56" s="12"/>
      <c r="F56" s="12"/>
      <c r="G56" s="27">
        <f t="shared" ref="G56" si="162">CHOOSE($D$2,G57,G58,G59)</f>
        <v>0</v>
      </c>
      <c r="H56" s="28">
        <f>CHOOSE($D$2,'P&amp;L'!C64,H58,H59)</f>
        <v>0.02</v>
      </c>
      <c r="I56" s="28">
        <f t="shared" ref="I56" si="163">CHOOSE($D$2,I57,I58,I59)</f>
        <v>0.02</v>
      </c>
      <c r="J56" s="28">
        <f t="shared" ref="J56" si="164">CHOOSE($D$2,J57,J58,J59)</f>
        <v>0.02</v>
      </c>
      <c r="K56" s="28">
        <f t="shared" ref="K56" si="165">CHOOSE($D$2,K57,K58,K59)</f>
        <v>0.02</v>
      </c>
      <c r="L56" s="28">
        <f t="shared" ref="L56" si="166">CHOOSE($D$2,L57,L58,L59)</f>
        <v>0.02</v>
      </c>
      <c r="M56" s="28">
        <f t="shared" ref="M56" si="167">CHOOSE($D$2,M57,M58,M59)</f>
        <v>0.02</v>
      </c>
      <c r="N56" s="28">
        <f t="shared" ref="N56" si="168">CHOOSE($D$2,N57,N58,N59)</f>
        <v>0.02</v>
      </c>
      <c r="O56" s="28">
        <f t="shared" ref="O56" si="169">CHOOSE($D$2,O57,O58,O59)</f>
        <v>0.02</v>
      </c>
      <c r="P56" s="28">
        <f t="shared" ref="P56" si="170">CHOOSE($D$2,P57,P58,P59)</f>
        <v>0.02</v>
      </c>
      <c r="Q56" s="28">
        <f t="shared" ref="Q56" si="171">CHOOSE($D$2,Q57,Q58,Q59)</f>
        <v>0.02</v>
      </c>
      <c r="R56" s="28">
        <f t="shared" ref="R56" si="172">CHOOSE($D$2,R57,R58,R59)</f>
        <v>0.02</v>
      </c>
      <c r="S56" s="28">
        <f t="shared" ref="S56" si="173">CHOOSE($D$2,S57,S58,S59)</f>
        <v>0.02</v>
      </c>
      <c r="T56" s="28">
        <f t="shared" ref="T56" si="174">CHOOSE($D$2,T57,T58,T59)</f>
        <v>0.02</v>
      </c>
      <c r="U56" s="28">
        <f t="shared" ref="U56" si="175">CHOOSE($D$2,U57,U58,U59)</f>
        <v>0.02</v>
      </c>
      <c r="V56" s="28">
        <f t="shared" ref="V56" si="176">CHOOSE($D$2,V57,V58,V59)</f>
        <v>0.02</v>
      </c>
      <c r="W56" s="28">
        <f t="shared" ref="W56" si="177">CHOOSE($D$2,W57,W58,W59)</f>
        <v>0.02</v>
      </c>
      <c r="X56" s="28">
        <f t="shared" ref="X56" si="178">CHOOSE($D$2,X57,X58,X59)</f>
        <v>0.02</v>
      </c>
      <c r="Y56" s="28">
        <f t="shared" ref="Y56" si="179">CHOOSE($D$2,Y57,Y58,Y59)</f>
        <v>0.02</v>
      </c>
      <c r="Z56" s="28">
        <f t="shared" ref="Z56" si="180">CHOOSE($D$2,Z57,Z58,Z59)</f>
        <v>0.02</v>
      </c>
      <c r="AA56" s="28">
        <f t="shared" ref="AA56" si="181">CHOOSE($D$2,AA57,AA58,AA59)</f>
        <v>0.02</v>
      </c>
    </row>
    <row r="57" spans="1:27" x14ac:dyDescent="0.35">
      <c r="B57" s="14" t="s">
        <v>3</v>
      </c>
      <c r="C57" s="2"/>
      <c r="D57" s="2"/>
      <c r="E57" s="2"/>
      <c r="F57" s="2"/>
      <c r="G57" s="29">
        <v>0</v>
      </c>
      <c r="I57" s="26">
        <f>'P&amp;L'!C64</f>
        <v>0.02</v>
      </c>
      <c r="J57" s="26">
        <f t="shared" ref="J57:L57" si="182">I57</f>
        <v>0.02</v>
      </c>
      <c r="K57" s="26">
        <f t="shared" si="182"/>
        <v>0.02</v>
      </c>
      <c r="L57" s="26">
        <f t="shared" si="182"/>
        <v>0.02</v>
      </c>
      <c r="M57" s="26">
        <f t="shared" ref="M57" si="183">L57</f>
        <v>0.02</v>
      </c>
      <c r="N57" s="26">
        <f t="shared" ref="N57" si="184">M57</f>
        <v>0.02</v>
      </c>
      <c r="O57" s="26">
        <f t="shared" ref="O57" si="185">N57</f>
        <v>0.02</v>
      </c>
      <c r="P57" s="26">
        <f t="shared" ref="P57" si="186">O57</f>
        <v>0.02</v>
      </c>
      <c r="Q57" s="26">
        <f t="shared" ref="Q57" si="187">P57</f>
        <v>0.02</v>
      </c>
      <c r="R57" s="26">
        <f t="shared" ref="R57" si="188">Q57</f>
        <v>0.02</v>
      </c>
      <c r="S57" s="26">
        <f t="shared" ref="S57" si="189">R57</f>
        <v>0.02</v>
      </c>
      <c r="T57" s="26">
        <f t="shared" ref="T57" si="190">S57</f>
        <v>0.02</v>
      </c>
      <c r="U57" s="26">
        <f t="shared" ref="U57" si="191">T57</f>
        <v>0.02</v>
      </c>
      <c r="V57" s="26">
        <f t="shared" ref="V57" si="192">U57</f>
        <v>0.02</v>
      </c>
      <c r="W57" s="26">
        <f t="shared" ref="W57" si="193">V57</f>
        <v>0.02</v>
      </c>
      <c r="X57" s="26">
        <f t="shared" ref="X57" si="194">W57</f>
        <v>0.02</v>
      </c>
      <c r="Y57" s="26">
        <f t="shared" ref="Y57" si="195">X57</f>
        <v>0.02</v>
      </c>
      <c r="Z57" s="26">
        <f t="shared" ref="Z57" si="196">Y57</f>
        <v>0.02</v>
      </c>
      <c r="AA57" s="26">
        <f t="shared" ref="AA57" si="197">Z57</f>
        <v>0.02</v>
      </c>
    </row>
    <row r="58" spans="1:27" x14ac:dyDescent="0.35">
      <c r="B58" s="14" t="s">
        <v>4</v>
      </c>
      <c r="C58" s="20"/>
      <c r="D58" s="20"/>
      <c r="E58" s="20"/>
      <c r="F58" s="20"/>
      <c r="G58" s="29">
        <v>0</v>
      </c>
      <c r="H58" s="26">
        <v>0.03</v>
      </c>
      <c r="I58" s="26">
        <f t="shared" ref="I58:AA58" si="198">H58</f>
        <v>0.03</v>
      </c>
      <c r="J58" s="26">
        <f t="shared" si="198"/>
        <v>0.03</v>
      </c>
      <c r="K58" s="26">
        <f t="shared" si="198"/>
        <v>0.03</v>
      </c>
      <c r="L58" s="26">
        <f t="shared" si="198"/>
        <v>0.03</v>
      </c>
      <c r="M58" s="26">
        <f t="shared" si="198"/>
        <v>0.03</v>
      </c>
      <c r="N58" s="26">
        <f t="shared" si="198"/>
        <v>0.03</v>
      </c>
      <c r="O58" s="26">
        <f t="shared" si="198"/>
        <v>0.03</v>
      </c>
      <c r="P58" s="26">
        <f t="shared" si="198"/>
        <v>0.03</v>
      </c>
      <c r="Q58" s="26">
        <f t="shared" si="198"/>
        <v>0.03</v>
      </c>
      <c r="R58" s="26">
        <f t="shared" si="198"/>
        <v>0.03</v>
      </c>
      <c r="S58" s="26">
        <f t="shared" si="198"/>
        <v>0.03</v>
      </c>
      <c r="T58" s="26">
        <f t="shared" si="198"/>
        <v>0.03</v>
      </c>
      <c r="U58" s="26">
        <f t="shared" si="198"/>
        <v>0.03</v>
      </c>
      <c r="V58" s="26">
        <f t="shared" si="198"/>
        <v>0.03</v>
      </c>
      <c r="W58" s="26">
        <f t="shared" si="198"/>
        <v>0.03</v>
      </c>
      <c r="X58" s="26">
        <f t="shared" si="198"/>
        <v>0.03</v>
      </c>
      <c r="Y58" s="26">
        <f t="shared" si="198"/>
        <v>0.03</v>
      </c>
      <c r="Z58" s="26">
        <f t="shared" si="198"/>
        <v>0.03</v>
      </c>
      <c r="AA58" s="26">
        <f t="shared" si="198"/>
        <v>0.03</v>
      </c>
    </row>
    <row r="59" spans="1:27" x14ac:dyDescent="0.35">
      <c r="B59" s="14" t="s">
        <v>5</v>
      </c>
      <c r="C59" s="20"/>
      <c r="D59" s="20"/>
      <c r="E59" s="20"/>
      <c r="F59" s="20"/>
      <c r="G59" s="29">
        <v>0</v>
      </c>
      <c r="H59" s="26">
        <v>0.01</v>
      </c>
      <c r="I59" s="26">
        <f t="shared" ref="I59:AA59" si="199">H59</f>
        <v>0.01</v>
      </c>
      <c r="J59" s="26">
        <f t="shared" si="199"/>
        <v>0.01</v>
      </c>
      <c r="K59" s="26">
        <f t="shared" si="199"/>
        <v>0.01</v>
      </c>
      <c r="L59" s="26">
        <f t="shared" si="199"/>
        <v>0.01</v>
      </c>
      <c r="M59" s="26">
        <f t="shared" si="199"/>
        <v>0.01</v>
      </c>
      <c r="N59" s="26">
        <f t="shared" si="199"/>
        <v>0.01</v>
      </c>
      <c r="O59" s="26">
        <f t="shared" si="199"/>
        <v>0.01</v>
      </c>
      <c r="P59" s="26">
        <f t="shared" si="199"/>
        <v>0.01</v>
      </c>
      <c r="Q59" s="26">
        <f t="shared" si="199"/>
        <v>0.01</v>
      </c>
      <c r="R59" s="26">
        <f t="shared" si="199"/>
        <v>0.01</v>
      </c>
      <c r="S59" s="26">
        <f t="shared" si="199"/>
        <v>0.01</v>
      </c>
      <c r="T59" s="26">
        <f t="shared" si="199"/>
        <v>0.01</v>
      </c>
      <c r="U59" s="26">
        <f t="shared" si="199"/>
        <v>0.01</v>
      </c>
      <c r="V59" s="26">
        <f t="shared" si="199"/>
        <v>0.01</v>
      </c>
      <c r="W59" s="26">
        <f t="shared" si="199"/>
        <v>0.01</v>
      </c>
      <c r="X59" s="26">
        <f t="shared" si="199"/>
        <v>0.01</v>
      </c>
      <c r="Y59" s="26">
        <f t="shared" si="199"/>
        <v>0.01</v>
      </c>
      <c r="Z59" s="26">
        <f t="shared" si="199"/>
        <v>0.01</v>
      </c>
      <c r="AA59" s="26">
        <f t="shared" si="199"/>
        <v>0.01</v>
      </c>
    </row>
    <row r="60" spans="1:27" x14ac:dyDescent="0.35">
      <c r="B60" s="14"/>
      <c r="C60" s="20"/>
      <c r="D60" s="20"/>
      <c r="E60" s="20"/>
      <c r="F60" s="20"/>
      <c r="G60" s="18"/>
      <c r="H60" s="64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spans="1:27" x14ac:dyDescent="0.35">
      <c r="B61" s="1" t="s">
        <v>44</v>
      </c>
      <c r="C61" s="20"/>
      <c r="D61" s="20"/>
      <c r="E61" s="20"/>
      <c r="F61" s="20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x14ac:dyDescent="0.35">
      <c r="A62" t="s">
        <v>6</v>
      </c>
      <c r="B62" s="12" t="s">
        <v>2</v>
      </c>
      <c r="C62" s="12"/>
      <c r="D62" s="12"/>
      <c r="E62" s="12"/>
      <c r="F62" s="12"/>
      <c r="G62" s="13">
        <f t="shared" ref="G62" si="200">CHOOSE($D$2,G63,G64,G65)</f>
        <v>0</v>
      </c>
      <c r="H62" s="12">
        <f t="shared" ref="H62" si="201">CHOOSE($D$2,H63,H64,H65)</f>
        <v>250</v>
      </c>
      <c r="I62" s="12">
        <f t="shared" ref="I62" si="202">CHOOSE($D$2,I63,I64,I65)</f>
        <v>250</v>
      </c>
      <c r="J62" s="12">
        <f t="shared" ref="J62" si="203">CHOOSE($D$2,J63,J64,J65)</f>
        <v>250</v>
      </c>
      <c r="K62" s="12">
        <f t="shared" ref="K62" si="204">CHOOSE($D$2,K63,K64,K65)</f>
        <v>250</v>
      </c>
      <c r="L62" s="12">
        <f t="shared" ref="L62" si="205">CHOOSE($D$2,L63,L64,L65)</f>
        <v>250</v>
      </c>
      <c r="M62" s="12">
        <f t="shared" ref="M62" si="206">CHOOSE($D$2,M63,M64,M65)</f>
        <v>250</v>
      </c>
      <c r="N62" s="12">
        <f t="shared" ref="N62" si="207">CHOOSE($D$2,N63,N64,N65)</f>
        <v>250</v>
      </c>
      <c r="O62" s="12">
        <f t="shared" ref="O62" si="208">CHOOSE($D$2,O63,O64,O65)</f>
        <v>250</v>
      </c>
      <c r="P62" s="12">
        <f t="shared" ref="P62" si="209">CHOOSE($D$2,P63,P64,P65)</f>
        <v>250</v>
      </c>
      <c r="Q62" s="12">
        <f t="shared" ref="Q62" si="210">CHOOSE($D$2,Q63,Q64,Q65)</f>
        <v>250</v>
      </c>
      <c r="R62" s="12">
        <f t="shared" ref="R62" si="211">CHOOSE($D$2,R63,R64,R65)</f>
        <v>250</v>
      </c>
      <c r="S62" s="12">
        <f t="shared" ref="S62" si="212">CHOOSE($D$2,S63,S64,S65)</f>
        <v>250</v>
      </c>
      <c r="T62" s="12">
        <f t="shared" ref="T62" si="213">CHOOSE($D$2,T63,T64,T65)</f>
        <v>250</v>
      </c>
      <c r="U62" s="12">
        <f t="shared" ref="U62" si="214">CHOOSE($D$2,U63,U64,U65)</f>
        <v>250</v>
      </c>
      <c r="V62" s="12">
        <f t="shared" ref="V62" si="215">CHOOSE($D$2,V63,V64,V65)</f>
        <v>250</v>
      </c>
      <c r="W62" s="12">
        <f t="shared" ref="W62" si="216">CHOOSE($D$2,W63,W64,W65)</f>
        <v>250</v>
      </c>
      <c r="X62" s="12">
        <f t="shared" ref="X62" si="217">CHOOSE($D$2,X63,X64,X65)</f>
        <v>250</v>
      </c>
      <c r="Y62" s="12">
        <f t="shared" ref="Y62" si="218">CHOOSE($D$2,Y63,Y64,Y65)</f>
        <v>250</v>
      </c>
      <c r="Z62" s="12">
        <f t="shared" ref="Z62" si="219">CHOOSE($D$2,Z63,Z64,Z65)</f>
        <v>250</v>
      </c>
      <c r="AA62" s="12">
        <f t="shared" ref="AA62" si="220">CHOOSE($D$2,AA63,AA64,AA65)</f>
        <v>250</v>
      </c>
    </row>
    <row r="63" spans="1:27" x14ac:dyDescent="0.35">
      <c r="B63" s="14" t="s">
        <v>3</v>
      </c>
      <c r="C63" s="2"/>
      <c r="D63" s="2"/>
      <c r="E63" s="2"/>
      <c r="F63" s="2"/>
      <c r="G63" s="18">
        <v>0</v>
      </c>
      <c r="H63" s="41">
        <f>Comps!$D$31</f>
        <v>250</v>
      </c>
      <c r="I63" s="41">
        <f>H63</f>
        <v>250</v>
      </c>
      <c r="J63" s="41">
        <f t="shared" ref="J63:AA63" si="221">I63</f>
        <v>250</v>
      </c>
      <c r="K63" s="41">
        <f t="shared" si="221"/>
        <v>250</v>
      </c>
      <c r="L63" s="41">
        <f t="shared" si="221"/>
        <v>250</v>
      </c>
      <c r="M63" s="41">
        <f t="shared" si="221"/>
        <v>250</v>
      </c>
      <c r="N63" s="41">
        <f t="shared" si="221"/>
        <v>250</v>
      </c>
      <c r="O63" s="41">
        <f t="shared" si="221"/>
        <v>250</v>
      </c>
      <c r="P63" s="41">
        <f t="shared" si="221"/>
        <v>250</v>
      </c>
      <c r="Q63" s="41">
        <f t="shared" si="221"/>
        <v>250</v>
      </c>
      <c r="R63" s="41">
        <f t="shared" si="221"/>
        <v>250</v>
      </c>
      <c r="S63" s="41">
        <f t="shared" si="221"/>
        <v>250</v>
      </c>
      <c r="T63" s="41">
        <f t="shared" si="221"/>
        <v>250</v>
      </c>
      <c r="U63" s="41">
        <f t="shared" si="221"/>
        <v>250</v>
      </c>
      <c r="V63" s="41">
        <f t="shared" si="221"/>
        <v>250</v>
      </c>
      <c r="W63" s="41">
        <f t="shared" si="221"/>
        <v>250</v>
      </c>
      <c r="X63" s="41">
        <f t="shared" si="221"/>
        <v>250</v>
      </c>
      <c r="Y63" s="41">
        <f t="shared" si="221"/>
        <v>250</v>
      </c>
      <c r="Z63" s="41">
        <f t="shared" si="221"/>
        <v>250</v>
      </c>
      <c r="AA63" s="41">
        <f t="shared" si="221"/>
        <v>250</v>
      </c>
    </row>
    <row r="64" spans="1:27" x14ac:dyDescent="0.35">
      <c r="B64" s="14" t="s">
        <v>4</v>
      </c>
      <c r="C64" s="20"/>
      <c r="D64" s="20"/>
      <c r="E64" s="20"/>
      <c r="F64" s="20"/>
      <c r="G64" s="18">
        <v>0</v>
      </c>
      <c r="H64" s="41">
        <v>325</v>
      </c>
      <c r="I64" s="41">
        <f t="shared" ref="I64:AA64" si="222">H64</f>
        <v>325</v>
      </c>
      <c r="J64" s="41">
        <f t="shared" si="222"/>
        <v>325</v>
      </c>
      <c r="K64" s="41">
        <f t="shared" si="222"/>
        <v>325</v>
      </c>
      <c r="L64" s="41">
        <f t="shared" si="222"/>
        <v>325</v>
      </c>
      <c r="M64" s="41">
        <f t="shared" si="222"/>
        <v>325</v>
      </c>
      <c r="N64" s="41">
        <f t="shared" si="222"/>
        <v>325</v>
      </c>
      <c r="O64" s="41">
        <f t="shared" si="222"/>
        <v>325</v>
      </c>
      <c r="P64" s="41">
        <f t="shared" si="222"/>
        <v>325</v>
      </c>
      <c r="Q64" s="41">
        <f t="shared" si="222"/>
        <v>325</v>
      </c>
      <c r="R64" s="41">
        <f t="shared" si="222"/>
        <v>325</v>
      </c>
      <c r="S64" s="41">
        <f t="shared" si="222"/>
        <v>325</v>
      </c>
      <c r="T64" s="41">
        <f t="shared" si="222"/>
        <v>325</v>
      </c>
      <c r="U64" s="41">
        <f t="shared" si="222"/>
        <v>325</v>
      </c>
      <c r="V64" s="41">
        <f t="shared" si="222"/>
        <v>325</v>
      </c>
      <c r="W64" s="41">
        <f t="shared" si="222"/>
        <v>325</v>
      </c>
      <c r="X64" s="41">
        <f t="shared" si="222"/>
        <v>325</v>
      </c>
      <c r="Y64" s="41">
        <f t="shared" si="222"/>
        <v>325</v>
      </c>
      <c r="Z64" s="41">
        <f t="shared" si="222"/>
        <v>325</v>
      </c>
      <c r="AA64" s="41">
        <f t="shared" si="222"/>
        <v>325</v>
      </c>
    </row>
    <row r="65" spans="1:27" x14ac:dyDescent="0.35">
      <c r="B65" s="14" t="s">
        <v>5</v>
      </c>
      <c r="C65" s="20"/>
      <c r="D65" s="20"/>
      <c r="E65" s="20"/>
      <c r="F65" s="20"/>
      <c r="G65" s="18">
        <v>0</v>
      </c>
      <c r="H65" s="41">
        <v>200</v>
      </c>
      <c r="I65" s="41">
        <f t="shared" ref="I65:AA65" si="223">H65</f>
        <v>200</v>
      </c>
      <c r="J65" s="41">
        <f t="shared" si="223"/>
        <v>200</v>
      </c>
      <c r="K65" s="41">
        <f t="shared" si="223"/>
        <v>200</v>
      </c>
      <c r="L65" s="41">
        <f t="shared" si="223"/>
        <v>200</v>
      </c>
      <c r="M65" s="41">
        <f t="shared" si="223"/>
        <v>200</v>
      </c>
      <c r="N65" s="41">
        <f t="shared" si="223"/>
        <v>200</v>
      </c>
      <c r="O65" s="41">
        <f t="shared" si="223"/>
        <v>200</v>
      </c>
      <c r="P65" s="41">
        <f t="shared" si="223"/>
        <v>200</v>
      </c>
      <c r="Q65" s="41">
        <f t="shared" si="223"/>
        <v>200</v>
      </c>
      <c r="R65" s="41">
        <f t="shared" si="223"/>
        <v>200</v>
      </c>
      <c r="S65" s="41">
        <f t="shared" si="223"/>
        <v>200</v>
      </c>
      <c r="T65" s="41">
        <f t="shared" si="223"/>
        <v>200</v>
      </c>
      <c r="U65" s="41">
        <f t="shared" si="223"/>
        <v>200</v>
      </c>
      <c r="V65" s="41">
        <f t="shared" si="223"/>
        <v>200</v>
      </c>
      <c r="W65" s="41">
        <f t="shared" si="223"/>
        <v>200</v>
      </c>
      <c r="X65" s="41">
        <f t="shared" si="223"/>
        <v>200</v>
      </c>
      <c r="Y65" s="41">
        <f t="shared" si="223"/>
        <v>200</v>
      </c>
      <c r="Z65" s="41">
        <f t="shared" si="223"/>
        <v>200</v>
      </c>
      <c r="AA65" s="41">
        <f t="shared" si="223"/>
        <v>200</v>
      </c>
    </row>
    <row r="66" spans="1:27" x14ac:dyDescent="0.35">
      <c r="B66" s="14"/>
      <c r="C66" s="20"/>
      <c r="D66" s="20"/>
      <c r="E66" s="20"/>
      <c r="F66" s="20"/>
      <c r="G66" s="29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8" spans="1:27" x14ac:dyDescent="0.35">
      <c r="B68" s="5" t="s">
        <v>8</v>
      </c>
      <c r="C68" s="5"/>
      <c r="D68" s="6"/>
      <c r="E68" s="6"/>
      <c r="F68" s="6"/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5">
      <c r="B69" s="14"/>
      <c r="C69" s="2"/>
      <c r="D69" s="2"/>
      <c r="E69" s="2"/>
      <c r="F69" s="2"/>
      <c r="G69" s="25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x14ac:dyDescent="0.35">
      <c r="B70" s="1" t="s">
        <v>34</v>
      </c>
      <c r="C70" s="2"/>
      <c r="D70" s="2"/>
      <c r="E70" s="2"/>
      <c r="F70" s="2"/>
      <c r="G70" s="25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x14ac:dyDescent="0.35">
      <c r="A71" t="s">
        <v>6</v>
      </c>
      <c r="B71" s="12" t="s">
        <v>2</v>
      </c>
      <c r="C71" s="12"/>
      <c r="D71" s="12"/>
      <c r="E71" s="12"/>
      <c r="F71" s="12"/>
      <c r="G71" s="27">
        <f t="shared" ref="G71" si="224">CHOOSE($D$2,G72,G73,G74)</f>
        <v>0</v>
      </c>
      <c r="H71" s="28">
        <f t="shared" ref="H71" si="225">CHOOSE($D$2,H72,H73,H74)</f>
        <v>0.78625616852029168</v>
      </c>
      <c r="I71" s="28">
        <f t="shared" ref="I71" si="226">CHOOSE($D$2,I72,I73,I74)</f>
        <v>0.78425616852029167</v>
      </c>
      <c r="J71" s="28">
        <f t="shared" ref="J71" si="227">CHOOSE($D$2,J72,J73,J74)</f>
        <v>0.78225616852029167</v>
      </c>
      <c r="K71" s="28">
        <f t="shared" ref="K71" si="228">CHOOSE($D$2,K72,K73,K74)</f>
        <v>0.78025616852029167</v>
      </c>
      <c r="L71" s="28">
        <f t="shared" ref="L71" si="229">CHOOSE($D$2,L72,L73,L74)</f>
        <v>0.77825616852029167</v>
      </c>
      <c r="M71" s="28">
        <f t="shared" ref="M71" si="230">CHOOSE($D$2,M72,M73,M74)</f>
        <v>0.77625616852029167</v>
      </c>
      <c r="N71" s="28">
        <f t="shared" ref="N71" si="231">CHOOSE($D$2,N72,N73,N74)</f>
        <v>0.77425616852029167</v>
      </c>
      <c r="O71" s="28">
        <f t="shared" ref="O71" si="232">CHOOSE($D$2,O72,O73,O74)</f>
        <v>0.77225616852029166</v>
      </c>
      <c r="P71" s="28">
        <f t="shared" ref="P71" si="233">CHOOSE($D$2,P72,P73,P74)</f>
        <v>0.77025616852029166</v>
      </c>
      <c r="Q71" s="28">
        <f t="shared" ref="Q71" si="234">CHOOSE($D$2,Q72,Q73,Q74)</f>
        <v>0.76825616852029166</v>
      </c>
      <c r="R71" s="28">
        <f t="shared" ref="R71" si="235">CHOOSE($D$2,R72,R73,R74)</f>
        <v>0.76625616852029166</v>
      </c>
      <c r="S71" s="28">
        <f t="shared" ref="S71" si="236">CHOOSE($D$2,S72,S73,S74)</f>
        <v>0.76425616852029166</v>
      </c>
      <c r="T71" s="28">
        <f t="shared" ref="T71" si="237">CHOOSE($D$2,T72,T73,T74)</f>
        <v>0.76225616852029165</v>
      </c>
      <c r="U71" s="28">
        <f t="shared" ref="U71" si="238">CHOOSE($D$2,U72,U73,U74)</f>
        <v>0.76025616852029165</v>
      </c>
      <c r="V71" s="28">
        <f t="shared" ref="V71" si="239">CHOOSE($D$2,V72,V73,V74)</f>
        <v>0.75825616852029165</v>
      </c>
      <c r="W71" s="28">
        <f t="shared" ref="W71" si="240">CHOOSE($D$2,W72,W73,W74)</f>
        <v>0.75625616852029165</v>
      </c>
      <c r="X71" s="28">
        <f t="shared" ref="X71" si="241">CHOOSE($D$2,X72,X73,X74)</f>
        <v>0.75425616852029165</v>
      </c>
      <c r="Y71" s="28">
        <f t="shared" ref="Y71" si="242">CHOOSE($D$2,Y72,Y73,Y74)</f>
        <v>0.75225616852029165</v>
      </c>
      <c r="Z71" s="28">
        <f t="shared" ref="Z71" si="243">CHOOSE($D$2,Z72,Z73,Z74)</f>
        <v>0.75025616852029164</v>
      </c>
      <c r="AA71" s="28">
        <f t="shared" ref="AA71" si="244">CHOOSE($D$2,AA72,AA73,AA74)</f>
        <v>0.74825616852029164</v>
      </c>
    </row>
    <row r="72" spans="1:27" x14ac:dyDescent="0.35">
      <c r="B72" s="14" t="s">
        <v>3</v>
      </c>
      <c r="C72" s="2"/>
      <c r="D72" s="2"/>
      <c r="E72" s="2"/>
      <c r="F72" s="2"/>
      <c r="G72" s="29">
        <v>0</v>
      </c>
      <c r="H72" s="60">
        <f>Comps!J18</f>
        <v>0.78625616852029168</v>
      </c>
      <c r="I72" s="26">
        <f>H72-0.002</f>
        <v>0.78425616852029167</v>
      </c>
      <c r="J72" s="26">
        <f t="shared" ref="J72:AA72" si="245">I72-0.002</f>
        <v>0.78225616852029167</v>
      </c>
      <c r="K72" s="26">
        <f t="shared" si="245"/>
        <v>0.78025616852029167</v>
      </c>
      <c r="L72" s="26">
        <f t="shared" si="245"/>
        <v>0.77825616852029167</v>
      </c>
      <c r="M72" s="26">
        <f t="shared" si="245"/>
        <v>0.77625616852029167</v>
      </c>
      <c r="N72" s="26">
        <f t="shared" si="245"/>
        <v>0.77425616852029167</v>
      </c>
      <c r="O72" s="26">
        <f t="shared" si="245"/>
        <v>0.77225616852029166</v>
      </c>
      <c r="P72" s="26">
        <f t="shared" si="245"/>
        <v>0.77025616852029166</v>
      </c>
      <c r="Q72" s="26">
        <f t="shared" si="245"/>
        <v>0.76825616852029166</v>
      </c>
      <c r="R72" s="26">
        <f t="shared" si="245"/>
        <v>0.76625616852029166</v>
      </c>
      <c r="S72" s="26">
        <f t="shared" si="245"/>
        <v>0.76425616852029166</v>
      </c>
      <c r="T72" s="26">
        <f t="shared" si="245"/>
        <v>0.76225616852029165</v>
      </c>
      <c r="U72" s="26">
        <f t="shared" si="245"/>
        <v>0.76025616852029165</v>
      </c>
      <c r="V72" s="26">
        <f t="shared" si="245"/>
        <v>0.75825616852029165</v>
      </c>
      <c r="W72" s="26">
        <f t="shared" si="245"/>
        <v>0.75625616852029165</v>
      </c>
      <c r="X72" s="26">
        <f t="shared" si="245"/>
        <v>0.75425616852029165</v>
      </c>
      <c r="Y72" s="26">
        <f t="shared" si="245"/>
        <v>0.75225616852029165</v>
      </c>
      <c r="Z72" s="26">
        <f t="shared" si="245"/>
        <v>0.75025616852029164</v>
      </c>
      <c r="AA72" s="26">
        <f t="shared" si="245"/>
        <v>0.74825616852029164</v>
      </c>
    </row>
    <row r="73" spans="1:27" x14ac:dyDescent="0.35">
      <c r="B73" s="14" t="s">
        <v>4</v>
      </c>
      <c r="C73" s="2"/>
      <c r="D73" s="2"/>
      <c r="E73" s="2"/>
      <c r="F73" s="2"/>
      <c r="G73" s="29">
        <v>0</v>
      </c>
      <c r="H73" s="30">
        <v>0.65</v>
      </c>
      <c r="I73" s="26">
        <f t="shared" ref="I73:AA73" si="246">H73-0.002</f>
        <v>0.64800000000000002</v>
      </c>
      <c r="J73" s="26">
        <f t="shared" si="246"/>
        <v>0.64600000000000002</v>
      </c>
      <c r="K73" s="26">
        <f t="shared" si="246"/>
        <v>0.64400000000000002</v>
      </c>
      <c r="L73" s="26">
        <f t="shared" si="246"/>
        <v>0.64200000000000002</v>
      </c>
      <c r="M73" s="26">
        <f t="shared" si="246"/>
        <v>0.64</v>
      </c>
      <c r="N73" s="26">
        <f t="shared" si="246"/>
        <v>0.63800000000000001</v>
      </c>
      <c r="O73" s="26">
        <f t="shared" si="246"/>
        <v>0.63600000000000001</v>
      </c>
      <c r="P73" s="26">
        <f t="shared" si="246"/>
        <v>0.63400000000000001</v>
      </c>
      <c r="Q73" s="26">
        <f t="shared" si="246"/>
        <v>0.63200000000000001</v>
      </c>
      <c r="R73" s="26">
        <f t="shared" si="246"/>
        <v>0.63</v>
      </c>
      <c r="S73" s="26">
        <f t="shared" si="246"/>
        <v>0.628</v>
      </c>
      <c r="T73" s="26">
        <f t="shared" si="246"/>
        <v>0.626</v>
      </c>
      <c r="U73" s="26">
        <f t="shared" si="246"/>
        <v>0.624</v>
      </c>
      <c r="V73" s="26">
        <f t="shared" si="246"/>
        <v>0.622</v>
      </c>
      <c r="W73" s="26">
        <f t="shared" si="246"/>
        <v>0.62</v>
      </c>
      <c r="X73" s="26">
        <f t="shared" si="246"/>
        <v>0.61799999999999999</v>
      </c>
      <c r="Y73" s="26">
        <f t="shared" si="246"/>
        <v>0.61599999999999999</v>
      </c>
      <c r="Z73" s="26">
        <f t="shared" si="246"/>
        <v>0.61399999999999999</v>
      </c>
      <c r="AA73" s="26">
        <f t="shared" si="246"/>
        <v>0.61199999999999999</v>
      </c>
    </row>
    <row r="74" spans="1:27" x14ac:dyDescent="0.35">
      <c r="B74" s="14" t="s">
        <v>5</v>
      </c>
      <c r="C74" s="2"/>
      <c r="D74" s="2"/>
      <c r="E74" s="2"/>
      <c r="F74" s="2"/>
      <c r="G74" s="29">
        <v>0</v>
      </c>
      <c r="H74" s="30">
        <v>0.85</v>
      </c>
      <c r="I74" s="26">
        <f t="shared" ref="I74:AA74" si="247">H74-0.002</f>
        <v>0.84799999999999998</v>
      </c>
      <c r="J74" s="26">
        <f t="shared" si="247"/>
        <v>0.84599999999999997</v>
      </c>
      <c r="K74" s="26">
        <f t="shared" si="247"/>
        <v>0.84399999999999997</v>
      </c>
      <c r="L74" s="26">
        <f t="shared" si="247"/>
        <v>0.84199999999999997</v>
      </c>
      <c r="M74" s="26">
        <f t="shared" si="247"/>
        <v>0.84</v>
      </c>
      <c r="N74" s="26">
        <f t="shared" si="247"/>
        <v>0.83799999999999997</v>
      </c>
      <c r="O74" s="26">
        <f t="shared" si="247"/>
        <v>0.83599999999999997</v>
      </c>
      <c r="P74" s="26">
        <f t="shared" si="247"/>
        <v>0.83399999999999996</v>
      </c>
      <c r="Q74" s="26">
        <f t="shared" si="247"/>
        <v>0.83199999999999996</v>
      </c>
      <c r="R74" s="26">
        <f t="shared" si="247"/>
        <v>0.83</v>
      </c>
      <c r="S74" s="26">
        <f t="shared" si="247"/>
        <v>0.82799999999999996</v>
      </c>
      <c r="T74" s="26">
        <f t="shared" si="247"/>
        <v>0.82599999999999996</v>
      </c>
      <c r="U74" s="26">
        <f t="shared" si="247"/>
        <v>0.82399999999999995</v>
      </c>
      <c r="V74" s="26">
        <f t="shared" si="247"/>
        <v>0.82199999999999995</v>
      </c>
      <c r="W74" s="26">
        <f t="shared" si="247"/>
        <v>0.82</v>
      </c>
      <c r="X74" s="26">
        <f t="shared" si="247"/>
        <v>0.81799999999999995</v>
      </c>
      <c r="Y74" s="26">
        <f t="shared" si="247"/>
        <v>0.81599999999999995</v>
      </c>
      <c r="Z74" s="26">
        <f t="shared" si="247"/>
        <v>0.81399999999999995</v>
      </c>
      <c r="AA74" s="26">
        <f t="shared" si="247"/>
        <v>0.81199999999999994</v>
      </c>
    </row>
    <row r="75" spans="1:27" x14ac:dyDescent="0.35">
      <c r="B75" s="14"/>
      <c r="C75" s="2"/>
      <c r="D75" s="2"/>
      <c r="E75" s="2"/>
      <c r="F75" s="2"/>
      <c r="G75" s="29"/>
      <c r="H75" s="30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x14ac:dyDescent="0.35">
      <c r="B76" s="1"/>
      <c r="C76" s="2"/>
      <c r="D76" s="2"/>
      <c r="E76" s="2"/>
      <c r="F76" s="2"/>
      <c r="G76" s="25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x14ac:dyDescent="0.35">
      <c r="E77" s="2"/>
      <c r="F77" s="2"/>
      <c r="G77" s="25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x14ac:dyDescent="0.35">
      <c r="E78" s="2"/>
      <c r="F78" s="2"/>
      <c r="G78" s="25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x14ac:dyDescent="0.35">
      <c r="B79" s="1"/>
      <c r="C79" s="2"/>
      <c r="D79" s="2"/>
      <c r="E79" s="2"/>
      <c r="F79" s="2"/>
      <c r="G79" s="25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5218-90E0-4DE0-A98A-035173A2888C}">
  <sheetPr>
    <tabColor theme="9" tint="0.79998168889431442"/>
  </sheetPr>
  <dimension ref="B1:Q80"/>
  <sheetViews>
    <sheetView showGridLines="0" zoomScale="71" workbookViewId="0">
      <selection activeCell="G84" sqref="G84"/>
    </sheetView>
  </sheetViews>
  <sheetFormatPr defaultRowHeight="12.5" outlineLevelRow="1" x14ac:dyDescent="0.25"/>
  <cols>
    <col min="1" max="1" width="8.7265625" style="93"/>
    <col min="2" max="2" width="29.36328125" style="93" customWidth="1"/>
    <col min="3" max="3" width="24.1796875" style="93" bestFit="1" customWidth="1"/>
    <col min="4" max="4" width="15" style="93" bestFit="1" customWidth="1"/>
    <col min="5" max="5" width="15.7265625" style="93" bestFit="1" customWidth="1"/>
    <col min="6" max="11" width="14.26953125" style="93" customWidth="1"/>
    <col min="12" max="16384" width="8.7265625" style="93"/>
  </cols>
  <sheetData>
    <row r="1" spans="2:11" ht="13" x14ac:dyDescent="0.3">
      <c r="B1" s="21"/>
    </row>
    <row r="2" spans="2:11" ht="13" x14ac:dyDescent="0.3">
      <c r="B2" s="35" t="s">
        <v>47</v>
      </c>
      <c r="C2" s="36"/>
      <c r="D2" s="36"/>
      <c r="E2" s="36"/>
      <c r="F2" s="51" t="s">
        <v>13</v>
      </c>
      <c r="G2" s="51" t="s">
        <v>14</v>
      </c>
      <c r="H2" s="51" t="s">
        <v>15</v>
      </c>
      <c r="I2" s="51" t="s">
        <v>16</v>
      </c>
      <c r="J2" s="51" t="s">
        <v>17</v>
      </c>
      <c r="K2" s="51" t="s">
        <v>18</v>
      </c>
    </row>
    <row r="3" spans="2:11" ht="13" x14ac:dyDescent="0.3">
      <c r="B3" s="44" t="s">
        <v>56</v>
      </c>
      <c r="J3" s="130"/>
      <c r="K3" s="131"/>
    </row>
    <row r="4" spans="2:11" x14ac:dyDescent="0.25">
      <c r="B4" s="126" t="s">
        <v>36</v>
      </c>
      <c r="D4" s="127"/>
      <c r="E4" s="16"/>
      <c r="F4" s="16">
        <v>894.7</v>
      </c>
      <c r="G4" s="46" t="s">
        <v>12</v>
      </c>
      <c r="H4" s="16">
        <v>10423</v>
      </c>
      <c r="I4" s="16">
        <v>743.7</v>
      </c>
      <c r="J4" s="132">
        <f>IFERROR(MEDIAN(F4:I4),"")</f>
        <v>894.7</v>
      </c>
      <c r="K4" s="133">
        <f>IFERROR(AVERAGE(F4:I4),"")</f>
        <v>4020.4666666666672</v>
      </c>
    </row>
    <row r="5" spans="2:11" x14ac:dyDescent="0.25">
      <c r="B5" s="126" t="s">
        <v>52</v>
      </c>
      <c r="D5" s="127"/>
      <c r="E5" s="16"/>
      <c r="F5" s="16">
        <v>613.9</v>
      </c>
      <c r="G5" s="46" t="s">
        <v>12</v>
      </c>
      <c r="H5" s="46" t="s">
        <v>12</v>
      </c>
      <c r="I5" s="16">
        <v>614</v>
      </c>
      <c r="J5" s="132">
        <f t="shared" ref="J5:J29" si="0">IFERROR(MEDIAN(F5:I5),"")</f>
        <v>613.95000000000005</v>
      </c>
      <c r="K5" s="133">
        <f t="shared" ref="K5:K29" si="1">IFERROR(AVERAGE(F5:I5),"")</f>
        <v>613.95000000000005</v>
      </c>
    </row>
    <row r="6" spans="2:11" x14ac:dyDescent="0.25">
      <c r="B6" s="126" t="s">
        <v>22</v>
      </c>
      <c r="D6" s="127"/>
      <c r="E6" s="16"/>
      <c r="F6" s="45">
        <f>SUM(F4:F5)</f>
        <v>1508.6</v>
      </c>
      <c r="G6" s="16">
        <v>8947</v>
      </c>
      <c r="H6" s="45">
        <f t="shared" ref="H6:I6" si="2">SUM(H4:H5)</f>
        <v>10423</v>
      </c>
      <c r="I6" s="45">
        <f t="shared" si="2"/>
        <v>1357.7</v>
      </c>
      <c r="J6" s="132">
        <f t="shared" si="0"/>
        <v>5227.7999999999993</v>
      </c>
      <c r="K6" s="133">
        <f t="shared" si="1"/>
        <v>5559.0749999999998</v>
      </c>
    </row>
    <row r="7" spans="2:11" x14ac:dyDescent="0.25">
      <c r="B7" s="126" t="s">
        <v>37</v>
      </c>
      <c r="D7" s="127"/>
      <c r="E7" s="16"/>
      <c r="F7" s="16">
        <v>160</v>
      </c>
      <c r="G7" s="46" t="s">
        <v>12</v>
      </c>
      <c r="H7" s="46" t="s">
        <v>12</v>
      </c>
      <c r="I7" s="16">
        <v>110.4</v>
      </c>
      <c r="J7" s="132"/>
      <c r="K7" s="133"/>
    </row>
    <row r="8" spans="2:11" x14ac:dyDescent="0.25">
      <c r="B8" s="126" t="s">
        <v>53</v>
      </c>
      <c r="D8" s="127"/>
      <c r="E8" s="16"/>
      <c r="F8" s="16">
        <v>306.2</v>
      </c>
      <c r="G8" s="16">
        <v>3345</v>
      </c>
      <c r="H8" s="46" t="s">
        <v>12</v>
      </c>
      <c r="I8" s="16">
        <v>290.2</v>
      </c>
      <c r="J8" s="132">
        <f t="shared" si="0"/>
        <v>306.2</v>
      </c>
      <c r="K8" s="133">
        <f t="shared" si="1"/>
        <v>1313.8</v>
      </c>
    </row>
    <row r="9" spans="2:11" x14ac:dyDescent="0.25">
      <c r="B9" s="126" t="s">
        <v>19</v>
      </c>
      <c r="F9" s="16">
        <v>220.4</v>
      </c>
      <c r="G9" s="46" t="s">
        <v>12</v>
      </c>
      <c r="H9" s="46" t="s">
        <v>12</v>
      </c>
      <c r="I9" s="38">
        <v>171.8</v>
      </c>
      <c r="J9" s="132">
        <f t="shared" si="0"/>
        <v>196.10000000000002</v>
      </c>
      <c r="K9" s="133">
        <f t="shared" si="1"/>
        <v>196.10000000000002</v>
      </c>
    </row>
    <row r="10" spans="2:11" x14ac:dyDescent="0.25">
      <c r="B10" s="126" t="s">
        <v>38</v>
      </c>
      <c r="F10" s="16">
        <v>158</v>
      </c>
      <c r="G10" s="46" t="s">
        <v>12</v>
      </c>
      <c r="H10" s="46" t="s">
        <v>12</v>
      </c>
      <c r="I10" s="38">
        <v>115.1</v>
      </c>
      <c r="J10" s="132">
        <f t="shared" si="0"/>
        <v>136.55000000000001</v>
      </c>
      <c r="K10" s="133">
        <f t="shared" si="1"/>
        <v>136.55000000000001</v>
      </c>
    </row>
    <row r="11" spans="2:11" x14ac:dyDescent="0.25">
      <c r="B11" s="126"/>
      <c r="F11" s="16"/>
      <c r="G11" s="16"/>
      <c r="H11" s="16"/>
      <c r="I11" s="38"/>
      <c r="J11" s="132"/>
      <c r="K11" s="133"/>
    </row>
    <row r="12" spans="2:11" ht="13" x14ac:dyDescent="0.3">
      <c r="B12" s="44" t="s">
        <v>145</v>
      </c>
      <c r="F12" s="16"/>
      <c r="G12" s="16"/>
      <c r="H12" s="16"/>
      <c r="I12" s="38"/>
      <c r="J12" s="132"/>
      <c r="K12" s="133"/>
    </row>
    <row r="13" spans="2:11" ht="13" x14ac:dyDescent="0.3">
      <c r="B13" s="42" t="s">
        <v>39</v>
      </c>
      <c r="F13" s="47">
        <f>IFERROR(F4/F$6,"")</f>
        <v>0.59306641919660619</v>
      </c>
      <c r="G13" s="47" t="str">
        <f t="shared" ref="G13:I13" si="3">IFERROR(G4/G$6,"")</f>
        <v/>
      </c>
      <c r="H13" s="47">
        <f t="shared" si="3"/>
        <v>1</v>
      </c>
      <c r="I13" s="47">
        <f t="shared" si="3"/>
        <v>0.54776460190027254</v>
      </c>
      <c r="J13" s="134">
        <f t="shared" si="0"/>
        <v>0.59306641919660619</v>
      </c>
      <c r="K13" s="135">
        <f t="shared" si="1"/>
        <v>0.71361034036562632</v>
      </c>
    </row>
    <row r="14" spans="2:11" ht="13" x14ac:dyDescent="0.3">
      <c r="B14" s="42" t="s">
        <v>40</v>
      </c>
      <c r="F14" s="47">
        <f t="shared" ref="F14:I14" si="4">IFERROR(F5/F$6,"")</f>
        <v>0.40693358080339387</v>
      </c>
      <c r="G14" s="47" t="str">
        <f t="shared" si="4"/>
        <v/>
      </c>
      <c r="H14" s="47" t="str">
        <f t="shared" si="4"/>
        <v/>
      </c>
      <c r="I14" s="47">
        <f t="shared" si="4"/>
        <v>0.45223539809972746</v>
      </c>
      <c r="J14" s="134">
        <f t="shared" si="0"/>
        <v>0.42958448945156069</v>
      </c>
      <c r="K14" s="135">
        <f t="shared" si="1"/>
        <v>0.42958448945156069</v>
      </c>
    </row>
    <row r="15" spans="2:11" ht="13" x14ac:dyDescent="0.3">
      <c r="B15" s="42" t="s">
        <v>9</v>
      </c>
      <c r="F15" s="47">
        <f>IFERROR(F7/F$6,"")</f>
        <v>0.10605859737504972</v>
      </c>
      <c r="G15" s="47" t="str">
        <f t="shared" ref="G15:I15" si="5">IFERROR(G7/G$6,"")</f>
        <v/>
      </c>
      <c r="H15" s="47" t="str">
        <f t="shared" si="5"/>
        <v/>
      </c>
      <c r="I15" s="47">
        <f t="shared" si="5"/>
        <v>8.1313986889592696E-2</v>
      </c>
      <c r="J15" s="134">
        <f t="shared" ref="J15" si="6">IFERROR(MEDIAN(F15:I15),"")</f>
        <v>9.3686292132321214E-2</v>
      </c>
      <c r="K15" s="135">
        <f t="shared" ref="K15" si="7">IFERROR(AVERAGE(F15:I15),"")</f>
        <v>9.3686292132321214E-2</v>
      </c>
    </row>
    <row r="16" spans="2:11" ht="13" x14ac:dyDescent="0.3">
      <c r="B16" s="42" t="s">
        <v>41</v>
      </c>
      <c r="F16" s="47">
        <f>IFERROR(1-F7/$F$6,"")</f>
        <v>0.89394140262495025</v>
      </c>
      <c r="G16" s="47" t="str">
        <f t="shared" ref="G16:I16" si="8">IFERROR(1-G7/$F$6,"")</f>
        <v/>
      </c>
      <c r="H16" s="47" t="str">
        <f t="shared" si="8"/>
        <v/>
      </c>
      <c r="I16" s="47">
        <f t="shared" si="8"/>
        <v>0.92681956781121566</v>
      </c>
      <c r="J16" s="134">
        <f t="shared" si="0"/>
        <v>0.91038048521808301</v>
      </c>
      <c r="K16" s="135">
        <f t="shared" si="1"/>
        <v>0.91038048521808301</v>
      </c>
    </row>
    <row r="17" spans="2:11" ht="13" x14ac:dyDescent="0.3">
      <c r="B17" s="42" t="s">
        <v>54</v>
      </c>
      <c r="F17" s="47">
        <f>IFERROR(F8/F$6,"")</f>
        <v>0.20296964072650139</v>
      </c>
      <c r="G17" s="47">
        <f t="shared" ref="G17:I17" si="9">IFERROR(G8/G$6,"")</f>
        <v>0.37386833575500167</v>
      </c>
      <c r="H17" s="47" t="str">
        <f t="shared" si="9"/>
        <v/>
      </c>
      <c r="I17" s="47">
        <f t="shared" si="9"/>
        <v>0.21374383147970832</v>
      </c>
      <c r="J17" s="134">
        <f t="shared" si="0"/>
        <v>0.21374383147970832</v>
      </c>
      <c r="K17" s="135">
        <f t="shared" si="1"/>
        <v>0.26352726932040377</v>
      </c>
    </row>
    <row r="18" spans="2:11" ht="13" x14ac:dyDescent="0.3">
      <c r="B18" s="42" t="s">
        <v>34</v>
      </c>
      <c r="F18" s="47">
        <f>IFERROR(1-F17,"")</f>
        <v>0.79703035927349863</v>
      </c>
      <c r="G18" s="47">
        <f t="shared" ref="G18:I18" si="10">IFERROR(1-G17,"")</f>
        <v>0.62613166424499833</v>
      </c>
      <c r="H18" s="47" t="str">
        <f t="shared" si="10"/>
        <v/>
      </c>
      <c r="I18" s="47">
        <f t="shared" si="10"/>
        <v>0.78625616852029168</v>
      </c>
      <c r="J18" s="134">
        <f t="shared" ref="J18" si="11">IFERROR(MEDIAN(F18:I18),"")</f>
        <v>0.78625616852029168</v>
      </c>
      <c r="K18" s="135">
        <f t="shared" ref="K18" si="12">IFERROR(AVERAGE(F18:I18),"")</f>
        <v>0.73647273067959629</v>
      </c>
    </row>
    <row r="19" spans="2:11" ht="13" x14ac:dyDescent="0.3">
      <c r="B19" s="42" t="s">
        <v>35</v>
      </c>
      <c r="F19" s="47">
        <f>IFERROR(F9/F$6,"")</f>
        <v>0.146095717884131</v>
      </c>
      <c r="G19" s="47" t="str">
        <f t="shared" ref="G19:I19" si="13">IFERROR(G9/G$6,"")</f>
        <v/>
      </c>
      <c r="H19" s="47" t="str">
        <f t="shared" si="13"/>
        <v/>
      </c>
      <c r="I19" s="47">
        <f t="shared" si="13"/>
        <v>0.12653752669956544</v>
      </c>
      <c r="J19" s="134">
        <f t="shared" si="0"/>
        <v>0.13631662229184821</v>
      </c>
      <c r="K19" s="135">
        <f t="shared" si="1"/>
        <v>0.13631662229184821</v>
      </c>
    </row>
    <row r="20" spans="2:11" ht="13" x14ac:dyDescent="0.3">
      <c r="B20" s="42" t="s">
        <v>20</v>
      </c>
      <c r="F20" s="47">
        <f t="shared" ref="F20:I20" si="14">IFERROR(F10/F$6,"")</f>
        <v>0.1047328649078616</v>
      </c>
      <c r="G20" s="47" t="str">
        <f t="shared" si="14"/>
        <v/>
      </c>
      <c r="H20" s="47" t="str">
        <f t="shared" si="14"/>
        <v/>
      </c>
      <c r="I20" s="47">
        <f t="shared" si="14"/>
        <v>8.4775723650290929E-2</v>
      </c>
      <c r="J20" s="134">
        <f t="shared" ref="J20" si="15">IFERROR(MEDIAN(F20:I20),"")</f>
        <v>9.4754294279076265E-2</v>
      </c>
      <c r="K20" s="135">
        <f t="shared" ref="K20" si="16">IFERROR(AVERAGE(F20:I20),"")</f>
        <v>9.4754294279076265E-2</v>
      </c>
    </row>
    <row r="21" spans="2:11" x14ac:dyDescent="0.25">
      <c r="B21" s="126"/>
      <c r="F21" s="16"/>
      <c r="G21" s="16"/>
      <c r="H21" s="16"/>
      <c r="I21" s="38"/>
      <c r="J21" s="132"/>
      <c r="K21" s="133"/>
    </row>
    <row r="22" spans="2:11" ht="13" x14ac:dyDescent="0.3">
      <c r="B22" s="48" t="s">
        <v>146</v>
      </c>
      <c r="F22" s="16"/>
      <c r="G22" s="16"/>
      <c r="H22" s="16"/>
      <c r="I22" s="38"/>
      <c r="J22" s="132"/>
      <c r="K22" s="133"/>
    </row>
    <row r="23" spans="2:11" x14ac:dyDescent="0.25">
      <c r="B23" s="126" t="s">
        <v>57</v>
      </c>
      <c r="F23" s="53">
        <v>26.664999999999999</v>
      </c>
      <c r="G23" s="59" t="s">
        <v>12</v>
      </c>
      <c r="H23" s="59" t="s">
        <v>12</v>
      </c>
      <c r="I23" s="52">
        <v>22.245000000000001</v>
      </c>
      <c r="J23" s="136">
        <f t="shared" ref="J23:J25" si="17">IFERROR(MEDIAN(F23:I23),"")</f>
        <v>24.454999999999998</v>
      </c>
      <c r="K23" s="137">
        <f t="shared" ref="K23:K25" si="18">IFERROR(AVERAGE(F23:I23),"")</f>
        <v>24.454999999999998</v>
      </c>
    </row>
    <row r="24" spans="2:11" x14ac:dyDescent="0.25">
      <c r="B24" s="126" t="s">
        <v>55</v>
      </c>
      <c r="F24" s="16">
        <v>15</v>
      </c>
      <c r="G24" s="16">
        <v>5</v>
      </c>
      <c r="H24" s="46">
        <v>12</v>
      </c>
      <c r="I24" s="38">
        <v>27</v>
      </c>
      <c r="J24" s="132">
        <f t="shared" si="17"/>
        <v>13.5</v>
      </c>
      <c r="K24" s="133">
        <f t="shared" si="18"/>
        <v>14.75</v>
      </c>
    </row>
    <row r="25" spans="2:11" x14ac:dyDescent="0.25">
      <c r="B25" s="126" t="s">
        <v>58</v>
      </c>
      <c r="F25" s="54">
        <f t="shared" ref="F25:H25" si="19">IFERROR(F23/F24,"")</f>
        <v>1.7776666666666665</v>
      </c>
      <c r="G25" s="54" t="str">
        <f t="shared" si="19"/>
        <v/>
      </c>
      <c r="H25" s="54" t="str">
        <f t="shared" si="19"/>
        <v/>
      </c>
      <c r="I25" s="55">
        <f>IFERROR(I23/I24,"")</f>
        <v>0.82388888888888889</v>
      </c>
      <c r="J25" s="136">
        <f t="shared" si="17"/>
        <v>1.3007777777777778</v>
      </c>
      <c r="K25" s="137">
        <f t="shared" si="18"/>
        <v>1.3007777777777778</v>
      </c>
    </row>
    <row r="26" spans="2:11" x14ac:dyDescent="0.25">
      <c r="B26" s="126" t="s">
        <v>48</v>
      </c>
      <c r="F26" s="50"/>
      <c r="G26" s="16"/>
      <c r="H26" s="16"/>
      <c r="I26" s="56">
        <v>33.43</v>
      </c>
      <c r="J26" s="138">
        <f t="shared" si="0"/>
        <v>33.43</v>
      </c>
      <c r="K26" s="139">
        <f t="shared" si="1"/>
        <v>33.43</v>
      </c>
    </row>
    <row r="27" spans="2:11" x14ac:dyDescent="0.25">
      <c r="B27" s="126" t="s">
        <v>49</v>
      </c>
      <c r="F27" s="50">
        <v>61.05</v>
      </c>
      <c r="G27" s="16"/>
      <c r="H27" s="16"/>
      <c r="I27" s="56">
        <v>27.6</v>
      </c>
      <c r="J27" s="138">
        <f t="shared" si="0"/>
        <v>44.325000000000003</v>
      </c>
      <c r="K27" s="139">
        <f t="shared" si="1"/>
        <v>44.325000000000003</v>
      </c>
    </row>
    <row r="28" spans="2:11" ht="13" x14ac:dyDescent="0.3">
      <c r="B28" s="201" t="s">
        <v>196</v>
      </c>
      <c r="F28" s="202">
        <f>(61.05-61.65)/61.05</f>
        <v>-9.8280098280098521E-3</v>
      </c>
      <c r="G28" s="16"/>
      <c r="H28" s="16"/>
      <c r="I28" s="203">
        <v>-0.01</v>
      </c>
      <c r="J28" s="138"/>
      <c r="K28" s="139"/>
    </row>
    <row r="29" spans="2:11" x14ac:dyDescent="0.25">
      <c r="B29" s="120" t="s">
        <v>50</v>
      </c>
      <c r="C29" s="121"/>
      <c r="D29" s="121"/>
      <c r="E29" s="121"/>
      <c r="F29" s="49"/>
      <c r="G29" s="49"/>
      <c r="H29" s="49"/>
      <c r="I29" s="58">
        <v>0.59</v>
      </c>
      <c r="J29" s="140">
        <f t="shared" si="0"/>
        <v>0.59</v>
      </c>
      <c r="K29" s="141">
        <f t="shared" si="1"/>
        <v>0.59</v>
      </c>
    </row>
    <row r="31" spans="2:11" x14ac:dyDescent="0.25">
      <c r="B31" s="128" t="s">
        <v>44</v>
      </c>
      <c r="C31" s="142"/>
      <c r="D31" s="143">
        <v>250</v>
      </c>
      <c r="E31" s="142"/>
      <c r="F31" s="142"/>
      <c r="G31" s="142"/>
      <c r="H31" s="142"/>
      <c r="I31" s="142"/>
      <c r="J31" s="144"/>
      <c r="K31" s="145"/>
    </row>
    <row r="32" spans="2:11" x14ac:dyDescent="0.25">
      <c r="B32" s="129" t="s">
        <v>62</v>
      </c>
      <c r="C32" s="146"/>
      <c r="D32" s="146"/>
      <c r="E32" s="146"/>
      <c r="F32" s="147">
        <f>IFERROR(F25/$D$31*10^6,"")</f>
        <v>7110.6666666666661</v>
      </c>
      <c r="G32" s="146" t="str">
        <f t="shared" ref="G32:I32" si="20">IFERROR(G25/$D$31*10^6,"")</f>
        <v/>
      </c>
      <c r="H32" s="146" t="str">
        <f t="shared" si="20"/>
        <v/>
      </c>
      <c r="I32" s="147">
        <f t="shared" si="20"/>
        <v>3295.5555555555557</v>
      </c>
      <c r="J32" s="148">
        <f t="shared" ref="J32" si="21">IFERROR(MEDIAN(F32:I32),"")</f>
        <v>5203.1111111111113</v>
      </c>
      <c r="K32" s="149">
        <f t="shared" ref="K32" si="22">IFERROR(AVERAGE(F32:I32),"")</f>
        <v>5203.1111111111113</v>
      </c>
    </row>
    <row r="35" spans="2:11" ht="13" x14ac:dyDescent="0.3">
      <c r="B35" s="70" t="s">
        <v>97</v>
      </c>
      <c r="C35" s="69"/>
      <c r="D35" s="69"/>
      <c r="E35" s="69"/>
      <c r="F35" s="69" t="s">
        <v>72</v>
      </c>
      <c r="G35" s="69" t="s">
        <v>43</v>
      </c>
      <c r="H35" s="69"/>
      <c r="I35" s="69"/>
      <c r="J35" s="69"/>
      <c r="K35" s="37" t="s">
        <v>73</v>
      </c>
    </row>
    <row r="36" spans="2:11" x14ac:dyDescent="0.25">
      <c r="B36" s="126" t="s">
        <v>74</v>
      </c>
      <c r="F36" s="150">
        <v>119</v>
      </c>
      <c r="G36" s="151">
        <f>1549/4</f>
        <v>387.25</v>
      </c>
      <c r="H36" s="151"/>
      <c r="I36" s="151"/>
      <c r="J36" s="151"/>
      <c r="K36" s="152" t="s">
        <v>75</v>
      </c>
    </row>
    <row r="37" spans="2:11" x14ac:dyDescent="0.25">
      <c r="B37" s="126" t="s">
        <v>76</v>
      </c>
      <c r="F37" s="150">
        <v>104</v>
      </c>
      <c r="G37" s="151">
        <f>974/4</f>
        <v>243.5</v>
      </c>
      <c r="H37" s="151"/>
      <c r="I37" s="151"/>
      <c r="J37" s="151"/>
      <c r="K37" s="152" t="s">
        <v>77</v>
      </c>
    </row>
    <row r="38" spans="2:11" x14ac:dyDescent="0.25">
      <c r="B38" s="126" t="s">
        <v>78</v>
      </c>
      <c r="F38" s="150">
        <v>109</v>
      </c>
      <c r="G38" s="151">
        <v>169</v>
      </c>
      <c r="H38" s="151"/>
      <c r="I38" s="151"/>
      <c r="J38" s="151"/>
      <c r="K38" s="152" t="s">
        <v>79</v>
      </c>
    </row>
    <row r="39" spans="2:11" x14ac:dyDescent="0.25">
      <c r="B39" s="126" t="s">
        <v>80</v>
      </c>
      <c r="F39" s="150">
        <v>139</v>
      </c>
      <c r="G39" s="151">
        <v>345</v>
      </c>
      <c r="H39" s="151"/>
      <c r="I39" s="151"/>
      <c r="J39" s="151"/>
      <c r="K39" s="152" t="s">
        <v>81</v>
      </c>
    </row>
    <row r="40" spans="2:11" x14ac:dyDescent="0.25">
      <c r="B40" s="126" t="s">
        <v>82</v>
      </c>
      <c r="F40" s="150">
        <v>75</v>
      </c>
      <c r="G40" s="151">
        <v>114</v>
      </c>
      <c r="H40" s="151"/>
      <c r="I40" s="151"/>
      <c r="J40" s="151"/>
      <c r="K40" s="152" t="s">
        <v>83</v>
      </c>
    </row>
    <row r="41" spans="2:11" x14ac:dyDescent="0.25">
      <c r="B41" s="126" t="s">
        <v>84</v>
      </c>
      <c r="F41" s="150">
        <v>46</v>
      </c>
      <c r="G41" s="151">
        <v>110</v>
      </c>
      <c r="H41" s="151"/>
      <c r="I41" s="151"/>
      <c r="J41" s="151"/>
      <c r="K41" s="152" t="s">
        <v>85</v>
      </c>
    </row>
    <row r="42" spans="2:11" x14ac:dyDescent="0.25">
      <c r="B42" s="126" t="s">
        <v>86</v>
      </c>
      <c r="F42" s="150">
        <v>125</v>
      </c>
      <c r="G42" s="151">
        <v>175</v>
      </c>
      <c r="H42" s="151"/>
      <c r="I42" s="151"/>
      <c r="J42" s="151"/>
      <c r="K42" s="152" t="s">
        <v>87</v>
      </c>
    </row>
    <row r="43" spans="2:11" x14ac:dyDescent="0.25">
      <c r="B43" s="126" t="s">
        <v>88</v>
      </c>
      <c r="F43" s="150">
        <v>70</v>
      </c>
      <c r="G43" s="151">
        <v>235</v>
      </c>
      <c r="H43" s="95"/>
      <c r="I43" s="95"/>
      <c r="J43" s="95"/>
      <c r="K43" s="152" t="s">
        <v>89</v>
      </c>
    </row>
    <row r="44" spans="2:11" x14ac:dyDescent="0.25">
      <c r="B44" s="126" t="s">
        <v>91</v>
      </c>
      <c r="F44" s="150">
        <v>91</v>
      </c>
      <c r="G44" s="151">
        <v>149</v>
      </c>
      <c r="H44" s="151"/>
      <c r="I44" s="151"/>
      <c r="J44" s="151"/>
      <c r="K44" s="152" t="s">
        <v>90</v>
      </c>
    </row>
    <row r="45" spans="2:11" x14ac:dyDescent="0.25">
      <c r="B45" s="126" t="s">
        <v>92</v>
      </c>
      <c r="F45" s="150">
        <v>60</v>
      </c>
      <c r="G45" s="151">
        <v>95</v>
      </c>
      <c r="H45" s="95"/>
      <c r="I45" s="95"/>
      <c r="J45" s="95"/>
      <c r="K45" s="152" t="s">
        <v>93</v>
      </c>
    </row>
    <row r="46" spans="2:11" x14ac:dyDescent="0.25">
      <c r="B46" s="120" t="s">
        <v>94</v>
      </c>
      <c r="C46" s="121"/>
      <c r="D46" s="121"/>
      <c r="E46" s="121"/>
      <c r="F46" s="153">
        <v>50</v>
      </c>
      <c r="G46" s="151">
        <v>99</v>
      </c>
      <c r="H46" s="96"/>
      <c r="I46" s="96"/>
      <c r="J46" s="96"/>
      <c r="K46" s="154" t="s">
        <v>95</v>
      </c>
    </row>
    <row r="47" spans="2:11" ht="13" x14ac:dyDescent="0.3">
      <c r="B47" s="155" t="s">
        <v>17</v>
      </c>
      <c r="C47" s="156"/>
      <c r="D47" s="156"/>
      <c r="E47" s="156"/>
      <c r="F47" s="157">
        <f>MEDIAN(F36:F46)</f>
        <v>91</v>
      </c>
      <c r="G47" s="157">
        <f>MEDIAN(G36:G46)</f>
        <v>169</v>
      </c>
      <c r="H47" s="157"/>
      <c r="I47" s="157"/>
      <c r="J47" s="157"/>
      <c r="K47" s="158"/>
    </row>
    <row r="48" spans="2:11" ht="13" x14ac:dyDescent="0.3">
      <c r="B48" s="159" t="s">
        <v>18</v>
      </c>
      <c r="C48" s="160"/>
      <c r="D48" s="160"/>
      <c r="E48" s="160"/>
      <c r="F48" s="161">
        <f>AVERAGE(F36:F46)</f>
        <v>89.818181818181813</v>
      </c>
      <c r="G48" s="161">
        <f>AVERAGE(G36:G46)</f>
        <v>192.88636363636363</v>
      </c>
      <c r="H48" s="161"/>
      <c r="I48" s="161"/>
      <c r="J48" s="161"/>
      <c r="K48" s="162"/>
    </row>
    <row r="50" spans="2:17" ht="13" hidden="1" outlineLevel="1" x14ac:dyDescent="0.3">
      <c r="B50" s="70" t="s">
        <v>97</v>
      </c>
      <c r="C50" s="69"/>
      <c r="D50" s="69"/>
      <c r="E50" s="69"/>
      <c r="F50" s="69" t="s">
        <v>99</v>
      </c>
      <c r="G50" s="69"/>
      <c r="H50" s="37" t="s">
        <v>73</v>
      </c>
    </row>
    <row r="51" spans="2:17" hidden="1" outlineLevel="1" x14ac:dyDescent="0.25">
      <c r="B51" s="126" t="s">
        <v>98</v>
      </c>
      <c r="F51" s="150">
        <v>5500</v>
      </c>
      <c r="G51" s="151"/>
      <c r="H51" s="152" t="s">
        <v>105</v>
      </c>
    </row>
    <row r="52" spans="2:17" hidden="1" outlineLevel="1" x14ac:dyDescent="0.25">
      <c r="B52" s="126" t="s">
        <v>100</v>
      </c>
      <c r="F52" s="150">
        <v>2000</v>
      </c>
      <c r="G52" s="151"/>
      <c r="H52" s="152" t="s">
        <v>106</v>
      </c>
    </row>
    <row r="53" spans="2:17" hidden="1" outlineLevel="1" x14ac:dyDescent="0.25">
      <c r="B53" s="126" t="s">
        <v>101</v>
      </c>
      <c r="F53" s="150">
        <v>500</v>
      </c>
      <c r="G53" s="151"/>
      <c r="H53" s="152" t="s">
        <v>107</v>
      </c>
    </row>
    <row r="54" spans="2:17" hidden="1" outlineLevel="1" x14ac:dyDescent="0.25">
      <c r="B54" s="126" t="s">
        <v>109</v>
      </c>
      <c r="F54" s="150">
        <v>1400</v>
      </c>
      <c r="G54" s="151"/>
      <c r="H54" s="152" t="s">
        <v>108</v>
      </c>
    </row>
    <row r="55" spans="2:17" hidden="1" outlineLevel="1" x14ac:dyDescent="0.25">
      <c r="B55" s="126" t="s">
        <v>102</v>
      </c>
      <c r="F55" s="150">
        <v>4000</v>
      </c>
      <c r="G55" s="151"/>
      <c r="H55" s="152" t="s">
        <v>110</v>
      </c>
    </row>
    <row r="56" spans="2:17" hidden="1" outlineLevel="1" x14ac:dyDescent="0.25">
      <c r="B56" s="126" t="s">
        <v>103</v>
      </c>
      <c r="F56" s="150">
        <v>3600</v>
      </c>
      <c r="G56" s="151"/>
      <c r="H56" s="152" t="s">
        <v>111</v>
      </c>
    </row>
    <row r="57" spans="2:17" hidden="1" outlineLevel="1" x14ac:dyDescent="0.25">
      <c r="B57" s="126" t="s">
        <v>104</v>
      </c>
      <c r="F57" s="150">
        <v>6500</v>
      </c>
      <c r="G57" s="151"/>
      <c r="H57" s="152" t="s">
        <v>112</v>
      </c>
    </row>
    <row r="58" spans="2:17" hidden="1" outlineLevel="1" x14ac:dyDescent="0.25">
      <c r="B58" s="126" t="s">
        <v>113</v>
      </c>
      <c r="F58" s="150">
        <v>800</v>
      </c>
      <c r="G58" s="95"/>
      <c r="H58" s="152" t="s">
        <v>114</v>
      </c>
    </row>
    <row r="59" spans="2:17" ht="13" hidden="1" outlineLevel="1" x14ac:dyDescent="0.3">
      <c r="B59" s="155" t="s">
        <v>17</v>
      </c>
      <c r="C59" s="156"/>
      <c r="D59" s="156"/>
      <c r="E59" s="156"/>
      <c r="F59" s="163">
        <f>MEDIAN(F51:F58)</f>
        <v>2800</v>
      </c>
      <c r="G59" s="157"/>
      <c r="H59" s="158"/>
    </row>
    <row r="60" spans="2:17" ht="13" hidden="1" outlineLevel="1" x14ac:dyDescent="0.3">
      <c r="B60" s="159" t="s">
        <v>18</v>
      </c>
      <c r="C60" s="160"/>
      <c r="D60" s="160"/>
      <c r="E60" s="160"/>
      <c r="F60" s="164">
        <f>AVERAGE(F51:F58)</f>
        <v>3037.5</v>
      </c>
      <c r="G60" s="161"/>
      <c r="H60" s="162"/>
    </row>
    <row r="61" spans="2:17" hidden="1" outlineLevel="1" x14ac:dyDescent="0.25"/>
    <row r="62" spans="2:17" hidden="1" outlineLevel="1" x14ac:dyDescent="0.25"/>
    <row r="63" spans="2:17" collapsed="1" x14ac:dyDescent="0.25"/>
    <row r="64" spans="2:17" ht="13" x14ac:dyDescent="0.3">
      <c r="B64" s="70" t="s">
        <v>71</v>
      </c>
      <c r="C64" s="71" t="s">
        <v>187</v>
      </c>
      <c r="D64" s="71" t="s">
        <v>136</v>
      </c>
      <c r="E64" s="71" t="s">
        <v>115</v>
      </c>
      <c r="F64" s="71" t="s">
        <v>143</v>
      </c>
      <c r="G64" s="71" t="s">
        <v>197</v>
      </c>
      <c r="H64" s="71" t="s">
        <v>116</v>
      </c>
      <c r="I64" s="71" t="s">
        <v>117</v>
      </c>
      <c r="J64" s="71" t="s">
        <v>137</v>
      </c>
      <c r="K64" s="71" t="s">
        <v>118</v>
      </c>
      <c r="L64" s="71" t="s">
        <v>119</v>
      </c>
      <c r="M64" s="71" t="s">
        <v>120</v>
      </c>
      <c r="N64" s="71" t="s">
        <v>121</v>
      </c>
      <c r="O64" s="71" t="s">
        <v>122</v>
      </c>
      <c r="P64" s="71" t="s">
        <v>123</v>
      </c>
      <c r="Q64" s="72" t="s">
        <v>124</v>
      </c>
    </row>
    <row r="65" spans="2:17" x14ac:dyDescent="0.25">
      <c r="B65" s="185" t="s">
        <v>103</v>
      </c>
      <c r="C65" s="186" t="s">
        <v>188</v>
      </c>
      <c r="D65" s="187">
        <v>4200</v>
      </c>
      <c r="E65" s="188">
        <v>4700000</v>
      </c>
      <c r="F65" s="188">
        <f>E65/$D$31</f>
        <v>18800</v>
      </c>
      <c r="G65" s="204">
        <f>F65/D65</f>
        <v>4.4761904761904763</v>
      </c>
      <c r="H65" s="187">
        <v>894</v>
      </c>
      <c r="I65" s="187">
        <v>72</v>
      </c>
      <c r="J65" s="187">
        <v>338.4</v>
      </c>
      <c r="K65" s="188">
        <v>300000</v>
      </c>
      <c r="L65" s="187">
        <f t="shared" ref="L65:L77" si="23">D65/K65*10^6</f>
        <v>14000</v>
      </c>
      <c r="M65" s="187">
        <f>L65/10.764</f>
        <v>1300.6317354143441</v>
      </c>
      <c r="N65" s="187">
        <f>J65/K65*10^6</f>
        <v>1127.9999999999998</v>
      </c>
      <c r="O65" s="187">
        <f t="shared" ref="O65:O77" si="24">N65/10.764</f>
        <v>104.79375696766999</v>
      </c>
      <c r="P65" s="189">
        <f t="shared" ref="P65:P77" si="25">J65/D65</f>
        <v>8.0571428571428572E-2</v>
      </c>
      <c r="Q65" s="190">
        <v>0.02</v>
      </c>
    </row>
    <row r="66" spans="2:17" x14ac:dyDescent="0.25">
      <c r="B66" s="185" t="s">
        <v>125</v>
      </c>
      <c r="C66" s="186" t="s">
        <v>186</v>
      </c>
      <c r="D66" s="187">
        <v>3700</v>
      </c>
      <c r="E66" s="188">
        <v>10720000</v>
      </c>
      <c r="F66" s="188">
        <f t="shared" ref="F66:F77" si="26">E66/$D$31</f>
        <v>42880</v>
      </c>
      <c r="G66" s="204">
        <f t="shared" ref="G66:G77" si="27">F66/D66</f>
        <v>11.58918918918919</v>
      </c>
      <c r="H66" s="187">
        <v>345</v>
      </c>
      <c r="I66" s="187">
        <v>45</v>
      </c>
      <c r="J66" s="187">
        <v>482.4</v>
      </c>
      <c r="K66" s="188">
        <v>400000</v>
      </c>
      <c r="L66" s="187">
        <f t="shared" si="23"/>
        <v>9250</v>
      </c>
      <c r="M66" s="187">
        <f t="shared" ref="M66:M77" si="28">L66/10.764</f>
        <v>859.34596804162027</v>
      </c>
      <c r="N66" s="187">
        <f t="shared" ref="N66:N77" si="29">J66/K66*10^6</f>
        <v>1206</v>
      </c>
      <c r="O66" s="187">
        <f t="shared" si="24"/>
        <v>112.04013377926422</v>
      </c>
      <c r="P66" s="189">
        <f t="shared" si="25"/>
        <v>0.13037837837837837</v>
      </c>
      <c r="Q66" s="190">
        <v>0.04</v>
      </c>
    </row>
    <row r="67" spans="2:17" x14ac:dyDescent="0.25">
      <c r="B67" s="185" t="s">
        <v>102</v>
      </c>
      <c r="C67" s="186" t="s">
        <v>189</v>
      </c>
      <c r="D67" s="187">
        <v>3000</v>
      </c>
      <c r="E67" s="188">
        <v>10000000</v>
      </c>
      <c r="F67" s="188">
        <f t="shared" si="26"/>
        <v>40000</v>
      </c>
      <c r="G67" s="204">
        <f t="shared" si="27"/>
        <v>13.333333333333334</v>
      </c>
      <c r="H67" s="187">
        <v>400</v>
      </c>
      <c r="I67" s="187">
        <v>101</v>
      </c>
      <c r="J67" s="187">
        <v>757.5</v>
      </c>
      <c r="K67" s="188">
        <v>400000</v>
      </c>
      <c r="L67" s="187">
        <f t="shared" si="23"/>
        <v>7500</v>
      </c>
      <c r="M67" s="187">
        <f t="shared" si="28"/>
        <v>696.76700111482728</v>
      </c>
      <c r="N67" s="187">
        <f t="shared" si="29"/>
        <v>1893.75</v>
      </c>
      <c r="O67" s="187">
        <f t="shared" si="24"/>
        <v>175.93366778149388</v>
      </c>
      <c r="P67" s="189">
        <f t="shared" si="25"/>
        <v>0.2525</v>
      </c>
      <c r="Q67" s="190">
        <v>0.08</v>
      </c>
    </row>
    <row r="68" spans="2:17" x14ac:dyDescent="0.25">
      <c r="B68" s="185" t="s">
        <v>126</v>
      </c>
      <c r="C68" s="186" t="s">
        <v>186</v>
      </c>
      <c r="D68" s="187">
        <v>2000</v>
      </c>
      <c r="E68" s="188">
        <v>9000000</v>
      </c>
      <c r="F68" s="188">
        <f t="shared" si="26"/>
        <v>36000</v>
      </c>
      <c r="G68" s="204">
        <f t="shared" si="27"/>
        <v>18</v>
      </c>
      <c r="H68" s="187">
        <v>244</v>
      </c>
      <c r="I68" s="187">
        <v>82</v>
      </c>
      <c r="J68" s="187">
        <v>738</v>
      </c>
      <c r="K68" s="188">
        <v>360000</v>
      </c>
      <c r="L68" s="187">
        <f t="shared" si="23"/>
        <v>5555.5555555555557</v>
      </c>
      <c r="M68" s="187">
        <f t="shared" si="28"/>
        <v>516.12370452950165</v>
      </c>
      <c r="N68" s="187">
        <f t="shared" si="29"/>
        <v>2050</v>
      </c>
      <c r="O68" s="187">
        <f t="shared" si="24"/>
        <v>190.4496469713861</v>
      </c>
      <c r="P68" s="189">
        <f t="shared" si="25"/>
        <v>0.36899999999999999</v>
      </c>
      <c r="Q68" s="190">
        <v>0.1</v>
      </c>
    </row>
    <row r="69" spans="2:17" x14ac:dyDescent="0.25">
      <c r="B69" s="185" t="s">
        <v>127</v>
      </c>
      <c r="C69" s="186" t="s">
        <v>190</v>
      </c>
      <c r="D69" s="187">
        <v>1700</v>
      </c>
      <c r="E69" s="188">
        <v>3600000</v>
      </c>
      <c r="F69" s="188">
        <f t="shared" si="26"/>
        <v>14400</v>
      </c>
      <c r="G69" s="204">
        <f t="shared" si="27"/>
        <v>8.4705882352941178</v>
      </c>
      <c r="H69" s="187">
        <v>472</v>
      </c>
      <c r="I69" s="187">
        <v>65</v>
      </c>
      <c r="J69" s="187">
        <v>234</v>
      </c>
      <c r="K69" s="188">
        <v>200000</v>
      </c>
      <c r="L69" s="187">
        <f t="shared" si="23"/>
        <v>8500</v>
      </c>
      <c r="M69" s="187">
        <f t="shared" si="28"/>
        <v>789.66926793013749</v>
      </c>
      <c r="N69" s="187">
        <f t="shared" si="29"/>
        <v>1170</v>
      </c>
      <c r="O69" s="187">
        <f t="shared" si="24"/>
        <v>108.69565217391305</v>
      </c>
      <c r="P69" s="189">
        <f t="shared" si="25"/>
        <v>0.1376470588235294</v>
      </c>
      <c r="Q69" s="190">
        <v>0.04</v>
      </c>
    </row>
    <row r="70" spans="2:17" x14ac:dyDescent="0.25">
      <c r="B70" s="185" t="s">
        <v>128</v>
      </c>
      <c r="C70" s="186" t="s">
        <v>190</v>
      </c>
      <c r="D70" s="187">
        <v>450</v>
      </c>
      <c r="E70" s="188">
        <v>3000000</v>
      </c>
      <c r="F70" s="188">
        <f t="shared" si="26"/>
        <v>12000</v>
      </c>
      <c r="G70" s="204">
        <f t="shared" si="27"/>
        <v>26.666666666666668</v>
      </c>
      <c r="H70" s="187">
        <v>113</v>
      </c>
      <c r="I70" s="187">
        <v>23</v>
      </c>
      <c r="J70" s="187">
        <v>90.9</v>
      </c>
      <c r="K70" s="188">
        <v>300000</v>
      </c>
      <c r="L70" s="187">
        <f t="shared" si="23"/>
        <v>1500</v>
      </c>
      <c r="M70" s="187">
        <f t="shared" si="28"/>
        <v>139.35340022296546</v>
      </c>
      <c r="N70" s="187">
        <f t="shared" si="29"/>
        <v>303</v>
      </c>
      <c r="O70" s="187">
        <f t="shared" si="24"/>
        <v>28.149386845039022</v>
      </c>
      <c r="P70" s="189">
        <f t="shared" si="25"/>
        <v>0.20200000000000001</v>
      </c>
      <c r="Q70" s="190">
        <v>0.06</v>
      </c>
    </row>
    <row r="71" spans="2:17" x14ac:dyDescent="0.25">
      <c r="B71" s="185" t="s">
        <v>129</v>
      </c>
      <c r="C71" s="186" t="s">
        <v>190</v>
      </c>
      <c r="D71" s="187">
        <v>350</v>
      </c>
      <c r="E71" s="188">
        <v>4000000</v>
      </c>
      <c r="F71" s="188">
        <f t="shared" si="26"/>
        <v>16000</v>
      </c>
      <c r="G71" s="204">
        <f t="shared" si="27"/>
        <v>45.714285714285715</v>
      </c>
      <c r="H71" s="187">
        <v>175</v>
      </c>
      <c r="I71" s="187">
        <v>46</v>
      </c>
      <c r="J71" s="187">
        <v>92</v>
      </c>
      <c r="K71" s="188">
        <v>400000</v>
      </c>
      <c r="L71" s="187">
        <f t="shared" si="23"/>
        <v>875</v>
      </c>
      <c r="M71" s="187">
        <f t="shared" si="28"/>
        <v>81.289483463396508</v>
      </c>
      <c r="N71" s="187">
        <f t="shared" si="29"/>
        <v>230</v>
      </c>
      <c r="O71" s="187">
        <f t="shared" si="24"/>
        <v>21.36752136752137</v>
      </c>
      <c r="P71" s="189">
        <f t="shared" si="25"/>
        <v>0.26285714285714284</v>
      </c>
      <c r="Q71" s="190">
        <v>0.08</v>
      </c>
    </row>
    <row r="72" spans="2:17" x14ac:dyDescent="0.25">
      <c r="B72" s="185" t="s">
        <v>130</v>
      </c>
      <c r="C72" s="186" t="s">
        <v>190</v>
      </c>
      <c r="D72" s="187">
        <v>350</v>
      </c>
      <c r="E72" s="188">
        <v>2200000</v>
      </c>
      <c r="F72" s="188">
        <f t="shared" si="26"/>
        <v>8800</v>
      </c>
      <c r="G72" s="204">
        <f t="shared" si="27"/>
        <v>25.142857142857142</v>
      </c>
      <c r="H72" s="187">
        <v>159</v>
      </c>
      <c r="I72" s="187">
        <v>44</v>
      </c>
      <c r="J72" s="187">
        <v>96.8</v>
      </c>
      <c r="K72" s="188">
        <v>350000</v>
      </c>
      <c r="L72" s="187">
        <f t="shared" si="23"/>
        <v>1000</v>
      </c>
      <c r="M72" s="187">
        <f t="shared" si="28"/>
        <v>92.902266815310298</v>
      </c>
      <c r="N72" s="187">
        <f t="shared" si="29"/>
        <v>276.57142857142856</v>
      </c>
      <c r="O72" s="187">
        <f t="shared" si="24"/>
        <v>25.694112650634391</v>
      </c>
      <c r="P72" s="189">
        <f t="shared" si="25"/>
        <v>0.27657142857142858</v>
      </c>
      <c r="Q72" s="190">
        <v>0.08</v>
      </c>
    </row>
    <row r="73" spans="2:17" x14ac:dyDescent="0.25">
      <c r="B73" s="185" t="s">
        <v>131</v>
      </c>
      <c r="C73" s="186" t="s">
        <v>191</v>
      </c>
      <c r="D73" s="187">
        <v>450</v>
      </c>
      <c r="E73" s="188">
        <v>2000000</v>
      </c>
      <c r="F73" s="188">
        <f t="shared" si="26"/>
        <v>8000</v>
      </c>
      <c r="G73" s="204">
        <f t="shared" si="27"/>
        <v>17.777777777777779</v>
      </c>
      <c r="H73" s="187">
        <v>225</v>
      </c>
      <c r="I73" s="187">
        <v>53</v>
      </c>
      <c r="J73" s="187">
        <v>106</v>
      </c>
      <c r="K73" s="188">
        <v>200000</v>
      </c>
      <c r="L73" s="187">
        <f t="shared" si="23"/>
        <v>2250</v>
      </c>
      <c r="M73" s="187">
        <f t="shared" si="28"/>
        <v>209.03010033444818</v>
      </c>
      <c r="N73" s="187">
        <f t="shared" si="29"/>
        <v>530</v>
      </c>
      <c r="O73" s="187">
        <f t="shared" si="24"/>
        <v>49.238201412114456</v>
      </c>
      <c r="P73" s="189">
        <f t="shared" si="25"/>
        <v>0.23555555555555555</v>
      </c>
      <c r="Q73" s="190">
        <v>7.0000000000000007E-2</v>
      </c>
    </row>
    <row r="74" spans="2:17" x14ac:dyDescent="0.25">
      <c r="B74" s="185" t="s">
        <v>132</v>
      </c>
      <c r="C74" s="186" t="s">
        <v>192</v>
      </c>
      <c r="D74" s="187">
        <v>30</v>
      </c>
      <c r="E74" s="188">
        <v>400000</v>
      </c>
      <c r="F74" s="188">
        <f t="shared" si="26"/>
        <v>1600</v>
      </c>
      <c r="G74" s="204">
        <f t="shared" si="27"/>
        <v>53.333333333333336</v>
      </c>
      <c r="H74" s="187">
        <v>38</v>
      </c>
      <c r="I74" s="187">
        <v>20</v>
      </c>
      <c r="J74" s="187">
        <v>10</v>
      </c>
      <c r="K74" s="188">
        <v>50000</v>
      </c>
      <c r="L74" s="187">
        <f t="shared" si="23"/>
        <v>600</v>
      </c>
      <c r="M74" s="187">
        <f t="shared" si="28"/>
        <v>55.74136008918618</v>
      </c>
      <c r="N74" s="187">
        <f t="shared" si="29"/>
        <v>200</v>
      </c>
      <c r="O74" s="187">
        <f t="shared" si="24"/>
        <v>18.580453363062059</v>
      </c>
      <c r="P74" s="189">
        <f t="shared" si="25"/>
        <v>0.33333333333333331</v>
      </c>
      <c r="Q74" s="190">
        <v>0.1</v>
      </c>
    </row>
    <row r="75" spans="2:17" x14ac:dyDescent="0.25">
      <c r="B75" s="185" t="s">
        <v>133</v>
      </c>
      <c r="C75" s="186" t="s">
        <v>193</v>
      </c>
      <c r="D75" s="187">
        <v>15</v>
      </c>
      <c r="E75" s="188">
        <v>400000</v>
      </c>
      <c r="F75" s="188">
        <f t="shared" si="26"/>
        <v>1600</v>
      </c>
      <c r="G75" s="204">
        <f t="shared" si="27"/>
        <v>106.66666666666667</v>
      </c>
      <c r="H75" s="187">
        <v>38</v>
      </c>
      <c r="I75" s="187">
        <v>20</v>
      </c>
      <c r="J75" s="187">
        <v>8</v>
      </c>
      <c r="K75" s="188">
        <v>3000</v>
      </c>
      <c r="L75" s="187">
        <f t="shared" si="23"/>
        <v>5000</v>
      </c>
      <c r="M75" s="187">
        <f t="shared" si="28"/>
        <v>464.51133407655152</v>
      </c>
      <c r="N75" s="187">
        <f t="shared" si="29"/>
        <v>2666.6666666666665</v>
      </c>
      <c r="O75" s="187">
        <f t="shared" si="24"/>
        <v>247.73937817416078</v>
      </c>
      <c r="P75" s="189">
        <f t="shared" si="25"/>
        <v>0.53333333333333333</v>
      </c>
      <c r="Q75" s="190">
        <v>0.16</v>
      </c>
    </row>
    <row r="76" spans="2:17" x14ac:dyDescent="0.25">
      <c r="B76" s="185" t="s">
        <v>134</v>
      </c>
      <c r="C76" s="186" t="s">
        <v>194</v>
      </c>
      <c r="D76" s="187">
        <v>25</v>
      </c>
      <c r="E76" s="188">
        <v>500000</v>
      </c>
      <c r="F76" s="188">
        <f t="shared" si="26"/>
        <v>2000</v>
      </c>
      <c r="G76" s="204">
        <f t="shared" si="27"/>
        <v>80</v>
      </c>
      <c r="H76" s="187">
        <v>50</v>
      </c>
      <c r="I76" s="187">
        <v>20</v>
      </c>
      <c r="J76" s="187">
        <v>20</v>
      </c>
      <c r="K76" s="188">
        <v>6000</v>
      </c>
      <c r="L76" s="187">
        <f t="shared" si="23"/>
        <v>4166.666666666667</v>
      </c>
      <c r="M76" s="187">
        <f t="shared" si="28"/>
        <v>387.09277839712627</v>
      </c>
      <c r="N76" s="187">
        <f t="shared" si="29"/>
        <v>3333.3333333333335</v>
      </c>
      <c r="O76" s="187">
        <f t="shared" si="24"/>
        <v>309.67422271770101</v>
      </c>
      <c r="P76" s="189">
        <f t="shared" si="25"/>
        <v>0.8</v>
      </c>
      <c r="Q76" s="190">
        <v>0.24</v>
      </c>
    </row>
    <row r="77" spans="2:17" x14ac:dyDescent="0.25">
      <c r="B77" s="191" t="s">
        <v>135</v>
      </c>
      <c r="C77" s="200" t="s">
        <v>195</v>
      </c>
      <c r="D77" s="192">
        <v>30</v>
      </c>
      <c r="E77" s="193">
        <v>600000</v>
      </c>
      <c r="F77" s="193">
        <f t="shared" si="26"/>
        <v>2400</v>
      </c>
      <c r="G77" s="204">
        <f t="shared" si="27"/>
        <v>80</v>
      </c>
      <c r="H77" s="192">
        <v>50</v>
      </c>
      <c r="I77" s="192">
        <v>30</v>
      </c>
      <c r="J77" s="187">
        <v>18</v>
      </c>
      <c r="K77" s="193">
        <v>8000</v>
      </c>
      <c r="L77" s="192">
        <f t="shared" si="23"/>
        <v>3750</v>
      </c>
      <c r="M77" s="192">
        <f t="shared" si="28"/>
        <v>348.38350055741364</v>
      </c>
      <c r="N77" s="192">
        <f t="shared" si="29"/>
        <v>2250</v>
      </c>
      <c r="O77" s="192">
        <f t="shared" si="24"/>
        <v>209.03010033444818</v>
      </c>
      <c r="P77" s="189">
        <f t="shared" si="25"/>
        <v>0.6</v>
      </c>
      <c r="Q77" s="154"/>
    </row>
    <row r="78" spans="2:17" ht="13" x14ac:dyDescent="0.3">
      <c r="B78" s="155" t="s">
        <v>17</v>
      </c>
      <c r="C78" s="163"/>
      <c r="D78" s="163">
        <f>MEDIAN(D65:D77)</f>
        <v>450</v>
      </c>
      <c r="E78" s="163">
        <f t="shared" ref="E78" si="30">MEDIAN(E65:E77)</f>
        <v>3000000</v>
      </c>
      <c r="F78" s="194">
        <f t="shared" ref="F78:G78" si="31">MEDIAN(F65:F77)</f>
        <v>12000</v>
      </c>
      <c r="G78" s="194">
        <f t="shared" si="31"/>
        <v>25.142857142857142</v>
      </c>
      <c r="H78" s="163">
        <f t="shared" ref="H78:Q78" si="32">MEDIAN(H65:H77)</f>
        <v>175</v>
      </c>
      <c r="I78" s="163">
        <f t="shared" si="32"/>
        <v>45</v>
      </c>
      <c r="J78" s="163">
        <f t="shared" si="32"/>
        <v>96.8</v>
      </c>
      <c r="K78" s="163">
        <f t="shared" si="32"/>
        <v>300000</v>
      </c>
      <c r="L78" s="163">
        <f t="shared" si="32"/>
        <v>4166.666666666667</v>
      </c>
      <c r="M78" s="163">
        <f t="shared" si="32"/>
        <v>387.09277839712627</v>
      </c>
      <c r="N78" s="163">
        <f t="shared" si="32"/>
        <v>1170</v>
      </c>
      <c r="O78" s="163">
        <f t="shared" si="32"/>
        <v>108.69565217391305</v>
      </c>
      <c r="P78" s="195">
        <f t="shared" si="32"/>
        <v>0.26285714285714284</v>
      </c>
      <c r="Q78" s="196">
        <f t="shared" si="32"/>
        <v>0.08</v>
      </c>
    </row>
    <row r="79" spans="2:17" ht="13" x14ac:dyDescent="0.3">
      <c r="B79" s="159" t="s">
        <v>18</v>
      </c>
      <c r="C79" s="164"/>
      <c r="D79" s="164">
        <f>AVERAGE(D65:D77)</f>
        <v>1253.8461538461538</v>
      </c>
      <c r="E79" s="164">
        <f t="shared" ref="E79" si="33">AVERAGE(E65:E77)</f>
        <v>3932307.6923076925</v>
      </c>
      <c r="F79" s="197">
        <f t="shared" ref="F79:G79" si="34">AVERAGE(F65:F77)</f>
        <v>15729.23076923077</v>
      </c>
      <c r="G79" s="197">
        <f t="shared" si="34"/>
        <v>37.782376041199569</v>
      </c>
      <c r="H79" s="164">
        <f t="shared" ref="H79:Q79" si="35">AVERAGE(H65:H77)</f>
        <v>246.38461538461539</v>
      </c>
      <c r="I79" s="164">
        <f t="shared" si="35"/>
        <v>47.769230769230766</v>
      </c>
      <c r="J79" s="164">
        <f t="shared" si="35"/>
        <v>230.15384615384619</v>
      </c>
      <c r="K79" s="164">
        <f t="shared" si="35"/>
        <v>229000</v>
      </c>
      <c r="L79" s="164">
        <f t="shared" si="35"/>
        <v>4919.0170940170938</v>
      </c>
      <c r="M79" s="164">
        <f t="shared" si="35"/>
        <v>456.98783853744834</v>
      </c>
      <c r="N79" s="164">
        <f t="shared" si="35"/>
        <v>1325.947802197802</v>
      </c>
      <c r="O79" s="164">
        <f t="shared" si="35"/>
        <v>123.18355650295449</v>
      </c>
      <c r="P79" s="198">
        <f t="shared" si="35"/>
        <v>0.32413443534031772</v>
      </c>
      <c r="Q79" s="199">
        <f t="shared" si="35"/>
        <v>8.9166666666666672E-2</v>
      </c>
    </row>
    <row r="80" spans="2:17" ht="13" x14ac:dyDescent="0.3">
      <c r="B80" s="21" t="s">
        <v>139</v>
      </c>
      <c r="C80" s="21" t="s">
        <v>138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9750-8F0B-4252-BF62-4DACD46BD514}">
  <sheetPr>
    <tabColor theme="7" tint="0.79998168889431442"/>
  </sheetPr>
  <dimension ref="B1:AB50"/>
  <sheetViews>
    <sheetView showGridLines="0" tabSelected="1" topLeftCell="A29" zoomScale="75" zoomScaleNormal="100" workbookViewId="0">
      <selection activeCell="C4" sqref="C4"/>
    </sheetView>
  </sheetViews>
  <sheetFormatPr defaultRowHeight="12.5" x14ac:dyDescent="0.25"/>
  <cols>
    <col min="1" max="2" width="8.7265625" style="93"/>
    <col min="3" max="3" width="16" style="93" bestFit="1" customWidth="1"/>
    <col min="4" max="4" width="14.81640625" style="93" bestFit="1" customWidth="1"/>
    <col min="5" max="5" width="16.26953125" style="93" bestFit="1" customWidth="1"/>
    <col min="6" max="6" width="8.7265625" style="93"/>
    <col min="7" max="7" width="14.81640625" style="103" bestFit="1" customWidth="1"/>
    <col min="8" max="9" width="9.08984375" style="93" customWidth="1"/>
    <col min="10" max="27" width="8.7265625" style="93"/>
    <col min="28" max="28" width="14.81640625" style="93" bestFit="1" customWidth="1"/>
    <col min="29" max="16384" width="8.7265625" style="93"/>
  </cols>
  <sheetData>
    <row r="1" spans="2:27" x14ac:dyDescent="0.25">
      <c r="G1" s="93"/>
    </row>
    <row r="2" spans="2:27" ht="13" x14ac:dyDescent="0.3">
      <c r="C2" s="112"/>
      <c r="D2" s="113" t="s">
        <v>178</v>
      </c>
      <c r="E2" s="114" t="s">
        <v>179</v>
      </c>
      <c r="G2" s="93"/>
    </row>
    <row r="3" spans="2:27" ht="13" x14ac:dyDescent="0.3">
      <c r="C3" s="115" t="s">
        <v>220</v>
      </c>
      <c r="D3" s="116">
        <v>0.15</v>
      </c>
      <c r="E3" s="58">
        <v>0.5</v>
      </c>
      <c r="G3" s="93"/>
    </row>
    <row r="4" spans="2:27" ht="13" x14ac:dyDescent="0.3">
      <c r="C4" s="20"/>
      <c r="D4" s="26"/>
      <c r="E4" s="26"/>
      <c r="G4" s="93"/>
    </row>
    <row r="5" spans="2:27" ht="13" x14ac:dyDescent="0.3">
      <c r="B5" s="21" t="s">
        <v>7</v>
      </c>
      <c r="G5" s="3" t="s">
        <v>0</v>
      </c>
      <c r="H5" s="4">
        <v>1</v>
      </c>
      <c r="I5" s="4">
        <f>H5+1</f>
        <v>2</v>
      </c>
      <c r="J5" s="4">
        <f t="shared" ref="J5:AA5" si="0">I5+1</f>
        <v>3</v>
      </c>
      <c r="K5" s="4">
        <f t="shared" si="0"/>
        <v>4</v>
      </c>
      <c r="L5" s="4">
        <f t="shared" si="0"/>
        <v>5</v>
      </c>
      <c r="M5" s="4">
        <f t="shared" si="0"/>
        <v>6</v>
      </c>
      <c r="N5" s="4">
        <f t="shared" si="0"/>
        <v>7</v>
      </c>
      <c r="O5" s="4">
        <f t="shared" si="0"/>
        <v>8</v>
      </c>
      <c r="P5" s="4">
        <f t="shared" si="0"/>
        <v>9</v>
      </c>
      <c r="Q5" s="4">
        <f t="shared" si="0"/>
        <v>10</v>
      </c>
      <c r="R5" s="4">
        <f t="shared" si="0"/>
        <v>11</v>
      </c>
      <c r="S5" s="4">
        <f t="shared" si="0"/>
        <v>12</v>
      </c>
      <c r="T5" s="4">
        <f t="shared" si="0"/>
        <v>13</v>
      </c>
      <c r="U5" s="4">
        <f t="shared" si="0"/>
        <v>14</v>
      </c>
      <c r="V5" s="4">
        <f t="shared" si="0"/>
        <v>15</v>
      </c>
      <c r="W5" s="4">
        <f t="shared" si="0"/>
        <v>16</v>
      </c>
      <c r="X5" s="4">
        <f t="shared" si="0"/>
        <v>17</v>
      </c>
      <c r="Y5" s="4">
        <f t="shared" si="0"/>
        <v>18</v>
      </c>
      <c r="Z5" s="4">
        <f t="shared" si="0"/>
        <v>19</v>
      </c>
      <c r="AA5" s="4">
        <f t="shared" si="0"/>
        <v>20</v>
      </c>
    </row>
    <row r="8" spans="2:27" x14ac:dyDescent="0.25">
      <c r="B8" s="99" t="s">
        <v>26</v>
      </c>
      <c r="G8" s="101">
        <f>'P&amp;L'!G34</f>
        <v>0</v>
      </c>
      <c r="H8" s="87">
        <f>'P&amp;L'!H34</f>
        <v>114101291.42748767</v>
      </c>
      <c r="I8" s="87">
        <f>'P&amp;L'!I34</f>
        <v>121990524.39053068</v>
      </c>
      <c r="J8" s="87">
        <f>'P&amp;L'!J34</f>
        <v>130357961.82516798</v>
      </c>
      <c r="K8" s="87">
        <f>'P&amp;L'!K34</f>
        <v>139232472.50943124</v>
      </c>
      <c r="L8" s="87">
        <f>'P&amp;L'!L34</f>
        <v>148644661.32548454</v>
      </c>
      <c r="M8" s="87">
        <f>'P&amp;L'!M34</f>
        <v>158626973.16170603</v>
      </c>
      <c r="N8" s="87">
        <f>'P&amp;L'!N34</f>
        <v>169213802.99640605</v>
      </c>
      <c r="O8" s="87">
        <f>'P&amp;L'!O34</f>
        <v>180441612.52851164</v>
      </c>
      <c r="P8" s="87">
        <f>'P&amp;L'!P34</f>
        <v>192349053.74197307</v>
      </c>
      <c r="Q8" s="87">
        <f>'P&amp;L'!Q34</f>
        <v>204977099.81334224</v>
      </c>
      <c r="R8" s="87">
        <f>'P&amp;L'!R34</f>
        <v>218369183.7959767</v>
      </c>
      <c r="S8" s="87">
        <f>'P&amp;L'!S34</f>
        <v>232571345.53972861</v>
      </c>
      <c r="T8" s="87">
        <f>'P&amp;L'!T34</f>
        <v>247632387.33186114</v>
      </c>
      <c r="U8" s="87">
        <f>'P&amp;L'!U34</f>
        <v>263604038.77338457</v>
      </c>
      <c r="V8" s="87">
        <f>'P&amp;L'!V34</f>
        <v>280541131.43510288</v>
      </c>
      <c r="W8" s="87">
        <f>'P&amp;L'!W34</f>
        <v>298501783.8695119</v>
      </c>
      <c r="X8" s="87">
        <f>'P&amp;L'!X34</f>
        <v>317547597.58839893</v>
      </c>
      <c r="Y8" s="87">
        <f>'P&amp;L'!Y34</f>
        <v>337743864.65164351</v>
      </c>
      <c r="Z8" s="87">
        <f>'P&amp;L'!Z34</f>
        <v>359159787.55045545</v>
      </c>
      <c r="AA8" s="87">
        <f>'P&amp;L'!AA34</f>
        <v>381868712.10820514</v>
      </c>
    </row>
    <row r="9" spans="2:27" x14ac:dyDescent="0.25">
      <c r="B9" s="99" t="s">
        <v>67</v>
      </c>
      <c r="G9" s="101">
        <f>'P&amp;L'!G32</f>
        <v>0</v>
      </c>
      <c r="H9" s="87">
        <f>-'P&amp;L'!H32</f>
        <v>15000000</v>
      </c>
      <c r="I9" s="87">
        <f>-'P&amp;L'!I32</f>
        <v>15000000</v>
      </c>
      <c r="J9" s="87">
        <f>-'P&amp;L'!J32</f>
        <v>15000000</v>
      </c>
      <c r="K9" s="87">
        <f>-'P&amp;L'!K32</f>
        <v>15000000</v>
      </c>
      <c r="L9" s="87">
        <f>-'P&amp;L'!L32</f>
        <v>15000000</v>
      </c>
      <c r="M9" s="87">
        <f>-'P&amp;L'!M32</f>
        <v>15000000</v>
      </c>
      <c r="N9" s="87">
        <f>-'P&amp;L'!N32</f>
        <v>15000000</v>
      </c>
      <c r="O9" s="87">
        <f>-'P&amp;L'!O32</f>
        <v>15000000</v>
      </c>
      <c r="P9" s="87">
        <f>-'P&amp;L'!P32</f>
        <v>15000000</v>
      </c>
      <c r="Q9" s="87">
        <f>-'P&amp;L'!Q32</f>
        <v>15000000</v>
      </c>
      <c r="R9" s="87">
        <f>-'P&amp;L'!R32</f>
        <v>15000000</v>
      </c>
      <c r="S9" s="87">
        <f>-'P&amp;L'!S32</f>
        <v>15000000</v>
      </c>
      <c r="T9" s="87">
        <f>-'P&amp;L'!T32</f>
        <v>15000000</v>
      </c>
      <c r="U9" s="87">
        <f>-'P&amp;L'!U32</f>
        <v>15000000</v>
      </c>
      <c r="V9" s="87">
        <f>-'P&amp;L'!V32</f>
        <v>15000000</v>
      </c>
      <c r="W9" s="87">
        <f>-'P&amp;L'!W32</f>
        <v>15000000</v>
      </c>
      <c r="X9" s="87">
        <f>-'P&amp;L'!X32</f>
        <v>15000000</v>
      </c>
      <c r="Y9" s="87">
        <f>-'P&amp;L'!Y32</f>
        <v>15000000</v>
      </c>
      <c r="Z9" s="87">
        <f>-'P&amp;L'!Z32</f>
        <v>15000000</v>
      </c>
      <c r="AA9" s="87">
        <f>-'P&amp;L'!AA32</f>
        <v>15000000</v>
      </c>
    </row>
    <row r="10" spans="2:27" x14ac:dyDescent="0.25">
      <c r="B10" s="99" t="s">
        <v>172</v>
      </c>
      <c r="G10" s="107">
        <v>0</v>
      </c>
      <c r="H10" s="87">
        <f>'P&amp;L'!H41</f>
        <v>0</v>
      </c>
      <c r="I10" s="87">
        <f>'P&amp;L'!I41</f>
        <v>0</v>
      </c>
      <c r="J10" s="87">
        <f>'P&amp;L'!J41</f>
        <v>0</v>
      </c>
      <c r="K10" s="87">
        <f>'P&amp;L'!K41</f>
        <v>0</v>
      </c>
      <c r="L10" s="87">
        <f>'P&amp;L'!L41</f>
        <v>0</v>
      </c>
      <c r="M10" s="87">
        <f>'P&amp;L'!M41</f>
        <v>0</v>
      </c>
      <c r="N10" s="87">
        <f>'P&amp;L'!N41</f>
        <v>0</v>
      </c>
      <c r="O10" s="87">
        <f>'P&amp;L'!O41</f>
        <v>0</v>
      </c>
      <c r="P10" s="87">
        <f>'P&amp;L'!P41</f>
        <v>0</v>
      </c>
      <c r="Q10" s="87">
        <f>'P&amp;L'!Q41</f>
        <v>0</v>
      </c>
      <c r="R10" s="87">
        <f>'P&amp;L'!R41</f>
        <v>0</v>
      </c>
      <c r="S10" s="87">
        <f>'P&amp;L'!S41</f>
        <v>0</v>
      </c>
      <c r="T10" s="87">
        <f>'P&amp;L'!T41</f>
        <v>0</v>
      </c>
      <c r="U10" s="87">
        <f>'P&amp;L'!U41</f>
        <v>0</v>
      </c>
      <c r="V10" s="87">
        <f>'P&amp;L'!V41</f>
        <v>0</v>
      </c>
      <c r="W10" s="87">
        <f>'P&amp;L'!W41</f>
        <v>0</v>
      </c>
      <c r="X10" s="87">
        <f>'P&amp;L'!X41</f>
        <v>0</v>
      </c>
      <c r="Y10" s="87">
        <f>'P&amp;L'!Y41</f>
        <v>0</v>
      </c>
      <c r="Z10" s="87">
        <f>'P&amp;L'!Z41</f>
        <v>0</v>
      </c>
      <c r="AA10" s="87">
        <f>'P&amp;L'!AA41</f>
        <v>0</v>
      </c>
    </row>
    <row r="11" spans="2:27" x14ac:dyDescent="0.25">
      <c r="B11" s="99" t="s">
        <v>33</v>
      </c>
      <c r="G11" s="117">
        <f>'P&amp;L'!G42</f>
        <v>-750000000</v>
      </c>
      <c r="H11" s="87">
        <f>'P&amp;L'!H42</f>
        <v>0</v>
      </c>
      <c r="I11" s="87">
        <f>'P&amp;L'!I42</f>
        <v>0</v>
      </c>
      <c r="J11" s="87">
        <f>'P&amp;L'!J42</f>
        <v>0</v>
      </c>
      <c r="K11" s="87">
        <f>'P&amp;L'!K42</f>
        <v>0</v>
      </c>
      <c r="L11" s="87">
        <f>'P&amp;L'!L42</f>
        <v>0</v>
      </c>
      <c r="M11" s="87">
        <f>'P&amp;L'!M42</f>
        <v>0</v>
      </c>
      <c r="N11" s="87">
        <f>'P&amp;L'!N42</f>
        <v>0</v>
      </c>
      <c r="O11" s="87">
        <f>'P&amp;L'!O42</f>
        <v>0</v>
      </c>
      <c r="P11" s="87">
        <f>'P&amp;L'!P42</f>
        <v>0</v>
      </c>
      <c r="Q11" s="87">
        <f>'P&amp;L'!Q42</f>
        <v>0</v>
      </c>
      <c r="R11" s="87">
        <f>'P&amp;L'!R42</f>
        <v>0</v>
      </c>
      <c r="S11" s="87">
        <f>'P&amp;L'!S42</f>
        <v>0</v>
      </c>
      <c r="T11" s="87">
        <f>'P&amp;L'!T42</f>
        <v>0</v>
      </c>
      <c r="U11" s="87">
        <f>'P&amp;L'!U42</f>
        <v>0</v>
      </c>
      <c r="V11" s="87">
        <f>'P&amp;L'!V42</f>
        <v>0</v>
      </c>
      <c r="W11" s="87">
        <f>'P&amp;L'!W42</f>
        <v>0</v>
      </c>
      <c r="X11" s="87">
        <f>'P&amp;L'!X42</f>
        <v>0</v>
      </c>
      <c r="Y11" s="87">
        <f>'P&amp;L'!Y42</f>
        <v>0</v>
      </c>
      <c r="Z11" s="87">
        <f>'P&amp;L'!Z42</f>
        <v>0</v>
      </c>
      <c r="AA11" s="87">
        <f>'P&amp;L'!AA42</f>
        <v>0</v>
      </c>
    </row>
    <row r="12" spans="2:27" ht="13" x14ac:dyDescent="0.3">
      <c r="B12" s="102" t="s">
        <v>173</v>
      </c>
      <c r="C12" s="12"/>
      <c r="D12" s="12"/>
      <c r="E12" s="12"/>
      <c r="F12" s="12"/>
      <c r="G12" s="88">
        <f>SUM(G8:G11)</f>
        <v>-750000000</v>
      </c>
      <c r="H12" s="86">
        <f>SUM(H8:H11)</f>
        <v>129101291.42748767</v>
      </c>
      <c r="I12" s="86">
        <f>SUM(I8:I11)</f>
        <v>136990524.39053068</v>
      </c>
      <c r="J12" s="86">
        <f t="shared" ref="J12:AA12" si="1">SUM(J8:J11)</f>
        <v>145357961.82516798</v>
      </c>
      <c r="K12" s="86">
        <f t="shared" si="1"/>
        <v>154232472.50943124</v>
      </c>
      <c r="L12" s="86">
        <f t="shared" si="1"/>
        <v>163644661.32548454</v>
      </c>
      <c r="M12" s="86">
        <f t="shared" si="1"/>
        <v>173626973.16170603</v>
      </c>
      <c r="N12" s="86">
        <f t="shared" si="1"/>
        <v>184213802.99640605</v>
      </c>
      <c r="O12" s="86">
        <f t="shared" si="1"/>
        <v>195441612.52851164</v>
      </c>
      <c r="P12" s="86">
        <f t="shared" si="1"/>
        <v>207349053.74197307</v>
      </c>
      <c r="Q12" s="86">
        <f t="shared" si="1"/>
        <v>219977099.81334224</v>
      </c>
      <c r="R12" s="86">
        <f t="shared" si="1"/>
        <v>233369183.7959767</v>
      </c>
      <c r="S12" s="86">
        <f t="shared" si="1"/>
        <v>247571345.53972861</v>
      </c>
      <c r="T12" s="86">
        <f t="shared" si="1"/>
        <v>262632387.33186114</v>
      </c>
      <c r="U12" s="86">
        <f t="shared" si="1"/>
        <v>278604038.77338457</v>
      </c>
      <c r="V12" s="86">
        <f t="shared" si="1"/>
        <v>295541131.43510288</v>
      </c>
      <c r="W12" s="86">
        <f t="shared" si="1"/>
        <v>313501783.8695119</v>
      </c>
      <c r="X12" s="86">
        <f t="shared" si="1"/>
        <v>332547597.58839893</v>
      </c>
      <c r="Y12" s="86">
        <f t="shared" si="1"/>
        <v>352743864.65164351</v>
      </c>
      <c r="Z12" s="86">
        <f t="shared" si="1"/>
        <v>374159787.55045545</v>
      </c>
      <c r="AA12" s="86">
        <f t="shared" si="1"/>
        <v>396868712.10820514</v>
      </c>
    </row>
    <row r="14" spans="2:27" ht="13" x14ac:dyDescent="0.3">
      <c r="B14" s="93" t="s">
        <v>221</v>
      </c>
      <c r="C14" s="20"/>
      <c r="D14" s="20"/>
      <c r="E14" s="20"/>
      <c r="F14" s="20"/>
      <c r="G14" s="108"/>
      <c r="H14" s="104">
        <f>D3</f>
        <v>0.15</v>
      </c>
      <c r="I14" s="104">
        <f t="shared" ref="I14:AA14" si="2">IF(H21&gt;0,$D$3,$E$3)</f>
        <v>0.15</v>
      </c>
      <c r="J14" s="104">
        <f t="shared" si="2"/>
        <v>0.15</v>
      </c>
      <c r="K14" s="104">
        <f t="shared" si="2"/>
        <v>0.15</v>
      </c>
      <c r="L14" s="104">
        <f t="shared" si="2"/>
        <v>0.15</v>
      </c>
      <c r="M14" s="104">
        <f t="shared" si="2"/>
        <v>0.15</v>
      </c>
      <c r="N14" s="104">
        <f t="shared" si="2"/>
        <v>0.5</v>
      </c>
      <c r="O14" s="104">
        <f t="shared" si="2"/>
        <v>0.5</v>
      </c>
      <c r="P14" s="104">
        <f t="shared" si="2"/>
        <v>0.5</v>
      </c>
      <c r="Q14" s="104">
        <f t="shared" si="2"/>
        <v>0.5</v>
      </c>
      <c r="R14" s="104">
        <f t="shared" si="2"/>
        <v>0.5</v>
      </c>
      <c r="S14" s="104">
        <f t="shared" si="2"/>
        <v>0.5</v>
      </c>
      <c r="T14" s="104">
        <f t="shared" si="2"/>
        <v>0.5</v>
      </c>
      <c r="U14" s="104">
        <f t="shared" si="2"/>
        <v>0.5</v>
      </c>
      <c r="V14" s="104">
        <f t="shared" si="2"/>
        <v>0.5</v>
      </c>
      <c r="W14" s="104">
        <f t="shared" si="2"/>
        <v>0.5</v>
      </c>
      <c r="X14" s="104">
        <f t="shared" si="2"/>
        <v>0.5</v>
      </c>
      <c r="Y14" s="104">
        <f t="shared" si="2"/>
        <v>0.5</v>
      </c>
      <c r="Z14" s="104">
        <f t="shared" si="2"/>
        <v>0.5</v>
      </c>
      <c r="AA14" s="104">
        <f t="shared" si="2"/>
        <v>0.5</v>
      </c>
    </row>
    <row r="15" spans="2:27" x14ac:dyDescent="0.25">
      <c r="B15" s="93" t="s">
        <v>222</v>
      </c>
      <c r="E15" s="105"/>
      <c r="F15" s="105"/>
      <c r="G15" s="108"/>
      <c r="H15" s="85">
        <f>MAX(H14*H12,0)</f>
        <v>19365193.714123148</v>
      </c>
      <c r="I15" s="85">
        <f>MAX(I14*I12,0)</f>
        <v>20548578.658579599</v>
      </c>
      <c r="J15" s="85">
        <f t="shared" ref="J15:AA15" si="3">MAX(J14*J12,0)</f>
        <v>21803694.273775198</v>
      </c>
      <c r="K15" s="85">
        <f t="shared" si="3"/>
        <v>23134870.876414686</v>
      </c>
      <c r="L15" s="85">
        <f t="shared" si="3"/>
        <v>24546699.198822681</v>
      </c>
      <c r="M15" s="85">
        <f t="shared" si="3"/>
        <v>26044045.974255905</v>
      </c>
      <c r="N15" s="85">
        <f t="shared" si="3"/>
        <v>92106901.498203024</v>
      </c>
      <c r="O15" s="85">
        <f t="shared" si="3"/>
        <v>97720806.264255822</v>
      </c>
      <c r="P15" s="85">
        <f t="shared" si="3"/>
        <v>103674526.87098654</v>
      </c>
      <c r="Q15" s="85">
        <f t="shared" si="3"/>
        <v>109988549.90667112</v>
      </c>
      <c r="R15" s="85">
        <f t="shared" si="3"/>
        <v>116684591.89798835</v>
      </c>
      <c r="S15" s="85">
        <f t="shared" si="3"/>
        <v>123785672.76986431</v>
      </c>
      <c r="T15" s="85">
        <f t="shared" si="3"/>
        <v>131316193.66593057</v>
      </c>
      <c r="U15" s="85">
        <f t="shared" si="3"/>
        <v>139302019.38669229</v>
      </c>
      <c r="V15" s="85">
        <f t="shared" si="3"/>
        <v>147770565.71755144</v>
      </c>
      <c r="W15" s="85">
        <f t="shared" si="3"/>
        <v>156750891.93475595</v>
      </c>
      <c r="X15" s="85">
        <f t="shared" si="3"/>
        <v>166273798.79419947</v>
      </c>
      <c r="Y15" s="85">
        <f t="shared" si="3"/>
        <v>176371932.32582176</v>
      </c>
      <c r="Z15" s="85">
        <f t="shared" si="3"/>
        <v>187079893.77522773</v>
      </c>
      <c r="AA15" s="85">
        <f t="shared" si="3"/>
        <v>198434356.05410257</v>
      </c>
    </row>
    <row r="16" spans="2:27" x14ac:dyDescent="0.25">
      <c r="B16" s="93" t="s">
        <v>181</v>
      </c>
      <c r="E16" s="105"/>
      <c r="F16" s="105"/>
      <c r="G16" s="108"/>
      <c r="H16" s="85">
        <f>MAX(0,(1-H14)*H12)</f>
        <v>109736097.71336451</v>
      </c>
      <c r="I16" s="85">
        <f>MAX(0,(1-I14)*I12)</f>
        <v>116441945.73195107</v>
      </c>
      <c r="J16" s="85">
        <f t="shared" ref="J16:AA16" si="4">MAX(0,(1-J14)*J12)</f>
        <v>123554267.55139278</v>
      </c>
      <c r="K16" s="85">
        <f t="shared" si="4"/>
        <v>131097601.63301656</v>
      </c>
      <c r="L16" s="85">
        <f t="shared" si="4"/>
        <v>139097962.12666187</v>
      </c>
      <c r="M16" s="85">
        <f t="shared" si="4"/>
        <v>147582927.18745011</v>
      </c>
      <c r="N16" s="85">
        <f t="shared" si="4"/>
        <v>92106901.498203024</v>
      </c>
      <c r="O16" s="85">
        <f t="shared" si="4"/>
        <v>97720806.264255822</v>
      </c>
      <c r="P16" s="85">
        <f t="shared" si="4"/>
        <v>103674526.87098654</v>
      </c>
      <c r="Q16" s="85">
        <f t="shared" si="4"/>
        <v>109988549.90667112</v>
      </c>
      <c r="R16" s="85">
        <f t="shared" si="4"/>
        <v>116684591.89798835</v>
      </c>
      <c r="S16" s="85">
        <f t="shared" si="4"/>
        <v>123785672.76986431</v>
      </c>
      <c r="T16" s="85">
        <f t="shared" si="4"/>
        <v>131316193.66593057</v>
      </c>
      <c r="U16" s="85">
        <f t="shared" si="4"/>
        <v>139302019.38669229</v>
      </c>
      <c r="V16" s="85">
        <f t="shared" si="4"/>
        <v>147770565.71755144</v>
      </c>
      <c r="W16" s="85">
        <f t="shared" si="4"/>
        <v>156750891.93475595</v>
      </c>
      <c r="X16" s="85">
        <f t="shared" si="4"/>
        <v>166273798.79419947</v>
      </c>
      <c r="Y16" s="85">
        <f t="shared" si="4"/>
        <v>176371932.32582176</v>
      </c>
      <c r="Z16" s="85">
        <f t="shared" si="4"/>
        <v>187079893.77522773</v>
      </c>
      <c r="AA16" s="85">
        <f t="shared" si="4"/>
        <v>198434356.05410257</v>
      </c>
    </row>
    <row r="18" spans="2:28" ht="13" x14ac:dyDescent="0.3">
      <c r="B18" s="1" t="s">
        <v>174</v>
      </c>
    </row>
    <row r="19" spans="2:28" x14ac:dyDescent="0.25">
      <c r="B19" s="99" t="s">
        <v>175</v>
      </c>
      <c r="G19" s="108"/>
      <c r="H19" s="85">
        <f>-G11</f>
        <v>750000000</v>
      </c>
      <c r="I19" s="85">
        <f t="shared" ref="I19" si="5">H21</f>
        <v>640263902.28663552</v>
      </c>
      <c r="J19" s="85">
        <f t="shared" ref="J19" si="6">I21</f>
        <v>523821956.55468446</v>
      </c>
      <c r="K19" s="85">
        <f t="shared" ref="K19" si="7">J21</f>
        <v>400267689.00329167</v>
      </c>
      <c r="L19" s="85">
        <f t="shared" ref="L19" si="8">K21</f>
        <v>269170087.37027514</v>
      </c>
      <c r="M19" s="85">
        <f t="shared" ref="M19" si="9">L21</f>
        <v>130072125.24361327</v>
      </c>
      <c r="N19" s="85">
        <f t="shared" ref="N19" si="10">M21</f>
        <v>0</v>
      </c>
      <c r="O19" s="85">
        <f t="shared" ref="O19" si="11">N21</f>
        <v>0</v>
      </c>
      <c r="P19" s="85">
        <f t="shared" ref="P19" si="12">O21</f>
        <v>0</v>
      </c>
      <c r="Q19" s="85">
        <f t="shared" ref="Q19" si="13">P21</f>
        <v>0</v>
      </c>
      <c r="R19" s="85">
        <f t="shared" ref="R19" si="14">Q21</f>
        <v>0</v>
      </c>
      <c r="S19" s="85">
        <f t="shared" ref="S19" si="15">R21</f>
        <v>0</v>
      </c>
      <c r="T19" s="85">
        <f t="shared" ref="T19" si="16">S21</f>
        <v>0</v>
      </c>
      <c r="U19" s="85">
        <f t="shared" ref="U19" si="17">T21</f>
        <v>0</v>
      </c>
      <c r="V19" s="85">
        <f t="shared" ref="V19" si="18">U21</f>
        <v>0</v>
      </c>
      <c r="W19" s="85">
        <f t="shared" ref="W19" si="19">V21</f>
        <v>0</v>
      </c>
      <c r="X19" s="85">
        <f t="shared" ref="X19" si="20">W21</f>
        <v>0</v>
      </c>
      <c r="Y19" s="85">
        <f t="shared" ref="Y19" si="21">X21</f>
        <v>0</v>
      </c>
      <c r="Z19" s="85">
        <f t="shared" ref="Z19" si="22">Y21</f>
        <v>0</v>
      </c>
      <c r="AA19" s="85">
        <f t="shared" ref="AA19" si="23">Z21</f>
        <v>0</v>
      </c>
    </row>
    <row r="20" spans="2:28" x14ac:dyDescent="0.25">
      <c r="B20" s="99" t="s">
        <v>176</v>
      </c>
      <c r="G20" s="108"/>
      <c r="H20" s="85">
        <f>MIN(H16,H19)*-1</f>
        <v>-109736097.71336451</v>
      </c>
      <c r="I20" s="85">
        <f t="shared" ref="I20:AA20" si="24">MIN(I16,I19)*-1</f>
        <v>-116441945.73195107</v>
      </c>
      <c r="J20" s="85">
        <f t="shared" si="24"/>
        <v>-123554267.55139278</v>
      </c>
      <c r="K20" s="85">
        <f t="shared" si="24"/>
        <v>-131097601.63301656</v>
      </c>
      <c r="L20" s="85">
        <f t="shared" si="24"/>
        <v>-139097962.12666187</v>
      </c>
      <c r="M20" s="85">
        <f t="shared" si="24"/>
        <v>-130072125.24361327</v>
      </c>
      <c r="N20" s="85">
        <f t="shared" si="24"/>
        <v>0</v>
      </c>
      <c r="O20" s="85">
        <f t="shared" si="24"/>
        <v>0</v>
      </c>
      <c r="P20" s="85">
        <f t="shared" si="24"/>
        <v>0</v>
      </c>
      <c r="Q20" s="85">
        <f t="shared" si="24"/>
        <v>0</v>
      </c>
      <c r="R20" s="85">
        <f t="shared" si="24"/>
        <v>0</v>
      </c>
      <c r="S20" s="85">
        <f t="shared" si="24"/>
        <v>0</v>
      </c>
      <c r="T20" s="85">
        <f t="shared" si="24"/>
        <v>0</v>
      </c>
      <c r="U20" s="85">
        <f t="shared" si="24"/>
        <v>0</v>
      </c>
      <c r="V20" s="85">
        <f t="shared" si="24"/>
        <v>0</v>
      </c>
      <c r="W20" s="85">
        <f t="shared" si="24"/>
        <v>0</v>
      </c>
      <c r="X20" s="85">
        <f t="shared" si="24"/>
        <v>0</v>
      </c>
      <c r="Y20" s="85">
        <f t="shared" si="24"/>
        <v>0</v>
      </c>
      <c r="Z20" s="85">
        <f t="shared" si="24"/>
        <v>0</v>
      </c>
      <c r="AA20" s="85">
        <f t="shared" si="24"/>
        <v>0</v>
      </c>
    </row>
    <row r="21" spans="2:28" ht="13" x14ac:dyDescent="0.3">
      <c r="B21" s="102" t="s">
        <v>177</v>
      </c>
      <c r="C21" s="12"/>
      <c r="D21" s="12"/>
      <c r="E21" s="12"/>
      <c r="F21" s="12"/>
      <c r="G21" s="88"/>
      <c r="H21" s="86">
        <f>MAX(H19+H20,0)</f>
        <v>640263902.28663552</v>
      </c>
      <c r="I21" s="86">
        <f t="shared" ref="I21:AA21" si="25">MAX(I19+I20,0)</f>
        <v>523821956.55468446</v>
      </c>
      <c r="J21" s="86">
        <f t="shared" si="25"/>
        <v>400267689.00329167</v>
      </c>
      <c r="K21" s="86">
        <f t="shared" si="25"/>
        <v>269170087.37027514</v>
      </c>
      <c r="L21" s="86">
        <f t="shared" si="25"/>
        <v>130072125.24361327</v>
      </c>
      <c r="M21" s="86">
        <f t="shared" si="25"/>
        <v>0</v>
      </c>
      <c r="N21" s="86">
        <f t="shared" si="25"/>
        <v>0</v>
      </c>
      <c r="O21" s="86">
        <f t="shared" si="25"/>
        <v>0</v>
      </c>
      <c r="P21" s="86">
        <f t="shared" si="25"/>
        <v>0</v>
      </c>
      <c r="Q21" s="86">
        <f t="shared" si="25"/>
        <v>0</v>
      </c>
      <c r="R21" s="86">
        <f t="shared" si="25"/>
        <v>0</v>
      </c>
      <c r="S21" s="86">
        <f t="shared" si="25"/>
        <v>0</v>
      </c>
      <c r="T21" s="86">
        <f t="shared" si="25"/>
        <v>0</v>
      </c>
      <c r="U21" s="86">
        <f t="shared" si="25"/>
        <v>0</v>
      </c>
      <c r="V21" s="86">
        <f t="shared" si="25"/>
        <v>0</v>
      </c>
      <c r="W21" s="86">
        <f t="shared" si="25"/>
        <v>0</v>
      </c>
      <c r="X21" s="86">
        <f t="shared" si="25"/>
        <v>0</v>
      </c>
      <c r="Y21" s="86">
        <f t="shared" si="25"/>
        <v>0</v>
      </c>
      <c r="Z21" s="86">
        <f t="shared" si="25"/>
        <v>0</v>
      </c>
      <c r="AA21" s="86">
        <f t="shared" si="25"/>
        <v>0</v>
      </c>
    </row>
    <row r="24" spans="2:28" s="21" customFormat="1" ht="13" x14ac:dyDescent="0.3">
      <c r="B24" s="40" t="s">
        <v>219</v>
      </c>
      <c r="G24" s="109"/>
      <c r="H24" s="168">
        <f t="shared" ref="H24:AA24" si="26">IF(H21=0,$E$3,$D$3)</f>
        <v>0.15</v>
      </c>
      <c r="I24" s="168">
        <f t="shared" si="26"/>
        <v>0.15</v>
      </c>
      <c r="J24" s="168">
        <f t="shared" si="26"/>
        <v>0.15</v>
      </c>
      <c r="K24" s="168">
        <f t="shared" si="26"/>
        <v>0.15</v>
      </c>
      <c r="L24" s="168">
        <f t="shared" si="26"/>
        <v>0.15</v>
      </c>
      <c r="M24" s="168">
        <f t="shared" si="26"/>
        <v>0.5</v>
      </c>
      <c r="N24" s="168">
        <f t="shared" si="26"/>
        <v>0.5</v>
      </c>
      <c r="O24" s="168">
        <f t="shared" si="26"/>
        <v>0.5</v>
      </c>
      <c r="P24" s="168">
        <f t="shared" si="26"/>
        <v>0.5</v>
      </c>
      <c r="Q24" s="168">
        <f t="shared" si="26"/>
        <v>0.5</v>
      </c>
      <c r="R24" s="168">
        <f t="shared" si="26"/>
        <v>0.5</v>
      </c>
      <c r="S24" s="168">
        <f t="shared" si="26"/>
        <v>0.5</v>
      </c>
      <c r="T24" s="168">
        <f t="shared" si="26"/>
        <v>0.5</v>
      </c>
      <c r="U24" s="168">
        <f t="shared" si="26"/>
        <v>0.5</v>
      </c>
      <c r="V24" s="168">
        <f t="shared" si="26"/>
        <v>0.5</v>
      </c>
      <c r="W24" s="168">
        <f t="shared" si="26"/>
        <v>0.5</v>
      </c>
      <c r="X24" s="168">
        <f t="shared" si="26"/>
        <v>0.5</v>
      </c>
      <c r="Y24" s="168">
        <f t="shared" si="26"/>
        <v>0.5</v>
      </c>
      <c r="Z24" s="168">
        <f t="shared" si="26"/>
        <v>0.5</v>
      </c>
      <c r="AA24" s="168">
        <f t="shared" si="26"/>
        <v>0.5</v>
      </c>
    </row>
    <row r="25" spans="2:28" ht="13" x14ac:dyDescent="0.3">
      <c r="B25" s="12" t="s">
        <v>218</v>
      </c>
      <c r="C25" s="12"/>
      <c r="D25" s="12"/>
      <c r="E25" s="12"/>
      <c r="F25" s="12"/>
      <c r="G25" s="106"/>
      <c r="H25" s="86">
        <f>H24*H12</f>
        <v>19365193.714123148</v>
      </c>
      <c r="I25" s="86">
        <f>I24*I12</f>
        <v>20548578.658579599</v>
      </c>
      <c r="J25" s="86">
        <f t="shared" ref="J25:AA25" si="27">J24*J12</f>
        <v>21803694.273775198</v>
      </c>
      <c r="K25" s="86">
        <f t="shared" si="27"/>
        <v>23134870.876414686</v>
      </c>
      <c r="L25" s="86">
        <f t="shared" si="27"/>
        <v>24546699.198822681</v>
      </c>
      <c r="M25" s="86">
        <f t="shared" si="27"/>
        <v>86813486.580853015</v>
      </c>
      <c r="N25" s="86">
        <f t="shared" si="27"/>
        <v>92106901.498203024</v>
      </c>
      <c r="O25" s="86">
        <f t="shared" si="27"/>
        <v>97720806.264255822</v>
      </c>
      <c r="P25" s="86">
        <f t="shared" si="27"/>
        <v>103674526.87098654</v>
      </c>
      <c r="Q25" s="86">
        <f t="shared" si="27"/>
        <v>109988549.90667112</v>
      </c>
      <c r="R25" s="86">
        <f t="shared" si="27"/>
        <v>116684591.89798835</v>
      </c>
      <c r="S25" s="86">
        <f t="shared" si="27"/>
        <v>123785672.76986431</v>
      </c>
      <c r="T25" s="86">
        <f t="shared" si="27"/>
        <v>131316193.66593057</v>
      </c>
      <c r="U25" s="86">
        <f t="shared" si="27"/>
        <v>139302019.38669229</v>
      </c>
      <c r="V25" s="86">
        <f t="shared" si="27"/>
        <v>147770565.71755144</v>
      </c>
      <c r="W25" s="86">
        <f t="shared" si="27"/>
        <v>156750891.93475595</v>
      </c>
      <c r="X25" s="86">
        <f t="shared" si="27"/>
        <v>166273798.79419947</v>
      </c>
      <c r="Y25" s="86">
        <f t="shared" si="27"/>
        <v>176371932.32582176</v>
      </c>
      <c r="Z25" s="86">
        <f t="shared" si="27"/>
        <v>187079893.77522773</v>
      </c>
      <c r="AA25" s="86">
        <f t="shared" si="27"/>
        <v>198434356.05410257</v>
      </c>
    </row>
    <row r="27" spans="2:28" x14ac:dyDescent="0.25">
      <c r="B27" s="93" t="s">
        <v>180</v>
      </c>
      <c r="H27" s="85">
        <f>MIN(0,-H25*H28)</f>
        <v>-4066690.6799658611</v>
      </c>
      <c r="I27" s="85">
        <f t="shared" ref="I27:AA27" si="28">MIN(0,-I25*I28)</f>
        <v>-4315201.5183017161</v>
      </c>
      <c r="J27" s="85">
        <f t="shared" si="28"/>
        <v>-4578775.797492791</v>
      </c>
      <c r="K27" s="85">
        <f t="shared" si="28"/>
        <v>-4858322.8840470836</v>
      </c>
      <c r="L27" s="85">
        <f t="shared" si="28"/>
        <v>-5154806.8317527631</v>
      </c>
      <c r="M27" s="85">
        <f t="shared" si="28"/>
        <v>-18230832.181979131</v>
      </c>
      <c r="N27" s="85">
        <f t="shared" si="28"/>
        <v>-19342449.314622633</v>
      </c>
      <c r="O27" s="85">
        <f t="shared" si="28"/>
        <v>-20521369.315493722</v>
      </c>
      <c r="P27" s="85">
        <f t="shared" si="28"/>
        <v>-21771650.642907172</v>
      </c>
      <c r="Q27" s="85">
        <f t="shared" si="28"/>
        <v>-23097595.480400935</v>
      </c>
      <c r="R27" s="85">
        <f t="shared" si="28"/>
        <v>-24503764.298577551</v>
      </c>
      <c r="S27" s="85">
        <f t="shared" si="28"/>
        <v>-25994991.281671502</v>
      </c>
      <c r="T27" s="85">
        <f t="shared" si="28"/>
        <v>-27576400.669845417</v>
      </c>
      <c r="U27" s="85">
        <f t="shared" si="28"/>
        <v>-29253424.071205378</v>
      </c>
      <c r="V27" s="85">
        <f t="shared" si="28"/>
        <v>-31031818.800685801</v>
      </c>
      <c r="W27" s="85">
        <f t="shared" si="28"/>
        <v>-32917687.306298748</v>
      </c>
      <c r="X27" s="85">
        <f t="shared" si="28"/>
        <v>-34917497.746781886</v>
      </c>
      <c r="Y27" s="85">
        <f t="shared" si="28"/>
        <v>-37038105.78842257</v>
      </c>
      <c r="Z27" s="85">
        <f t="shared" si="28"/>
        <v>-39286777.692797817</v>
      </c>
      <c r="AA27" s="85">
        <f t="shared" si="28"/>
        <v>-41671214.771361537</v>
      </c>
    </row>
    <row r="28" spans="2:28" ht="13" x14ac:dyDescent="0.3">
      <c r="B28" s="21" t="s">
        <v>31</v>
      </c>
      <c r="H28" s="110">
        <f>'P&amp;L'!H37</f>
        <v>0.21</v>
      </c>
      <c r="I28" s="110">
        <f>'P&amp;L'!I37</f>
        <v>0.21</v>
      </c>
      <c r="J28" s="110">
        <f>'P&amp;L'!J37</f>
        <v>0.21</v>
      </c>
      <c r="K28" s="110">
        <f>'P&amp;L'!K37</f>
        <v>0.21</v>
      </c>
      <c r="L28" s="110">
        <f>'P&amp;L'!L37</f>
        <v>0.21</v>
      </c>
      <c r="M28" s="110">
        <f>'P&amp;L'!M37</f>
        <v>0.21</v>
      </c>
      <c r="N28" s="110">
        <f>'P&amp;L'!N37</f>
        <v>0.21</v>
      </c>
      <c r="O28" s="110">
        <f>'P&amp;L'!O37</f>
        <v>0.21</v>
      </c>
      <c r="P28" s="110">
        <f>'P&amp;L'!P37</f>
        <v>0.21</v>
      </c>
      <c r="Q28" s="110">
        <f>'P&amp;L'!Q37</f>
        <v>0.21</v>
      </c>
      <c r="R28" s="110">
        <f>'P&amp;L'!R37</f>
        <v>0.21</v>
      </c>
      <c r="S28" s="110">
        <f>'P&amp;L'!S37</f>
        <v>0.21</v>
      </c>
      <c r="T28" s="110">
        <f>'P&amp;L'!T37</f>
        <v>0.21</v>
      </c>
      <c r="U28" s="110">
        <f>'P&amp;L'!U37</f>
        <v>0.21</v>
      </c>
      <c r="V28" s="110">
        <f>'P&amp;L'!V37</f>
        <v>0.21</v>
      </c>
      <c r="W28" s="110">
        <f>'P&amp;L'!W37</f>
        <v>0.21</v>
      </c>
      <c r="X28" s="110">
        <f>'P&amp;L'!X37</f>
        <v>0.21</v>
      </c>
      <c r="Y28" s="110">
        <f>'P&amp;L'!Y37</f>
        <v>0.21</v>
      </c>
      <c r="Z28" s="110">
        <f>'P&amp;L'!Z37</f>
        <v>0.21</v>
      </c>
      <c r="AA28" s="110">
        <f>'P&amp;L'!AA37</f>
        <v>0.21</v>
      </c>
      <c r="AB28" s="1" t="s">
        <v>69</v>
      </c>
    </row>
    <row r="29" spans="2:28" ht="13" x14ac:dyDescent="0.3">
      <c r="B29" s="12" t="s">
        <v>223</v>
      </c>
      <c r="C29" s="12"/>
      <c r="D29" s="12"/>
      <c r="E29" s="12"/>
      <c r="F29" s="12"/>
      <c r="G29" s="106"/>
      <c r="H29" s="86">
        <f t="shared" ref="H29" si="29">SUM(H27,H25)</f>
        <v>15298503.034157287</v>
      </c>
      <c r="I29" s="86">
        <f>SUM(I27,I25)</f>
        <v>16233377.140277883</v>
      </c>
      <c r="J29" s="86">
        <f t="shared" ref="J29:AA29" si="30">SUM(J27,J25)</f>
        <v>17224918.476282407</v>
      </c>
      <c r="K29" s="86">
        <f t="shared" si="30"/>
        <v>18276547.992367603</v>
      </c>
      <c r="L29" s="86">
        <f t="shared" si="30"/>
        <v>19391892.367069919</v>
      </c>
      <c r="M29" s="86">
        <f t="shared" si="30"/>
        <v>68582654.398873881</v>
      </c>
      <c r="N29" s="86">
        <f t="shared" si="30"/>
        <v>72764452.183580399</v>
      </c>
      <c r="O29" s="86">
        <f t="shared" si="30"/>
        <v>77199436.948762104</v>
      </c>
      <c r="P29" s="86">
        <f t="shared" si="30"/>
        <v>81902876.228079364</v>
      </c>
      <c r="Q29" s="86">
        <f t="shared" si="30"/>
        <v>86890954.426270187</v>
      </c>
      <c r="R29" s="86">
        <f t="shared" si="30"/>
        <v>92180827.599410802</v>
      </c>
      <c r="S29" s="86">
        <f t="shared" si="30"/>
        <v>97790681.488192797</v>
      </c>
      <c r="T29" s="86">
        <f t="shared" si="30"/>
        <v>103739792.99608515</v>
      </c>
      <c r="U29" s="86">
        <f t="shared" si="30"/>
        <v>110048595.31548691</v>
      </c>
      <c r="V29" s="86">
        <f t="shared" si="30"/>
        <v>116738746.91686565</v>
      </c>
      <c r="W29" s="86">
        <f t="shared" si="30"/>
        <v>123833204.6284572</v>
      </c>
      <c r="X29" s="86">
        <f t="shared" si="30"/>
        <v>131356301.04741758</v>
      </c>
      <c r="Y29" s="86">
        <f t="shared" si="30"/>
        <v>139333826.53739917</v>
      </c>
      <c r="Z29" s="86">
        <f t="shared" si="30"/>
        <v>147793116.08242992</v>
      </c>
      <c r="AA29" s="86">
        <f t="shared" si="30"/>
        <v>156763141.28274104</v>
      </c>
      <c r="AB29" s="100">
        <f>AA29*(1+E33)/(E32-E33)</f>
        <v>2306657650.3031893</v>
      </c>
    </row>
    <row r="30" spans="2:28" ht="13" x14ac:dyDescent="0.3">
      <c r="B30" s="21" t="s">
        <v>170</v>
      </c>
      <c r="H30" s="180">
        <f>H29</f>
        <v>15298503.034157287</v>
      </c>
      <c r="I30" s="180">
        <f>H30+I29</f>
        <v>31531880.174435169</v>
      </c>
      <c r="J30" s="180">
        <f t="shared" ref="J30:AA30" si="31">I30+J29</f>
        <v>48756798.650717571</v>
      </c>
      <c r="K30" s="180">
        <f t="shared" si="31"/>
        <v>67033346.643085174</v>
      </c>
      <c r="L30" s="180">
        <f t="shared" si="31"/>
        <v>86425239.010155097</v>
      </c>
      <c r="M30" s="180">
        <f t="shared" si="31"/>
        <v>155007893.40902898</v>
      </c>
      <c r="N30" s="180">
        <f t="shared" si="31"/>
        <v>227772345.59260938</v>
      </c>
      <c r="O30" s="180">
        <f t="shared" si="31"/>
        <v>304971782.54137146</v>
      </c>
      <c r="P30" s="180">
        <f t="shared" si="31"/>
        <v>386874658.76945084</v>
      </c>
      <c r="Q30" s="180">
        <f t="shared" si="31"/>
        <v>473765613.19572103</v>
      </c>
      <c r="R30" s="180">
        <f t="shared" si="31"/>
        <v>565946440.7951318</v>
      </c>
      <c r="S30" s="180">
        <f t="shared" si="31"/>
        <v>663737122.2833246</v>
      </c>
      <c r="T30" s="180">
        <f t="shared" si="31"/>
        <v>767476915.27940977</v>
      </c>
      <c r="U30" s="180">
        <f t="shared" si="31"/>
        <v>877525510.59489667</v>
      </c>
      <c r="V30" s="180">
        <f t="shared" si="31"/>
        <v>994264257.51176238</v>
      </c>
      <c r="W30" s="180">
        <f t="shared" si="31"/>
        <v>1118097462.1402197</v>
      </c>
      <c r="X30" s="180">
        <f t="shared" si="31"/>
        <v>1249453763.1876373</v>
      </c>
      <c r="Y30" s="180">
        <f t="shared" si="31"/>
        <v>1388787589.7250366</v>
      </c>
      <c r="Z30" s="180">
        <f t="shared" si="31"/>
        <v>1536580705.8074665</v>
      </c>
      <c r="AA30" s="180">
        <f t="shared" si="31"/>
        <v>1693343847.0902076</v>
      </c>
    </row>
    <row r="32" spans="2:28" x14ac:dyDescent="0.25">
      <c r="B32" s="112" t="s">
        <v>45</v>
      </c>
      <c r="C32" s="118"/>
      <c r="D32" s="118"/>
      <c r="E32" s="119">
        <f>'P&amp;L'!E46</f>
        <v>0.1</v>
      </c>
    </row>
    <row r="33" spans="2:28" x14ac:dyDescent="0.25">
      <c r="B33" s="120" t="s">
        <v>46</v>
      </c>
      <c r="C33" s="121"/>
      <c r="D33" s="121"/>
      <c r="E33" s="122">
        <f>'P&amp;L'!E47</f>
        <v>0.03</v>
      </c>
    </row>
    <row r="35" spans="2:28" ht="13" x14ac:dyDescent="0.3">
      <c r="B35" s="12" t="s">
        <v>184</v>
      </c>
      <c r="C35" s="12"/>
      <c r="D35" s="12"/>
      <c r="E35" s="12"/>
      <c r="F35" s="12"/>
      <c r="G35" s="106"/>
      <c r="H35" s="86">
        <f t="shared" ref="H35:AA35" si="32">H29/(1+$E$32)^H5</f>
        <v>13907730.031052079</v>
      </c>
      <c r="I35" s="86">
        <f t="shared" si="32"/>
        <v>13416014.16551891</v>
      </c>
      <c r="J35" s="86">
        <f t="shared" si="32"/>
        <v>12941336.19555402</v>
      </c>
      <c r="K35" s="86">
        <f t="shared" si="32"/>
        <v>12483128.196412539</v>
      </c>
      <c r="L35" s="86">
        <f t="shared" si="32"/>
        <v>12040839.465181783</v>
      </c>
      <c r="M35" s="86">
        <f t="shared" si="32"/>
        <v>38713120.462052308</v>
      </c>
      <c r="N35" s="86">
        <f t="shared" si="32"/>
        <v>37339669.356614336</v>
      </c>
      <c r="O35" s="86">
        <f t="shared" si="32"/>
        <v>36014107.084633484</v>
      </c>
      <c r="P35" s="86">
        <f t="shared" si="32"/>
        <v>34734814.746184848</v>
      </c>
      <c r="Q35" s="86">
        <f t="shared" si="32"/>
        <v>33500224.391175713</v>
      </c>
      <c r="R35" s="86">
        <f t="shared" si="32"/>
        <v>32308817.722739432</v>
      </c>
      <c r="S35" s="86">
        <f t="shared" si="32"/>
        <v>31159124.807035897</v>
      </c>
      <c r="T35" s="86">
        <f t="shared" si="32"/>
        <v>30049722.79222339</v>
      </c>
      <c r="U35" s="86">
        <f t="shared" si="32"/>
        <v>28979234.63904934</v>
      </c>
      <c r="V35" s="86">
        <f t="shared" si="32"/>
        <v>27946327.865216572</v>
      </c>
      <c r="W35" s="86">
        <f t="shared" si="32"/>
        <v>26949713.305415764</v>
      </c>
      <c r="X35" s="86">
        <f t="shared" si="32"/>
        <v>25988143.888672791</v>
      </c>
      <c r="Y35" s="86">
        <f t="shared" si="32"/>
        <v>25060413.434436895</v>
      </c>
      <c r="Z35" s="86">
        <f t="shared" si="32"/>
        <v>24165355.468634345</v>
      </c>
      <c r="AA35" s="86">
        <f t="shared" si="32"/>
        <v>23301842.06072801</v>
      </c>
      <c r="AB35" s="86">
        <f>AB29/(1+$E$32)^AA5</f>
        <v>342869961.7507121</v>
      </c>
    </row>
    <row r="38" spans="2:28" ht="13" x14ac:dyDescent="0.3">
      <c r="B38" s="123" t="s">
        <v>183</v>
      </c>
      <c r="C38" s="124"/>
      <c r="D38" s="124"/>
      <c r="E38" s="125">
        <f>SUM(H35:AB35)</f>
        <v>863869641.82924461</v>
      </c>
    </row>
    <row r="43" spans="2:28" ht="13" x14ac:dyDescent="0.3">
      <c r="G43" s="93"/>
      <c r="H43" s="31" t="s">
        <v>182</v>
      </c>
      <c r="I43" s="32"/>
      <c r="J43" s="32"/>
      <c r="K43" s="32"/>
      <c r="L43" s="32"/>
      <c r="M43" s="32"/>
      <c r="N43" s="32"/>
    </row>
    <row r="44" spans="2:28" x14ac:dyDescent="0.25">
      <c r="G44" s="33"/>
      <c r="H44" s="181">
        <f>E38</f>
        <v>863869641.82924461</v>
      </c>
      <c r="I44" s="182">
        <v>0.05</v>
      </c>
      <c r="J44" s="182">
        <v>0.1</v>
      </c>
      <c r="K44" s="182">
        <v>0.15</v>
      </c>
      <c r="L44" s="182">
        <v>0.2</v>
      </c>
      <c r="M44" s="182">
        <v>0.25</v>
      </c>
      <c r="N44" s="182">
        <v>0.3</v>
      </c>
    </row>
    <row r="45" spans="2:28" ht="13" x14ac:dyDescent="0.25">
      <c r="G45" s="34"/>
      <c r="H45" s="183">
        <v>0.3</v>
      </c>
      <c r="I45" s="184">
        <f t="dataTable" ref="I45:N50" dt2D="1" dtr="1" r1="D3" r2="E3" ca="1"/>
        <v>501044705.61655486</v>
      </c>
      <c r="J45" s="184">
        <v>522641054.96779466</v>
      </c>
      <c r="K45" s="184">
        <v>544237404.31903446</v>
      </c>
      <c r="L45" s="184">
        <v>558091129.57786381</v>
      </c>
      <c r="M45" s="184">
        <v>583558790.9753089</v>
      </c>
      <c r="N45" s="184">
        <v>609026452.37275386</v>
      </c>
    </row>
    <row r="46" spans="2:28" ht="13" x14ac:dyDescent="0.25">
      <c r="G46" s="34" t="s">
        <v>185</v>
      </c>
      <c r="H46" s="183">
        <f>H45+0.1</f>
        <v>0.4</v>
      </c>
      <c r="I46" s="184">
        <v>660860824.37165999</v>
      </c>
      <c r="J46" s="184">
        <v>682457173.72289979</v>
      </c>
      <c r="K46" s="184">
        <v>704053523.0741396</v>
      </c>
      <c r="L46" s="184">
        <v>710164624.24055839</v>
      </c>
      <c r="M46" s="184">
        <v>735632285.63800347</v>
      </c>
      <c r="N46" s="184">
        <v>761099947.03544855</v>
      </c>
    </row>
    <row r="47" spans="2:28" ht="12.5" customHeight="1" x14ac:dyDescent="0.25">
      <c r="G47" s="34" t="s">
        <v>10</v>
      </c>
      <c r="H47" s="183">
        <f>H46+0.1</f>
        <v>0.5</v>
      </c>
      <c r="I47" s="184">
        <v>820676943.12676501</v>
      </c>
      <c r="J47" s="184">
        <v>842273292.47800481</v>
      </c>
      <c r="K47" s="184">
        <v>863869641.82924461</v>
      </c>
      <c r="L47" s="184">
        <v>862238118.90325308</v>
      </c>
      <c r="M47" s="184">
        <v>887705780.30069804</v>
      </c>
      <c r="N47" s="184">
        <v>913173441.69814301</v>
      </c>
    </row>
    <row r="48" spans="2:28" ht="13" x14ac:dyDescent="0.25">
      <c r="G48" s="34" t="s">
        <v>11</v>
      </c>
      <c r="H48" s="183">
        <f>H47+0.1</f>
        <v>0.6</v>
      </c>
      <c r="I48" s="184">
        <v>980493061.88187003</v>
      </c>
      <c r="J48" s="184">
        <v>1002089411.2331097</v>
      </c>
      <c r="K48" s="184">
        <v>1023685760.5843496</v>
      </c>
      <c r="L48" s="184">
        <v>1014311613.5659475</v>
      </c>
      <c r="M48" s="184">
        <v>1039779274.9633925</v>
      </c>
      <c r="N48" s="184">
        <v>1065246936.3608375</v>
      </c>
    </row>
    <row r="49" spans="7:14" x14ac:dyDescent="0.25">
      <c r="G49" s="33"/>
      <c r="H49" s="183">
        <f>H48+0.1</f>
        <v>0.7</v>
      </c>
      <c r="I49" s="184">
        <v>1140309180.6369753</v>
      </c>
      <c r="J49" s="184">
        <v>1161905529.988215</v>
      </c>
      <c r="K49" s="184">
        <v>1183501879.3394547</v>
      </c>
      <c r="L49" s="184">
        <v>1166385108.228642</v>
      </c>
      <c r="M49" s="184">
        <v>1191852769.6260872</v>
      </c>
      <c r="N49" s="184">
        <v>1217320431.0235324</v>
      </c>
    </row>
    <row r="50" spans="7:14" x14ac:dyDescent="0.25">
      <c r="G50" s="33"/>
      <c r="H50" s="183">
        <f>H49+0.1</f>
        <v>0.79999999999999993</v>
      </c>
      <c r="I50" s="184">
        <v>1300125299.3920801</v>
      </c>
      <c r="J50" s="184">
        <v>1321721648.74332</v>
      </c>
      <c r="K50" s="184">
        <v>1343317998.0945597</v>
      </c>
      <c r="L50" s="184">
        <v>1318458602.8913364</v>
      </c>
      <c r="M50" s="184">
        <v>1343926264.2887816</v>
      </c>
      <c r="N50" s="184">
        <v>1369393925.6862268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0CB07F-DCD1-420C-98E0-7289D7E4A6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P&amp;L</vt:lpstr>
      <vt:lpstr>Model Build</vt:lpstr>
      <vt:lpstr>Comps</vt:lpstr>
      <vt:lpstr>Licensing Agreement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Motey</dc:creator>
  <cp:lastModifiedBy>Motey, Andrew</cp:lastModifiedBy>
  <dcterms:created xsi:type="dcterms:W3CDTF">2015-06-05T18:17:20Z</dcterms:created>
  <dcterms:modified xsi:type="dcterms:W3CDTF">2025-07-10T22:23:04Z</dcterms:modified>
</cp:coreProperties>
</file>