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/>
  <xr:revisionPtr revIDLastSave="0" documentId="8_{C489842F-8A6B-4821-A406-9710222583C2}" xr6:coauthVersionLast="47" xr6:coauthVersionMax="47" xr10:uidLastSave="{00000000-0000-0000-0000-000000000000}"/>
  <bookViews>
    <workbookView xWindow="240" yWindow="105" windowWidth="14805" windowHeight="8010" firstSheet="4" xr2:uid="{00000000-000D-0000-FFFF-FFFF00000000}"/>
  </bookViews>
  <sheets>
    <sheet name="Full Data Set" sheetId="7" r:id="rId1"/>
    <sheet name="Data 2023-2024" sheetId="5" r:id="rId2"/>
    <sheet name="Data 2022-2023" sheetId="3" r:id="rId3"/>
    <sheet name="Data 2021-2022" sheetId="4" r:id="rId4"/>
    <sheet name="Year Over Year" sheetId="6" r:id="rId5"/>
    <sheet name="Spearman Rank Correlation" sheetId="2" r:id="rId6"/>
  </sheets>
  <definedNames>
    <definedName name="_xlnm._FilterDatabase" localSheetId="5" hidden="1">'Spearman Rank Correlation'!$A$1:$F$1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L6" i="6"/>
  <c r="L4" i="6"/>
  <c r="J6" i="2"/>
  <c r="J9" i="2"/>
  <c r="D9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D2" i="2"/>
  <c r="C2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Q6" i="4"/>
  <c r="Q6" i="3"/>
  <c r="S6" i="5"/>
  <c r="Q6" i="7"/>
  <c r="C36" i="4"/>
  <c r="D36" i="4"/>
  <c r="F36" i="4"/>
  <c r="G36" i="4"/>
  <c r="I36" i="4"/>
  <c r="J36" i="4"/>
  <c r="K36" i="4"/>
  <c r="L36" i="4"/>
  <c r="M36" i="4"/>
  <c r="N36" i="4"/>
  <c r="C37" i="4"/>
  <c r="D37" i="4"/>
  <c r="F37" i="4"/>
  <c r="G37" i="4"/>
  <c r="I37" i="4"/>
  <c r="J37" i="4"/>
  <c r="K37" i="4"/>
  <c r="L37" i="4"/>
  <c r="M37" i="4"/>
  <c r="N37" i="4"/>
  <c r="B37" i="4"/>
  <c r="B36" i="4"/>
  <c r="C36" i="3"/>
  <c r="D36" i="3"/>
  <c r="F36" i="3"/>
  <c r="G36" i="3"/>
  <c r="I36" i="3"/>
  <c r="J36" i="3"/>
  <c r="K36" i="3"/>
  <c r="L36" i="3"/>
  <c r="M36" i="3"/>
  <c r="N36" i="3"/>
  <c r="C37" i="3"/>
  <c r="D37" i="3"/>
  <c r="F37" i="3"/>
  <c r="G37" i="3"/>
  <c r="I37" i="3"/>
  <c r="J37" i="3"/>
  <c r="K37" i="3"/>
  <c r="L37" i="3"/>
  <c r="M37" i="3"/>
  <c r="N37" i="3"/>
  <c r="B37" i="3"/>
  <c r="B36" i="3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7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6" i="5"/>
  <c r="C101" i="7"/>
  <c r="D101" i="7"/>
  <c r="E101" i="7"/>
  <c r="F101" i="7"/>
  <c r="G101" i="7"/>
  <c r="H101" i="7"/>
  <c r="I101" i="7"/>
  <c r="J101" i="7"/>
  <c r="K101" i="7"/>
  <c r="L101" i="7"/>
  <c r="M101" i="7"/>
  <c r="N101" i="7"/>
  <c r="B101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B100" i="7"/>
  <c r="C99" i="7"/>
  <c r="D99" i="7"/>
  <c r="E99" i="7"/>
  <c r="F99" i="7"/>
  <c r="G99" i="7"/>
  <c r="H99" i="7"/>
  <c r="I99" i="7"/>
  <c r="J99" i="7"/>
  <c r="K99" i="7"/>
  <c r="L99" i="7"/>
  <c r="M99" i="7"/>
  <c r="N99" i="7"/>
  <c r="B99" i="7"/>
  <c r="E13" i="2"/>
  <c r="F13" i="2"/>
  <c r="E14" i="2"/>
  <c r="F14" i="2"/>
  <c r="E21" i="2"/>
  <c r="F21" i="2"/>
  <c r="E15" i="2"/>
  <c r="F15" i="2"/>
  <c r="E18" i="2"/>
  <c r="F18" i="2"/>
  <c r="E26" i="2"/>
  <c r="F26" i="2"/>
  <c r="E19" i="2"/>
  <c r="F19" i="2"/>
  <c r="E6" i="2"/>
  <c r="F6" i="2"/>
  <c r="E27" i="2"/>
  <c r="F27" i="2"/>
  <c r="E8" i="2"/>
  <c r="F8" i="2"/>
  <c r="E24" i="2"/>
  <c r="F24" i="2"/>
  <c r="E17" i="2"/>
  <c r="F17" i="2"/>
  <c r="E16" i="2"/>
  <c r="F16" i="2"/>
  <c r="E10" i="2"/>
  <c r="F10" i="2"/>
  <c r="E22" i="2"/>
  <c r="F22" i="2"/>
  <c r="E33" i="2"/>
  <c r="F33" i="2"/>
  <c r="E2" i="2"/>
  <c r="F2" i="2"/>
  <c r="E5" i="2"/>
  <c r="F5" i="2"/>
  <c r="E20" i="2"/>
  <c r="F20" i="2"/>
  <c r="E28" i="2"/>
  <c r="F28" i="2"/>
  <c r="E7" i="2"/>
  <c r="F7" i="2"/>
  <c r="E29" i="2"/>
  <c r="F29" i="2"/>
  <c r="E12" i="2"/>
  <c r="F12" i="2"/>
  <c r="E11" i="2"/>
  <c r="F11" i="2"/>
  <c r="E30" i="2"/>
  <c r="F30" i="2"/>
  <c r="E23" i="2"/>
  <c r="F23" i="2"/>
  <c r="E4" i="2"/>
  <c r="F4" i="2"/>
  <c r="E32" i="2"/>
  <c r="F32" i="2"/>
  <c r="E9" i="2"/>
  <c r="F9" i="2"/>
  <c r="E25" i="2"/>
  <c r="F25" i="2"/>
  <c r="E31" i="2"/>
  <c r="F31" i="2"/>
  <c r="E3" i="2"/>
  <c r="F3" i="2"/>
  <c r="Q5" i="4"/>
  <c r="Q3" i="4"/>
  <c r="Q5" i="3"/>
  <c r="Q3" i="3"/>
  <c r="S8" i="5"/>
  <c r="S7" i="5"/>
  <c r="S5" i="5"/>
  <c r="S4" i="5"/>
  <c r="S3" i="5"/>
  <c r="Q8" i="7"/>
  <c r="Q7" i="7"/>
  <c r="Q5" i="7"/>
  <c r="Q4" i="7"/>
  <c r="Q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6"/>
  <c r="C35" i="4"/>
  <c r="L5" i="6"/>
  <c r="D35" i="4"/>
  <c r="F35" i="4"/>
  <c r="L7" i="6"/>
  <c r="G35" i="4"/>
  <c r="L8" i="6"/>
  <c r="I35" i="4"/>
  <c r="L9" i="6"/>
  <c r="J35" i="4"/>
  <c r="L10" i="6"/>
  <c r="K35" i="4"/>
  <c r="L35" i="4"/>
  <c r="M35" i="4"/>
  <c r="N35" i="4"/>
  <c r="B3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C35" i="5"/>
  <c r="N5" i="6"/>
  <c r="D35" i="5"/>
  <c r="E35" i="5"/>
  <c r="F35" i="5"/>
  <c r="N7" i="6"/>
  <c r="G35" i="5"/>
  <c r="N8" i="6"/>
  <c r="H35" i="5"/>
  <c r="I35" i="5"/>
  <c r="N9" i="6"/>
  <c r="J35" i="5"/>
  <c r="N10" i="6"/>
  <c r="K35" i="5"/>
  <c r="L35" i="5"/>
  <c r="M35" i="5"/>
  <c r="N35" i="5"/>
  <c r="O35" i="5"/>
  <c r="B35" i="5"/>
  <c r="N4" i="6"/>
  <c r="C35" i="3"/>
  <c r="M5" i="6"/>
  <c r="D35" i="3"/>
  <c r="F35" i="3"/>
  <c r="M7" i="6"/>
  <c r="G35" i="3"/>
  <c r="M8" i="6"/>
  <c r="I35" i="3"/>
  <c r="M9" i="6"/>
  <c r="J35" i="3"/>
  <c r="M10" i="6"/>
  <c r="K35" i="3"/>
  <c r="L35" i="3"/>
  <c r="M35" i="3"/>
  <c r="N35" i="3"/>
  <c r="B35" i="3"/>
  <c r="M4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H7" i="3"/>
  <c r="H19" i="3"/>
  <c r="H31" i="3"/>
  <c r="H29" i="3"/>
  <c r="H9" i="3"/>
  <c r="H13" i="3"/>
  <c r="H11" i="3"/>
  <c r="H21" i="3"/>
  <c r="H15" i="3"/>
  <c r="H16" i="3"/>
  <c r="H26" i="3"/>
  <c r="H28" i="3"/>
  <c r="H33" i="3"/>
  <c r="H20" i="3"/>
  <c r="H6" i="3"/>
  <c r="H14" i="3"/>
  <c r="H18" i="3"/>
  <c r="H5" i="3"/>
  <c r="H24" i="3"/>
  <c r="H22" i="3"/>
  <c r="H30" i="3"/>
  <c r="H27" i="3"/>
  <c r="H32" i="3"/>
  <c r="H12" i="3"/>
  <c r="H23" i="3"/>
  <c r="H3" i="3"/>
  <c r="H17" i="3"/>
  <c r="H25" i="3"/>
  <c r="H8" i="3"/>
  <c r="H10" i="3"/>
  <c r="H2" i="3"/>
  <c r="H4" i="3"/>
  <c r="J7" i="2"/>
  <c r="H36" i="4"/>
  <c r="H37" i="4"/>
  <c r="E36" i="4"/>
  <c r="E37" i="4"/>
  <c r="H36" i="3"/>
  <c r="H37" i="3"/>
  <c r="E36" i="3"/>
  <c r="E37" i="3"/>
  <c r="J8" i="2"/>
  <c r="J10" i="2"/>
  <c r="H35" i="4"/>
  <c r="E35" i="4"/>
  <c r="H35" i="3"/>
  <c r="E35" i="3"/>
  <c r="M6" i="6"/>
  <c r="Q8" i="3"/>
  <c r="Q7" i="3"/>
  <c r="Q4" i="3"/>
  <c r="Q8" i="4"/>
  <c r="Q7" i="4"/>
  <c r="Q4" i="4"/>
</calcChain>
</file>

<file path=xl/sharedStrings.xml><?xml version="1.0" encoding="utf-8"?>
<sst xmlns="http://schemas.openxmlformats.org/spreadsheetml/2006/main" count="388" uniqueCount="87">
  <si>
    <t>Team</t>
  </si>
  <si>
    <t>Save %</t>
  </si>
  <si>
    <t>Skating Distance Penalty Killing (Total)</t>
  </si>
  <si>
    <t>Skating Distance Penalty Killing (per 60)</t>
  </si>
  <si>
    <t>Skating Distance Penalty Killing (per PIM)</t>
  </si>
  <si>
    <t>Penalty Kill %</t>
  </si>
  <si>
    <t>Net Penalty Kill %</t>
  </si>
  <si>
    <t>Net PK vs PK Difference</t>
  </si>
  <si>
    <t>PIM</t>
  </si>
  <si>
    <t>SHG</t>
  </si>
  <si>
    <t>GA</t>
  </si>
  <si>
    <t>GA/GP</t>
  </si>
  <si>
    <t>SA/GP</t>
  </si>
  <si>
    <t>Power Play%</t>
  </si>
  <si>
    <t>Anaheim Ducks</t>
  </si>
  <si>
    <t>Pearson</t>
  </si>
  <si>
    <t>Spearman</t>
  </si>
  <si>
    <t>Correlation (Save % vs. PK %)</t>
  </si>
  <si>
    <t>Correlation (Distance per PIM vs. PK %)</t>
  </si>
  <si>
    <t>Arizona Coyotes</t>
  </si>
  <si>
    <t>Correlation (SHG vs. PK %)</t>
  </si>
  <si>
    <t>Correlation (SA/GP vs. PK%)</t>
  </si>
  <si>
    <t>Correlation (SHG vs. Distance per PIM)</t>
  </si>
  <si>
    <t>Boston Bruins</t>
  </si>
  <si>
    <t>Correlation (PK % vs. Net PK Difference)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</si>
  <si>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</si>
  <si>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</si>
  <si>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</si>
  <si>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</si>
  <si>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</si>
  <si>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</si>
  <si>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</si>
  <si>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</si>
  <si>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</si>
  <si>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</si>
  <si>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</si>
  <si>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</si>
  <si>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</si>
  <si>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</si>
  <si>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</si>
  <si>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</si>
  <si>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</si>
  <si>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</si>
  <si>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</si>
  <si>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</si>
  <si>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</si>
  <si>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</si>
  <si>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St. Louis Blues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</si>
  <si>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</si>
  <si>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</si>
  <si>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</si>
  <si>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</si>
  <si>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</si>
  <si>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</si>
  <si>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Averages</t>
  </si>
  <si>
    <t>Standard Deviations</t>
  </si>
  <si>
    <t>Variances</t>
  </si>
  <si>
    <t>PK+PP%</t>
  </si>
  <si>
    <t>Playoffs</t>
  </si>
  <si>
    <t>NO</t>
  </si>
  <si>
    <t>YES</t>
  </si>
  <si>
    <t>Net Penalty Kill%</t>
  </si>
  <si>
    <t>Power Play %</t>
  </si>
  <si>
    <t>Montréal Canadiens</t>
  </si>
  <si>
    <t>Net PK vs. PK Difference</t>
  </si>
  <si>
    <t>PP%</t>
  </si>
  <si>
    <t>2021-2022</t>
  </si>
  <si>
    <t>2022-2023</t>
  </si>
  <si>
    <t>2023-2024</t>
  </si>
  <si>
    <t>2021 vs. 2022</t>
  </si>
  <si>
    <t>2022 vs. 2023</t>
  </si>
  <si>
    <t>2021 vs. 2023</t>
  </si>
  <si>
    <t>Skating Distance Penalty Kill (Total)</t>
  </si>
  <si>
    <t>Slating Distance Penallty Kill (per PIM)</t>
  </si>
  <si>
    <t>Net Penalty Kills %</t>
  </si>
  <si>
    <t>X</t>
  </si>
  <si>
    <t>Y</t>
  </si>
  <si>
    <t>Rank X</t>
  </si>
  <si>
    <t>Rank Y</t>
  </si>
  <si>
    <t>Difference (D)</t>
  </si>
  <si>
    <t>D Squared</t>
  </si>
  <si>
    <t>Spearman Rank Correlation</t>
  </si>
  <si>
    <t>N</t>
  </si>
  <si>
    <t>SUM(D^2)</t>
  </si>
  <si>
    <t>6*SUM(D^2)</t>
  </si>
  <si>
    <t>N((N^2)-1)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</si>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</sst>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Aptos Narrow"/>
      <family val="2"/>
      <scheme val="minor"/>
    </font>
    <font>
      <sz val="12"/>
      <color theme="0"/>
      <name val="Calibri"/>
      <family val="2"/>
    </font>
    <font>
      <b/>
      <sz val="11"/>
      <color rgb="FF000000"/>
      <name val="Aptos Narrow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/>
    <xf numFmtId="0" fontId="4" fillId="2" borderId="2" xfId="0" applyFont="1" applyFill="1" applyBorder="1"/>
    <xf numFmtId="0" fontId="5" fillId="0" borderId="0" xfId="0" applyFont="1" applyFill="1" applyBorder="1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Fill="1" applyBorder="1"/>
    <xf numFmtId="164" fontId="0" fillId="0" borderId="0" xfId="0" applyNumberFormat="1"/>
    <xf numFmtId="164" fontId="1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7" fillId="0" borderId="1" xfId="0" applyFont="1" applyBorder="1"/>
    <xf numFmtId="0" fontId="7" fillId="0" borderId="4" xfId="0" applyFont="1" applyBorder="1"/>
    <xf numFmtId="0" fontId="8" fillId="0" borderId="0" xfId="0" applyFont="1"/>
    <xf numFmtId="164" fontId="7" fillId="0" borderId="0" xfId="0" applyNumberFormat="1" applyFont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/>
    <xf numFmtId="0" fontId="0" fillId="4" borderId="1" xfId="0" applyFill="1" applyBorder="1"/>
    <xf numFmtId="0" fontId="6" fillId="0" borderId="1" xfId="0" applyFon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>
        <left style="double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  <dxf>
      <font>
        <sz val="12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0B4A5-2DE5-4812-AF58-EBDA8DAFFB47}" name="Table2" displayName="Table2" ref="A1:N97" totalsRowShown="0">
  <autoFilter ref="A1:N97" xr:uid="{39D0B4A5-2DE5-4812-AF58-EBDA8DAFFB47}"/>
  <sortState xmlns:xlrd2="http://schemas.microsoft.com/office/spreadsheetml/2017/richdata2" ref="A2:N97">
    <sortCondition ref="A1:A97"/>
  </sortState>
  <tableColumns count="14">
    <tableColumn id="1" xr3:uid="{9A2CD961-AD90-467F-AD4B-F8DDDCD9AE24}" name="Team"/>
    <tableColumn id="2" xr3:uid="{F882D765-D719-4FD4-BE5F-2C944CA464D8}" name="Save %"/>
    <tableColumn id="3" xr3:uid="{662F0349-B6CE-49C3-B4E7-1CAE0E28D620}" name="Skating Distance Penalty Killing (Total)"/>
    <tableColumn id="4" xr3:uid="{CF1C7B7C-6945-4743-AA8E-B297F01526C3}" name="Skating Distance Penalty Killing (per 60)"/>
    <tableColumn id="5" xr3:uid="{D899AEA5-54E8-43D4-97D9-EF210BBC31CF}" name="Skating Distance Penalty Killing (per PIM)"/>
    <tableColumn id="6" xr3:uid="{7545AC75-88BA-4510-A34E-9DDED66E55CB}" name="Penalty Kill %"/>
    <tableColumn id="7" xr3:uid="{94DB985D-A66A-40DD-8B67-F3FDA2F1E87C}" name="Net Penalty Kill %"/>
    <tableColumn id="8" xr3:uid="{A825CE39-0235-4519-83DF-35078EF6942B}" name="Net PK vs PK Difference"/>
    <tableColumn id="9" xr3:uid="{5E8C904C-33E8-4A97-91C7-BD4CCFBEAF85}" name="PIM"/>
    <tableColumn id="10" xr3:uid="{20CE0FE6-171D-45A7-9BC4-2E1E0A2DE60D}" name="SHG"/>
    <tableColumn id="11" xr3:uid="{01058FDB-2BA6-4AB0-947A-6E9B80ABDF07}" name="GA"/>
    <tableColumn id="12" xr3:uid="{83B7C9C6-026A-431E-B3DF-1097377F500B}" name="GA/GP"/>
    <tableColumn id="13" xr3:uid="{CC7A7586-97B0-41DD-A764-696CD3569E1F}" name="SA/GP"/>
    <tableColumn id="14" xr3:uid="{B4499B24-43B3-47F1-997F-F6A91BE7056D}" name="Power Play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2E22CB-054E-4F27-A7BD-9B41662F2752}" name="Table5" displayName="Table5" ref="A1:P33" totalsRowShown="0" headerRowDxfId="47" dataDxfId="46">
  <autoFilter ref="A1:P33" xr:uid="{BE2E22CB-054E-4F27-A7BD-9B41662F2752}"/>
  <tableColumns count="16">
    <tableColumn id="1" xr3:uid="{B888124B-4961-4911-98D6-52C684777164}" name="Team" dataDxfId="45"/>
    <tableColumn id="2" xr3:uid="{150E45FE-616F-4488-86EF-AB9D830E461E}" name="Save %" dataDxfId="44"/>
    <tableColumn id="3" xr3:uid="{059A99CC-4D30-4C77-82D1-55761F5CF34B}" name="Skating Distance Penalty Killing (Total)" dataDxfId="43"/>
    <tableColumn id="4" xr3:uid="{C4231C89-A47E-474D-AF96-45192A896198}" name="Skating Distance Penalty Killing (per 60)" dataDxfId="42"/>
    <tableColumn id="5" xr3:uid="{931FFA2E-669F-4B7C-8948-240B678D0D10}" name="Skating Distance Penalty Killing (per PIM)" dataDxfId="41"/>
    <tableColumn id="6" xr3:uid="{6939133B-2675-421C-8882-0B6BA907C6D5}" name="Penalty Kill %" dataDxfId="40"/>
    <tableColumn id="7" xr3:uid="{8FD1B0CD-1927-4F1C-8795-92E651E2D9BC}" name="Net Penalty Kill %" dataDxfId="39"/>
    <tableColumn id="8" xr3:uid="{1F28D8E5-1CF9-4B9C-9666-182DE530E942}" name="Net PK vs PK Difference" dataDxfId="38"/>
    <tableColumn id="9" xr3:uid="{958D291F-BD40-484C-81C7-136AC634D882}" name="PIM" dataDxfId="37"/>
    <tableColumn id="10" xr3:uid="{499274B2-7E34-4801-B7C4-34CF14DD9D79}" name="SHG" dataDxfId="36"/>
    <tableColumn id="11" xr3:uid="{0BA3F58A-EF07-4044-AAAA-76939C057F14}" name="GA" dataDxfId="35"/>
    <tableColumn id="12" xr3:uid="{7017CA33-2CC3-4EDB-9406-D72AA5C64EC7}" name="GA/GP" dataDxfId="34"/>
    <tableColumn id="13" xr3:uid="{F1315C29-6DAA-46F1-8666-78A8FB58B4C9}" name="SA/GP" dataDxfId="33"/>
    <tableColumn id="14" xr3:uid="{9564CE47-AF09-43AC-8B86-C37E8815A171}" name="Power Play%" dataDxfId="32"/>
    <tableColumn id="15" xr3:uid="{39243D3B-D23D-4204-8E60-BE95C26F418F}" name="PK+PP%" dataDxfId="31"/>
    <tableColumn id="17" xr3:uid="{1C1CE981-3753-4053-9036-008863742974}" name="Playoff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36AECA-5AF8-437C-A147-62D6E15794AD}" name="Table3" displayName="Table3" ref="A1:N33" totalsRowShown="0" headerRowDxfId="29" dataDxfId="28">
  <autoFilter ref="A1:N33" xr:uid="{E336AECA-5AF8-437C-A147-62D6E15794AD}"/>
  <sortState xmlns:xlrd2="http://schemas.microsoft.com/office/spreadsheetml/2017/richdata2" ref="A2:N33">
    <sortCondition ref="A1:A33"/>
  </sortState>
  <tableColumns count="14">
    <tableColumn id="1" xr3:uid="{B357A2A4-0B5C-4CF0-9EAC-5EEE39A1482B}" name="Team" dataDxfId="27"/>
    <tableColumn id="2" xr3:uid="{A4D49472-C3F0-428C-BEA9-7C324F18D31E}" name="Save %"/>
    <tableColumn id="3" xr3:uid="{6D70C906-40BE-450A-A223-74679C70DA52}" name="Skating Distance Penalty Killing (Total)"/>
    <tableColumn id="4" xr3:uid="{6A52FD2D-B6A4-482D-B067-69C7BFA5901E}" name="Skating Distance Penalty Killing (per 60)"/>
    <tableColumn id="5" xr3:uid="{EABCB685-4B8D-43E4-A437-391EADCE8441}" name="Skating Distance Penalty Killing (per PIM)" dataDxfId="26">
      <calculatedColumnFormula>Table3[[#This Row],[Skating Distance Penalty Killing (Total)]]/Table3[[#This Row],[PIM]]</calculatedColumnFormula>
    </tableColumn>
    <tableColumn id="6" xr3:uid="{8F1C9EAE-0441-4FEE-A6E2-84D038A93F52}" name="Penalty Kill %" dataDxfId="25"/>
    <tableColumn id="7" xr3:uid="{31F0A8D6-4656-462A-A052-B51FD3AFD4A0}" name="Net Penalty Kill%" dataDxfId="24"/>
    <tableColumn id="8" xr3:uid="{742EE604-E191-48E9-A35C-BC4FACFE2BED}" name="Net PK vs PK Difference" dataDxfId="23">
      <calculatedColumnFormula>G2-F2</calculatedColumnFormula>
    </tableColumn>
    <tableColumn id="9" xr3:uid="{2E697968-8976-449A-A313-A1D2FF6E8E91}" name="PIM" dataDxfId="22"/>
    <tableColumn id="10" xr3:uid="{2129C351-0D66-4004-881F-E4A914B4B6B5}" name="SHG" dataDxfId="21"/>
    <tableColumn id="11" xr3:uid="{0C950FE3-6A23-4AB9-9EF2-43A1C1979706}" name="GA" dataDxfId="20"/>
    <tableColumn id="12" xr3:uid="{DC0A9231-F061-4002-94D2-C0842272AD10}" name="GA/GP" dataDxfId="19"/>
    <tableColumn id="13" xr3:uid="{FEDE127F-FD84-4F6D-90A3-C3E82BD53914}" name="SA/GP" dataDxfId="18"/>
    <tableColumn id="14" xr3:uid="{F586ACB8-3454-481C-9497-3D50996E4D26}" name="Power Play %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EEBCA1-0766-4596-8056-BB0C560B8891}" name="Table6" displayName="Table6" ref="A1:N33" totalsRowShown="0" headerRowDxfId="16" dataDxfId="15">
  <autoFilter ref="A1:N33" xr:uid="{80EEBCA1-0766-4596-8056-BB0C560B8891}"/>
  <sortState xmlns:xlrd2="http://schemas.microsoft.com/office/spreadsheetml/2017/richdata2" ref="A2:N33">
    <sortCondition ref="A1:A33"/>
  </sortState>
  <tableColumns count="14">
    <tableColumn id="1" xr3:uid="{6DC4F28B-E21E-4678-9EEE-D74718008CF9}" name="Team" dataDxfId="14"/>
    <tableColumn id="13" xr3:uid="{06A9769A-1860-4490-BEE0-EFBAFAF68C7C}" name="Save %" dataDxfId="13"/>
    <tableColumn id="2" xr3:uid="{C687E202-79CE-45D7-8A56-D98A41D5CB46}" name="Skating Distance Penalty Killing (Total)"/>
    <tableColumn id="3" xr3:uid="{82224E1B-0690-4D54-8929-2CE46AD9C950}" name="Skating Distance Penalty Killing (per 60)"/>
    <tableColumn id="4" xr3:uid="{277B398F-B167-4AFD-ADA1-8CB2E98C7C2E}" name="Skating Distance Penalty Killing (per PIM)" dataDxfId="12">
      <calculatedColumnFormula>Table6[[#This Row],[Skating Distance Penalty Killing (Total)]]/Table6[[#This Row],[PIM]]</calculatedColumnFormula>
    </tableColumn>
    <tableColumn id="5" xr3:uid="{914C60BA-6659-44FA-9C9D-51CD2CED079F}" name="Penalty Kill %" dataDxfId="11"/>
    <tableColumn id="6" xr3:uid="{09753EAC-E5F8-4617-B2D9-77FD57249A42}" name="Net Penalty Kill %" dataDxfId="10"/>
    <tableColumn id="7" xr3:uid="{3C72B0FB-0D62-4B63-83FB-14F5A56D0AA8}" name="Net PK vs. PK Difference" dataDxfId="9">
      <calculatedColumnFormula>Table6[[#This Row],[Net Penalty Kill %]]-Table6[[#This Row],[Penalty Kill %]]</calculatedColumnFormula>
    </tableColumn>
    <tableColumn id="16" xr3:uid="{56A0DF6F-4266-4777-9609-F617AB3450A3}" name="PIM" dataDxfId="8"/>
    <tableColumn id="15" xr3:uid="{128747A9-936D-4DEF-A4E7-6D51352EFF31}" name="SHG" dataDxfId="7"/>
    <tableColumn id="8" xr3:uid="{ADEB356A-3CD9-48D9-AFD9-996708506543}" name="GA" dataDxfId="6"/>
    <tableColumn id="9" xr3:uid="{FACAD2C8-672A-4B65-B2B8-C78E5974464F}" name="GA/GP" dataDxfId="5"/>
    <tableColumn id="10" xr3:uid="{6DF7CD47-C73D-476B-AE62-0637B1F2F707}" name="SA/GP" dataDxfId="4"/>
    <tableColumn id="11" xr3:uid="{0FBA5F2F-13D9-4A2D-AAB3-6568379A9CAB}" name="PP%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53F6F8-6BCF-4385-B8BE-91F77881AA1A}" name="Table7" displayName="Table7" ref="A1:G33" totalsRowShown="0">
  <autoFilter ref="A1:G33" xr:uid="{3953F6F8-6BCF-4385-B8BE-91F77881AA1A}"/>
  <sortState xmlns:xlrd2="http://schemas.microsoft.com/office/spreadsheetml/2017/richdata2" ref="A2:G33">
    <sortCondition ref="A1:A33"/>
  </sortState>
  <tableColumns count="7">
    <tableColumn id="1" xr3:uid="{FD648F5B-6F95-462B-B76E-E309C597ADBA}" name="Team"/>
    <tableColumn id="2" xr3:uid="{87BF5111-CD9F-4874-89F9-EF4486B52052}" name="2021-2022"/>
    <tableColumn id="3" xr3:uid="{A150015B-2090-4C3F-B1D8-F737AA29FC55}" name="2022-2023"/>
    <tableColumn id="4" xr3:uid="{1045D3B4-B492-4368-A52C-627D3DE1D357}" name="2023-2024"/>
    <tableColumn id="5" xr3:uid="{70E79D07-5313-4423-B227-B617B76D85AB}" name="2021 vs. 2022" dataDxfId="2">
      <calculatedColumnFormula>C2-B2</calculatedColumnFormula>
    </tableColumn>
    <tableColumn id="6" xr3:uid="{4A6562B8-F2E6-4369-BFD7-51D61A878A3A}" name="2022 vs. 2023">
      <calculatedColumnFormula>D2-C2</calculatedColumnFormula>
    </tableColumn>
    <tableColumn id="7" xr3:uid="{1BE68D95-2C91-4D99-BCD8-6C766FD485E4}" name="2021 vs. 2023">
      <calculatedColumnFormula>D2-B2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E72C0-B55A-4EB4-916F-9ECAC0E847ED}" name="Table1" displayName="Table1" ref="A1:F97" totalsRowShown="0" headerRowDxfId="1">
  <autoFilter ref="A1:F97" xr:uid="{62AE72C0-B55A-4EB4-916F-9ECAC0E847ED}"/>
  <tableColumns count="6">
    <tableColumn id="1" xr3:uid="{70B618B9-B78E-44E0-AFE9-377F9F96A77A}" name="X" dataDxfId="0"/>
    <tableColumn id="2" xr3:uid="{312833CE-DC60-4AB0-96E8-9D546B07CD14}" name="Y"/>
    <tableColumn id="3" xr3:uid="{2583B47F-AEC3-47D2-AE2A-83E5A704C654}" name="Rank X">
      <calculatedColumnFormula>_xlfn.RANK.AVG(A2,$A$2:$A$97)</calculatedColumnFormula>
    </tableColumn>
    <tableColumn id="4" xr3:uid="{E884110D-13D1-47C8-8791-EBAF65B8559C}" name="Rank Y">
      <calculatedColumnFormula>_xlfn.RANK.AVG(B2,$B$2:$B$97)</calculatedColumnFormula>
    </tableColumn>
    <tableColumn id="5" xr3:uid="{5B748AC3-8674-4FB3-9872-ABBAF7457201}" name="Difference (D)">
      <calculatedColumnFormula>C2-D2</calculatedColumnFormula>
    </tableColumn>
    <tableColumn id="6" xr3:uid="{95C37ABC-6960-4822-ABBB-ADDFBF779A1F}" name="D Squared">
      <calculatedColumnFormula>E2^2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1254-89E9-44E2-9C0D-855B15B5B7AF}">
  <dimension ref="A1:R101"/>
  <sheetViews>
    <sheetView tabSelected="1" topLeftCell="A85" workbookViewId="0">
      <selection activeCell="A99" sqref="A99"/>
    </sheetView>
  </sheetViews>
  <sheetFormatPr defaultRowHeight="15"/>
  <cols>
    <col min="1" max="1" width="21.28515625" bestFit="1" customWidth="1"/>
    <col min="2" max="2" width="11.42578125" bestFit="1" customWidth="1"/>
    <col min="3" max="5" width="30.7109375" bestFit="1" customWidth="1"/>
    <col min="6" max="6" width="15.5703125" bestFit="1" customWidth="1"/>
    <col min="7" max="7" width="19" bestFit="1" customWidth="1"/>
    <col min="8" max="8" width="24.5703125" bestFit="1" customWidth="1"/>
    <col min="9" max="9" width="11.42578125" bestFit="1" customWidth="1"/>
    <col min="11" max="11" width="10.28515625" bestFit="1" customWidth="1"/>
    <col min="12" max="12" width="9.28515625" bestFit="1" customWidth="1"/>
    <col min="14" max="14" width="14.7109375" bestFit="1" customWidth="1"/>
    <col min="16" max="16" width="35.28515625" bestFit="1" customWidth="1"/>
    <col min="17" max="18" width="10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A2" t="s">
        <v>14</v>
      </c>
      <c r="B2">
        <v>0.89900000000000002</v>
      </c>
      <c r="C2">
        <v>329.07</v>
      </c>
      <c r="D2">
        <v>9.4600000000000009</v>
      </c>
      <c r="E2">
        <v>0.35421959095801936</v>
      </c>
      <c r="F2">
        <v>72.099999999999994</v>
      </c>
      <c r="G2">
        <v>72.5</v>
      </c>
      <c r="H2">
        <v>0.40000000000000568</v>
      </c>
      <c r="I2">
        <v>929</v>
      </c>
      <c r="J2">
        <v>1</v>
      </c>
      <c r="K2">
        <v>335</v>
      </c>
      <c r="L2">
        <v>4.09</v>
      </c>
      <c r="M2">
        <v>39.1</v>
      </c>
      <c r="N2">
        <v>15.7</v>
      </c>
      <c r="Q2" s="2" t="s">
        <v>15</v>
      </c>
      <c r="R2" s="2" t="s">
        <v>16</v>
      </c>
    </row>
    <row r="3" spans="1:18">
      <c r="A3" t="s">
        <v>14</v>
      </c>
      <c r="B3">
        <v>0.90700000000000003</v>
      </c>
      <c r="C3">
        <v>300.98</v>
      </c>
      <c r="D3">
        <v>5.71</v>
      </c>
      <c r="E3">
        <v>0.3965480895915679</v>
      </c>
      <c r="F3">
        <v>80.8</v>
      </c>
      <c r="G3">
        <v>83.5</v>
      </c>
      <c r="H3">
        <v>2.7000000000000028</v>
      </c>
      <c r="I3">
        <v>759</v>
      </c>
      <c r="J3">
        <v>6</v>
      </c>
      <c r="K3">
        <v>266</v>
      </c>
      <c r="L3">
        <v>3.24</v>
      </c>
      <c r="M3">
        <v>33.200000000000003</v>
      </c>
      <c r="N3">
        <v>21.9</v>
      </c>
      <c r="P3" s="10" t="s">
        <v>17</v>
      </c>
      <c r="Q3" s="33">
        <f>CORREL(Table2[Save %],Table2[Penalty Kill %])</f>
        <v>0.50946048558296586</v>
      </c>
      <c r="R3" s="33">
        <v>0.50939704286489418</v>
      </c>
    </row>
    <row r="4" spans="1:18">
      <c r="A4" t="s">
        <v>14</v>
      </c>
      <c r="B4">
        <v>0.89400000000000002</v>
      </c>
      <c r="C4">
        <v>406.2</v>
      </c>
      <c r="D4">
        <v>9.4499999999999993</v>
      </c>
      <c r="E4">
        <v>0.36660649819494584</v>
      </c>
      <c r="F4">
        <v>72.400000000000006</v>
      </c>
      <c r="G4">
        <v>76.099999999999994</v>
      </c>
      <c r="H4">
        <v>3.6999999999999886</v>
      </c>
      <c r="I4">
        <v>1108</v>
      </c>
      <c r="J4">
        <v>12</v>
      </c>
      <c r="K4">
        <v>293</v>
      </c>
      <c r="L4">
        <v>3.5731707317073171</v>
      </c>
      <c r="M4">
        <v>32.5</v>
      </c>
      <c r="N4">
        <v>17.899999999999999</v>
      </c>
      <c r="P4" s="10" t="s">
        <v>18</v>
      </c>
      <c r="Q4" s="33">
        <f>CORREL(Table2[Skating Distance Penalty Killing (per PIM)],Table2[Penalty Kill %])</f>
        <v>0.41702186567488281</v>
      </c>
      <c r="R4" s="33">
        <v>0.37377577319587629</v>
      </c>
    </row>
    <row r="5" spans="1:18">
      <c r="A5" t="s">
        <v>19</v>
      </c>
      <c r="B5">
        <v>0.89700000000000002</v>
      </c>
      <c r="C5">
        <v>314.18</v>
      </c>
      <c r="D5">
        <v>5.37</v>
      </c>
      <c r="E5">
        <v>0.37402380952380954</v>
      </c>
      <c r="F5">
        <v>75</v>
      </c>
      <c r="G5">
        <v>76.2</v>
      </c>
      <c r="H5">
        <v>1.2000000000000028</v>
      </c>
      <c r="I5">
        <v>840</v>
      </c>
      <c r="J5">
        <v>3</v>
      </c>
      <c r="K5">
        <v>309</v>
      </c>
      <c r="L5">
        <v>3.77</v>
      </c>
      <c r="M5">
        <v>35.5</v>
      </c>
      <c r="N5">
        <v>13.9</v>
      </c>
      <c r="P5" s="26" t="s">
        <v>20</v>
      </c>
      <c r="Q5" s="34">
        <f>CORREL(Table2[SHG],Table2[Penalty Kill %])</f>
        <v>0.10038954503157468</v>
      </c>
      <c r="R5" s="34">
        <v>0.16541304937601742</v>
      </c>
    </row>
    <row r="6" spans="1:18">
      <c r="A6" t="s">
        <v>19</v>
      </c>
      <c r="B6">
        <v>0.9</v>
      </c>
      <c r="C6">
        <v>415.51</v>
      </c>
      <c r="D6">
        <v>9.6300000000000008</v>
      </c>
      <c r="E6">
        <v>0.42747942386831272</v>
      </c>
      <c r="F6">
        <v>74.599999999999994</v>
      </c>
      <c r="G6">
        <v>76.2</v>
      </c>
      <c r="H6">
        <v>1.6000000000000085</v>
      </c>
      <c r="I6">
        <v>972</v>
      </c>
      <c r="J6">
        <v>5</v>
      </c>
      <c r="K6">
        <v>295</v>
      </c>
      <c r="L6">
        <v>3.6</v>
      </c>
      <c r="M6">
        <v>35</v>
      </c>
      <c r="N6">
        <v>18.899999999999999</v>
      </c>
      <c r="P6" s="2" t="s">
        <v>21</v>
      </c>
      <c r="Q6" s="33">
        <f>CORREL(Table2[Penalty Kill %],Table2[SA/GP])</f>
        <v>-0.51958889773444927</v>
      </c>
      <c r="R6" s="33">
        <v>-0.49371608790016275</v>
      </c>
    </row>
    <row r="7" spans="1:18">
      <c r="A7" t="s">
        <v>19</v>
      </c>
      <c r="B7">
        <v>0.90100000000000002</v>
      </c>
      <c r="C7">
        <v>345.69</v>
      </c>
      <c r="D7">
        <v>9.66</v>
      </c>
      <c r="E7">
        <v>0.3661970338983051</v>
      </c>
      <c r="F7">
        <v>76.3</v>
      </c>
      <c r="G7">
        <v>79</v>
      </c>
      <c r="H7">
        <v>2.7000000000000028</v>
      </c>
      <c r="I7">
        <v>944</v>
      </c>
      <c r="J7">
        <v>7</v>
      </c>
      <c r="K7">
        <v>274</v>
      </c>
      <c r="L7">
        <v>3.3414634146341462</v>
      </c>
      <c r="M7">
        <v>31.7</v>
      </c>
      <c r="N7">
        <v>22</v>
      </c>
      <c r="P7" s="28" t="s">
        <v>22</v>
      </c>
      <c r="Q7" s="35">
        <f>CORREL(Table2[SHG],Table2[Skating Distance Penalty Killing (per PIM)])</f>
        <v>0.21153964852331419</v>
      </c>
      <c r="R7" s="35">
        <v>0.20314026044492672</v>
      </c>
    </row>
    <row r="8" spans="1:18">
      <c r="A8" t="s">
        <v>23</v>
      </c>
      <c r="B8">
        <v>0.91300000000000003</v>
      </c>
      <c r="C8">
        <v>365.07</v>
      </c>
      <c r="D8">
        <v>7.07</v>
      </c>
      <c r="E8">
        <v>0.45126081582200245</v>
      </c>
      <c r="F8">
        <v>81.3</v>
      </c>
      <c r="G8">
        <v>83.2</v>
      </c>
      <c r="H8">
        <v>1.9000000000000057</v>
      </c>
      <c r="I8">
        <v>809</v>
      </c>
      <c r="J8">
        <v>5</v>
      </c>
      <c r="K8">
        <v>218</v>
      </c>
      <c r="L8">
        <v>2.66</v>
      </c>
      <c r="M8">
        <v>28.7</v>
      </c>
      <c r="N8">
        <v>21.2</v>
      </c>
      <c r="P8" s="10" t="s">
        <v>24</v>
      </c>
      <c r="Q8" s="33">
        <f>CORREL(Table2[Penalty Kill %],Table2[Net PK vs PK Difference])</f>
        <v>9.1171920587935981E-2</v>
      </c>
      <c r="R8" s="33">
        <v>0.14204422137818773</v>
      </c>
    </row>
    <row r="9" spans="1:18">
      <c r="A9" t="s">
        <v>23</v>
      </c>
      <c r="B9">
        <v>0.91500000000000004</v>
      </c>
      <c r="C9">
        <v>374.77</v>
      </c>
      <c r="D9">
        <v>10.220000000000001</v>
      </c>
      <c r="E9">
        <v>0.48671428571428571</v>
      </c>
      <c r="F9">
        <v>82.5</v>
      </c>
      <c r="G9">
        <v>85.1</v>
      </c>
      <c r="H9">
        <v>2.5999999999999943</v>
      </c>
      <c r="I9">
        <v>770</v>
      </c>
      <c r="J9">
        <v>7</v>
      </c>
      <c r="K9">
        <v>221</v>
      </c>
      <c r="L9">
        <v>2.6951219512195124</v>
      </c>
      <c r="M9">
        <v>30.5</v>
      </c>
      <c r="N9">
        <v>22.2</v>
      </c>
    </row>
    <row r="10" spans="1:18">
      <c r="A10" t="s">
        <v>23</v>
      </c>
      <c r="B10">
        <v>0.93100000000000005</v>
      </c>
      <c r="C10">
        <v>393.9</v>
      </c>
      <c r="D10">
        <v>10.31</v>
      </c>
      <c r="E10">
        <v>0.45749128919860627</v>
      </c>
      <c r="F10">
        <v>87.3</v>
      </c>
      <c r="G10">
        <v>90.1</v>
      </c>
      <c r="H10">
        <v>2.7999999999999972</v>
      </c>
      <c r="I10">
        <v>861</v>
      </c>
      <c r="J10">
        <v>8</v>
      </c>
      <c r="K10">
        <v>174</v>
      </c>
      <c r="L10">
        <v>2.12</v>
      </c>
      <c r="M10">
        <v>29.8</v>
      </c>
      <c r="N10">
        <v>22.2</v>
      </c>
    </row>
    <row r="11" spans="1:18">
      <c r="A11" t="s">
        <v>25</v>
      </c>
      <c r="B11">
        <v>0.89900000000000002</v>
      </c>
      <c r="C11">
        <v>301.27</v>
      </c>
      <c r="D11">
        <v>6.07</v>
      </c>
      <c r="E11">
        <v>0.45167916041979006</v>
      </c>
      <c r="F11">
        <v>76.400000000000006</v>
      </c>
      <c r="G11">
        <v>79.3</v>
      </c>
      <c r="H11">
        <v>2.8999999999999915</v>
      </c>
      <c r="I11">
        <v>667</v>
      </c>
      <c r="J11">
        <v>6</v>
      </c>
      <c r="K11">
        <v>287</v>
      </c>
      <c r="L11">
        <v>3.5</v>
      </c>
      <c r="M11">
        <v>33</v>
      </c>
      <c r="N11">
        <v>21.2</v>
      </c>
    </row>
    <row r="12" spans="1:18">
      <c r="A12" t="s">
        <v>25</v>
      </c>
      <c r="B12">
        <v>0.90300000000000002</v>
      </c>
      <c r="C12">
        <v>326.87</v>
      </c>
      <c r="D12">
        <v>9.9700000000000006</v>
      </c>
      <c r="E12">
        <v>0.41639490445859872</v>
      </c>
      <c r="F12">
        <v>79.8</v>
      </c>
      <c r="G12">
        <v>82.7</v>
      </c>
      <c r="H12">
        <v>2.9000000000000057</v>
      </c>
      <c r="I12">
        <v>785</v>
      </c>
      <c r="J12">
        <v>7</v>
      </c>
      <c r="K12">
        <v>243</v>
      </c>
      <c r="L12">
        <v>2.9634146341463414</v>
      </c>
      <c r="M12">
        <v>29.3</v>
      </c>
      <c r="N12">
        <v>16.600000000000001</v>
      </c>
    </row>
    <row r="13" spans="1:18">
      <c r="A13" t="s">
        <v>25</v>
      </c>
      <c r="B13">
        <v>0.89600000000000002</v>
      </c>
      <c r="C13">
        <v>304.89</v>
      </c>
      <c r="D13">
        <v>10.49</v>
      </c>
      <c r="E13">
        <v>0.50146381578947363</v>
      </c>
      <c r="F13">
        <v>73</v>
      </c>
      <c r="G13">
        <v>77</v>
      </c>
      <c r="H13">
        <v>4</v>
      </c>
      <c r="I13">
        <v>608</v>
      </c>
      <c r="J13">
        <v>9</v>
      </c>
      <c r="K13">
        <v>297</v>
      </c>
      <c r="L13">
        <v>3.62</v>
      </c>
      <c r="M13">
        <v>33</v>
      </c>
      <c r="N13">
        <v>23.4</v>
      </c>
    </row>
    <row r="14" spans="1:18">
      <c r="A14" t="s">
        <v>26</v>
      </c>
      <c r="B14">
        <v>0.91800000000000004</v>
      </c>
      <c r="C14">
        <v>363.04</v>
      </c>
      <c r="D14">
        <v>6.33</v>
      </c>
      <c r="E14">
        <v>0.48795698924731185</v>
      </c>
      <c r="F14">
        <v>83.2</v>
      </c>
      <c r="G14">
        <v>86</v>
      </c>
      <c r="H14">
        <v>2.7999999999999972</v>
      </c>
      <c r="I14">
        <v>744</v>
      </c>
      <c r="J14">
        <v>7</v>
      </c>
      <c r="K14">
        <v>206</v>
      </c>
      <c r="L14">
        <v>2.5099999999999998</v>
      </c>
      <c r="M14">
        <v>29</v>
      </c>
      <c r="N14">
        <v>22.9</v>
      </c>
    </row>
    <row r="15" spans="1:18">
      <c r="A15" t="s">
        <v>26</v>
      </c>
      <c r="B15">
        <v>0.89300000000000002</v>
      </c>
      <c r="C15">
        <v>404.04</v>
      </c>
      <c r="D15">
        <v>10.91</v>
      </c>
      <c r="E15">
        <v>0.53373844121532366</v>
      </c>
      <c r="F15">
        <v>82.6</v>
      </c>
      <c r="G15">
        <v>85.6</v>
      </c>
      <c r="H15">
        <v>3</v>
      </c>
      <c r="I15">
        <v>757</v>
      </c>
      <c r="J15">
        <v>8</v>
      </c>
      <c r="K15">
        <v>247</v>
      </c>
      <c r="L15">
        <v>3.01</v>
      </c>
      <c r="M15">
        <v>27.3</v>
      </c>
      <c r="N15">
        <v>19.8</v>
      </c>
    </row>
    <row r="16" spans="1:18">
      <c r="A16" t="s">
        <v>26</v>
      </c>
      <c r="B16">
        <v>0.89700000000000002</v>
      </c>
      <c r="C16">
        <v>322.13</v>
      </c>
      <c r="D16">
        <v>10.119999999999999</v>
      </c>
      <c r="E16">
        <v>0.42553500660501981</v>
      </c>
      <c r="F16">
        <v>80.8</v>
      </c>
      <c r="G16">
        <v>85.3</v>
      </c>
      <c r="H16">
        <v>4.5</v>
      </c>
      <c r="I16">
        <v>757</v>
      </c>
      <c r="J16">
        <v>11</v>
      </c>
      <c r="K16">
        <v>267</v>
      </c>
      <c r="L16">
        <v>3.2560975609756095</v>
      </c>
      <c r="M16">
        <v>29.7</v>
      </c>
      <c r="N16">
        <v>17.899999999999999</v>
      </c>
    </row>
    <row r="17" spans="1:14">
      <c r="A17" t="s">
        <v>27</v>
      </c>
      <c r="B17">
        <v>0.91600000000000004</v>
      </c>
      <c r="C17">
        <v>430.89</v>
      </c>
      <c r="D17">
        <v>6.31</v>
      </c>
      <c r="E17">
        <v>0.56845646437994723</v>
      </c>
      <c r="F17">
        <v>88</v>
      </c>
      <c r="G17">
        <v>89.5</v>
      </c>
      <c r="H17">
        <v>1.5</v>
      </c>
      <c r="I17">
        <v>758</v>
      </c>
      <c r="J17">
        <v>4</v>
      </c>
      <c r="K17">
        <v>200</v>
      </c>
      <c r="L17">
        <v>2.44</v>
      </c>
      <c r="M17">
        <v>28.2</v>
      </c>
      <c r="N17">
        <v>22</v>
      </c>
    </row>
    <row r="18" spans="1:14">
      <c r="A18" t="s">
        <v>27</v>
      </c>
      <c r="B18">
        <v>0.90500000000000003</v>
      </c>
      <c r="C18">
        <v>384.68</v>
      </c>
      <c r="D18">
        <v>10.5</v>
      </c>
      <c r="E18">
        <v>0.55509379509379508</v>
      </c>
      <c r="F18">
        <v>86.4</v>
      </c>
      <c r="G18">
        <v>90.7</v>
      </c>
      <c r="H18">
        <v>4.2999999999999972</v>
      </c>
      <c r="I18">
        <v>693</v>
      </c>
      <c r="J18">
        <v>11</v>
      </c>
      <c r="K18">
        <v>211</v>
      </c>
      <c r="L18">
        <v>2.5731707317073171</v>
      </c>
      <c r="M18">
        <v>25.6</v>
      </c>
      <c r="N18">
        <v>26.9</v>
      </c>
    </row>
    <row r="19" spans="1:14">
      <c r="A19" t="s">
        <v>27</v>
      </c>
      <c r="B19">
        <v>0.90700000000000003</v>
      </c>
      <c r="C19">
        <v>377.03</v>
      </c>
      <c r="D19">
        <v>10.59</v>
      </c>
      <c r="E19">
        <v>0.61405537459283388</v>
      </c>
      <c r="F19">
        <v>84.4</v>
      </c>
      <c r="G19">
        <v>88.7</v>
      </c>
      <c r="H19">
        <v>4.2999999999999972</v>
      </c>
      <c r="I19">
        <v>614</v>
      </c>
      <c r="J19">
        <v>11</v>
      </c>
      <c r="K19">
        <v>210</v>
      </c>
      <c r="L19">
        <v>2.56</v>
      </c>
      <c r="M19">
        <v>26</v>
      </c>
      <c r="N19">
        <v>19.8</v>
      </c>
    </row>
    <row r="20" spans="1:14">
      <c r="A20" t="s">
        <v>28</v>
      </c>
      <c r="B20">
        <v>0.89900000000000002</v>
      </c>
      <c r="C20">
        <v>296.33999999999997</v>
      </c>
      <c r="D20">
        <v>6.31</v>
      </c>
      <c r="E20">
        <v>0.45873065015479875</v>
      </c>
      <c r="F20">
        <v>76.2</v>
      </c>
      <c r="G20">
        <v>77.099999999999994</v>
      </c>
      <c r="H20">
        <v>0.89999999999999147</v>
      </c>
      <c r="I20">
        <v>646</v>
      </c>
      <c r="J20">
        <v>2</v>
      </c>
      <c r="K20">
        <v>289</v>
      </c>
      <c r="L20">
        <v>3.52</v>
      </c>
      <c r="M20">
        <v>33</v>
      </c>
      <c r="N20">
        <v>19.2</v>
      </c>
    </row>
    <row r="21" spans="1:14">
      <c r="A21" t="s">
        <v>28</v>
      </c>
      <c r="B21">
        <v>0.89700000000000002</v>
      </c>
      <c r="C21">
        <v>323.49</v>
      </c>
      <c r="D21">
        <v>10.42</v>
      </c>
      <c r="E21">
        <v>0.45243356643356647</v>
      </c>
      <c r="F21">
        <v>75.8</v>
      </c>
      <c r="G21">
        <v>77.099999999999994</v>
      </c>
      <c r="H21">
        <v>1.2999999999999972</v>
      </c>
      <c r="I21">
        <v>715</v>
      </c>
      <c r="J21">
        <v>3</v>
      </c>
      <c r="K21">
        <v>289</v>
      </c>
      <c r="L21">
        <v>3.524390243902439</v>
      </c>
      <c r="M21">
        <v>32.700000000000003</v>
      </c>
      <c r="N21">
        <v>16.600000000000001</v>
      </c>
    </row>
    <row r="22" spans="1:14">
      <c r="A22" t="s">
        <v>28</v>
      </c>
      <c r="B22">
        <v>0.89800000000000002</v>
      </c>
      <c r="C22">
        <v>314.62</v>
      </c>
      <c r="D22">
        <v>10.31</v>
      </c>
      <c r="E22">
        <v>0.445007072135785</v>
      </c>
      <c r="F22">
        <v>76.2</v>
      </c>
      <c r="G22">
        <v>79.2</v>
      </c>
      <c r="H22">
        <v>3</v>
      </c>
      <c r="I22">
        <v>707</v>
      </c>
      <c r="J22">
        <v>7</v>
      </c>
      <c r="K22">
        <v>299</v>
      </c>
      <c r="L22">
        <v>3.65</v>
      </c>
      <c r="M22">
        <v>33.6</v>
      </c>
      <c r="N22">
        <v>16.399999999999999</v>
      </c>
    </row>
    <row r="23" spans="1:14">
      <c r="A23" t="s">
        <v>29</v>
      </c>
      <c r="B23">
        <v>0.91700000000000004</v>
      </c>
      <c r="C23">
        <v>325.98</v>
      </c>
      <c r="D23">
        <v>9.83</v>
      </c>
      <c r="E23">
        <v>0.48293333333333338</v>
      </c>
      <c r="F23">
        <v>79</v>
      </c>
      <c r="G23">
        <v>81.5</v>
      </c>
      <c r="H23">
        <v>2.5</v>
      </c>
      <c r="I23">
        <v>675</v>
      </c>
      <c r="J23">
        <v>6</v>
      </c>
      <c r="K23">
        <v>223</v>
      </c>
      <c r="L23">
        <v>2.72</v>
      </c>
      <c r="M23">
        <v>31</v>
      </c>
      <c r="N23">
        <v>24.5</v>
      </c>
    </row>
    <row r="24" spans="1:14">
      <c r="A24" t="s">
        <v>29</v>
      </c>
      <c r="B24">
        <v>0.91600000000000004</v>
      </c>
      <c r="C24">
        <v>322.49</v>
      </c>
      <c r="D24">
        <v>6.77</v>
      </c>
      <c r="E24">
        <v>0.43462264150943397</v>
      </c>
      <c r="F24">
        <v>79.7</v>
      </c>
      <c r="G24">
        <v>82.2</v>
      </c>
      <c r="H24">
        <v>2.5</v>
      </c>
      <c r="I24">
        <v>742</v>
      </c>
      <c r="J24">
        <v>6</v>
      </c>
      <c r="K24">
        <v>232</v>
      </c>
      <c r="L24">
        <v>2.83</v>
      </c>
      <c r="M24">
        <v>32</v>
      </c>
      <c r="N24">
        <v>24</v>
      </c>
    </row>
    <row r="25" spans="1:14">
      <c r="A25" t="s">
        <v>29</v>
      </c>
      <c r="B25">
        <v>0.90200000000000002</v>
      </c>
      <c r="C25">
        <v>350.64</v>
      </c>
      <c r="D25">
        <v>9.83</v>
      </c>
      <c r="E25">
        <v>0.47967168262653898</v>
      </c>
      <c r="F25">
        <v>79.900000000000006</v>
      </c>
      <c r="G25">
        <v>82.6</v>
      </c>
      <c r="H25">
        <v>2.6999999999999886</v>
      </c>
      <c r="I25">
        <v>731</v>
      </c>
      <c r="J25">
        <v>7</v>
      </c>
      <c r="K25">
        <v>252</v>
      </c>
      <c r="L25">
        <v>3.0731707317073171</v>
      </c>
      <c r="M25">
        <v>29.8</v>
      </c>
      <c r="N25">
        <v>24.5</v>
      </c>
    </row>
    <row r="26" spans="1:14">
      <c r="A26" t="s">
        <v>30</v>
      </c>
      <c r="B26">
        <v>0.9</v>
      </c>
      <c r="C26">
        <v>292.04000000000002</v>
      </c>
      <c r="D26">
        <v>9.26</v>
      </c>
      <c r="E26">
        <v>0.43588059701492543</v>
      </c>
      <c r="F26">
        <v>76.3</v>
      </c>
      <c r="G26">
        <v>78.400000000000006</v>
      </c>
      <c r="H26">
        <v>2.1000000000000085</v>
      </c>
      <c r="I26">
        <v>670</v>
      </c>
      <c r="J26">
        <v>5</v>
      </c>
      <c r="K26">
        <v>298</v>
      </c>
      <c r="L26">
        <v>3.6341463414634148</v>
      </c>
      <c r="M26">
        <v>34.4</v>
      </c>
      <c r="N26">
        <v>15.1</v>
      </c>
    </row>
    <row r="27" spans="1:14">
      <c r="A27" t="s">
        <v>30</v>
      </c>
      <c r="B27">
        <v>0.89100000000000001</v>
      </c>
      <c r="C27">
        <v>306.64</v>
      </c>
      <c r="D27">
        <v>9.94</v>
      </c>
      <c r="E27">
        <v>0.46886850152905196</v>
      </c>
      <c r="F27">
        <v>75.099999999999994</v>
      </c>
      <c r="G27">
        <v>77.2</v>
      </c>
      <c r="H27">
        <v>2.1000000000000085</v>
      </c>
      <c r="I27">
        <v>654</v>
      </c>
      <c r="J27">
        <v>5</v>
      </c>
      <c r="K27">
        <v>329</v>
      </c>
      <c r="L27">
        <v>4.01</v>
      </c>
      <c r="M27">
        <v>35.4</v>
      </c>
      <c r="N27">
        <v>18.3</v>
      </c>
    </row>
    <row r="28" spans="1:14">
      <c r="A28" t="s">
        <v>30</v>
      </c>
      <c r="B28">
        <v>0.90100000000000002</v>
      </c>
      <c r="C28">
        <v>333.27</v>
      </c>
      <c r="D28">
        <v>6.27</v>
      </c>
      <c r="E28">
        <v>0.52483464566929128</v>
      </c>
      <c r="F28">
        <v>78.599999999999994</v>
      </c>
      <c r="G28">
        <v>81.5</v>
      </c>
      <c r="H28">
        <v>2.9000000000000057</v>
      </c>
      <c r="I28">
        <v>635</v>
      </c>
      <c r="J28">
        <v>7</v>
      </c>
      <c r="K28">
        <v>297</v>
      </c>
      <c r="L28">
        <v>3.62</v>
      </c>
      <c r="M28">
        <v>35.200000000000003</v>
      </c>
      <c r="N28">
        <v>18.600000000000001</v>
      </c>
    </row>
    <row r="29" spans="1:14">
      <c r="A29" t="s">
        <v>31</v>
      </c>
      <c r="B29">
        <v>0.91100000000000003</v>
      </c>
      <c r="C29">
        <v>284.67</v>
      </c>
      <c r="D29">
        <v>6.05</v>
      </c>
      <c r="E29">
        <v>0.5166424682395645</v>
      </c>
      <c r="F29">
        <v>79</v>
      </c>
      <c r="G29">
        <v>82.2</v>
      </c>
      <c r="H29">
        <v>3.2000000000000028</v>
      </c>
      <c r="I29">
        <v>551</v>
      </c>
      <c r="J29">
        <v>7</v>
      </c>
      <c r="K29">
        <v>244</v>
      </c>
      <c r="L29">
        <v>2.98</v>
      </c>
      <c r="M29">
        <v>31</v>
      </c>
      <c r="N29">
        <v>22.4</v>
      </c>
    </row>
    <row r="30" spans="1:14">
      <c r="A30" t="s">
        <v>31</v>
      </c>
      <c r="B30">
        <v>0.91600000000000004</v>
      </c>
      <c r="C30">
        <v>350.89</v>
      </c>
      <c r="D30">
        <v>9.99</v>
      </c>
      <c r="E30">
        <v>0.55084772370486657</v>
      </c>
      <c r="F30">
        <v>83.5</v>
      </c>
      <c r="G30">
        <v>87.6</v>
      </c>
      <c r="H30">
        <v>4.0999999999999943</v>
      </c>
      <c r="I30">
        <v>637</v>
      </c>
      <c r="J30">
        <v>10</v>
      </c>
      <c r="K30">
        <v>215</v>
      </c>
      <c r="L30">
        <v>2.62</v>
      </c>
      <c r="M30">
        <v>29.9</v>
      </c>
      <c r="N30">
        <v>25</v>
      </c>
    </row>
    <row r="31" spans="1:14">
      <c r="A31" t="s">
        <v>31</v>
      </c>
      <c r="B31">
        <v>0.90400000000000003</v>
      </c>
      <c r="C31">
        <v>323.86</v>
      </c>
      <c r="D31">
        <v>10.06</v>
      </c>
      <c r="E31">
        <v>0.58458483754512636</v>
      </c>
      <c r="F31">
        <v>82</v>
      </c>
      <c r="G31">
        <v>87</v>
      </c>
      <c r="H31">
        <v>5</v>
      </c>
      <c r="I31">
        <v>554</v>
      </c>
      <c r="J31">
        <v>12</v>
      </c>
      <c r="K31">
        <v>232</v>
      </c>
      <c r="L31">
        <v>2.8292682926829267</v>
      </c>
      <c r="M31">
        <v>28.7</v>
      </c>
      <c r="N31">
        <v>24.2</v>
      </c>
    </row>
    <row r="32" spans="1:14">
      <c r="A32" t="s">
        <v>32</v>
      </c>
      <c r="B32">
        <v>0.89700000000000002</v>
      </c>
      <c r="C32">
        <v>283.91000000000003</v>
      </c>
      <c r="D32">
        <v>5.9</v>
      </c>
      <c r="E32">
        <v>0.38732605729877223</v>
      </c>
      <c r="F32">
        <v>73.8</v>
      </c>
      <c r="G32">
        <v>75.599999999999994</v>
      </c>
      <c r="H32">
        <v>1.7999999999999972</v>
      </c>
      <c r="I32">
        <v>733</v>
      </c>
      <c r="J32">
        <v>4</v>
      </c>
      <c r="K32">
        <v>310</v>
      </c>
      <c r="L32">
        <v>3.78</v>
      </c>
      <c r="M32">
        <v>33.700000000000003</v>
      </c>
      <c r="N32">
        <v>16.3</v>
      </c>
    </row>
    <row r="33" spans="1:14">
      <c r="A33" t="s">
        <v>32</v>
      </c>
      <c r="B33">
        <v>0.89400000000000002</v>
      </c>
      <c r="C33">
        <v>320.92</v>
      </c>
      <c r="D33">
        <v>9.73</v>
      </c>
      <c r="E33">
        <v>0.48477341389728101</v>
      </c>
      <c r="F33">
        <v>78.3</v>
      </c>
      <c r="G33">
        <v>80.3</v>
      </c>
      <c r="H33">
        <v>2</v>
      </c>
      <c r="I33">
        <v>662</v>
      </c>
      <c r="J33">
        <v>5</v>
      </c>
      <c r="K33">
        <v>275</v>
      </c>
      <c r="L33">
        <v>3.35</v>
      </c>
      <c r="M33">
        <v>30.4</v>
      </c>
      <c r="N33">
        <v>21.1</v>
      </c>
    </row>
    <row r="34" spans="1:14">
      <c r="A34" t="s">
        <v>32</v>
      </c>
      <c r="B34">
        <v>0.90200000000000002</v>
      </c>
      <c r="C34">
        <v>293.89999999999998</v>
      </c>
      <c r="D34">
        <v>9.41</v>
      </c>
      <c r="E34">
        <v>0.41628895184135972</v>
      </c>
      <c r="F34">
        <v>79.599999999999994</v>
      </c>
      <c r="G34">
        <v>82.5</v>
      </c>
      <c r="H34">
        <v>2.9000000000000057</v>
      </c>
      <c r="I34">
        <v>706</v>
      </c>
      <c r="J34">
        <v>7</v>
      </c>
      <c r="K34">
        <v>273</v>
      </c>
      <c r="L34">
        <v>3.3292682926829267</v>
      </c>
      <c r="M34">
        <v>32.4</v>
      </c>
      <c r="N34">
        <v>23.1</v>
      </c>
    </row>
    <row r="35" spans="1:14">
      <c r="A35" t="s">
        <v>33</v>
      </c>
      <c r="B35">
        <v>0.90400000000000003</v>
      </c>
      <c r="C35">
        <v>357.32</v>
      </c>
      <c r="D35">
        <v>10.43</v>
      </c>
      <c r="E35">
        <v>0.45810256410256411</v>
      </c>
      <c r="F35">
        <v>79.5</v>
      </c>
      <c r="G35">
        <v>82.2</v>
      </c>
      <c r="H35">
        <v>2.7000000000000028</v>
      </c>
      <c r="I35">
        <v>780</v>
      </c>
      <c r="J35">
        <v>7</v>
      </c>
      <c r="K35">
        <v>236</v>
      </c>
      <c r="L35">
        <v>2.8780487804878048</v>
      </c>
      <c r="M35">
        <v>28.1</v>
      </c>
      <c r="N35">
        <v>26.3</v>
      </c>
    </row>
    <row r="36" spans="1:14">
      <c r="A36" t="s">
        <v>33</v>
      </c>
      <c r="B36">
        <v>0.90800000000000003</v>
      </c>
      <c r="C36">
        <v>353.53</v>
      </c>
      <c r="D36">
        <v>6.26</v>
      </c>
      <c r="E36">
        <v>0.53082582582582583</v>
      </c>
      <c r="F36">
        <v>79.400000000000006</v>
      </c>
      <c r="G36">
        <v>83.7</v>
      </c>
      <c r="H36">
        <v>4.2999999999999972</v>
      </c>
      <c r="I36">
        <v>666</v>
      </c>
      <c r="J36">
        <v>11</v>
      </c>
      <c r="K36">
        <v>251</v>
      </c>
      <c r="L36">
        <v>3.06</v>
      </c>
      <c r="M36">
        <v>32.299999999999997</v>
      </c>
      <c r="N36">
        <v>26</v>
      </c>
    </row>
    <row r="37" spans="1:14">
      <c r="A37" t="s">
        <v>33</v>
      </c>
      <c r="B37">
        <v>0.90300000000000002</v>
      </c>
      <c r="C37">
        <v>375.97</v>
      </c>
      <c r="D37">
        <v>9.9700000000000006</v>
      </c>
      <c r="E37">
        <v>0.53253541076487254</v>
      </c>
      <c r="F37">
        <v>77</v>
      </c>
      <c r="G37">
        <v>83.5</v>
      </c>
      <c r="H37">
        <v>6.5</v>
      </c>
      <c r="I37">
        <v>706</v>
      </c>
      <c r="J37">
        <v>18</v>
      </c>
      <c r="K37">
        <v>256</v>
      </c>
      <c r="L37">
        <v>3.12</v>
      </c>
      <c r="M37">
        <v>31.4</v>
      </c>
      <c r="N37">
        <v>32.4</v>
      </c>
    </row>
    <row r="38" spans="1:14">
      <c r="A38" t="s">
        <v>34</v>
      </c>
      <c r="B38">
        <v>0.90300000000000002</v>
      </c>
      <c r="C38">
        <v>389.97</v>
      </c>
      <c r="D38">
        <v>9.9700000000000006</v>
      </c>
      <c r="E38">
        <v>0.39075150300601202</v>
      </c>
      <c r="F38">
        <v>76</v>
      </c>
      <c r="G38">
        <v>78</v>
      </c>
      <c r="H38">
        <v>2</v>
      </c>
      <c r="I38">
        <v>998</v>
      </c>
      <c r="J38">
        <v>6</v>
      </c>
      <c r="K38">
        <v>272</v>
      </c>
      <c r="L38">
        <v>3.32</v>
      </c>
      <c r="M38">
        <v>31.7</v>
      </c>
      <c r="N38">
        <v>22.8</v>
      </c>
    </row>
    <row r="39" spans="1:14">
      <c r="A39" t="s">
        <v>34</v>
      </c>
      <c r="B39">
        <v>0.91800000000000004</v>
      </c>
      <c r="C39">
        <v>424.85</v>
      </c>
      <c r="D39">
        <v>10.4</v>
      </c>
      <c r="E39">
        <v>0.38413200723327307</v>
      </c>
      <c r="F39">
        <v>82.5</v>
      </c>
      <c r="G39">
        <v>85.2</v>
      </c>
      <c r="H39">
        <v>2.7000000000000028</v>
      </c>
      <c r="I39">
        <v>1106</v>
      </c>
      <c r="J39">
        <v>8</v>
      </c>
      <c r="K39">
        <v>198</v>
      </c>
      <c r="L39">
        <v>2.4146341463414633</v>
      </c>
      <c r="M39">
        <v>27.8</v>
      </c>
      <c r="N39">
        <v>23.5</v>
      </c>
    </row>
    <row r="40" spans="1:14">
      <c r="A40" t="s">
        <v>34</v>
      </c>
      <c r="B40">
        <v>0.90700000000000003</v>
      </c>
      <c r="C40">
        <v>370.16</v>
      </c>
      <c r="D40">
        <v>6.73</v>
      </c>
      <c r="E40">
        <v>0.44490384615384621</v>
      </c>
      <c r="F40">
        <v>79.5</v>
      </c>
      <c r="G40">
        <v>84.2</v>
      </c>
      <c r="H40">
        <v>4.7000000000000028</v>
      </c>
      <c r="I40">
        <v>832</v>
      </c>
      <c r="J40">
        <v>12</v>
      </c>
      <c r="K40">
        <v>242</v>
      </c>
      <c r="L40">
        <v>2.95</v>
      </c>
      <c r="M40">
        <v>30.7</v>
      </c>
      <c r="N40">
        <v>24.4</v>
      </c>
    </row>
    <row r="41" spans="1:14">
      <c r="A41" t="s">
        <v>35</v>
      </c>
      <c r="B41">
        <v>0.89200000000000002</v>
      </c>
      <c r="C41">
        <v>328.53</v>
      </c>
      <c r="D41">
        <v>9.6199999999999992</v>
      </c>
      <c r="E41">
        <v>0.46732574679943095</v>
      </c>
      <c r="F41">
        <v>75.8</v>
      </c>
      <c r="G41">
        <v>78.400000000000006</v>
      </c>
      <c r="H41">
        <v>2.6000000000000085</v>
      </c>
      <c r="I41">
        <v>703</v>
      </c>
      <c r="J41">
        <v>7</v>
      </c>
      <c r="K41">
        <v>254</v>
      </c>
      <c r="L41">
        <v>3.1</v>
      </c>
      <c r="M41">
        <v>27.9</v>
      </c>
      <c r="N41">
        <v>25.3</v>
      </c>
    </row>
    <row r="42" spans="1:14">
      <c r="A42" t="s">
        <v>35</v>
      </c>
      <c r="B42">
        <v>0.91200000000000003</v>
      </c>
      <c r="C42">
        <v>337.52</v>
      </c>
      <c r="D42">
        <v>9.36</v>
      </c>
      <c r="E42">
        <v>0.47205594405594403</v>
      </c>
      <c r="F42">
        <v>84.6</v>
      </c>
      <c r="G42">
        <v>88.9</v>
      </c>
      <c r="H42">
        <v>4.3000000000000114</v>
      </c>
      <c r="I42">
        <v>715</v>
      </c>
      <c r="J42">
        <v>11</v>
      </c>
      <c r="K42">
        <v>210</v>
      </c>
      <c r="L42">
        <v>2.5609756097560976</v>
      </c>
      <c r="M42">
        <v>28</v>
      </c>
      <c r="N42">
        <v>22.6</v>
      </c>
    </row>
    <row r="43" spans="1:14">
      <c r="A43" t="s">
        <v>35</v>
      </c>
      <c r="B43">
        <v>0.90500000000000003</v>
      </c>
      <c r="C43">
        <v>318.81</v>
      </c>
      <c r="D43">
        <v>6.48</v>
      </c>
      <c r="E43">
        <v>0.50206299212598426</v>
      </c>
      <c r="F43">
        <v>76.7</v>
      </c>
      <c r="G43">
        <v>81.5</v>
      </c>
      <c r="H43">
        <v>4.7999999999999972</v>
      </c>
      <c r="I43">
        <v>635</v>
      </c>
      <c r="J43">
        <v>11</v>
      </c>
      <c r="K43">
        <v>232</v>
      </c>
      <c r="L43">
        <v>2.83</v>
      </c>
      <c r="M43">
        <v>28.5</v>
      </c>
      <c r="N43">
        <v>16.100000000000001</v>
      </c>
    </row>
    <row r="44" spans="1:14">
      <c r="A44" t="s">
        <v>36</v>
      </c>
      <c r="B44">
        <v>0.91100000000000003</v>
      </c>
      <c r="C44">
        <v>348.19</v>
      </c>
      <c r="D44">
        <v>5.65</v>
      </c>
      <c r="E44">
        <v>0.39477324263038549</v>
      </c>
      <c r="F44">
        <v>76.099999999999994</v>
      </c>
      <c r="G44">
        <v>76.900000000000006</v>
      </c>
      <c r="H44">
        <v>0.80000000000001137</v>
      </c>
      <c r="I44">
        <v>882</v>
      </c>
      <c r="J44">
        <v>2</v>
      </c>
      <c r="K44">
        <v>249</v>
      </c>
      <c r="L44">
        <v>3.04</v>
      </c>
      <c r="M44">
        <v>31.4</v>
      </c>
      <c r="N44">
        <v>20.5</v>
      </c>
    </row>
    <row r="45" spans="1:14">
      <c r="A45" t="s">
        <v>36</v>
      </c>
      <c r="B45">
        <v>0.89700000000000002</v>
      </c>
      <c r="C45">
        <v>321.7</v>
      </c>
      <c r="D45">
        <v>9.14</v>
      </c>
      <c r="E45">
        <v>0.3429637526652452</v>
      </c>
      <c r="F45">
        <v>74.5</v>
      </c>
      <c r="G45">
        <v>75.7</v>
      </c>
      <c r="H45">
        <v>1.2000000000000028</v>
      </c>
      <c r="I45">
        <v>938</v>
      </c>
      <c r="J45">
        <v>3</v>
      </c>
      <c r="K45">
        <v>260</v>
      </c>
      <c r="L45">
        <v>3.1707317073170733</v>
      </c>
      <c r="M45">
        <v>29.7</v>
      </c>
      <c r="N45">
        <v>22.7</v>
      </c>
    </row>
    <row r="46" spans="1:14">
      <c r="A46" t="s">
        <v>36</v>
      </c>
      <c r="B46">
        <v>0.91900000000000004</v>
      </c>
      <c r="C46">
        <v>351.27</v>
      </c>
      <c r="D46">
        <v>9.99</v>
      </c>
      <c r="E46">
        <v>0.37975135135135135</v>
      </c>
      <c r="F46">
        <v>82</v>
      </c>
      <c r="G46">
        <v>87.5</v>
      </c>
      <c r="H46">
        <v>5.5</v>
      </c>
      <c r="I46">
        <v>925</v>
      </c>
      <c r="J46">
        <v>14</v>
      </c>
      <c r="K46">
        <v>219</v>
      </c>
      <c r="L46">
        <v>2.67</v>
      </c>
      <c r="M46">
        <v>31.1</v>
      </c>
      <c r="N46">
        <v>21.4</v>
      </c>
    </row>
    <row r="47" spans="1:14">
      <c r="A47" t="s">
        <v>37</v>
      </c>
      <c r="B47">
        <v>0.89400000000000002</v>
      </c>
      <c r="C47">
        <v>357.27</v>
      </c>
      <c r="D47">
        <v>6.72</v>
      </c>
      <c r="E47">
        <v>0.42735645933014355</v>
      </c>
      <c r="F47">
        <v>75.599999999999994</v>
      </c>
      <c r="G47">
        <v>77.7</v>
      </c>
      <c r="H47">
        <v>2.1000000000000085</v>
      </c>
      <c r="I47">
        <v>836</v>
      </c>
      <c r="J47">
        <v>6</v>
      </c>
      <c r="K47">
        <v>317</v>
      </c>
      <c r="L47">
        <v>3.87</v>
      </c>
      <c r="M47">
        <v>34.4</v>
      </c>
      <c r="N47">
        <v>13.7</v>
      </c>
    </row>
    <row r="48" spans="1:14">
      <c r="A48" t="s">
        <v>37</v>
      </c>
      <c r="B48">
        <v>0.90200000000000002</v>
      </c>
      <c r="C48">
        <v>344.15</v>
      </c>
      <c r="D48">
        <v>9.26</v>
      </c>
      <c r="E48">
        <v>0.41715151515151511</v>
      </c>
      <c r="F48">
        <v>76.5</v>
      </c>
      <c r="G48">
        <v>79</v>
      </c>
      <c r="H48">
        <v>2.5</v>
      </c>
      <c r="I48">
        <v>825</v>
      </c>
      <c r="J48">
        <v>7</v>
      </c>
      <c r="K48">
        <v>281</v>
      </c>
      <c r="L48">
        <v>3.4268292682926829</v>
      </c>
      <c r="M48">
        <v>33.4</v>
      </c>
      <c r="N48">
        <v>17.5</v>
      </c>
    </row>
    <row r="49" spans="1:14">
      <c r="A49" t="s">
        <v>37</v>
      </c>
      <c r="B49">
        <v>0.89500000000000002</v>
      </c>
      <c r="C49">
        <v>337.37</v>
      </c>
      <c r="D49">
        <v>9.65</v>
      </c>
      <c r="E49">
        <v>0.3532670157068063</v>
      </c>
      <c r="F49">
        <v>72.7</v>
      </c>
      <c r="G49">
        <v>75.599999999999994</v>
      </c>
      <c r="H49">
        <v>2.8999999999999915</v>
      </c>
      <c r="I49">
        <v>955</v>
      </c>
      <c r="J49">
        <v>8</v>
      </c>
      <c r="K49">
        <v>305</v>
      </c>
      <c r="L49">
        <v>3.72</v>
      </c>
      <c r="M49">
        <v>33.6</v>
      </c>
      <c r="N49">
        <v>16.100000000000001</v>
      </c>
    </row>
    <row r="50" spans="1:14">
      <c r="A50" t="s">
        <v>38</v>
      </c>
      <c r="B50">
        <v>0.91100000000000003</v>
      </c>
      <c r="C50">
        <v>349.52</v>
      </c>
      <c r="D50">
        <v>5.93</v>
      </c>
      <c r="E50">
        <v>0.33770048309178741</v>
      </c>
      <c r="F50">
        <v>79.2</v>
      </c>
      <c r="G50">
        <v>79.900000000000006</v>
      </c>
      <c r="H50">
        <v>0.70000000000000284</v>
      </c>
      <c r="I50">
        <v>1035</v>
      </c>
      <c r="J50">
        <v>2</v>
      </c>
      <c r="K50">
        <v>250</v>
      </c>
      <c r="L50">
        <v>3.05</v>
      </c>
      <c r="M50">
        <v>32.299999999999997</v>
      </c>
      <c r="N50">
        <v>24.4</v>
      </c>
    </row>
    <row r="51" spans="1:14">
      <c r="A51" t="s">
        <v>38</v>
      </c>
      <c r="B51">
        <v>0.91800000000000004</v>
      </c>
      <c r="C51">
        <v>357.85</v>
      </c>
      <c r="D51">
        <v>9.7899999999999991</v>
      </c>
      <c r="E51">
        <v>0.45240202275600511</v>
      </c>
      <c r="F51">
        <v>82.6</v>
      </c>
      <c r="G51">
        <v>84.7</v>
      </c>
      <c r="H51">
        <v>2.1000000000000085</v>
      </c>
      <c r="I51">
        <v>791</v>
      </c>
      <c r="J51">
        <v>6</v>
      </c>
      <c r="K51">
        <v>236</v>
      </c>
      <c r="L51">
        <v>2.88</v>
      </c>
      <c r="M51">
        <v>33.299999999999997</v>
      </c>
      <c r="N51">
        <v>17.600000000000001</v>
      </c>
    </row>
    <row r="52" spans="1:14">
      <c r="A52" t="s">
        <v>38</v>
      </c>
      <c r="B52">
        <v>0.90700000000000003</v>
      </c>
      <c r="C52">
        <v>342.72</v>
      </c>
      <c r="D52">
        <v>10.02</v>
      </c>
      <c r="E52">
        <v>0.44164948453608249</v>
      </c>
      <c r="F52">
        <v>76.900000000000006</v>
      </c>
      <c r="G52">
        <v>79.8</v>
      </c>
      <c r="H52">
        <v>2.8999999999999915</v>
      </c>
      <c r="I52">
        <v>776</v>
      </c>
      <c r="J52">
        <v>7</v>
      </c>
      <c r="K52">
        <v>258</v>
      </c>
      <c r="L52">
        <v>3.1463414634146343</v>
      </c>
      <c r="M52">
        <v>30.6</v>
      </c>
      <c r="N52">
        <v>21.6</v>
      </c>
    </row>
    <row r="53" spans="1:14">
      <c r="A53" t="s">
        <v>39</v>
      </c>
      <c r="B53">
        <v>0.89600000000000002</v>
      </c>
      <c r="C53">
        <v>322.27</v>
      </c>
      <c r="D53">
        <v>9.76</v>
      </c>
      <c r="E53">
        <v>0.43141900937081656</v>
      </c>
      <c r="F53">
        <v>80.7</v>
      </c>
      <c r="G53">
        <v>81.900000000000006</v>
      </c>
      <c r="H53">
        <v>1.2000000000000028</v>
      </c>
      <c r="I53">
        <v>747</v>
      </c>
      <c r="J53">
        <v>3</v>
      </c>
      <c r="K53">
        <v>226</v>
      </c>
      <c r="L53">
        <v>2.7560975609756095</v>
      </c>
      <c r="M53">
        <v>30</v>
      </c>
      <c r="N53">
        <v>22.5</v>
      </c>
    </row>
    <row r="54" spans="1:14">
      <c r="A54" t="s">
        <v>39</v>
      </c>
      <c r="B54">
        <v>0.88600000000000001</v>
      </c>
      <c r="C54">
        <v>295.04000000000002</v>
      </c>
      <c r="D54">
        <v>5.96</v>
      </c>
      <c r="E54">
        <v>0.44167664670658685</v>
      </c>
      <c r="F54">
        <v>80.2</v>
      </c>
      <c r="G54">
        <v>83</v>
      </c>
      <c r="H54">
        <v>2.7999999999999972</v>
      </c>
      <c r="I54">
        <v>668</v>
      </c>
      <c r="J54">
        <v>6</v>
      </c>
      <c r="K54">
        <v>302</v>
      </c>
      <c r="L54">
        <v>3.68</v>
      </c>
      <c r="M54">
        <v>31</v>
      </c>
      <c r="N54">
        <v>15.6</v>
      </c>
    </row>
    <row r="55" spans="1:14">
      <c r="A55" t="s">
        <v>39</v>
      </c>
      <c r="B55">
        <v>0.90800000000000003</v>
      </c>
      <c r="C55">
        <v>312.56</v>
      </c>
      <c r="D55">
        <v>9.52</v>
      </c>
      <c r="E55">
        <v>0.49455696202531646</v>
      </c>
      <c r="F55">
        <v>82.6</v>
      </c>
      <c r="G55">
        <v>86.5</v>
      </c>
      <c r="H55">
        <v>3.9000000000000057</v>
      </c>
      <c r="I55">
        <v>632</v>
      </c>
      <c r="J55">
        <v>9</v>
      </c>
      <c r="K55">
        <v>222</v>
      </c>
      <c r="L55">
        <v>2.71</v>
      </c>
      <c r="M55">
        <v>28.2</v>
      </c>
      <c r="N55">
        <v>21.9</v>
      </c>
    </row>
    <row r="56" spans="1:14">
      <c r="A56" t="s">
        <v>40</v>
      </c>
      <c r="B56">
        <v>0.92</v>
      </c>
      <c r="C56">
        <v>286.55</v>
      </c>
      <c r="D56">
        <v>6.85</v>
      </c>
      <c r="E56">
        <v>0.39307270233196162</v>
      </c>
      <c r="F56">
        <v>84.2</v>
      </c>
      <c r="G56">
        <v>86.5</v>
      </c>
      <c r="H56">
        <v>2.2999999999999972</v>
      </c>
      <c r="I56">
        <v>729</v>
      </c>
      <c r="J56">
        <v>5</v>
      </c>
      <c r="K56">
        <v>231</v>
      </c>
      <c r="L56">
        <v>2.82</v>
      </c>
      <c r="M56">
        <v>32.5</v>
      </c>
      <c r="N56">
        <v>22.1</v>
      </c>
    </row>
    <row r="57" spans="1:14">
      <c r="A57" t="s">
        <v>40</v>
      </c>
      <c r="B57">
        <v>0.92100000000000004</v>
      </c>
      <c r="C57">
        <v>301.67</v>
      </c>
      <c r="D57">
        <v>9.7799999999999994</v>
      </c>
      <c r="E57">
        <v>0.45986280487804881</v>
      </c>
      <c r="F57">
        <v>82.2</v>
      </c>
      <c r="G57">
        <v>84.9</v>
      </c>
      <c r="H57">
        <v>2.7000000000000028</v>
      </c>
      <c r="I57">
        <v>656</v>
      </c>
      <c r="J57">
        <v>6</v>
      </c>
      <c r="K57">
        <v>217</v>
      </c>
      <c r="L57">
        <v>2.65</v>
      </c>
      <c r="M57">
        <v>31</v>
      </c>
      <c r="N57">
        <v>15.8</v>
      </c>
    </row>
    <row r="58" spans="1:14">
      <c r="A58" t="s">
        <v>40</v>
      </c>
      <c r="B58">
        <v>0.91100000000000003</v>
      </c>
      <c r="C58">
        <v>271.39999999999998</v>
      </c>
      <c r="D58">
        <v>9.42</v>
      </c>
      <c r="E58">
        <v>0.4631399317406143</v>
      </c>
      <c r="F58">
        <v>71.5</v>
      </c>
      <c r="G58">
        <v>76</v>
      </c>
      <c r="H58">
        <v>4.5</v>
      </c>
      <c r="I58">
        <v>586</v>
      </c>
      <c r="J58">
        <v>10</v>
      </c>
      <c r="K58">
        <v>281</v>
      </c>
      <c r="L58">
        <v>3.4268292682926829</v>
      </c>
      <c r="M58">
        <v>32.799999999999997</v>
      </c>
      <c r="N58">
        <v>20.399999999999999</v>
      </c>
    </row>
    <row r="59" spans="1:14">
      <c r="A59" t="s">
        <v>41</v>
      </c>
      <c r="B59">
        <v>0.91200000000000003</v>
      </c>
      <c r="C59">
        <v>303.73</v>
      </c>
      <c r="D59">
        <v>9.8699999999999992</v>
      </c>
      <c r="E59">
        <v>0.48596800000000001</v>
      </c>
      <c r="F59">
        <v>81.2</v>
      </c>
      <c r="G59">
        <v>84.8</v>
      </c>
      <c r="H59">
        <v>3.5999999999999943</v>
      </c>
      <c r="I59">
        <v>625</v>
      </c>
      <c r="J59">
        <v>8</v>
      </c>
      <c r="K59">
        <v>216</v>
      </c>
      <c r="L59">
        <v>2.63</v>
      </c>
      <c r="M59">
        <v>29.3</v>
      </c>
      <c r="N59">
        <v>24.1</v>
      </c>
    </row>
    <row r="60" spans="1:14">
      <c r="A60" t="s">
        <v>41</v>
      </c>
      <c r="B60">
        <v>0.91200000000000003</v>
      </c>
      <c r="C60">
        <v>334.19</v>
      </c>
      <c r="D60">
        <v>10.24</v>
      </c>
      <c r="E60">
        <v>0.43799475753604195</v>
      </c>
      <c r="F60">
        <v>84.5</v>
      </c>
      <c r="G60">
        <v>87.9</v>
      </c>
      <c r="H60">
        <v>3.4000000000000057</v>
      </c>
      <c r="I60">
        <v>763</v>
      </c>
      <c r="J60">
        <v>8</v>
      </c>
      <c r="K60">
        <v>248</v>
      </c>
      <c r="L60">
        <v>3.024390243902439</v>
      </c>
      <c r="M60">
        <v>29.5</v>
      </c>
      <c r="N60">
        <v>26.4</v>
      </c>
    </row>
    <row r="61" spans="1:14">
      <c r="A61" t="s">
        <v>41</v>
      </c>
      <c r="B61">
        <v>0.92100000000000004</v>
      </c>
      <c r="C61">
        <v>320.02</v>
      </c>
      <c r="D61">
        <v>6.54</v>
      </c>
      <c r="E61">
        <v>0.47410370370370369</v>
      </c>
      <c r="F61">
        <v>82.3</v>
      </c>
      <c r="G61">
        <v>85.8</v>
      </c>
      <c r="H61">
        <v>3.5</v>
      </c>
      <c r="I61">
        <v>675</v>
      </c>
      <c r="J61">
        <v>8</v>
      </c>
      <c r="K61">
        <v>204</v>
      </c>
      <c r="L61">
        <v>2.4900000000000002</v>
      </c>
      <c r="M61">
        <v>30.8</v>
      </c>
      <c r="N61">
        <v>25.2</v>
      </c>
    </row>
    <row r="62" spans="1:14">
      <c r="A62" t="s">
        <v>42</v>
      </c>
      <c r="B62">
        <v>0.88800000000000001</v>
      </c>
      <c r="C62">
        <v>296.17</v>
      </c>
      <c r="D62">
        <v>9.7200000000000006</v>
      </c>
      <c r="E62">
        <v>0.35049704142011834</v>
      </c>
      <c r="F62">
        <v>75.099999999999994</v>
      </c>
      <c r="G62">
        <v>78</v>
      </c>
      <c r="H62">
        <v>2.9000000000000057</v>
      </c>
      <c r="I62">
        <v>845</v>
      </c>
      <c r="J62">
        <v>7</v>
      </c>
      <c r="K62">
        <v>281</v>
      </c>
      <c r="L62">
        <v>3.4268292682926829</v>
      </c>
      <c r="M62">
        <v>29.7</v>
      </c>
      <c r="N62">
        <v>18</v>
      </c>
    </row>
    <row r="63" spans="1:14">
      <c r="A63" t="s">
        <v>42</v>
      </c>
      <c r="B63">
        <v>0.9</v>
      </c>
      <c r="C63">
        <v>412.4</v>
      </c>
      <c r="D63">
        <v>9.98</v>
      </c>
      <c r="E63">
        <v>0.40155793573515092</v>
      </c>
      <c r="F63">
        <v>80.099999999999994</v>
      </c>
      <c r="G63">
        <v>83.1</v>
      </c>
      <c r="H63">
        <v>3</v>
      </c>
      <c r="I63">
        <v>1027</v>
      </c>
      <c r="J63">
        <v>9</v>
      </c>
      <c r="K63">
        <v>270</v>
      </c>
      <c r="L63">
        <v>3.29</v>
      </c>
      <c r="M63">
        <v>31.4</v>
      </c>
      <c r="N63">
        <v>23.5</v>
      </c>
    </row>
    <row r="64" spans="1:14">
      <c r="A64" t="s">
        <v>42</v>
      </c>
      <c r="B64">
        <v>0.90900000000000003</v>
      </c>
      <c r="C64">
        <v>345.35</v>
      </c>
      <c r="D64">
        <v>6.64</v>
      </c>
      <c r="E64">
        <v>0.42013381995133825</v>
      </c>
      <c r="F64">
        <v>80.3</v>
      </c>
      <c r="G64">
        <v>83.9</v>
      </c>
      <c r="H64">
        <v>3.6000000000000085</v>
      </c>
      <c r="I64">
        <v>822</v>
      </c>
      <c r="J64">
        <v>9</v>
      </c>
      <c r="K64">
        <v>264</v>
      </c>
      <c r="L64">
        <v>3.22</v>
      </c>
      <c r="M64">
        <v>33.4</v>
      </c>
      <c r="N64">
        <v>19.3</v>
      </c>
    </row>
    <row r="65" spans="1:14">
      <c r="A65" t="s">
        <v>43</v>
      </c>
      <c r="B65">
        <v>0.90300000000000002</v>
      </c>
      <c r="C65">
        <v>307.77999999999997</v>
      </c>
      <c r="D65">
        <v>5.81</v>
      </c>
      <c r="E65">
        <v>0.41648173207036532</v>
      </c>
      <c r="F65">
        <v>75.7</v>
      </c>
      <c r="G65">
        <v>78.3</v>
      </c>
      <c r="H65">
        <v>2.5999999999999943</v>
      </c>
      <c r="I65">
        <v>739</v>
      </c>
      <c r="J65">
        <v>6</v>
      </c>
      <c r="K65">
        <v>294</v>
      </c>
      <c r="L65">
        <v>3.59</v>
      </c>
      <c r="M65">
        <v>34</v>
      </c>
      <c r="N65">
        <v>12.6</v>
      </c>
    </row>
    <row r="66" spans="1:14">
      <c r="A66" t="s">
        <v>43</v>
      </c>
      <c r="B66">
        <v>0.9</v>
      </c>
      <c r="C66">
        <v>314.37</v>
      </c>
      <c r="D66">
        <v>9.8800000000000008</v>
      </c>
      <c r="E66">
        <v>0.36768421052631578</v>
      </c>
      <c r="F66">
        <v>74.7</v>
      </c>
      <c r="G66">
        <v>79.400000000000006</v>
      </c>
      <c r="H66">
        <v>4.7000000000000028</v>
      </c>
      <c r="I66">
        <v>855</v>
      </c>
      <c r="J66">
        <v>11</v>
      </c>
      <c r="K66">
        <v>276</v>
      </c>
      <c r="L66">
        <v>3.37</v>
      </c>
      <c r="M66">
        <v>31.5</v>
      </c>
      <c r="N66">
        <v>15.6</v>
      </c>
    </row>
    <row r="67" spans="1:14">
      <c r="A67" t="s">
        <v>43</v>
      </c>
      <c r="B67">
        <v>0.88900000000000001</v>
      </c>
      <c r="C67">
        <v>342.78</v>
      </c>
      <c r="D67">
        <v>10.35</v>
      </c>
      <c r="E67">
        <v>0.41298795180722886</v>
      </c>
      <c r="F67">
        <v>83.4</v>
      </c>
      <c r="G67">
        <v>90</v>
      </c>
      <c r="H67">
        <v>6.5999999999999943</v>
      </c>
      <c r="I67">
        <v>830</v>
      </c>
      <c r="J67">
        <v>16</v>
      </c>
      <c r="K67">
        <v>258</v>
      </c>
      <c r="L67">
        <v>3.1463414634146343</v>
      </c>
      <c r="M67">
        <v>27.1</v>
      </c>
      <c r="N67">
        <v>12.2</v>
      </c>
    </row>
    <row r="68" spans="1:14">
      <c r="A68" t="s">
        <v>44</v>
      </c>
      <c r="B68">
        <v>0.91900000000000004</v>
      </c>
      <c r="C68">
        <v>298.05</v>
      </c>
      <c r="D68">
        <v>6.04</v>
      </c>
      <c r="E68">
        <v>0.52659010600706713</v>
      </c>
      <c r="F68">
        <v>84.4</v>
      </c>
      <c r="G68">
        <v>85.9</v>
      </c>
      <c r="H68">
        <v>1.5</v>
      </c>
      <c r="I68">
        <v>566</v>
      </c>
      <c r="J68">
        <v>3</v>
      </c>
      <c r="K68">
        <v>222</v>
      </c>
      <c r="L68">
        <v>2.71</v>
      </c>
      <c r="M68">
        <v>31.4</v>
      </c>
      <c r="N68">
        <v>20.2</v>
      </c>
    </row>
    <row r="69" spans="1:14">
      <c r="A69" t="s">
        <v>44</v>
      </c>
      <c r="B69">
        <v>0.90300000000000002</v>
      </c>
      <c r="C69">
        <v>344.77</v>
      </c>
      <c r="D69">
        <v>10.38</v>
      </c>
      <c r="E69">
        <v>0.57175787728026528</v>
      </c>
      <c r="F69">
        <v>80.7</v>
      </c>
      <c r="G69">
        <v>82.7</v>
      </c>
      <c r="H69">
        <v>2</v>
      </c>
      <c r="I69">
        <v>603</v>
      </c>
      <c r="J69">
        <v>5</v>
      </c>
      <c r="K69">
        <v>248</v>
      </c>
      <c r="L69">
        <v>3.024390243902439</v>
      </c>
      <c r="M69">
        <v>30.2</v>
      </c>
      <c r="N69">
        <v>15.3</v>
      </c>
    </row>
    <row r="70" spans="1:14">
      <c r="A70" t="s">
        <v>44</v>
      </c>
      <c r="B70">
        <v>0.90700000000000003</v>
      </c>
      <c r="C70">
        <v>352.95</v>
      </c>
      <c r="D70">
        <v>10.23</v>
      </c>
      <c r="E70">
        <v>0.50063829787234038</v>
      </c>
      <c r="F70">
        <v>79.099999999999994</v>
      </c>
      <c r="G70">
        <v>81</v>
      </c>
      <c r="H70">
        <v>1.9000000000000057</v>
      </c>
      <c r="I70">
        <v>705</v>
      </c>
      <c r="J70">
        <v>5</v>
      </c>
      <c r="K70">
        <v>263</v>
      </c>
      <c r="L70">
        <v>3.21</v>
      </c>
      <c r="M70">
        <v>32.799999999999997</v>
      </c>
      <c r="N70">
        <v>21.7</v>
      </c>
    </row>
    <row r="71" spans="1:14">
      <c r="A71" t="s">
        <v>45</v>
      </c>
      <c r="B71">
        <v>0.89200000000000002</v>
      </c>
      <c r="C71">
        <v>309.08</v>
      </c>
      <c r="D71">
        <v>9.1</v>
      </c>
      <c r="E71">
        <v>0.39625641025641023</v>
      </c>
      <c r="F71">
        <v>75.400000000000006</v>
      </c>
      <c r="G71">
        <v>76.599999999999994</v>
      </c>
      <c r="H71">
        <v>1.1999999999999886</v>
      </c>
      <c r="I71">
        <v>780</v>
      </c>
      <c r="J71">
        <v>3</v>
      </c>
      <c r="K71">
        <v>326</v>
      </c>
      <c r="L71">
        <v>3.975609756097561</v>
      </c>
      <c r="M71">
        <v>35.1</v>
      </c>
      <c r="N71">
        <v>20.2</v>
      </c>
    </row>
    <row r="72" spans="1:14">
      <c r="A72" t="s">
        <v>45</v>
      </c>
      <c r="B72">
        <v>0.90800000000000003</v>
      </c>
      <c r="C72">
        <v>319.57</v>
      </c>
      <c r="D72">
        <v>6.39</v>
      </c>
      <c r="E72">
        <v>0.44078620689655174</v>
      </c>
      <c r="F72">
        <v>85.2</v>
      </c>
      <c r="G72">
        <v>87</v>
      </c>
      <c r="H72">
        <v>1.7999999999999972</v>
      </c>
      <c r="I72">
        <v>725</v>
      </c>
      <c r="J72">
        <v>4</v>
      </c>
      <c r="K72">
        <v>261</v>
      </c>
      <c r="L72">
        <v>3.18</v>
      </c>
      <c r="M72">
        <v>32</v>
      </c>
      <c r="N72">
        <v>19</v>
      </c>
    </row>
    <row r="73" spans="1:14">
      <c r="A73" t="s">
        <v>45</v>
      </c>
      <c r="B73">
        <v>0.88700000000000001</v>
      </c>
      <c r="C73">
        <v>328.87</v>
      </c>
      <c r="D73">
        <v>9.66</v>
      </c>
      <c r="E73">
        <v>0.49305847076461767</v>
      </c>
      <c r="F73">
        <v>82.4</v>
      </c>
      <c r="G73">
        <v>84</v>
      </c>
      <c r="H73">
        <v>1.5999999999999943</v>
      </c>
      <c r="I73">
        <v>667</v>
      </c>
      <c r="J73">
        <v>4</v>
      </c>
      <c r="K73">
        <v>315</v>
      </c>
      <c r="L73">
        <v>3.84</v>
      </c>
      <c r="M73">
        <v>32.200000000000003</v>
      </c>
      <c r="N73">
        <v>18.399999999999999</v>
      </c>
    </row>
    <row r="74" spans="1:14">
      <c r="A74" t="s">
        <v>46</v>
      </c>
      <c r="B74">
        <v>0.89</v>
      </c>
      <c r="C74">
        <v>323.5</v>
      </c>
      <c r="D74">
        <v>10.07</v>
      </c>
      <c r="E74">
        <v>0.46346704871060174</v>
      </c>
      <c r="F74">
        <v>76.7</v>
      </c>
      <c r="G74">
        <v>79.2</v>
      </c>
      <c r="H74">
        <v>2.5</v>
      </c>
      <c r="I74">
        <v>698</v>
      </c>
      <c r="J74">
        <v>6</v>
      </c>
      <c r="K74">
        <v>252</v>
      </c>
      <c r="L74">
        <v>3.07</v>
      </c>
      <c r="M74">
        <v>27</v>
      </c>
      <c r="N74">
        <v>19.8</v>
      </c>
    </row>
    <row r="75" spans="1:14">
      <c r="A75" t="s">
        <v>46</v>
      </c>
      <c r="B75">
        <v>0.90900000000000003</v>
      </c>
      <c r="C75">
        <v>288.41000000000003</v>
      </c>
      <c r="D75">
        <v>9.4499999999999993</v>
      </c>
      <c r="E75">
        <v>0.4416692189892803</v>
      </c>
      <c r="F75">
        <v>78.8</v>
      </c>
      <c r="G75">
        <v>81.5</v>
      </c>
      <c r="H75">
        <v>2.7000000000000028</v>
      </c>
      <c r="I75">
        <v>653</v>
      </c>
      <c r="J75">
        <v>6</v>
      </c>
      <c r="K75">
        <v>232</v>
      </c>
      <c r="L75">
        <v>2.8292682926829267</v>
      </c>
      <c r="M75">
        <v>29.2</v>
      </c>
      <c r="N75">
        <v>20.7</v>
      </c>
    </row>
    <row r="76" spans="1:14">
      <c r="A76" t="s">
        <v>46</v>
      </c>
      <c r="B76">
        <v>0.89</v>
      </c>
      <c r="C76">
        <v>303.97000000000003</v>
      </c>
      <c r="D76">
        <v>7.03</v>
      </c>
      <c r="E76">
        <v>0.43424285714285721</v>
      </c>
      <c r="F76">
        <v>74.900000000000006</v>
      </c>
      <c r="G76">
        <v>78.5</v>
      </c>
      <c r="H76">
        <v>3.5999999999999943</v>
      </c>
      <c r="I76">
        <v>700</v>
      </c>
      <c r="J76">
        <v>8</v>
      </c>
      <c r="K76">
        <v>284</v>
      </c>
      <c r="L76">
        <v>3.46</v>
      </c>
      <c r="M76">
        <v>28.9</v>
      </c>
      <c r="N76">
        <v>14.6</v>
      </c>
    </row>
    <row r="77" spans="1:14">
      <c r="A77" t="s">
        <v>47</v>
      </c>
      <c r="B77">
        <v>0.89500000000000002</v>
      </c>
      <c r="C77">
        <v>281.24</v>
      </c>
      <c r="D77">
        <v>9.6199999999999992</v>
      </c>
      <c r="E77">
        <v>0.43875195007800316</v>
      </c>
      <c r="F77">
        <v>72.400000000000006</v>
      </c>
      <c r="G77">
        <v>75.599999999999994</v>
      </c>
      <c r="H77">
        <v>3.1999999999999886</v>
      </c>
      <c r="I77">
        <v>641</v>
      </c>
      <c r="J77">
        <v>7</v>
      </c>
      <c r="K77">
        <v>298</v>
      </c>
      <c r="L77">
        <v>3.63</v>
      </c>
      <c r="M77">
        <v>32.299999999999997</v>
      </c>
      <c r="N77">
        <v>19.3</v>
      </c>
    </row>
    <row r="78" spans="1:14">
      <c r="A78" t="s">
        <v>47</v>
      </c>
      <c r="B78">
        <v>0.91200000000000003</v>
      </c>
      <c r="C78">
        <v>304.05</v>
      </c>
      <c r="D78">
        <v>5.81</v>
      </c>
      <c r="E78">
        <v>0.49762684124386253</v>
      </c>
      <c r="F78">
        <v>84.1</v>
      </c>
      <c r="G78">
        <v>88.2</v>
      </c>
      <c r="H78">
        <v>4.1000000000000085</v>
      </c>
      <c r="I78">
        <v>611</v>
      </c>
      <c r="J78">
        <v>9</v>
      </c>
      <c r="K78">
        <v>239</v>
      </c>
      <c r="L78">
        <v>2.91</v>
      </c>
      <c r="M78">
        <v>31.6</v>
      </c>
      <c r="N78">
        <v>27</v>
      </c>
    </row>
    <row r="79" spans="1:14">
      <c r="A79" t="s">
        <v>47</v>
      </c>
      <c r="B79">
        <v>0.91300000000000003</v>
      </c>
      <c r="C79">
        <v>291.66000000000003</v>
      </c>
      <c r="D79">
        <v>9.65</v>
      </c>
      <c r="E79">
        <v>0.47970394736842109</v>
      </c>
      <c r="F79">
        <v>79.099999999999994</v>
      </c>
      <c r="G79">
        <v>84.2</v>
      </c>
      <c r="H79">
        <v>5.1000000000000085</v>
      </c>
      <c r="I79">
        <v>608</v>
      </c>
      <c r="J79">
        <v>11</v>
      </c>
      <c r="K79">
        <v>248</v>
      </c>
      <c r="L79">
        <v>3.024390243902439</v>
      </c>
      <c r="M79">
        <v>32.1</v>
      </c>
      <c r="N79">
        <v>18</v>
      </c>
    </row>
    <row r="80" spans="1:14">
      <c r="A80" t="s">
        <v>48</v>
      </c>
      <c r="B80">
        <v>0.89600000000000002</v>
      </c>
      <c r="C80">
        <v>315.63</v>
      </c>
      <c r="D80">
        <v>9.61</v>
      </c>
      <c r="E80">
        <v>0.35031076581576026</v>
      </c>
      <c r="F80">
        <v>83.3</v>
      </c>
      <c r="G80">
        <v>85.5</v>
      </c>
      <c r="H80">
        <v>2.2000000000000028</v>
      </c>
      <c r="I80">
        <v>901</v>
      </c>
      <c r="J80">
        <v>5</v>
      </c>
      <c r="K80">
        <v>267</v>
      </c>
      <c r="L80">
        <v>3.2560975609756095</v>
      </c>
      <c r="M80">
        <v>29.6</v>
      </c>
      <c r="N80">
        <v>28.6</v>
      </c>
    </row>
    <row r="81" spans="1:14">
      <c r="A81" t="s">
        <v>48</v>
      </c>
      <c r="B81">
        <v>0.91300000000000003</v>
      </c>
      <c r="C81">
        <v>338.8</v>
      </c>
      <c r="D81">
        <v>6.03</v>
      </c>
      <c r="E81">
        <v>0.37602663706992234</v>
      </c>
      <c r="F81">
        <v>80.599999999999994</v>
      </c>
      <c r="G81">
        <v>83.3</v>
      </c>
      <c r="H81">
        <v>2.7000000000000028</v>
      </c>
      <c r="I81">
        <v>901</v>
      </c>
      <c r="J81">
        <v>7</v>
      </c>
      <c r="K81">
        <v>228</v>
      </c>
      <c r="L81">
        <v>2.78</v>
      </c>
      <c r="M81">
        <v>29.8</v>
      </c>
      <c r="N81">
        <v>23.9</v>
      </c>
    </row>
    <row r="82" spans="1:14">
      <c r="A82" t="s">
        <v>48</v>
      </c>
      <c r="B82">
        <v>0.90900000000000003</v>
      </c>
      <c r="C82">
        <v>337</v>
      </c>
      <c r="D82">
        <v>9.7799999999999994</v>
      </c>
      <c r="E82">
        <v>0.33869346733668343</v>
      </c>
      <c r="F82">
        <v>79.7</v>
      </c>
      <c r="G82">
        <v>82.4</v>
      </c>
      <c r="H82">
        <v>2.7000000000000028</v>
      </c>
      <c r="I82">
        <v>995</v>
      </c>
      <c r="J82">
        <v>7</v>
      </c>
      <c r="K82">
        <v>252</v>
      </c>
      <c r="L82">
        <v>3.07</v>
      </c>
      <c r="M82">
        <v>31.5</v>
      </c>
      <c r="N82">
        <v>25.4</v>
      </c>
    </row>
    <row r="83" spans="1:14">
      <c r="A83" t="s">
        <v>49</v>
      </c>
      <c r="B83">
        <v>0.89800000000000002</v>
      </c>
      <c r="C83">
        <v>312.43</v>
      </c>
      <c r="D83">
        <v>9.9600000000000009</v>
      </c>
      <c r="E83">
        <v>0.38334969325153373</v>
      </c>
      <c r="F83">
        <v>76.900000000000006</v>
      </c>
      <c r="G83">
        <v>79.400000000000006</v>
      </c>
      <c r="H83">
        <v>2.5</v>
      </c>
      <c r="I83">
        <v>815</v>
      </c>
      <c r="J83">
        <v>6</v>
      </c>
      <c r="K83">
        <v>261</v>
      </c>
      <c r="L83">
        <v>3.1829268292682928</v>
      </c>
      <c r="M83">
        <v>29.8</v>
      </c>
      <c r="N83">
        <v>24</v>
      </c>
    </row>
    <row r="84" spans="1:14">
      <c r="A84" t="s">
        <v>49</v>
      </c>
      <c r="B84">
        <v>0.91200000000000003</v>
      </c>
      <c r="C84">
        <v>364.66</v>
      </c>
      <c r="D84">
        <v>10.31</v>
      </c>
      <c r="E84">
        <v>0.52772793053545586</v>
      </c>
      <c r="F84">
        <v>81.900000000000006</v>
      </c>
      <c r="G84">
        <v>85.1</v>
      </c>
      <c r="H84">
        <v>3.1999999999999886</v>
      </c>
      <c r="I84">
        <v>691</v>
      </c>
      <c r="J84">
        <v>8</v>
      </c>
      <c r="K84">
        <v>220</v>
      </c>
      <c r="L84">
        <v>2.68</v>
      </c>
      <c r="M84">
        <v>29.5</v>
      </c>
      <c r="N84">
        <v>26</v>
      </c>
    </row>
    <row r="85" spans="1:14">
      <c r="A85" t="s">
        <v>49</v>
      </c>
      <c r="B85">
        <v>0.90400000000000003</v>
      </c>
      <c r="C85">
        <v>332.34</v>
      </c>
      <c r="D85">
        <v>6.67</v>
      </c>
      <c r="E85">
        <v>0.47341880341880338</v>
      </c>
      <c r="F85">
        <v>82.1</v>
      </c>
      <c r="G85">
        <v>87.6</v>
      </c>
      <c r="H85">
        <v>5.5</v>
      </c>
      <c r="I85">
        <v>702</v>
      </c>
      <c r="J85">
        <v>13</v>
      </c>
      <c r="K85">
        <v>252</v>
      </c>
      <c r="L85">
        <v>3.07</v>
      </c>
      <c r="M85">
        <v>30.6</v>
      </c>
      <c r="N85">
        <v>27.3</v>
      </c>
    </row>
    <row r="86" spans="1:14">
      <c r="A86" t="s">
        <v>50</v>
      </c>
      <c r="B86">
        <v>0.91500000000000004</v>
      </c>
      <c r="C86">
        <v>309.17</v>
      </c>
      <c r="D86">
        <v>6.12</v>
      </c>
      <c r="E86">
        <v>0.47201526717557252</v>
      </c>
      <c r="F86">
        <v>74.900000000000006</v>
      </c>
      <c r="G86">
        <v>77.099999999999994</v>
      </c>
      <c r="H86">
        <v>2.1999999999999886</v>
      </c>
      <c r="I86">
        <v>655</v>
      </c>
      <c r="J86">
        <v>5</v>
      </c>
      <c r="K86">
        <v>231</v>
      </c>
      <c r="L86">
        <v>2.82</v>
      </c>
      <c r="M86">
        <v>31.9</v>
      </c>
      <c r="N86">
        <v>23.5</v>
      </c>
    </row>
    <row r="87" spans="1:14">
      <c r="A87" t="s">
        <v>50</v>
      </c>
      <c r="B87">
        <v>0.90900000000000003</v>
      </c>
      <c r="C87">
        <v>335.47</v>
      </c>
      <c r="D87">
        <v>9.49</v>
      </c>
      <c r="E87">
        <v>0.43909685863874348</v>
      </c>
      <c r="F87">
        <v>79.099999999999994</v>
      </c>
      <c r="G87">
        <v>81.900000000000006</v>
      </c>
      <c r="H87">
        <v>2.8000000000000114</v>
      </c>
      <c r="I87">
        <v>764</v>
      </c>
      <c r="J87">
        <v>7</v>
      </c>
      <c r="K87">
        <v>221</v>
      </c>
      <c r="L87">
        <v>2.6951219512195124</v>
      </c>
      <c r="M87">
        <v>28.6</v>
      </c>
      <c r="N87">
        <v>22.7</v>
      </c>
    </row>
    <row r="88" spans="1:14">
      <c r="A88" t="s">
        <v>50</v>
      </c>
      <c r="B88">
        <v>0.88800000000000001</v>
      </c>
      <c r="C88">
        <v>297.75</v>
      </c>
      <c r="D88">
        <v>9.69</v>
      </c>
      <c r="E88">
        <v>0.40565395095367845</v>
      </c>
      <c r="F88">
        <v>71.599999999999994</v>
      </c>
      <c r="G88">
        <v>77.8</v>
      </c>
      <c r="H88">
        <v>6.2000000000000028</v>
      </c>
      <c r="I88">
        <v>734</v>
      </c>
      <c r="J88">
        <v>15</v>
      </c>
      <c r="K88">
        <v>296</v>
      </c>
      <c r="L88">
        <v>3.61</v>
      </c>
      <c r="M88">
        <v>30.8</v>
      </c>
      <c r="N88">
        <v>22.7</v>
      </c>
    </row>
    <row r="89" spans="1:14">
      <c r="A89" t="s">
        <v>51</v>
      </c>
      <c r="B89">
        <v>0.90700000000000003</v>
      </c>
      <c r="C89">
        <v>300.58</v>
      </c>
      <c r="D89">
        <v>9.7899999999999991</v>
      </c>
      <c r="E89">
        <v>0.51381196581196575</v>
      </c>
      <c r="F89">
        <v>79.3</v>
      </c>
      <c r="G89">
        <v>83.6</v>
      </c>
      <c r="H89">
        <v>4.2999999999999972</v>
      </c>
      <c r="I89">
        <v>585</v>
      </c>
      <c r="J89">
        <v>9</v>
      </c>
      <c r="K89">
        <v>243</v>
      </c>
      <c r="L89">
        <v>2.9634146341463414</v>
      </c>
      <c r="M89">
        <v>30.3</v>
      </c>
      <c r="N89">
        <v>20.2</v>
      </c>
    </row>
    <row r="90" spans="1:14">
      <c r="A90" t="s">
        <v>51</v>
      </c>
      <c r="B90">
        <v>0.90600000000000003</v>
      </c>
      <c r="C90">
        <v>280.45999999999998</v>
      </c>
      <c r="D90">
        <v>5.45</v>
      </c>
      <c r="E90">
        <v>0.44945512820512817</v>
      </c>
      <c r="F90">
        <v>77.400000000000006</v>
      </c>
      <c r="G90">
        <v>82.2</v>
      </c>
      <c r="H90">
        <v>4.7999999999999972</v>
      </c>
      <c r="I90">
        <v>624</v>
      </c>
      <c r="J90">
        <v>10</v>
      </c>
      <c r="K90">
        <v>244</v>
      </c>
      <c r="L90">
        <v>2.98</v>
      </c>
      <c r="M90">
        <v>30</v>
      </c>
      <c r="N90">
        <v>18.399999999999999</v>
      </c>
    </row>
    <row r="91" spans="1:14">
      <c r="A91" t="s">
        <v>51</v>
      </c>
      <c r="B91">
        <v>0.91500000000000004</v>
      </c>
      <c r="C91">
        <v>240.41</v>
      </c>
      <c r="D91">
        <v>9.39</v>
      </c>
      <c r="E91">
        <v>0.40816638370118846</v>
      </c>
      <c r="F91">
        <v>77.400000000000006</v>
      </c>
      <c r="G91">
        <v>82.6</v>
      </c>
      <c r="H91">
        <v>5.1999999999999886</v>
      </c>
      <c r="I91">
        <v>589</v>
      </c>
      <c r="J91">
        <v>10</v>
      </c>
      <c r="K91">
        <v>225</v>
      </c>
      <c r="L91">
        <v>2.74</v>
      </c>
      <c r="M91">
        <v>30.9</v>
      </c>
      <c r="N91">
        <v>20.3</v>
      </c>
    </row>
    <row r="92" spans="1:14">
      <c r="A92" t="s">
        <v>52</v>
      </c>
      <c r="B92">
        <v>0.90300000000000002</v>
      </c>
      <c r="C92">
        <v>317.85000000000002</v>
      </c>
      <c r="D92">
        <v>9.91</v>
      </c>
      <c r="E92">
        <v>0.50613057324840771</v>
      </c>
      <c r="F92">
        <v>79</v>
      </c>
      <c r="G92">
        <v>80.3</v>
      </c>
      <c r="H92">
        <v>1.2999999999999972</v>
      </c>
      <c r="I92">
        <v>628</v>
      </c>
      <c r="J92">
        <v>3</v>
      </c>
      <c r="K92">
        <v>252</v>
      </c>
      <c r="L92">
        <v>3.0731707317073171</v>
      </c>
      <c r="M92">
        <v>30.5</v>
      </c>
      <c r="N92">
        <v>20.6</v>
      </c>
    </row>
    <row r="93" spans="1:14">
      <c r="A93" t="s">
        <v>52</v>
      </c>
      <c r="B93">
        <v>0.90500000000000003</v>
      </c>
      <c r="C93">
        <v>297.32</v>
      </c>
      <c r="D93">
        <v>9.8000000000000007</v>
      </c>
      <c r="E93">
        <v>0.41699859747545581</v>
      </c>
      <c r="F93">
        <v>81.900000000000006</v>
      </c>
      <c r="G93">
        <v>83.6</v>
      </c>
      <c r="H93">
        <v>1.6999999999999886</v>
      </c>
      <c r="I93">
        <v>713</v>
      </c>
      <c r="J93">
        <v>4</v>
      </c>
      <c r="K93">
        <v>261</v>
      </c>
      <c r="L93">
        <v>3.18</v>
      </c>
      <c r="M93">
        <v>31.1</v>
      </c>
      <c r="N93">
        <v>21.2</v>
      </c>
    </row>
    <row r="94" spans="1:14">
      <c r="A94" t="s">
        <v>52</v>
      </c>
      <c r="B94">
        <v>0.90200000000000002</v>
      </c>
      <c r="C94">
        <v>297.86</v>
      </c>
      <c r="D94">
        <v>6.16</v>
      </c>
      <c r="E94">
        <v>0.47204437400950872</v>
      </c>
      <c r="F94">
        <v>80.400000000000006</v>
      </c>
      <c r="G94">
        <v>84</v>
      </c>
      <c r="H94">
        <v>3.5999999999999943</v>
      </c>
      <c r="I94">
        <v>631</v>
      </c>
      <c r="J94">
        <v>8</v>
      </c>
      <c r="K94">
        <v>242</v>
      </c>
      <c r="L94">
        <v>2.95</v>
      </c>
      <c r="M94">
        <v>29</v>
      </c>
      <c r="N94">
        <v>18.8</v>
      </c>
    </row>
    <row r="95" spans="1:14">
      <c r="A95" t="s">
        <v>53</v>
      </c>
      <c r="B95">
        <v>0.92300000000000004</v>
      </c>
      <c r="C95">
        <v>297.06</v>
      </c>
      <c r="D95">
        <v>9.42</v>
      </c>
      <c r="E95">
        <v>0.45077389984825494</v>
      </c>
      <c r="F95">
        <v>77.099999999999994</v>
      </c>
      <c r="G95">
        <v>78.5</v>
      </c>
      <c r="H95">
        <v>1.4000000000000057</v>
      </c>
      <c r="I95">
        <v>659</v>
      </c>
      <c r="J95">
        <v>3</v>
      </c>
      <c r="K95">
        <v>198</v>
      </c>
      <c r="L95">
        <v>2.4146341463414633</v>
      </c>
      <c r="M95">
        <v>29.6</v>
      </c>
      <c r="N95">
        <v>18.8</v>
      </c>
    </row>
    <row r="96" spans="1:14">
      <c r="A96" t="s">
        <v>53</v>
      </c>
      <c r="B96">
        <v>0.91600000000000004</v>
      </c>
      <c r="C96">
        <v>320.55</v>
      </c>
      <c r="D96">
        <v>9.74</v>
      </c>
      <c r="E96">
        <v>0.45858369098712448</v>
      </c>
      <c r="F96">
        <v>82.4</v>
      </c>
      <c r="G96">
        <v>85.4</v>
      </c>
      <c r="H96">
        <v>3</v>
      </c>
      <c r="I96">
        <v>699</v>
      </c>
      <c r="J96">
        <v>7</v>
      </c>
      <c r="K96">
        <v>224</v>
      </c>
      <c r="L96">
        <v>2.73</v>
      </c>
      <c r="M96">
        <v>30.3</v>
      </c>
      <c r="N96">
        <v>19.3</v>
      </c>
    </row>
    <row r="97" spans="1:14">
      <c r="A97" t="s">
        <v>53</v>
      </c>
      <c r="B97">
        <v>0.91300000000000003</v>
      </c>
      <c r="C97">
        <v>302.37</v>
      </c>
      <c r="D97">
        <v>6.28</v>
      </c>
      <c r="E97">
        <v>0.41879501385041551</v>
      </c>
      <c r="F97">
        <v>75</v>
      </c>
      <c r="G97">
        <v>78.900000000000006</v>
      </c>
      <c r="H97">
        <v>3.9000000000000057</v>
      </c>
      <c r="I97">
        <v>722</v>
      </c>
      <c r="J97">
        <v>9</v>
      </c>
      <c r="K97">
        <v>253</v>
      </c>
      <c r="L97">
        <v>3.09</v>
      </c>
      <c r="M97">
        <v>33.200000000000003</v>
      </c>
      <c r="N97">
        <v>21.1</v>
      </c>
    </row>
    <row r="99" spans="1:14">
      <c r="A99" s="1" t="s">
        <v>54</v>
      </c>
      <c r="B99" s="14">
        <f>AVERAGE(Table2[Save %])</f>
        <v>0.90496875000000021</v>
      </c>
      <c r="C99" s="14">
        <f>AVERAGE(Table2[Skating Distance Penalty Killing (Total)])</f>
        <v>329.79874999999998</v>
      </c>
      <c r="D99" s="14">
        <f>AVERAGE(Table2[Skating Distance Penalty Killing (per 60)])</f>
        <v>8.6559374999999985</v>
      </c>
      <c r="E99" s="14">
        <f>AVERAGE(Table2[Skating Distance Penalty Killing (per PIM)])</f>
        <v>0.44880012023479382</v>
      </c>
      <c r="F99" s="14">
        <f>AVERAGE(Table2[Penalty Kill %])</f>
        <v>79.051041666666649</v>
      </c>
      <c r="G99" s="14">
        <f>AVERAGE(Table2[Net Penalty Kill %])</f>
        <v>82.028124999999974</v>
      </c>
      <c r="H99" s="14">
        <f>AVERAGE(Table2[Net PK vs PK Difference])</f>
        <v>2.9770833333333329</v>
      </c>
      <c r="I99" s="14">
        <f>AVERAGE(Table2[PIM])</f>
        <v>746.46875</v>
      </c>
      <c r="J99" s="14">
        <f>AVERAGE(Table2[SHG])</f>
        <v>7.239583333333333</v>
      </c>
      <c r="K99" s="14">
        <f>AVERAGE(Table2[GA])</f>
        <v>255.04166666666666</v>
      </c>
      <c r="L99" s="14">
        <f>AVERAGE(Table2[GA/GP])</f>
        <v>3.1102057926829279</v>
      </c>
      <c r="M99" s="14">
        <f>AVERAGE(Table2[SA/GP])</f>
        <v>31.046875000000004</v>
      </c>
      <c r="N99" s="14">
        <f>AVERAGE(Table2[Power Play%])</f>
        <v>20.862499999999994</v>
      </c>
    </row>
    <row r="100" spans="1:14">
      <c r="A100" s="1" t="s">
        <v>55</v>
      </c>
      <c r="B100" s="14">
        <f>_xlfn.STDEV.P(Table2[Save %])</f>
        <v>9.4090527385863945E-3</v>
      </c>
      <c r="C100" s="14">
        <f>_xlfn.STDEV.P(Table2[Skating Distance Penalty Killing (Total)])</f>
        <v>35.63841227787124</v>
      </c>
      <c r="D100" s="14">
        <f>_xlfn.STDEV.P(Table2[Skating Distance Penalty Killing (per 60)])</f>
        <v>1.7532176241871549</v>
      </c>
      <c r="E100" s="14">
        <f>_xlfn.STDEV.P(Table2[Skating Distance Penalty Killing (per PIM)])</f>
        <v>5.8531961588931473E-2</v>
      </c>
      <c r="F100" s="14">
        <f>_xlfn.STDEV.P(Table2[Penalty Kill %])</f>
        <v>3.7227900265254323</v>
      </c>
      <c r="G100" s="14">
        <f>_xlfn.STDEV.P(Table2[Net Penalty Kill %])</f>
        <v>4.0542596715522556</v>
      </c>
      <c r="H100" s="14">
        <f>_xlfn.STDEV.P(Table2[Net PK vs PK Difference])</f>
        <v>1.3016399245012247</v>
      </c>
      <c r="I100" s="14">
        <f>_xlfn.STDEV.P(Table2[PIM])</f>
        <v>123.67783696673723</v>
      </c>
      <c r="J100" s="14">
        <f>_xlfn.STDEV.P(Table2[SHG])</f>
        <v>3.1614368821348027</v>
      </c>
      <c r="K100" s="14">
        <f>_xlfn.STDEV.P(Table2[GA])</f>
        <v>33.741331191219409</v>
      </c>
      <c r="L100" s="14">
        <f>_xlfn.STDEV.P(Table2[GA/GP])</f>
        <v>0.41157164434839305</v>
      </c>
      <c r="M100" s="14">
        <f>_xlfn.STDEV.P(Table2[SA/GP])</f>
        <v>2.2757761096034175</v>
      </c>
      <c r="N100" s="14">
        <f>_xlfn.STDEV.P(Table2[Power Play%])</f>
        <v>3.7606584640636553</v>
      </c>
    </row>
    <row r="101" spans="1:14">
      <c r="A101" s="1" t="s">
        <v>56</v>
      </c>
      <c r="B101" s="14">
        <f>_xlfn.VAR.P(Table2[Save %])</f>
        <v>8.8530273437500135E-5</v>
      </c>
      <c r="C101" s="14">
        <f>_xlfn.VAR.P(Table2[Skating Distance Penalty Killing (Total)])</f>
        <v>1270.0964296875236</v>
      </c>
      <c r="D101" s="14">
        <f>_xlfn.VAR.P(Table2[Skating Distance Penalty Killing (per 60)])</f>
        <v>3.073772037760452</v>
      </c>
      <c r="E101" s="14">
        <f>_xlfn.VAR.P(Table2[Skating Distance Penalty Killing (per PIM)])</f>
        <v>3.4259905274481492E-3</v>
      </c>
      <c r="F101" s="14">
        <f>_xlfn.VAR.P(Table2[Penalty Kill %])</f>
        <v>13.85916558159723</v>
      </c>
      <c r="G101" s="14">
        <f>_xlfn.VAR.P(Table2[Net Penalty Kill %])</f>
        <v>16.437021484375006</v>
      </c>
      <c r="H101" s="14">
        <f>_xlfn.VAR.P(Table2[Net PK vs PK Difference])</f>
        <v>1.694266493055554</v>
      </c>
      <c r="I101" s="14">
        <f>_xlfn.VAR.P(Table2[PIM])</f>
        <v>15296.207356770834</v>
      </c>
      <c r="J101" s="14">
        <f>_xlfn.VAR.P(Table2[SHG])</f>
        <v>9.9946831597222214</v>
      </c>
      <c r="K101" s="14">
        <f>_xlfn.VAR.P(Table2[GA])</f>
        <v>1138.4774305555557</v>
      </c>
      <c r="L101" s="14">
        <f>_xlfn.VAR.P(Table2[GA/GP])</f>
        <v>0.16939121843164015</v>
      </c>
      <c r="M101" s="14">
        <f>_xlfn.VAR.P(Table2[SA/GP])</f>
        <v>5.179156901041666</v>
      </c>
      <c r="N101" s="14">
        <f>_xlfn.VAR.P(Table2[Power Play%])</f>
        <v>14.142552083333612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5F7B-BE7B-44B1-B38F-087FAC4DAEAD}">
  <dimension ref="A1:T37"/>
  <sheetViews>
    <sheetView topLeftCell="A12" workbookViewId="0">
      <selection activeCell="A35" sqref="A35:O36"/>
    </sheetView>
  </sheetViews>
  <sheetFormatPr defaultColWidth="9.140625" defaultRowHeight="15"/>
  <cols>
    <col min="1" max="1" width="21.28515625" style="16" bestFit="1" customWidth="1"/>
    <col min="2" max="2" width="12.5703125" style="16" bestFit="1" customWidth="1"/>
    <col min="3" max="5" width="30.7109375" style="16" bestFit="1" customWidth="1"/>
    <col min="6" max="6" width="15.5703125" style="16" bestFit="1" customWidth="1"/>
    <col min="7" max="7" width="19" style="16" bestFit="1" customWidth="1"/>
    <col min="8" max="8" width="24.5703125" style="16" bestFit="1" customWidth="1"/>
    <col min="9" max="9" width="17" style="16" bestFit="1" customWidth="1"/>
    <col min="10" max="10" width="12.5703125" style="16" bestFit="1" customWidth="1"/>
    <col min="11" max="11" width="14.85546875" style="16" bestFit="1" customWidth="1"/>
    <col min="12" max="12" width="12.5703125" style="16" bestFit="1" customWidth="1"/>
    <col min="13" max="13" width="13.85546875" style="16" bestFit="1" customWidth="1"/>
    <col min="14" max="14" width="14.7109375" style="16" bestFit="1" customWidth="1"/>
    <col min="15" max="15" width="14.85546875" style="16" bestFit="1" customWidth="1"/>
    <col min="16" max="16" width="10.5703125" style="16" bestFit="1" customWidth="1"/>
    <col min="17" max="17" width="9.140625" style="16"/>
    <col min="18" max="18" width="41.85546875" style="16" bestFit="1" customWidth="1"/>
    <col min="19" max="19" width="9.28515625" style="16" customWidth="1"/>
    <col min="20" max="20" width="9.28515625" style="16" bestFit="1" customWidth="1"/>
    <col min="21" max="16384" width="9.140625" style="16"/>
  </cols>
  <sheetData>
    <row r="1" spans="1:2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57</v>
      </c>
      <c r="P1" s="16" t="s">
        <v>58</v>
      </c>
    </row>
    <row r="2" spans="1:20">
      <c r="A2" s="16" t="s">
        <v>14</v>
      </c>
      <c r="B2" s="16">
        <v>0.89400000000000002</v>
      </c>
      <c r="C2" s="16">
        <v>406.2</v>
      </c>
      <c r="D2" s="16">
        <v>9.4499999999999993</v>
      </c>
      <c r="E2" s="16">
        <v>0.36660649819494584</v>
      </c>
      <c r="F2" s="16">
        <v>72.400000000000006</v>
      </c>
      <c r="G2" s="16">
        <v>76.099999999999994</v>
      </c>
      <c r="H2" s="16">
        <v>3.6999999999999886</v>
      </c>
      <c r="I2" s="16">
        <v>1108</v>
      </c>
      <c r="J2" s="16">
        <v>12</v>
      </c>
      <c r="K2" s="16">
        <v>293</v>
      </c>
      <c r="L2" s="16">
        <v>3.5731707317073171</v>
      </c>
      <c r="M2" s="16">
        <v>32.5</v>
      </c>
      <c r="N2" s="16">
        <v>17.899999999999999</v>
      </c>
      <c r="O2" s="16">
        <v>90.300000000000011</v>
      </c>
      <c r="P2" s="16" t="s">
        <v>59</v>
      </c>
      <c r="R2" s="17"/>
      <c r="S2" s="18" t="s">
        <v>15</v>
      </c>
      <c r="T2" s="18" t="s">
        <v>16</v>
      </c>
    </row>
    <row r="3" spans="1:20">
      <c r="A3" s="16" t="s">
        <v>19</v>
      </c>
      <c r="B3" s="16">
        <v>0.90100000000000002</v>
      </c>
      <c r="C3" s="16">
        <v>345.69</v>
      </c>
      <c r="D3" s="16">
        <v>9.66</v>
      </c>
      <c r="E3" s="16">
        <v>0.3661970338983051</v>
      </c>
      <c r="F3" s="16">
        <v>76.3</v>
      </c>
      <c r="G3" s="16">
        <v>79</v>
      </c>
      <c r="H3" s="16">
        <v>2.7000000000000028</v>
      </c>
      <c r="I3" s="16">
        <v>944</v>
      </c>
      <c r="J3" s="16">
        <v>7</v>
      </c>
      <c r="K3" s="16">
        <v>274</v>
      </c>
      <c r="L3" s="16">
        <v>3.3414634146341462</v>
      </c>
      <c r="M3" s="16">
        <v>31.7</v>
      </c>
      <c r="N3" s="16">
        <v>22</v>
      </c>
      <c r="O3" s="16">
        <v>98.3</v>
      </c>
      <c r="P3" s="16" t="s">
        <v>59</v>
      </c>
      <c r="R3" s="19" t="s">
        <v>17</v>
      </c>
      <c r="S3" s="18">
        <f>CORREL(Table5[Save %],Table5[Penalty Kill %])</f>
        <v>0.2461566123781426</v>
      </c>
      <c r="T3" s="18">
        <v>0.30251099706744866</v>
      </c>
    </row>
    <row r="4" spans="1:20">
      <c r="A4" s="16" t="s">
        <v>23</v>
      </c>
      <c r="B4" s="16">
        <v>0.91500000000000004</v>
      </c>
      <c r="C4" s="16">
        <v>374.77</v>
      </c>
      <c r="D4" s="16">
        <v>10.220000000000001</v>
      </c>
      <c r="E4" s="16">
        <v>0.48671428571428571</v>
      </c>
      <c r="F4" s="16">
        <v>82.5</v>
      </c>
      <c r="G4" s="16">
        <v>85.1</v>
      </c>
      <c r="H4" s="16">
        <v>2.5999999999999943</v>
      </c>
      <c r="I4" s="16">
        <v>770</v>
      </c>
      <c r="J4" s="16">
        <v>7</v>
      </c>
      <c r="K4" s="16">
        <v>221</v>
      </c>
      <c r="L4" s="16">
        <v>2.6951219512195124</v>
      </c>
      <c r="M4" s="16">
        <v>30.5</v>
      </c>
      <c r="N4" s="16">
        <v>22.2</v>
      </c>
      <c r="O4" s="16">
        <v>104.7</v>
      </c>
      <c r="P4" s="16" t="s">
        <v>60</v>
      </c>
      <c r="R4" s="19" t="s">
        <v>18</v>
      </c>
      <c r="S4" s="18">
        <f>CORREL(Table5[Skating Distance Penalty Killing (per PIM)],Table5[Penalty Kill %])</f>
        <v>0.40288738045122546</v>
      </c>
      <c r="T4" s="18">
        <v>0.33055351906158359</v>
      </c>
    </row>
    <row r="5" spans="1:20">
      <c r="A5" s="16" t="s">
        <v>25</v>
      </c>
      <c r="B5" s="16">
        <v>0.90300000000000002</v>
      </c>
      <c r="C5" s="16">
        <v>326.87</v>
      </c>
      <c r="D5" s="16">
        <v>9.9700000000000006</v>
      </c>
      <c r="E5" s="16">
        <v>0.41639490445859872</v>
      </c>
      <c r="F5" s="16">
        <v>79.8</v>
      </c>
      <c r="G5" s="16">
        <v>82.7</v>
      </c>
      <c r="H5" s="16">
        <v>2.9000000000000057</v>
      </c>
      <c r="I5" s="16">
        <v>785</v>
      </c>
      <c r="J5" s="16">
        <v>7</v>
      </c>
      <c r="K5" s="16">
        <v>243</v>
      </c>
      <c r="L5" s="16">
        <v>2.9634146341463414</v>
      </c>
      <c r="M5" s="16">
        <v>29.3</v>
      </c>
      <c r="N5" s="16">
        <v>16.600000000000001</v>
      </c>
      <c r="O5" s="16">
        <v>96.4</v>
      </c>
      <c r="P5" s="16" t="s">
        <v>59</v>
      </c>
      <c r="R5" s="22" t="s">
        <v>20</v>
      </c>
      <c r="S5" s="23">
        <f>CORREL(Table5[SHG],Table5[Penalty Kill %])</f>
        <v>0.31074155366031203</v>
      </c>
      <c r="T5" s="23">
        <v>0.38086510263929618</v>
      </c>
    </row>
    <row r="6" spans="1:20">
      <c r="A6" s="16" t="s">
        <v>26</v>
      </c>
      <c r="B6" s="16">
        <v>0.89700000000000002</v>
      </c>
      <c r="C6" s="16">
        <v>322.13</v>
      </c>
      <c r="D6" s="16">
        <v>10.119999999999999</v>
      </c>
      <c r="E6" s="16">
        <v>0.42553500660501981</v>
      </c>
      <c r="F6" s="16">
        <v>80.8</v>
      </c>
      <c r="G6" s="16">
        <v>85.3</v>
      </c>
      <c r="H6" s="16">
        <v>4.5</v>
      </c>
      <c r="I6" s="16">
        <v>757</v>
      </c>
      <c r="J6" s="16">
        <v>11</v>
      </c>
      <c r="K6" s="16">
        <v>267</v>
      </c>
      <c r="L6" s="16">
        <v>3.2560975609756095</v>
      </c>
      <c r="M6" s="16">
        <v>29.7</v>
      </c>
      <c r="N6" s="16">
        <v>17.899999999999999</v>
      </c>
      <c r="O6" s="16">
        <v>98.699999999999989</v>
      </c>
      <c r="P6" s="16" t="s">
        <v>59</v>
      </c>
      <c r="R6" s="18" t="s">
        <v>21</v>
      </c>
      <c r="S6" s="18">
        <f>CORREL(Table5[Penalty Kill %],Table5[SA/GP])</f>
        <v>-0.68890620711286188</v>
      </c>
      <c r="T6" s="18">
        <v>-0.65982404692082119</v>
      </c>
    </row>
    <row r="7" spans="1:20">
      <c r="A7" s="16" t="s">
        <v>27</v>
      </c>
      <c r="B7" s="16">
        <v>0.90500000000000003</v>
      </c>
      <c r="C7" s="16">
        <v>384.68</v>
      </c>
      <c r="D7" s="16">
        <v>10.5</v>
      </c>
      <c r="E7" s="16">
        <v>0.55509379509379508</v>
      </c>
      <c r="F7" s="16">
        <v>86.4</v>
      </c>
      <c r="G7" s="16">
        <v>90.7</v>
      </c>
      <c r="H7" s="16">
        <v>4.2999999999999972</v>
      </c>
      <c r="I7" s="16">
        <v>693</v>
      </c>
      <c r="J7" s="16">
        <v>11</v>
      </c>
      <c r="K7" s="16">
        <v>211</v>
      </c>
      <c r="L7" s="16">
        <v>2.5731707317073171</v>
      </c>
      <c r="M7" s="16">
        <v>25.6</v>
      </c>
      <c r="N7" s="16">
        <v>26.9</v>
      </c>
      <c r="O7" s="16">
        <v>113.30000000000001</v>
      </c>
      <c r="P7" s="16" t="s">
        <v>60</v>
      </c>
      <c r="R7" s="24" t="s">
        <v>22</v>
      </c>
      <c r="S7" s="25">
        <f>CORREL(Table5[SHG],Table5[Skating Distance Penalty Killing (per PIM)])</f>
        <v>0.19217612330375228</v>
      </c>
      <c r="T7" s="25">
        <v>0.19492302052785926</v>
      </c>
    </row>
    <row r="8" spans="1:20">
      <c r="A8" s="16" t="s">
        <v>28</v>
      </c>
      <c r="B8" s="16">
        <v>0.89700000000000002</v>
      </c>
      <c r="C8" s="16">
        <v>323.49</v>
      </c>
      <c r="D8" s="16">
        <v>10.42</v>
      </c>
      <c r="E8" s="16">
        <v>0.45243356643356647</v>
      </c>
      <c r="F8" s="16">
        <v>75.8</v>
      </c>
      <c r="G8" s="16">
        <v>77.099999999999994</v>
      </c>
      <c r="H8" s="16">
        <v>1.2999999999999972</v>
      </c>
      <c r="I8" s="16">
        <v>715</v>
      </c>
      <c r="J8" s="16">
        <v>3</v>
      </c>
      <c r="K8" s="16">
        <v>289</v>
      </c>
      <c r="L8" s="16">
        <v>3.524390243902439</v>
      </c>
      <c r="M8" s="16">
        <v>32.700000000000003</v>
      </c>
      <c r="N8" s="16">
        <v>16.600000000000001</v>
      </c>
      <c r="O8" s="16">
        <v>92.4</v>
      </c>
      <c r="P8" s="16" t="s">
        <v>59</v>
      </c>
      <c r="R8" s="19" t="s">
        <v>24</v>
      </c>
      <c r="S8" s="18">
        <f>CORREL(Table5[Penalty Kill %],Table5[Net PK vs PK Difference])</f>
        <v>0.32214436180594702</v>
      </c>
      <c r="T8" s="18">
        <v>0.32056451612903225</v>
      </c>
    </row>
    <row r="9" spans="1:20">
      <c r="A9" s="16" t="s">
        <v>29</v>
      </c>
      <c r="B9" s="16">
        <v>0.90200000000000002</v>
      </c>
      <c r="C9" s="16">
        <v>350.64</v>
      </c>
      <c r="D9" s="16">
        <v>9.83</v>
      </c>
      <c r="E9" s="16">
        <v>0.47967168262653898</v>
      </c>
      <c r="F9" s="16">
        <v>79.900000000000006</v>
      </c>
      <c r="G9" s="16">
        <v>82.6</v>
      </c>
      <c r="H9" s="16">
        <v>2.6999999999999886</v>
      </c>
      <c r="I9" s="16">
        <v>731</v>
      </c>
      <c r="J9" s="16">
        <v>7</v>
      </c>
      <c r="K9" s="16">
        <v>252</v>
      </c>
      <c r="L9" s="16">
        <v>3.0731707317073171</v>
      </c>
      <c r="M9" s="16">
        <v>29.8</v>
      </c>
      <c r="N9" s="16">
        <v>24.5</v>
      </c>
      <c r="O9" s="16">
        <v>104.4</v>
      </c>
      <c r="P9" s="16" t="s">
        <v>60</v>
      </c>
      <c r="R9" s="17"/>
      <c r="S9" s="17"/>
    </row>
    <row r="10" spans="1:20">
      <c r="A10" s="16" t="s">
        <v>30</v>
      </c>
      <c r="B10" s="16">
        <v>0.9</v>
      </c>
      <c r="C10" s="16">
        <v>292.04000000000002</v>
      </c>
      <c r="D10" s="16">
        <v>9.26</v>
      </c>
      <c r="E10" s="16">
        <v>0.43588059701492543</v>
      </c>
      <c r="F10" s="16">
        <v>76.3</v>
      </c>
      <c r="G10" s="16">
        <v>78.400000000000006</v>
      </c>
      <c r="H10" s="16">
        <v>2.1000000000000085</v>
      </c>
      <c r="I10" s="16">
        <v>670</v>
      </c>
      <c r="J10" s="16">
        <v>5</v>
      </c>
      <c r="K10" s="16">
        <v>298</v>
      </c>
      <c r="L10" s="16">
        <v>3.6341463414634148</v>
      </c>
      <c r="M10" s="16">
        <v>34.4</v>
      </c>
      <c r="N10" s="16">
        <v>15.1</v>
      </c>
      <c r="O10" s="16">
        <v>91.399999999999991</v>
      </c>
      <c r="P10" s="16" t="s">
        <v>59</v>
      </c>
      <c r="R10" s="17"/>
      <c r="S10" s="17"/>
    </row>
    <row r="11" spans="1:20">
      <c r="A11" s="16" t="s">
        <v>31</v>
      </c>
      <c r="B11" s="16">
        <v>0.90400000000000003</v>
      </c>
      <c r="C11" s="16">
        <v>323.86</v>
      </c>
      <c r="D11" s="16">
        <v>10.06</v>
      </c>
      <c r="E11" s="16">
        <v>0.58458483754512636</v>
      </c>
      <c r="F11" s="16">
        <v>82</v>
      </c>
      <c r="G11" s="16">
        <v>87</v>
      </c>
      <c r="H11" s="16">
        <v>5</v>
      </c>
      <c r="I11" s="16">
        <v>554</v>
      </c>
      <c r="J11" s="16">
        <v>12</v>
      </c>
      <c r="K11" s="16">
        <v>232</v>
      </c>
      <c r="L11" s="16">
        <v>2.8292682926829267</v>
      </c>
      <c r="M11" s="16">
        <v>28.7</v>
      </c>
      <c r="N11" s="16">
        <v>24.2</v>
      </c>
      <c r="O11" s="16">
        <v>106.2</v>
      </c>
      <c r="P11" s="16" t="s">
        <v>60</v>
      </c>
    </row>
    <row r="12" spans="1:20">
      <c r="A12" s="16" t="s">
        <v>32</v>
      </c>
      <c r="B12" s="16">
        <v>0.90200000000000002</v>
      </c>
      <c r="C12" s="16">
        <v>293.89999999999998</v>
      </c>
      <c r="D12" s="16">
        <v>9.41</v>
      </c>
      <c r="E12" s="16">
        <v>0.41628895184135972</v>
      </c>
      <c r="F12" s="16">
        <v>79.599999999999994</v>
      </c>
      <c r="G12" s="16">
        <v>82.5</v>
      </c>
      <c r="H12" s="16">
        <v>2.9000000000000057</v>
      </c>
      <c r="I12" s="16">
        <v>706</v>
      </c>
      <c r="J12" s="16">
        <v>7</v>
      </c>
      <c r="K12" s="16">
        <v>273</v>
      </c>
      <c r="L12" s="16">
        <v>3.3292682926829267</v>
      </c>
      <c r="M12" s="16">
        <v>32.4</v>
      </c>
      <c r="N12" s="16">
        <v>23.1</v>
      </c>
      <c r="O12" s="16">
        <v>102.69999999999999</v>
      </c>
      <c r="P12" s="16" t="s">
        <v>59</v>
      </c>
    </row>
    <row r="13" spans="1:20">
      <c r="A13" s="16" t="s">
        <v>33</v>
      </c>
      <c r="B13" s="16">
        <v>0.90400000000000003</v>
      </c>
      <c r="C13" s="16">
        <v>357.32</v>
      </c>
      <c r="D13" s="16">
        <v>10.43</v>
      </c>
      <c r="E13" s="16">
        <v>0.45810256410256411</v>
      </c>
      <c r="F13" s="16">
        <v>79.5</v>
      </c>
      <c r="G13" s="16">
        <v>82.2</v>
      </c>
      <c r="H13" s="16">
        <v>2.7000000000000028</v>
      </c>
      <c r="I13" s="16">
        <v>780</v>
      </c>
      <c r="J13" s="16">
        <v>7</v>
      </c>
      <c r="K13" s="16">
        <v>236</v>
      </c>
      <c r="L13" s="16">
        <v>2.8780487804878048</v>
      </c>
      <c r="M13" s="16">
        <v>28.1</v>
      </c>
      <c r="N13" s="16">
        <v>26.3</v>
      </c>
      <c r="O13" s="16">
        <v>105.8</v>
      </c>
      <c r="P13" s="16" t="s">
        <v>60</v>
      </c>
    </row>
    <row r="14" spans="1:20">
      <c r="A14" s="16" t="s">
        <v>34</v>
      </c>
      <c r="B14" s="16">
        <v>0.91800000000000004</v>
      </c>
      <c r="C14" s="16">
        <v>424.85</v>
      </c>
      <c r="D14" s="16">
        <v>10.4</v>
      </c>
      <c r="E14" s="16">
        <v>0.38413200723327307</v>
      </c>
      <c r="F14" s="16">
        <v>82.5</v>
      </c>
      <c r="G14" s="16">
        <v>85.2</v>
      </c>
      <c r="H14" s="16">
        <v>2.7000000000000028</v>
      </c>
      <c r="I14" s="16">
        <v>1106</v>
      </c>
      <c r="J14" s="16">
        <v>8</v>
      </c>
      <c r="K14" s="16">
        <v>198</v>
      </c>
      <c r="L14" s="16">
        <v>2.4146341463414633</v>
      </c>
      <c r="M14" s="16">
        <v>27.8</v>
      </c>
      <c r="N14" s="16">
        <v>23.5</v>
      </c>
      <c r="O14" s="16">
        <v>106</v>
      </c>
      <c r="P14" s="16" t="s">
        <v>60</v>
      </c>
    </row>
    <row r="15" spans="1:20">
      <c r="A15" s="16" t="s">
        <v>35</v>
      </c>
      <c r="B15" s="16">
        <v>0.91200000000000003</v>
      </c>
      <c r="C15" s="16">
        <v>337.52</v>
      </c>
      <c r="D15" s="16">
        <v>9.36</v>
      </c>
      <c r="E15" s="16">
        <v>0.47205594405594403</v>
      </c>
      <c r="F15" s="16">
        <v>84.6</v>
      </c>
      <c r="G15" s="16">
        <v>88.9</v>
      </c>
      <c r="H15" s="16">
        <v>4.3000000000000114</v>
      </c>
      <c r="I15" s="16">
        <v>715</v>
      </c>
      <c r="J15" s="16">
        <v>11</v>
      </c>
      <c r="K15" s="16">
        <v>210</v>
      </c>
      <c r="L15" s="16">
        <v>2.5609756097560976</v>
      </c>
      <c r="M15" s="16">
        <v>28</v>
      </c>
      <c r="N15" s="16">
        <v>22.6</v>
      </c>
      <c r="O15" s="16">
        <v>107.19999999999999</v>
      </c>
      <c r="P15" s="16" t="s">
        <v>60</v>
      </c>
    </row>
    <row r="16" spans="1:20">
      <c r="A16" s="16" t="s">
        <v>36</v>
      </c>
      <c r="B16" s="16">
        <v>0.89700000000000002</v>
      </c>
      <c r="C16" s="16">
        <v>321.7</v>
      </c>
      <c r="D16" s="16">
        <v>9.14</v>
      </c>
      <c r="E16" s="16">
        <v>0.3429637526652452</v>
      </c>
      <c r="F16" s="16">
        <v>74.5</v>
      </c>
      <c r="G16" s="16">
        <v>75.7</v>
      </c>
      <c r="H16" s="16">
        <v>1.2000000000000028</v>
      </c>
      <c r="I16" s="16">
        <v>938</v>
      </c>
      <c r="J16" s="16">
        <v>3</v>
      </c>
      <c r="K16" s="16">
        <v>260</v>
      </c>
      <c r="L16" s="16">
        <v>3.1707317073170733</v>
      </c>
      <c r="M16" s="16">
        <v>29.7</v>
      </c>
      <c r="N16" s="16">
        <v>22.7</v>
      </c>
      <c r="O16" s="16">
        <v>97.2</v>
      </c>
      <c r="P16" s="16" t="s">
        <v>59</v>
      </c>
    </row>
    <row r="17" spans="1:16">
      <c r="A17" s="16" t="s">
        <v>37</v>
      </c>
      <c r="B17" s="16">
        <v>0.90200000000000002</v>
      </c>
      <c r="C17" s="16">
        <v>344.15</v>
      </c>
      <c r="D17" s="16">
        <v>9.26</v>
      </c>
      <c r="E17" s="16">
        <v>0.41715151515151511</v>
      </c>
      <c r="F17" s="16">
        <v>76.5</v>
      </c>
      <c r="G17" s="16">
        <v>79</v>
      </c>
      <c r="H17" s="16">
        <v>2.5</v>
      </c>
      <c r="I17" s="16">
        <v>825</v>
      </c>
      <c r="J17" s="16">
        <v>7</v>
      </c>
      <c r="K17" s="16">
        <v>281</v>
      </c>
      <c r="L17" s="16">
        <v>3.4268292682926829</v>
      </c>
      <c r="M17" s="16">
        <v>33.4</v>
      </c>
      <c r="N17" s="16">
        <v>17.5</v>
      </c>
      <c r="O17" s="16">
        <v>94</v>
      </c>
      <c r="P17" s="16" t="s">
        <v>59</v>
      </c>
    </row>
    <row r="18" spans="1:16">
      <c r="A18" s="16" t="s">
        <v>38</v>
      </c>
      <c r="B18" s="16">
        <v>0.90700000000000003</v>
      </c>
      <c r="C18" s="16">
        <v>342.72</v>
      </c>
      <c r="D18" s="16">
        <v>10.02</v>
      </c>
      <c r="E18" s="16">
        <v>0.44164948453608249</v>
      </c>
      <c r="F18" s="16">
        <v>76.900000000000006</v>
      </c>
      <c r="G18" s="16">
        <v>79.8</v>
      </c>
      <c r="H18" s="16">
        <v>2.8999999999999915</v>
      </c>
      <c r="I18" s="16">
        <v>776</v>
      </c>
      <c r="J18" s="16">
        <v>7</v>
      </c>
      <c r="K18" s="16">
        <v>258</v>
      </c>
      <c r="L18" s="16">
        <v>3.1463414634146343</v>
      </c>
      <c r="M18" s="16">
        <v>30.6</v>
      </c>
      <c r="N18" s="16">
        <v>21.6</v>
      </c>
      <c r="O18" s="16">
        <v>98.5</v>
      </c>
      <c r="P18" s="16" t="s">
        <v>60</v>
      </c>
    </row>
    <row r="19" spans="1:16">
      <c r="A19" s="16" t="s">
        <v>39</v>
      </c>
      <c r="B19" s="16">
        <v>0.89600000000000002</v>
      </c>
      <c r="C19" s="16">
        <v>322.27</v>
      </c>
      <c r="D19" s="16">
        <v>9.76</v>
      </c>
      <c r="E19" s="16">
        <v>0.43141900937081656</v>
      </c>
      <c r="F19" s="16">
        <v>80.7</v>
      </c>
      <c r="G19" s="16">
        <v>81.900000000000006</v>
      </c>
      <c r="H19" s="16">
        <v>1.2000000000000028</v>
      </c>
      <c r="I19" s="16">
        <v>747</v>
      </c>
      <c r="J19" s="16">
        <v>3</v>
      </c>
      <c r="K19" s="16">
        <v>226</v>
      </c>
      <c r="L19" s="16">
        <v>2.7560975609756095</v>
      </c>
      <c r="M19" s="16">
        <v>30</v>
      </c>
      <c r="N19" s="16">
        <v>22.5</v>
      </c>
      <c r="O19" s="16">
        <v>103.2</v>
      </c>
      <c r="P19" s="16" t="s">
        <v>59</v>
      </c>
    </row>
    <row r="20" spans="1:16">
      <c r="A20" s="16" t="s">
        <v>40</v>
      </c>
      <c r="B20" s="16">
        <v>0.91100000000000003</v>
      </c>
      <c r="C20" s="16">
        <v>271.39999999999998</v>
      </c>
      <c r="D20" s="16">
        <v>9.42</v>
      </c>
      <c r="E20" s="16">
        <v>0.4631399317406143</v>
      </c>
      <c r="F20" s="16">
        <v>71.5</v>
      </c>
      <c r="G20" s="16">
        <v>76</v>
      </c>
      <c r="H20" s="16">
        <v>4.5</v>
      </c>
      <c r="I20" s="16">
        <v>586</v>
      </c>
      <c r="J20" s="16">
        <v>10</v>
      </c>
      <c r="K20" s="16">
        <v>281</v>
      </c>
      <c r="L20" s="16">
        <v>3.4268292682926829</v>
      </c>
      <c r="M20" s="16">
        <v>32.799999999999997</v>
      </c>
      <c r="N20" s="16">
        <v>20.399999999999999</v>
      </c>
      <c r="O20" s="16">
        <v>91.9</v>
      </c>
      <c r="P20" s="16" t="s">
        <v>60</v>
      </c>
    </row>
    <row r="21" spans="1:16">
      <c r="A21" s="16" t="s">
        <v>41</v>
      </c>
      <c r="B21" s="16">
        <v>0.91200000000000003</v>
      </c>
      <c r="C21" s="16">
        <v>334.19</v>
      </c>
      <c r="D21" s="16">
        <v>10.24</v>
      </c>
      <c r="E21" s="16">
        <v>0.43799475753604195</v>
      </c>
      <c r="F21" s="16">
        <v>84.5</v>
      </c>
      <c r="G21" s="16">
        <v>87.9</v>
      </c>
      <c r="H21" s="16">
        <v>3.4000000000000057</v>
      </c>
      <c r="I21" s="16">
        <v>763</v>
      </c>
      <c r="J21" s="16">
        <v>8</v>
      </c>
      <c r="K21" s="16">
        <v>248</v>
      </c>
      <c r="L21" s="16">
        <v>3.024390243902439</v>
      </c>
      <c r="M21" s="16">
        <v>29.5</v>
      </c>
      <c r="N21" s="16">
        <v>26.4</v>
      </c>
      <c r="O21" s="16">
        <v>110.9</v>
      </c>
      <c r="P21" s="16" t="s">
        <v>60</v>
      </c>
    </row>
    <row r="22" spans="1:16">
      <c r="A22" s="16" t="s">
        <v>42</v>
      </c>
      <c r="B22" s="16">
        <v>0.88800000000000001</v>
      </c>
      <c r="C22" s="16">
        <v>296.17</v>
      </c>
      <c r="D22" s="16">
        <v>9.7200000000000006</v>
      </c>
      <c r="E22" s="16">
        <v>0.35049704142011834</v>
      </c>
      <c r="F22" s="16">
        <v>75.099999999999994</v>
      </c>
      <c r="G22" s="16">
        <v>78</v>
      </c>
      <c r="H22" s="16">
        <v>2.9000000000000057</v>
      </c>
      <c r="I22" s="16">
        <v>845</v>
      </c>
      <c r="J22" s="16">
        <v>7</v>
      </c>
      <c r="K22" s="16">
        <v>281</v>
      </c>
      <c r="L22" s="16">
        <v>3.4268292682926829</v>
      </c>
      <c r="M22" s="16">
        <v>29.7</v>
      </c>
      <c r="N22" s="16">
        <v>18</v>
      </c>
      <c r="O22" s="16">
        <v>93.1</v>
      </c>
      <c r="P22" s="16" t="s">
        <v>59</v>
      </c>
    </row>
    <row r="23" spans="1:16">
      <c r="A23" s="16" t="s">
        <v>43</v>
      </c>
      <c r="B23" s="16">
        <v>0.88900000000000001</v>
      </c>
      <c r="C23" s="16">
        <v>342.78</v>
      </c>
      <c r="D23" s="16">
        <v>10.35</v>
      </c>
      <c r="E23" s="16">
        <v>0.41298795180722886</v>
      </c>
      <c r="F23" s="16">
        <v>83.4</v>
      </c>
      <c r="G23" s="16">
        <v>90</v>
      </c>
      <c r="H23" s="16">
        <v>6.5999999999999943</v>
      </c>
      <c r="I23" s="16">
        <v>830</v>
      </c>
      <c r="J23" s="16">
        <v>16</v>
      </c>
      <c r="K23" s="16">
        <v>258</v>
      </c>
      <c r="L23" s="16">
        <v>3.1463414634146343</v>
      </c>
      <c r="M23" s="16">
        <v>27.1</v>
      </c>
      <c r="N23" s="16">
        <v>12.2</v>
      </c>
      <c r="O23" s="16">
        <v>95.600000000000009</v>
      </c>
      <c r="P23" s="16" t="s">
        <v>59</v>
      </c>
    </row>
    <row r="24" spans="1:16">
      <c r="A24" s="16" t="s">
        <v>44</v>
      </c>
      <c r="B24" s="16">
        <v>0.90300000000000002</v>
      </c>
      <c r="C24" s="16">
        <v>344.77</v>
      </c>
      <c r="D24" s="16">
        <v>10.38</v>
      </c>
      <c r="E24" s="16">
        <v>0.57175787728026528</v>
      </c>
      <c r="F24" s="16">
        <v>80.7</v>
      </c>
      <c r="G24" s="16">
        <v>82.7</v>
      </c>
      <c r="H24" s="16">
        <v>2</v>
      </c>
      <c r="I24" s="16">
        <v>603</v>
      </c>
      <c r="J24" s="16">
        <v>5</v>
      </c>
      <c r="K24" s="16">
        <v>248</v>
      </c>
      <c r="L24" s="16">
        <v>3.024390243902439</v>
      </c>
      <c r="M24" s="16">
        <v>30.2</v>
      </c>
      <c r="N24" s="16">
        <v>15.3</v>
      </c>
      <c r="O24" s="16">
        <v>96</v>
      </c>
      <c r="P24" s="16" t="s">
        <v>59</v>
      </c>
    </row>
    <row r="25" spans="1:16">
      <c r="A25" s="16" t="s">
        <v>45</v>
      </c>
      <c r="B25" s="16">
        <v>0.89200000000000002</v>
      </c>
      <c r="C25" s="16">
        <v>309.08</v>
      </c>
      <c r="D25" s="16">
        <v>9.1</v>
      </c>
      <c r="E25" s="16">
        <v>0.39625641025641023</v>
      </c>
      <c r="F25" s="16">
        <v>75.400000000000006</v>
      </c>
      <c r="G25" s="16">
        <v>76.599999999999994</v>
      </c>
      <c r="H25" s="16">
        <v>1.1999999999999886</v>
      </c>
      <c r="I25" s="16">
        <v>780</v>
      </c>
      <c r="J25" s="16">
        <v>3</v>
      </c>
      <c r="K25" s="16">
        <v>326</v>
      </c>
      <c r="L25" s="16">
        <v>3.975609756097561</v>
      </c>
      <c r="M25" s="16">
        <v>35.1</v>
      </c>
      <c r="N25" s="16">
        <v>20.2</v>
      </c>
      <c r="O25" s="16">
        <v>95.600000000000009</v>
      </c>
      <c r="P25" s="16" t="s">
        <v>59</v>
      </c>
    </row>
    <row r="26" spans="1:16">
      <c r="A26" s="16" t="s">
        <v>46</v>
      </c>
      <c r="B26" s="16">
        <v>0.90900000000000003</v>
      </c>
      <c r="C26" s="16">
        <v>288.41000000000003</v>
      </c>
      <c r="D26" s="16">
        <v>9.4499999999999993</v>
      </c>
      <c r="E26" s="16">
        <v>0.4416692189892803</v>
      </c>
      <c r="F26" s="16">
        <v>78.8</v>
      </c>
      <c r="G26" s="16">
        <v>81.5</v>
      </c>
      <c r="H26" s="16">
        <v>2.7000000000000028</v>
      </c>
      <c r="I26" s="16">
        <v>653</v>
      </c>
      <c r="J26" s="16">
        <v>6</v>
      </c>
      <c r="K26" s="16">
        <v>232</v>
      </c>
      <c r="L26" s="16">
        <v>2.8292682926829267</v>
      </c>
      <c r="M26" s="16">
        <v>29.2</v>
      </c>
      <c r="N26" s="16">
        <v>20.7</v>
      </c>
      <c r="O26" s="16">
        <v>99.5</v>
      </c>
      <c r="P26" s="16" t="s">
        <v>59</v>
      </c>
    </row>
    <row r="27" spans="1:16">
      <c r="A27" s="16" t="s">
        <v>47</v>
      </c>
      <c r="B27" s="16">
        <v>0.91300000000000003</v>
      </c>
      <c r="C27" s="16">
        <v>291.66000000000003</v>
      </c>
      <c r="D27" s="16">
        <v>9.65</v>
      </c>
      <c r="E27" s="16">
        <v>0.47970394736842109</v>
      </c>
      <c r="F27" s="16">
        <v>79.099999999999994</v>
      </c>
      <c r="G27" s="16">
        <v>84.2</v>
      </c>
      <c r="H27" s="16">
        <v>5.1000000000000085</v>
      </c>
      <c r="I27" s="16">
        <v>608</v>
      </c>
      <c r="J27" s="16">
        <v>11</v>
      </c>
      <c r="K27" s="16">
        <v>248</v>
      </c>
      <c r="L27" s="16">
        <v>3.024390243902439</v>
      </c>
      <c r="M27" s="16">
        <v>32.1</v>
      </c>
      <c r="N27" s="16">
        <v>18</v>
      </c>
      <c r="O27" s="16">
        <v>97.1</v>
      </c>
      <c r="P27" s="16" t="s">
        <v>59</v>
      </c>
    </row>
    <row r="28" spans="1:16">
      <c r="A28" s="16" t="s">
        <v>48</v>
      </c>
      <c r="B28" s="16">
        <v>0.89600000000000002</v>
      </c>
      <c r="C28" s="16">
        <v>315.63</v>
      </c>
      <c r="D28" s="16">
        <v>9.61</v>
      </c>
      <c r="E28" s="16">
        <v>0.35031076581576026</v>
      </c>
      <c r="F28" s="16">
        <v>83.3</v>
      </c>
      <c r="G28" s="16">
        <v>85.5</v>
      </c>
      <c r="H28" s="16">
        <v>2.2000000000000028</v>
      </c>
      <c r="I28" s="16">
        <v>901</v>
      </c>
      <c r="J28" s="16">
        <v>5</v>
      </c>
      <c r="K28" s="16">
        <v>267</v>
      </c>
      <c r="L28" s="16">
        <v>3.2560975609756095</v>
      </c>
      <c r="M28" s="16">
        <v>29.6</v>
      </c>
      <c r="N28" s="16">
        <v>28.6</v>
      </c>
      <c r="O28" s="16">
        <v>111.9</v>
      </c>
      <c r="P28" s="16" t="s">
        <v>60</v>
      </c>
    </row>
    <row r="29" spans="1:16">
      <c r="A29" s="16" t="s">
        <v>49</v>
      </c>
      <c r="B29" s="16">
        <v>0.89800000000000002</v>
      </c>
      <c r="C29" s="16">
        <v>312.43</v>
      </c>
      <c r="D29" s="16">
        <v>9.9600000000000009</v>
      </c>
      <c r="E29" s="16">
        <v>0.38334969325153373</v>
      </c>
      <c r="F29" s="16">
        <v>76.900000000000006</v>
      </c>
      <c r="G29" s="16">
        <v>79.400000000000006</v>
      </c>
      <c r="H29" s="16">
        <v>2.5</v>
      </c>
      <c r="I29" s="16">
        <v>815</v>
      </c>
      <c r="J29" s="16">
        <v>6</v>
      </c>
      <c r="K29" s="16">
        <v>261</v>
      </c>
      <c r="L29" s="16">
        <v>3.1829268292682928</v>
      </c>
      <c r="M29" s="16">
        <v>29.8</v>
      </c>
      <c r="N29" s="16">
        <v>24</v>
      </c>
      <c r="O29" s="16">
        <v>100.9</v>
      </c>
      <c r="P29" s="16" t="s">
        <v>60</v>
      </c>
    </row>
    <row r="30" spans="1:16">
      <c r="A30" s="16" t="s">
        <v>50</v>
      </c>
      <c r="B30" s="16">
        <v>0.90900000000000003</v>
      </c>
      <c r="C30" s="16">
        <v>335.47</v>
      </c>
      <c r="D30" s="16">
        <v>9.49</v>
      </c>
      <c r="E30" s="16">
        <v>0.43909685863874348</v>
      </c>
      <c r="F30" s="16">
        <v>79.099999999999994</v>
      </c>
      <c r="G30" s="16">
        <v>81.900000000000006</v>
      </c>
      <c r="H30" s="16">
        <v>2.8000000000000114</v>
      </c>
      <c r="I30" s="16">
        <v>764</v>
      </c>
      <c r="J30" s="16">
        <v>7</v>
      </c>
      <c r="K30" s="16">
        <v>221</v>
      </c>
      <c r="L30" s="16">
        <v>2.6951219512195124</v>
      </c>
      <c r="M30" s="16">
        <v>28.6</v>
      </c>
      <c r="N30" s="16">
        <v>22.7</v>
      </c>
      <c r="O30" s="16">
        <v>101.8</v>
      </c>
      <c r="P30" s="16" t="s">
        <v>60</v>
      </c>
    </row>
    <row r="31" spans="1:16">
      <c r="A31" s="16" t="s">
        <v>51</v>
      </c>
      <c r="B31" s="16">
        <v>0.90700000000000003</v>
      </c>
      <c r="C31" s="16">
        <v>300.58</v>
      </c>
      <c r="D31" s="16">
        <v>9.7899999999999991</v>
      </c>
      <c r="E31" s="16">
        <v>0.51381196581196575</v>
      </c>
      <c r="F31" s="16">
        <v>79.3</v>
      </c>
      <c r="G31" s="16">
        <v>83.6</v>
      </c>
      <c r="H31" s="16">
        <v>4.2999999999999972</v>
      </c>
      <c r="I31" s="16">
        <v>585</v>
      </c>
      <c r="J31" s="16">
        <v>9</v>
      </c>
      <c r="K31" s="16">
        <v>243</v>
      </c>
      <c r="L31" s="16">
        <v>2.9634146341463414</v>
      </c>
      <c r="M31" s="16">
        <v>30.3</v>
      </c>
      <c r="N31" s="16">
        <v>20.2</v>
      </c>
      <c r="O31" s="16">
        <v>99.5</v>
      </c>
      <c r="P31" s="16" t="s">
        <v>60</v>
      </c>
    </row>
    <row r="32" spans="1:16">
      <c r="A32" s="16" t="s">
        <v>52</v>
      </c>
      <c r="B32" s="16">
        <v>0.90300000000000002</v>
      </c>
      <c r="C32" s="16">
        <v>317.85000000000002</v>
      </c>
      <c r="D32" s="16">
        <v>9.91</v>
      </c>
      <c r="E32" s="16">
        <v>0.50613057324840771</v>
      </c>
      <c r="F32" s="16">
        <v>79</v>
      </c>
      <c r="G32" s="16">
        <v>80.3</v>
      </c>
      <c r="H32" s="16">
        <v>1.2999999999999972</v>
      </c>
      <c r="I32" s="16">
        <v>628</v>
      </c>
      <c r="J32" s="16">
        <v>3</v>
      </c>
      <c r="K32" s="16">
        <v>252</v>
      </c>
      <c r="L32" s="16">
        <v>3.0731707317073171</v>
      </c>
      <c r="M32" s="16">
        <v>30.5</v>
      </c>
      <c r="N32" s="16">
        <v>20.6</v>
      </c>
      <c r="O32" s="16">
        <v>99.6</v>
      </c>
      <c r="P32" s="16" t="s">
        <v>60</v>
      </c>
    </row>
    <row r="33" spans="1:16">
      <c r="A33" s="16" t="s">
        <v>53</v>
      </c>
      <c r="B33" s="16">
        <v>0.92300000000000004</v>
      </c>
      <c r="C33" s="16">
        <v>297.06</v>
      </c>
      <c r="D33" s="16">
        <v>9.42</v>
      </c>
      <c r="E33" s="16">
        <v>0.45077389984825494</v>
      </c>
      <c r="F33" s="16">
        <v>77.099999999999994</v>
      </c>
      <c r="G33" s="16">
        <v>78.5</v>
      </c>
      <c r="H33" s="16">
        <v>1.4000000000000057</v>
      </c>
      <c r="I33" s="16">
        <v>659</v>
      </c>
      <c r="J33" s="16">
        <v>3</v>
      </c>
      <c r="K33" s="16">
        <v>198</v>
      </c>
      <c r="L33" s="16">
        <v>2.4146341463414633</v>
      </c>
      <c r="M33" s="16">
        <v>29.6</v>
      </c>
      <c r="N33" s="16">
        <v>18.8</v>
      </c>
      <c r="O33" s="16">
        <v>95.899999999999991</v>
      </c>
      <c r="P33" s="16" t="s">
        <v>60</v>
      </c>
    </row>
    <row r="35" spans="1:16">
      <c r="A35" s="20" t="s">
        <v>54</v>
      </c>
      <c r="B35" s="21">
        <f>AVERAGE(B2:B33)</f>
        <v>0.90340624999999997</v>
      </c>
      <c r="C35" s="21">
        <f t="shared" ref="C35:O35" si="0">AVERAGE(C2:C33)</f>
        <v>329.75874999999996</v>
      </c>
      <c r="D35" s="21">
        <f t="shared" si="0"/>
        <v>9.8049999999999997</v>
      </c>
      <c r="E35" s="21">
        <f t="shared" si="0"/>
        <v>0.44157363529859223</v>
      </c>
      <c r="F35" s="21">
        <f t="shared" si="0"/>
        <v>79.068750000000009</v>
      </c>
      <c r="G35" s="21">
        <f t="shared" si="0"/>
        <v>82.04062500000002</v>
      </c>
      <c r="H35" s="21">
        <f t="shared" si="0"/>
        <v>2.9718750000000007</v>
      </c>
      <c r="I35" s="21">
        <f t="shared" si="0"/>
        <v>760.625</v>
      </c>
      <c r="J35" s="21">
        <f t="shared" si="0"/>
        <v>7.3125</v>
      </c>
      <c r="K35" s="21">
        <f t="shared" si="0"/>
        <v>252.6875</v>
      </c>
      <c r="L35" s="21">
        <f t="shared" si="0"/>
        <v>3.0815548780487809</v>
      </c>
      <c r="M35" s="21">
        <f t="shared" si="0"/>
        <v>30.281250000000004</v>
      </c>
      <c r="N35" s="21">
        <f t="shared" si="0"/>
        <v>20.931250000000002</v>
      </c>
      <c r="O35" s="21">
        <f t="shared" si="0"/>
        <v>100.00000000000001</v>
      </c>
    </row>
    <row r="36" spans="1:16">
      <c r="A36" s="20" t="s">
        <v>55</v>
      </c>
      <c r="B36" s="21">
        <f>_xlfn.STDEV.P(Table5[Save %])</f>
        <v>8.0423075629759457E-3</v>
      </c>
      <c r="C36" s="21">
        <f>_xlfn.STDEV.P(Table5[Skating Distance Penalty Killing (Total)])</f>
        <v>33.501513188772449</v>
      </c>
      <c r="D36" s="21">
        <f>_xlfn.STDEV.P(Table5[Skating Distance Penalty Killing (per 60)])</f>
        <v>0.41442731570204211</v>
      </c>
      <c r="E36" s="21">
        <f>_xlfn.STDEV.P(Table5[Skating Distance Penalty Killing (per PIM)])</f>
        <v>6.020209282095744E-2</v>
      </c>
      <c r="F36" s="21">
        <f>_xlfn.STDEV.P(Table5[Penalty Kill %])</f>
        <v>3.4934257452391915</v>
      </c>
      <c r="G36" s="21">
        <f>_xlfn.STDEV.P(Table5[Net Penalty Kill %])</f>
        <v>4.0954135455866982</v>
      </c>
      <c r="H36" s="21">
        <f>_xlfn.STDEV.P(Table5[Net PK vs PK Difference])</f>
        <v>1.2901633556937675</v>
      </c>
      <c r="I36" s="21">
        <f>_xlfn.STDEV.P(Table5[PIM])</f>
        <v>132.06857830309221</v>
      </c>
      <c r="J36" s="21">
        <f>_xlfn.STDEV.P(Table5[SHG])</f>
        <v>3.1467989687935263</v>
      </c>
      <c r="K36" s="21">
        <f>_xlfn.STDEV.P(Table5[GA])</f>
        <v>29.518466148328237</v>
      </c>
      <c r="L36" s="21">
        <f>_xlfn.STDEV.P(Table5[GA/GP])</f>
        <v>0.35998129449180577</v>
      </c>
      <c r="M36" s="21">
        <f>_xlfn.STDEV.P(Table5[SA/GP])</f>
        <v>2.0596476488710382</v>
      </c>
      <c r="N36" s="21">
        <f>_xlfn.STDEV.P(Table5[Power Play%])</f>
        <v>3.7285584932383782</v>
      </c>
      <c r="O36" s="21">
        <f>_xlfn.STDEV.P(Table5[PK+PP%])</f>
        <v>5.9778758769315372</v>
      </c>
    </row>
    <row r="37" spans="1:16">
      <c r="A37" s="20" t="s">
        <v>56</v>
      </c>
      <c r="B37" s="21">
        <f>_xlfn.VAR.P(Table5[Save %])</f>
        <v>6.4678710937500107E-5</v>
      </c>
      <c r="C37" s="21">
        <f>_xlfn.VAR.P(Table5[Skating Distance Penalty Killing (Total)])</f>
        <v>1122.3513859374943</v>
      </c>
      <c r="D37" s="21">
        <f>_xlfn.VAR.P(Table5[Skating Distance Penalty Killing (per 60)])</f>
        <v>0.1717500000000001</v>
      </c>
      <c r="E37" s="21">
        <f>_xlfn.VAR.P(Table5[Skating Distance Penalty Killing (per PIM)])</f>
        <v>3.6242919800231754E-3</v>
      </c>
      <c r="F37" s="21">
        <f>_xlfn.VAR.P(Table5[Penalty Kill %])</f>
        <v>12.2040234375</v>
      </c>
      <c r="G37" s="21">
        <f>_xlfn.VAR.P(Table5[Net Penalty Kill %])</f>
        <v>16.772412109375008</v>
      </c>
      <c r="H37" s="21">
        <f>_xlfn.VAR.P(Table5[Net PK vs PK Difference])</f>
        <v>1.6645214843750029</v>
      </c>
      <c r="I37" s="21">
        <f>_xlfn.VAR.P(Table5[PIM])</f>
        <v>17442.109375</v>
      </c>
      <c r="J37" s="21">
        <f>_xlfn.VAR.P(Table5[SHG])</f>
        <v>9.90234375</v>
      </c>
      <c r="K37" s="21">
        <f>_xlfn.VAR.P(Table5[GA])</f>
        <v>871.33984375</v>
      </c>
      <c r="L37" s="21">
        <f>_xlfn.VAR.P(Table5[GA/GP])</f>
        <v>0.1295865323839962</v>
      </c>
      <c r="M37" s="21">
        <f>_xlfn.VAR.P(Table5[SA/GP])</f>
        <v>4.2421484374999965</v>
      </c>
      <c r="N37" s="21">
        <f>_xlfn.VAR.P(Table5[Power Play%])</f>
        <v>13.902148437500045</v>
      </c>
      <c r="O37" s="21">
        <f>_xlfn.VAR.P(Table5[PK+PP%])</f>
        <v>35.734999999999992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5A25-F133-4F7E-AB17-07E38D069867}">
  <dimension ref="A1:R37"/>
  <sheetViews>
    <sheetView topLeftCell="A18" workbookViewId="0">
      <selection activeCell="N36" sqref="A35:N36"/>
    </sheetView>
  </sheetViews>
  <sheetFormatPr defaultRowHeight="15"/>
  <cols>
    <col min="1" max="1" width="22.42578125" bestFit="1" customWidth="1"/>
    <col min="2" max="2" width="12.42578125" bestFit="1" customWidth="1"/>
    <col min="3" max="3" width="27.5703125" customWidth="1"/>
    <col min="4" max="4" width="29.7109375" customWidth="1"/>
    <col min="5" max="5" width="30.7109375" bestFit="1" customWidth="1"/>
    <col min="6" max="6" width="16.28515625" bestFit="1" customWidth="1"/>
    <col min="7" max="7" width="19.85546875" bestFit="1" customWidth="1"/>
    <col min="8" max="8" width="26" bestFit="1" customWidth="1"/>
    <col min="9" max="10" width="23.28515625" customWidth="1"/>
    <col min="11" max="11" width="17" customWidth="1"/>
    <col min="12" max="12" width="13.140625" bestFit="1" customWidth="1"/>
    <col min="13" max="13" width="11.42578125" bestFit="1" customWidth="1"/>
    <col min="14" max="14" width="16.28515625" bestFit="1" customWidth="1"/>
    <col min="16" max="16" width="35.85546875" bestFit="1" customWidth="1"/>
  </cols>
  <sheetData>
    <row r="1" spans="1:1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61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62</v>
      </c>
    </row>
    <row r="2" spans="1:18">
      <c r="A2" s="3" t="s">
        <v>14</v>
      </c>
      <c r="B2">
        <v>0.89900000000000002</v>
      </c>
      <c r="C2">
        <v>329.07</v>
      </c>
      <c r="D2">
        <v>9.4600000000000009</v>
      </c>
      <c r="E2">
        <f>Table3[[#This Row],[Skating Distance Penalty Killing (Total)]]/Table3[[#This Row],[PIM]]</f>
        <v>0.35421959095801936</v>
      </c>
      <c r="F2" s="3">
        <v>72.099999999999994</v>
      </c>
      <c r="G2" s="3">
        <v>72.5</v>
      </c>
      <c r="H2" s="3">
        <f>G2-F2</f>
        <v>0.40000000000000568</v>
      </c>
      <c r="I2" s="3">
        <v>929</v>
      </c>
      <c r="J2" s="3">
        <v>1</v>
      </c>
      <c r="K2" s="3">
        <v>335</v>
      </c>
      <c r="L2" s="3">
        <v>4.09</v>
      </c>
      <c r="M2" s="3">
        <v>39.1</v>
      </c>
      <c r="N2" s="3">
        <v>15.7</v>
      </c>
      <c r="Q2" s="2" t="s">
        <v>15</v>
      </c>
      <c r="R2" s="2" t="s">
        <v>16</v>
      </c>
    </row>
    <row r="3" spans="1:18">
      <c r="A3" s="3" t="s">
        <v>19</v>
      </c>
      <c r="B3">
        <v>0.9</v>
      </c>
      <c r="C3">
        <v>415.51</v>
      </c>
      <c r="D3">
        <v>9.6300000000000008</v>
      </c>
      <c r="E3">
        <f>Table3[[#This Row],[Skating Distance Penalty Killing (Total)]]/Table3[[#This Row],[PIM]]</f>
        <v>0.42747942386831272</v>
      </c>
      <c r="F3" s="3">
        <v>74.599999999999994</v>
      </c>
      <c r="G3" s="3">
        <v>76.2</v>
      </c>
      <c r="H3" s="3">
        <f>G3-F3</f>
        <v>1.6000000000000085</v>
      </c>
      <c r="I3" s="3">
        <v>972</v>
      </c>
      <c r="J3" s="3">
        <v>5</v>
      </c>
      <c r="K3" s="3">
        <v>295</v>
      </c>
      <c r="L3" s="3">
        <v>3.6</v>
      </c>
      <c r="M3" s="3">
        <v>35</v>
      </c>
      <c r="N3" s="3">
        <v>18.899999999999999</v>
      </c>
      <c r="P3" s="10" t="s">
        <v>17</v>
      </c>
      <c r="Q3" s="2">
        <f>CORREL(Table3[Save %],Table3[Penalty Kill %])</f>
        <v>0.65288700708216785</v>
      </c>
      <c r="R3" s="2">
        <v>0.58953445747800592</v>
      </c>
    </row>
    <row r="4" spans="1:18">
      <c r="A4" s="3" t="s">
        <v>23</v>
      </c>
      <c r="B4">
        <v>0.93100000000000005</v>
      </c>
      <c r="C4">
        <v>393.9</v>
      </c>
      <c r="D4">
        <v>10.31</v>
      </c>
      <c r="E4">
        <f>Table3[[#This Row],[Skating Distance Penalty Killing (Total)]]/Table3[[#This Row],[PIM]]</f>
        <v>0.45749128919860627</v>
      </c>
      <c r="F4" s="3">
        <v>87.3</v>
      </c>
      <c r="G4" s="3">
        <v>90.1</v>
      </c>
      <c r="H4" s="3">
        <f>G4-F4</f>
        <v>2.7999999999999972</v>
      </c>
      <c r="I4" s="3">
        <v>861</v>
      </c>
      <c r="J4" s="3">
        <v>8</v>
      </c>
      <c r="K4" s="3">
        <v>174</v>
      </c>
      <c r="L4" s="3">
        <v>2.12</v>
      </c>
      <c r="M4" s="3">
        <v>29.8</v>
      </c>
      <c r="N4" s="3">
        <v>22.2</v>
      </c>
      <c r="P4" s="10" t="s">
        <v>18</v>
      </c>
      <c r="Q4" s="2">
        <f>CORREL(Table3[Skating Distance Penalty Killing (per PIM)],Table3[Penalty Kill %])</f>
        <v>0.45796347861291065</v>
      </c>
      <c r="R4" s="2">
        <v>0.45546187683284456</v>
      </c>
    </row>
    <row r="5" spans="1:18">
      <c r="A5" s="3" t="s">
        <v>25</v>
      </c>
      <c r="B5">
        <v>0.89600000000000002</v>
      </c>
      <c r="C5">
        <v>304.89</v>
      </c>
      <c r="D5">
        <v>10.49</v>
      </c>
      <c r="E5">
        <f>Table3[[#This Row],[Skating Distance Penalty Killing (Total)]]/Table3[[#This Row],[PIM]]</f>
        <v>0.50146381578947363</v>
      </c>
      <c r="F5" s="3">
        <v>73</v>
      </c>
      <c r="G5" s="3">
        <v>77</v>
      </c>
      <c r="H5" s="3">
        <f>G5-F5</f>
        <v>4</v>
      </c>
      <c r="I5" s="3">
        <v>608</v>
      </c>
      <c r="J5" s="3">
        <v>9</v>
      </c>
      <c r="K5" s="3">
        <v>297</v>
      </c>
      <c r="L5" s="3">
        <v>3.62</v>
      </c>
      <c r="M5" s="3">
        <v>33</v>
      </c>
      <c r="N5" s="3">
        <v>23.4</v>
      </c>
      <c r="P5" s="26" t="s">
        <v>20</v>
      </c>
      <c r="Q5" s="27">
        <f>CORREL(Table3[SHG],Table3[Penalty Kill %])</f>
        <v>1.7268721760019378E-2</v>
      </c>
      <c r="R5" s="27">
        <v>0.11831011730205276</v>
      </c>
    </row>
    <row r="6" spans="1:18">
      <c r="A6" s="3" t="s">
        <v>26</v>
      </c>
      <c r="B6">
        <v>0.89300000000000002</v>
      </c>
      <c r="C6">
        <v>404.04</v>
      </c>
      <c r="D6">
        <v>10.91</v>
      </c>
      <c r="E6">
        <f>Table3[[#This Row],[Skating Distance Penalty Killing (Total)]]/Table3[[#This Row],[PIM]]</f>
        <v>0.53373844121532366</v>
      </c>
      <c r="F6" s="3">
        <v>82.6</v>
      </c>
      <c r="G6" s="3">
        <v>85.6</v>
      </c>
      <c r="H6" s="3">
        <f>G6-F6</f>
        <v>3</v>
      </c>
      <c r="I6" s="3">
        <v>757</v>
      </c>
      <c r="J6" s="3">
        <v>8</v>
      </c>
      <c r="K6" s="3">
        <v>247</v>
      </c>
      <c r="L6" s="3">
        <v>3.01</v>
      </c>
      <c r="M6" s="3">
        <v>27.3</v>
      </c>
      <c r="N6" s="3">
        <v>19.8</v>
      </c>
      <c r="P6" s="2" t="s">
        <v>21</v>
      </c>
      <c r="Q6" s="2">
        <f>CORREL(Table3[Penalty Kill %],Table3[SA/GP])</f>
        <v>-0.53198623091935593</v>
      </c>
      <c r="R6" s="2">
        <v>-0.53372434017595305</v>
      </c>
    </row>
    <row r="7" spans="1:18">
      <c r="A7" s="3" t="s">
        <v>27</v>
      </c>
      <c r="B7">
        <v>0.90700000000000003</v>
      </c>
      <c r="C7">
        <v>377.03</v>
      </c>
      <c r="D7">
        <v>10.59</v>
      </c>
      <c r="E7">
        <f>Table3[[#This Row],[Skating Distance Penalty Killing (Total)]]/Table3[[#This Row],[PIM]]</f>
        <v>0.61405537459283388</v>
      </c>
      <c r="F7" s="3">
        <v>84.4</v>
      </c>
      <c r="G7" s="3">
        <v>88.7</v>
      </c>
      <c r="H7" s="3">
        <f>G7-F7</f>
        <v>4.2999999999999972</v>
      </c>
      <c r="I7" s="3">
        <v>614</v>
      </c>
      <c r="J7" s="3">
        <v>11</v>
      </c>
      <c r="K7" s="3">
        <v>210</v>
      </c>
      <c r="L7" s="3">
        <v>2.56</v>
      </c>
      <c r="M7" s="3">
        <v>26</v>
      </c>
      <c r="N7" s="3">
        <v>19.8</v>
      </c>
      <c r="P7" s="28" t="s">
        <v>22</v>
      </c>
      <c r="Q7" s="29">
        <f>CORREL(Table3[SHG],Table3[Skating Distance Penalty Killing (per PIM)])</f>
        <v>0.15412552517815731</v>
      </c>
      <c r="R7" s="29">
        <v>0.10731304985337242</v>
      </c>
    </row>
    <row r="8" spans="1:18">
      <c r="A8" s="3" t="s">
        <v>28</v>
      </c>
      <c r="B8">
        <v>0.89800000000000002</v>
      </c>
      <c r="C8">
        <v>314.62</v>
      </c>
      <c r="D8">
        <v>10.31</v>
      </c>
      <c r="E8">
        <f>Table3[[#This Row],[Skating Distance Penalty Killing (Total)]]/Table3[[#This Row],[PIM]]</f>
        <v>0.445007072135785</v>
      </c>
      <c r="F8" s="3">
        <v>76.2</v>
      </c>
      <c r="G8" s="3">
        <v>79.2</v>
      </c>
      <c r="H8" s="3">
        <f>G8-F8</f>
        <v>3</v>
      </c>
      <c r="I8" s="3">
        <v>707</v>
      </c>
      <c r="J8" s="3">
        <v>7</v>
      </c>
      <c r="K8" s="3">
        <v>299</v>
      </c>
      <c r="L8" s="3">
        <v>3.65</v>
      </c>
      <c r="M8" s="3">
        <v>33.6</v>
      </c>
      <c r="N8" s="3">
        <v>16.399999999999999</v>
      </c>
      <c r="P8" s="10" t="s">
        <v>24</v>
      </c>
      <c r="Q8" s="2">
        <f>CORREL(Table3[Penalty Kill %],Table3[Net PK vs PK Difference])</f>
        <v>-1.8148711483388025E-2</v>
      </c>
      <c r="R8" s="2">
        <v>7.3771994134897323E-2</v>
      </c>
    </row>
    <row r="9" spans="1:18">
      <c r="A9" s="3" t="s">
        <v>29</v>
      </c>
      <c r="B9">
        <v>0.91700000000000004</v>
      </c>
      <c r="C9">
        <v>325.98</v>
      </c>
      <c r="D9">
        <v>9.83</v>
      </c>
      <c r="E9">
        <f>Table3[[#This Row],[Skating Distance Penalty Killing (Total)]]/Table3[[#This Row],[PIM]]</f>
        <v>0.48293333333333338</v>
      </c>
      <c r="F9" s="3">
        <v>79</v>
      </c>
      <c r="G9" s="3">
        <v>81.5</v>
      </c>
      <c r="H9" s="3">
        <f>G9-F9</f>
        <v>2.5</v>
      </c>
      <c r="I9" s="3">
        <v>675</v>
      </c>
      <c r="J9" s="3">
        <v>6</v>
      </c>
      <c r="K9" s="3">
        <v>223</v>
      </c>
      <c r="L9" s="3">
        <v>2.72</v>
      </c>
      <c r="M9" s="3">
        <v>31</v>
      </c>
      <c r="N9" s="3">
        <v>24.5</v>
      </c>
    </row>
    <row r="10" spans="1:18">
      <c r="A10" s="3" t="s">
        <v>30</v>
      </c>
      <c r="B10">
        <v>0.89100000000000001</v>
      </c>
      <c r="C10">
        <v>306.64</v>
      </c>
      <c r="D10">
        <v>9.94</v>
      </c>
      <c r="E10">
        <f>Table3[[#This Row],[Skating Distance Penalty Killing (Total)]]/Table3[[#This Row],[PIM]]</f>
        <v>0.46886850152905196</v>
      </c>
      <c r="F10" s="3">
        <v>75.099999999999994</v>
      </c>
      <c r="G10" s="3">
        <v>77.2</v>
      </c>
      <c r="H10" s="3">
        <f>G10-F10</f>
        <v>2.1000000000000085</v>
      </c>
      <c r="I10" s="3">
        <v>654</v>
      </c>
      <c r="J10" s="3">
        <v>5</v>
      </c>
      <c r="K10" s="3">
        <v>329</v>
      </c>
      <c r="L10" s="3">
        <v>4.01</v>
      </c>
      <c r="M10" s="3">
        <v>35.4</v>
      </c>
      <c r="N10" s="3">
        <v>18.3</v>
      </c>
    </row>
    <row r="11" spans="1:18">
      <c r="A11" s="3" t="s">
        <v>31</v>
      </c>
      <c r="B11">
        <v>0.91600000000000004</v>
      </c>
      <c r="C11">
        <v>350.89</v>
      </c>
      <c r="D11">
        <v>9.99</v>
      </c>
      <c r="E11">
        <f>Table3[[#This Row],[Skating Distance Penalty Killing (Total)]]/Table3[[#This Row],[PIM]]</f>
        <v>0.55084772370486657</v>
      </c>
      <c r="F11" s="3">
        <v>83.5</v>
      </c>
      <c r="G11" s="3">
        <v>87.6</v>
      </c>
      <c r="H11" s="3">
        <f>G11-F11</f>
        <v>4.0999999999999943</v>
      </c>
      <c r="I11" s="3">
        <v>637</v>
      </c>
      <c r="J11" s="3">
        <v>10</v>
      </c>
      <c r="K11" s="3">
        <v>215</v>
      </c>
      <c r="L11" s="3">
        <v>2.62</v>
      </c>
      <c r="M11" s="3">
        <v>29.9</v>
      </c>
      <c r="N11" s="3">
        <v>25</v>
      </c>
    </row>
    <row r="12" spans="1:18">
      <c r="A12" s="3" t="s">
        <v>32</v>
      </c>
      <c r="B12">
        <v>0.89400000000000002</v>
      </c>
      <c r="C12">
        <v>320.92</v>
      </c>
      <c r="D12">
        <v>9.73</v>
      </c>
      <c r="E12">
        <f>Table3[[#This Row],[Skating Distance Penalty Killing (Total)]]/Table3[[#This Row],[PIM]]</f>
        <v>0.48477341389728101</v>
      </c>
      <c r="F12" s="3">
        <v>78.3</v>
      </c>
      <c r="G12" s="3">
        <v>80.3</v>
      </c>
      <c r="H12" s="3">
        <f>G12-F12</f>
        <v>2</v>
      </c>
      <c r="I12" s="3">
        <v>662</v>
      </c>
      <c r="J12" s="3">
        <v>5</v>
      </c>
      <c r="K12" s="3">
        <v>275</v>
      </c>
      <c r="L12" s="3">
        <v>3.35</v>
      </c>
      <c r="M12" s="3">
        <v>30.4</v>
      </c>
      <c r="N12" s="3">
        <v>21.1</v>
      </c>
    </row>
    <row r="13" spans="1:18">
      <c r="A13" s="3" t="s">
        <v>33</v>
      </c>
      <c r="B13">
        <v>0.90300000000000002</v>
      </c>
      <c r="C13">
        <v>375.97</v>
      </c>
      <c r="D13">
        <v>9.9700000000000006</v>
      </c>
      <c r="E13">
        <f>Table3[[#This Row],[Skating Distance Penalty Killing (Total)]]/Table3[[#This Row],[PIM]]</f>
        <v>0.53253541076487254</v>
      </c>
      <c r="F13" s="3">
        <v>77</v>
      </c>
      <c r="G13" s="3">
        <v>83.5</v>
      </c>
      <c r="H13" s="3">
        <f>G13-F13</f>
        <v>6.5</v>
      </c>
      <c r="I13" s="3">
        <v>706</v>
      </c>
      <c r="J13" s="3">
        <v>18</v>
      </c>
      <c r="K13" s="3">
        <v>256</v>
      </c>
      <c r="L13" s="3">
        <v>3.12</v>
      </c>
      <c r="M13" s="3">
        <v>31.4</v>
      </c>
      <c r="N13" s="3">
        <v>32.4</v>
      </c>
    </row>
    <row r="14" spans="1:18">
      <c r="A14" s="3" t="s">
        <v>34</v>
      </c>
      <c r="B14">
        <v>0.90300000000000002</v>
      </c>
      <c r="C14">
        <v>389.97</v>
      </c>
      <c r="D14">
        <v>9.9700000000000006</v>
      </c>
      <c r="E14">
        <f>Table3[[#This Row],[Skating Distance Penalty Killing (Total)]]/Table3[[#This Row],[PIM]]</f>
        <v>0.39075150300601202</v>
      </c>
      <c r="F14" s="3">
        <v>76</v>
      </c>
      <c r="G14" s="3">
        <v>78</v>
      </c>
      <c r="H14" s="3">
        <f>G14-F14</f>
        <v>2</v>
      </c>
      <c r="I14" s="3">
        <v>998</v>
      </c>
      <c r="J14" s="3">
        <v>6</v>
      </c>
      <c r="K14" s="3">
        <v>272</v>
      </c>
      <c r="L14" s="3">
        <v>3.32</v>
      </c>
      <c r="M14" s="3">
        <v>31.7</v>
      </c>
      <c r="N14" s="3">
        <v>22.8</v>
      </c>
    </row>
    <row r="15" spans="1:18">
      <c r="A15" s="3" t="s">
        <v>35</v>
      </c>
      <c r="B15">
        <v>0.89200000000000002</v>
      </c>
      <c r="C15">
        <v>328.53</v>
      </c>
      <c r="D15">
        <v>9.6199999999999992</v>
      </c>
      <c r="E15">
        <f>Table3[[#This Row],[Skating Distance Penalty Killing (Total)]]/Table3[[#This Row],[PIM]]</f>
        <v>0.46732574679943095</v>
      </c>
      <c r="F15" s="3">
        <v>75.8</v>
      </c>
      <c r="G15" s="3">
        <v>78.400000000000006</v>
      </c>
      <c r="H15" s="3">
        <f>G15-F15</f>
        <v>2.6000000000000085</v>
      </c>
      <c r="I15" s="3">
        <v>703</v>
      </c>
      <c r="J15" s="3">
        <v>7</v>
      </c>
      <c r="K15" s="3">
        <v>254</v>
      </c>
      <c r="L15" s="3">
        <v>3.1</v>
      </c>
      <c r="M15" s="3">
        <v>27.9</v>
      </c>
      <c r="N15" s="3">
        <v>25.3</v>
      </c>
    </row>
    <row r="16" spans="1:18">
      <c r="A16" s="3" t="s">
        <v>36</v>
      </c>
      <c r="B16">
        <v>0.91900000000000004</v>
      </c>
      <c r="C16">
        <v>351.27</v>
      </c>
      <c r="D16">
        <v>9.99</v>
      </c>
      <c r="E16">
        <f>Table3[[#This Row],[Skating Distance Penalty Killing (Total)]]/Table3[[#This Row],[PIM]]</f>
        <v>0.37975135135135135</v>
      </c>
      <c r="F16" s="3">
        <v>82</v>
      </c>
      <c r="G16" s="3">
        <v>87.5</v>
      </c>
      <c r="H16" s="3">
        <f>G16-F16</f>
        <v>5.5</v>
      </c>
      <c r="I16" s="3">
        <v>925</v>
      </c>
      <c r="J16" s="3">
        <v>14</v>
      </c>
      <c r="K16" s="3">
        <v>219</v>
      </c>
      <c r="L16" s="3">
        <v>2.67</v>
      </c>
      <c r="M16" s="3">
        <v>31.1</v>
      </c>
      <c r="N16" s="3">
        <v>21.4</v>
      </c>
    </row>
    <row r="17" spans="1:14">
      <c r="A17" s="3" t="s">
        <v>63</v>
      </c>
      <c r="B17">
        <v>0.89500000000000002</v>
      </c>
      <c r="C17">
        <v>337.37</v>
      </c>
      <c r="D17">
        <v>9.65</v>
      </c>
      <c r="E17">
        <f>Table3[[#This Row],[Skating Distance Penalty Killing (Total)]]/Table3[[#This Row],[PIM]]</f>
        <v>0.3532670157068063</v>
      </c>
      <c r="F17" s="3">
        <v>72.7</v>
      </c>
      <c r="G17" s="3">
        <v>75.599999999999994</v>
      </c>
      <c r="H17" s="3">
        <f>G17-F17</f>
        <v>2.8999999999999915</v>
      </c>
      <c r="I17" s="3">
        <v>955</v>
      </c>
      <c r="J17" s="3">
        <v>8</v>
      </c>
      <c r="K17" s="3">
        <v>305</v>
      </c>
      <c r="L17" s="3">
        <v>3.72</v>
      </c>
      <c r="M17" s="3">
        <v>33.6</v>
      </c>
      <c r="N17" s="3">
        <v>16.100000000000001</v>
      </c>
    </row>
    <row r="18" spans="1:14">
      <c r="A18" s="3" t="s">
        <v>38</v>
      </c>
      <c r="B18">
        <v>0.91800000000000004</v>
      </c>
      <c r="C18">
        <v>357.85</v>
      </c>
      <c r="D18">
        <v>9.7899999999999991</v>
      </c>
      <c r="E18">
        <f>Table3[[#This Row],[Skating Distance Penalty Killing (Total)]]/Table3[[#This Row],[PIM]]</f>
        <v>0.45240202275600511</v>
      </c>
      <c r="F18" s="3">
        <v>82.6</v>
      </c>
      <c r="G18" s="3">
        <v>84.7</v>
      </c>
      <c r="H18" s="3">
        <f>G18-F18</f>
        <v>2.1000000000000085</v>
      </c>
      <c r="I18" s="3">
        <v>791</v>
      </c>
      <c r="J18" s="3">
        <v>6</v>
      </c>
      <c r="K18" s="3">
        <v>236</v>
      </c>
      <c r="L18" s="3">
        <v>2.88</v>
      </c>
      <c r="M18" s="3">
        <v>33.299999999999997</v>
      </c>
      <c r="N18" s="3">
        <v>17.600000000000001</v>
      </c>
    </row>
    <row r="19" spans="1:14">
      <c r="A19" s="3" t="s">
        <v>39</v>
      </c>
      <c r="B19">
        <v>0.90800000000000003</v>
      </c>
      <c r="C19">
        <v>312.56</v>
      </c>
      <c r="D19">
        <v>9.52</v>
      </c>
      <c r="E19">
        <f>Table3[[#This Row],[Skating Distance Penalty Killing (Total)]]/Table3[[#This Row],[PIM]]</f>
        <v>0.49455696202531646</v>
      </c>
      <c r="F19" s="3">
        <v>82.6</v>
      </c>
      <c r="G19" s="3">
        <v>86.5</v>
      </c>
      <c r="H19" s="3">
        <f>G19-F19</f>
        <v>3.9000000000000057</v>
      </c>
      <c r="I19" s="3">
        <v>632</v>
      </c>
      <c r="J19" s="3">
        <v>9</v>
      </c>
      <c r="K19" s="3">
        <v>222</v>
      </c>
      <c r="L19" s="3">
        <v>2.71</v>
      </c>
      <c r="M19" s="3">
        <v>28.2</v>
      </c>
      <c r="N19" s="3">
        <v>21.9</v>
      </c>
    </row>
    <row r="20" spans="1:14">
      <c r="A20" s="3" t="s">
        <v>40</v>
      </c>
      <c r="B20">
        <v>0.92100000000000004</v>
      </c>
      <c r="C20">
        <v>301.67</v>
      </c>
      <c r="D20">
        <v>9.7799999999999994</v>
      </c>
      <c r="E20">
        <f>Table3[[#This Row],[Skating Distance Penalty Killing (Total)]]/Table3[[#This Row],[PIM]]</f>
        <v>0.45986280487804881</v>
      </c>
      <c r="F20" s="3">
        <v>82.2</v>
      </c>
      <c r="G20" s="3">
        <v>84.9</v>
      </c>
      <c r="H20" s="3">
        <f>G20-F20</f>
        <v>2.7000000000000028</v>
      </c>
      <c r="I20" s="3">
        <v>656</v>
      </c>
      <c r="J20" s="3">
        <v>6</v>
      </c>
      <c r="K20" s="3">
        <v>217</v>
      </c>
      <c r="L20" s="3">
        <v>2.65</v>
      </c>
      <c r="M20" s="3">
        <v>31</v>
      </c>
      <c r="N20" s="3">
        <v>15.8</v>
      </c>
    </row>
    <row r="21" spans="1:14">
      <c r="A21" s="3" t="s">
        <v>41</v>
      </c>
      <c r="B21">
        <v>0.91200000000000003</v>
      </c>
      <c r="C21">
        <v>303.73</v>
      </c>
      <c r="D21">
        <v>9.8699999999999992</v>
      </c>
      <c r="E21">
        <f>Table3[[#This Row],[Skating Distance Penalty Killing (Total)]]/Table3[[#This Row],[PIM]]</f>
        <v>0.48596800000000001</v>
      </c>
      <c r="F21" s="3">
        <v>81.2</v>
      </c>
      <c r="G21" s="3">
        <v>84.8</v>
      </c>
      <c r="H21" s="3">
        <f>G21-F21</f>
        <v>3.5999999999999943</v>
      </c>
      <c r="I21" s="3">
        <v>625</v>
      </c>
      <c r="J21" s="3">
        <v>8</v>
      </c>
      <c r="K21" s="3">
        <v>216</v>
      </c>
      <c r="L21" s="3">
        <v>2.63</v>
      </c>
      <c r="M21" s="3">
        <v>29.3</v>
      </c>
      <c r="N21" s="3">
        <v>24.1</v>
      </c>
    </row>
    <row r="22" spans="1:14">
      <c r="A22" s="3" t="s">
        <v>42</v>
      </c>
      <c r="B22">
        <v>0.9</v>
      </c>
      <c r="C22">
        <v>412.4</v>
      </c>
      <c r="D22">
        <v>9.98</v>
      </c>
      <c r="E22">
        <f>Table3[[#This Row],[Skating Distance Penalty Killing (Total)]]/Table3[[#This Row],[PIM]]</f>
        <v>0.40155793573515092</v>
      </c>
      <c r="F22" s="3">
        <v>80.099999999999994</v>
      </c>
      <c r="G22" s="3">
        <v>83.1</v>
      </c>
      <c r="H22" s="3">
        <f>G22-F22</f>
        <v>3</v>
      </c>
      <c r="I22" s="3">
        <v>1027</v>
      </c>
      <c r="J22" s="3">
        <v>9</v>
      </c>
      <c r="K22" s="3">
        <v>270</v>
      </c>
      <c r="L22" s="3">
        <v>3.29</v>
      </c>
      <c r="M22" s="3">
        <v>31.4</v>
      </c>
      <c r="N22" s="3">
        <v>23.5</v>
      </c>
    </row>
    <row r="23" spans="1:14">
      <c r="A23" s="3" t="s">
        <v>43</v>
      </c>
      <c r="B23">
        <v>0.9</v>
      </c>
      <c r="C23">
        <v>314.37</v>
      </c>
      <c r="D23">
        <v>9.8800000000000008</v>
      </c>
      <c r="E23">
        <f>Table3[[#This Row],[Skating Distance Penalty Killing (Total)]]/Table3[[#This Row],[PIM]]</f>
        <v>0.36768421052631578</v>
      </c>
      <c r="F23" s="3">
        <v>74.7</v>
      </c>
      <c r="G23" s="3">
        <v>79.400000000000006</v>
      </c>
      <c r="H23" s="3">
        <f>G23-F23</f>
        <v>4.7000000000000028</v>
      </c>
      <c r="I23" s="3">
        <v>855</v>
      </c>
      <c r="J23" s="3">
        <v>11</v>
      </c>
      <c r="K23" s="3">
        <v>276</v>
      </c>
      <c r="L23" s="3">
        <v>3.37</v>
      </c>
      <c r="M23" s="3">
        <v>31.5</v>
      </c>
      <c r="N23" s="3">
        <v>15.6</v>
      </c>
    </row>
    <row r="24" spans="1:14">
      <c r="A24" s="3" t="s">
        <v>44</v>
      </c>
      <c r="B24">
        <v>0.90700000000000003</v>
      </c>
      <c r="C24">
        <v>352.95</v>
      </c>
      <c r="D24">
        <v>10.23</v>
      </c>
      <c r="E24">
        <f>Table3[[#This Row],[Skating Distance Penalty Killing (Total)]]/Table3[[#This Row],[PIM]]</f>
        <v>0.50063829787234038</v>
      </c>
      <c r="F24" s="3">
        <v>79.099999999999994</v>
      </c>
      <c r="G24" s="3">
        <v>81</v>
      </c>
      <c r="H24" s="3">
        <f>G24-F24</f>
        <v>1.9000000000000057</v>
      </c>
      <c r="I24" s="3">
        <v>705</v>
      </c>
      <c r="J24" s="3">
        <v>5</v>
      </c>
      <c r="K24" s="3">
        <v>263</v>
      </c>
      <c r="L24" s="3">
        <v>3.21</v>
      </c>
      <c r="M24" s="3">
        <v>32.799999999999997</v>
      </c>
      <c r="N24" s="3">
        <v>21.7</v>
      </c>
    </row>
    <row r="25" spans="1:14">
      <c r="A25" s="3" t="s">
        <v>45</v>
      </c>
      <c r="B25">
        <v>0.88700000000000001</v>
      </c>
      <c r="C25">
        <v>328.87</v>
      </c>
      <c r="D25">
        <v>9.66</v>
      </c>
      <c r="E25">
        <f>Table3[[#This Row],[Skating Distance Penalty Killing (Total)]]/Table3[[#This Row],[PIM]]</f>
        <v>0.49305847076461767</v>
      </c>
      <c r="F25" s="3">
        <v>82.4</v>
      </c>
      <c r="G25" s="3">
        <v>84</v>
      </c>
      <c r="H25" s="3">
        <f>G25-F25</f>
        <v>1.5999999999999943</v>
      </c>
      <c r="I25" s="3">
        <v>667</v>
      </c>
      <c r="J25" s="3">
        <v>4</v>
      </c>
      <c r="K25" s="3">
        <v>315</v>
      </c>
      <c r="L25" s="3">
        <v>3.84</v>
      </c>
      <c r="M25" s="3">
        <v>32.200000000000003</v>
      </c>
      <c r="N25" s="3">
        <v>18.399999999999999</v>
      </c>
    </row>
    <row r="26" spans="1:14">
      <c r="A26" s="3" t="s">
        <v>46</v>
      </c>
      <c r="B26">
        <v>0.89</v>
      </c>
      <c r="C26">
        <v>323.5</v>
      </c>
      <c r="D26">
        <v>10.07</v>
      </c>
      <c r="E26">
        <f>Table3[[#This Row],[Skating Distance Penalty Killing (Total)]]/Table3[[#This Row],[PIM]]</f>
        <v>0.46346704871060174</v>
      </c>
      <c r="F26" s="3">
        <v>76.7</v>
      </c>
      <c r="G26" s="3">
        <v>79.2</v>
      </c>
      <c r="H26" s="3">
        <f>G26-F26</f>
        <v>2.5</v>
      </c>
      <c r="I26" s="3">
        <v>698</v>
      </c>
      <c r="J26" s="3">
        <v>6</v>
      </c>
      <c r="K26" s="3">
        <v>252</v>
      </c>
      <c r="L26" s="3">
        <v>3.07</v>
      </c>
      <c r="M26" s="3">
        <v>27</v>
      </c>
      <c r="N26" s="3">
        <v>19.8</v>
      </c>
    </row>
    <row r="27" spans="1:14">
      <c r="A27" s="3" t="s">
        <v>47</v>
      </c>
      <c r="B27">
        <v>0.89500000000000002</v>
      </c>
      <c r="C27">
        <v>281.24</v>
      </c>
      <c r="D27">
        <v>9.6199999999999992</v>
      </c>
      <c r="E27">
        <f>Table3[[#This Row],[Skating Distance Penalty Killing (Total)]]/Table3[[#This Row],[PIM]]</f>
        <v>0.43875195007800316</v>
      </c>
      <c r="F27" s="3">
        <v>72.400000000000006</v>
      </c>
      <c r="G27" s="3">
        <v>75.599999999999994</v>
      </c>
      <c r="H27" s="3">
        <f>G27-F27</f>
        <v>3.1999999999999886</v>
      </c>
      <c r="I27" s="3">
        <v>641</v>
      </c>
      <c r="J27" s="3">
        <v>7</v>
      </c>
      <c r="K27" s="3">
        <v>298</v>
      </c>
      <c r="L27" s="3">
        <v>3.63</v>
      </c>
      <c r="M27" s="3">
        <v>32.299999999999997</v>
      </c>
      <c r="N27" s="3">
        <v>19.3</v>
      </c>
    </row>
    <row r="28" spans="1:14">
      <c r="A28" s="3" t="s">
        <v>48</v>
      </c>
      <c r="B28">
        <v>0.90900000000000003</v>
      </c>
      <c r="C28">
        <v>337</v>
      </c>
      <c r="D28">
        <v>9.7799999999999994</v>
      </c>
      <c r="E28">
        <f>Table3[[#This Row],[Skating Distance Penalty Killing (Total)]]/Table3[[#This Row],[PIM]]</f>
        <v>0.33869346733668343</v>
      </c>
      <c r="F28" s="3">
        <v>79.7</v>
      </c>
      <c r="G28" s="3">
        <v>82.4</v>
      </c>
      <c r="H28" s="3">
        <f>G28-F28</f>
        <v>2.7000000000000028</v>
      </c>
      <c r="I28" s="3">
        <v>995</v>
      </c>
      <c r="J28" s="3">
        <v>7</v>
      </c>
      <c r="K28" s="3">
        <v>252</v>
      </c>
      <c r="L28" s="3">
        <v>3.07</v>
      </c>
      <c r="M28" s="3">
        <v>31.5</v>
      </c>
      <c r="N28" s="3">
        <v>25.4</v>
      </c>
    </row>
    <row r="29" spans="1:14">
      <c r="A29" s="3" t="s">
        <v>49</v>
      </c>
      <c r="B29">
        <v>0.91200000000000003</v>
      </c>
      <c r="C29">
        <v>364.66</v>
      </c>
      <c r="D29">
        <v>10.31</v>
      </c>
      <c r="E29">
        <f>Table3[[#This Row],[Skating Distance Penalty Killing (Total)]]/Table3[[#This Row],[PIM]]</f>
        <v>0.52772793053545586</v>
      </c>
      <c r="F29" s="3">
        <v>81.900000000000006</v>
      </c>
      <c r="G29" s="3">
        <v>85.1</v>
      </c>
      <c r="H29" s="3">
        <f>G29-F29</f>
        <v>3.1999999999999886</v>
      </c>
      <c r="I29" s="3">
        <v>691</v>
      </c>
      <c r="J29" s="3">
        <v>8</v>
      </c>
      <c r="K29" s="3">
        <v>220</v>
      </c>
      <c r="L29" s="3">
        <v>2.68</v>
      </c>
      <c r="M29" s="3">
        <v>29.5</v>
      </c>
      <c r="N29" s="3">
        <v>26</v>
      </c>
    </row>
    <row r="30" spans="1:14">
      <c r="A30" s="3" t="s">
        <v>50</v>
      </c>
      <c r="B30">
        <v>0.88800000000000001</v>
      </c>
      <c r="C30">
        <v>297.75</v>
      </c>
      <c r="D30">
        <v>9.69</v>
      </c>
      <c r="E30">
        <f>Table3[[#This Row],[Skating Distance Penalty Killing (Total)]]/Table3[[#This Row],[PIM]]</f>
        <v>0.40565395095367845</v>
      </c>
      <c r="F30" s="3">
        <v>71.599999999999994</v>
      </c>
      <c r="G30" s="3">
        <v>77.8</v>
      </c>
      <c r="H30" s="3">
        <f>G30-F30</f>
        <v>6.2000000000000028</v>
      </c>
      <c r="I30" s="3">
        <v>734</v>
      </c>
      <c r="J30" s="3">
        <v>15</v>
      </c>
      <c r="K30" s="3">
        <v>296</v>
      </c>
      <c r="L30" s="3">
        <v>3.61</v>
      </c>
      <c r="M30" s="3">
        <v>30.8</v>
      </c>
      <c r="N30" s="3">
        <v>22.7</v>
      </c>
    </row>
    <row r="31" spans="1:14">
      <c r="A31" s="3" t="s">
        <v>51</v>
      </c>
      <c r="B31">
        <v>0.91500000000000004</v>
      </c>
      <c r="C31">
        <v>240.41</v>
      </c>
      <c r="D31">
        <v>9.39</v>
      </c>
      <c r="E31">
        <f>Table3[[#This Row],[Skating Distance Penalty Killing (Total)]]/Table3[[#This Row],[PIM]]</f>
        <v>0.40816638370118846</v>
      </c>
      <c r="F31" s="3">
        <v>77.400000000000006</v>
      </c>
      <c r="G31" s="3">
        <v>82.6</v>
      </c>
      <c r="H31" s="3">
        <f>G31-F31</f>
        <v>5.1999999999999886</v>
      </c>
      <c r="I31" s="3">
        <v>589</v>
      </c>
      <c r="J31" s="3">
        <v>10</v>
      </c>
      <c r="K31" s="3">
        <v>225</v>
      </c>
      <c r="L31" s="3">
        <v>2.74</v>
      </c>
      <c r="M31" s="3">
        <v>30.9</v>
      </c>
      <c r="N31" s="3">
        <v>20.3</v>
      </c>
    </row>
    <row r="32" spans="1:14">
      <c r="A32" s="3" t="s">
        <v>52</v>
      </c>
      <c r="B32">
        <v>0.90500000000000003</v>
      </c>
      <c r="C32">
        <v>297.32</v>
      </c>
      <c r="D32">
        <v>9.8000000000000007</v>
      </c>
      <c r="E32">
        <f>Table3[[#This Row],[Skating Distance Penalty Killing (Total)]]/Table3[[#This Row],[PIM]]</f>
        <v>0.41699859747545581</v>
      </c>
      <c r="F32" s="3">
        <v>81.900000000000006</v>
      </c>
      <c r="G32" s="3">
        <v>83.6</v>
      </c>
      <c r="H32" s="3">
        <f>G32-F32</f>
        <v>1.6999999999999886</v>
      </c>
      <c r="I32" s="3">
        <v>713</v>
      </c>
      <c r="J32" s="3">
        <v>4</v>
      </c>
      <c r="K32" s="3">
        <v>261</v>
      </c>
      <c r="L32" s="3">
        <v>3.18</v>
      </c>
      <c r="M32" s="3">
        <v>31.1</v>
      </c>
      <c r="N32" s="3">
        <v>21.2</v>
      </c>
    </row>
    <row r="33" spans="1:14">
      <c r="A33" s="3" t="s">
        <v>53</v>
      </c>
      <c r="B33">
        <v>0.91600000000000004</v>
      </c>
      <c r="C33">
        <v>320.55</v>
      </c>
      <c r="D33">
        <v>9.74</v>
      </c>
      <c r="E33">
        <f>Table3[[#This Row],[Skating Distance Penalty Killing (Total)]]/Table3[[#This Row],[PIM]]</f>
        <v>0.45858369098712448</v>
      </c>
      <c r="F33" s="3">
        <v>82.4</v>
      </c>
      <c r="G33" s="3">
        <v>85.4</v>
      </c>
      <c r="H33" s="3">
        <f>G33-F33</f>
        <v>3</v>
      </c>
      <c r="I33" s="3">
        <v>699</v>
      </c>
      <c r="J33" s="3">
        <v>7</v>
      </c>
      <c r="K33" s="3">
        <v>224</v>
      </c>
      <c r="L33" s="3">
        <v>2.73</v>
      </c>
      <c r="M33" s="3">
        <v>30.3</v>
      </c>
      <c r="N33" s="3">
        <v>19.3</v>
      </c>
    </row>
    <row r="35" spans="1:14">
      <c r="A35" s="15" t="s">
        <v>54</v>
      </c>
      <c r="B35" s="14">
        <f>AVERAGE(B2:B33)</f>
        <v>0.90428124999999993</v>
      </c>
      <c r="C35" s="14">
        <f>AVERAGE(C2:C33)</f>
        <v>336.66968749999995</v>
      </c>
      <c r="D35" s="14">
        <f>AVERAGE(D2:D33)</f>
        <v>9.921875</v>
      </c>
      <c r="E35" s="14">
        <f>AVERAGE(E2:E33)</f>
        <v>0.45494627288085443</v>
      </c>
      <c r="F35" s="14">
        <f>AVERAGE(F2:F33)</f>
        <v>78.703125000000014</v>
      </c>
      <c r="G35" s="14">
        <f>AVERAGE(G2:G33)</f>
        <v>81.843750000000014</v>
      </c>
      <c r="H35" s="14">
        <f>AVERAGE(H2:H33)</f>
        <v>3.1406249999999996</v>
      </c>
      <c r="I35" s="14">
        <f>AVERAGE(I2:I33)</f>
        <v>752.53125</v>
      </c>
      <c r="J35" s="14">
        <f>AVERAGE(J2:J33)</f>
        <v>7.8125</v>
      </c>
      <c r="K35" s="14">
        <f>AVERAGE(K2:K33)</f>
        <v>257.75</v>
      </c>
      <c r="L35" s="14">
        <f>AVERAGE(L2:L33)</f>
        <v>3.1428124999999998</v>
      </c>
      <c r="M35" s="14">
        <f>AVERAGE(M2:M33)</f>
        <v>31.228124999999991</v>
      </c>
      <c r="N35" s="14">
        <f>AVERAGE(N2:N33)</f>
        <v>21.115624999999998</v>
      </c>
    </row>
    <row r="36" spans="1:14">
      <c r="A36" s="15" t="s">
        <v>55</v>
      </c>
      <c r="B36" s="14">
        <f>_xlfn.STDEV.P(Table3[Save %])</f>
        <v>1.091797364154632E-2</v>
      </c>
      <c r="C36" s="14">
        <f>_xlfn.STDEV.P(Table3[Skating Distance Penalty Killing (Total)])</f>
        <v>39.473439051181799</v>
      </c>
      <c r="D36" s="14">
        <f>_xlfn.STDEV.P(Table3[Skating Distance Penalty Killing (per 60)])</f>
        <v>0.33581465777270653</v>
      </c>
      <c r="E36" s="14">
        <f>_xlfn.STDEV.P(Table3[Skating Distance Penalty Killing (per PIM)])</f>
        <v>6.2206766601203708E-2</v>
      </c>
      <c r="F36" s="14">
        <f>_xlfn.STDEV.P(Table3[Penalty Kill %])</f>
        <v>4.0857591380764244</v>
      </c>
      <c r="G36" s="14">
        <f>_xlfn.STDEV.P(Table3[Net Penalty Kill%])</f>
        <v>4.2822991415243274</v>
      </c>
      <c r="H36" s="14">
        <f>_xlfn.STDEV.P(Table3[Net PK vs PK Difference])</f>
        <v>1.3587354817531634</v>
      </c>
      <c r="I36" s="14">
        <f>_xlfn.STDEV.P(Table3[PIM])</f>
        <v>131.41346591364791</v>
      </c>
      <c r="J36" s="14">
        <f>_xlfn.STDEV.P(Table3[SHG])</f>
        <v>3.3301417011893051</v>
      </c>
      <c r="K36" s="14">
        <f>_xlfn.STDEV.P(Table3[GA])</f>
        <v>38.774186000482331</v>
      </c>
      <c r="L36" s="14">
        <f>_xlfn.STDEV.P(Table3[GA/GP])</f>
        <v>0.47343976897146428</v>
      </c>
      <c r="M36" s="14">
        <f>_xlfn.STDEV.P(Table3[SA/GP])</f>
        <v>2.5656668693294931</v>
      </c>
      <c r="N36" s="14">
        <f>_xlfn.STDEV.P(Table3[Power Play %])</f>
        <v>3.6288866556252555</v>
      </c>
    </row>
    <row r="37" spans="1:14">
      <c r="A37" s="15" t="s">
        <v>56</v>
      </c>
      <c r="B37" s="14">
        <f>_xlfn.VAR.P(Table3[Save %])</f>
        <v>1.1920214843750024E-4</v>
      </c>
      <c r="C37" s="14">
        <f>_xlfn.VAR.P(Table3[Skating Distance Penalty Killing (Total)])</f>
        <v>1558.1523905273643</v>
      </c>
      <c r="D37" s="14">
        <f>_xlfn.VAR.P(Table3[Skating Distance Penalty Killing (per 60)])</f>
        <v>0.11277148437500001</v>
      </c>
      <c r="E37" s="14">
        <f>_xlfn.VAR.P(Table3[Skating Distance Penalty Killing (per PIM)])</f>
        <v>3.8696818109766329E-3</v>
      </c>
      <c r="F37" s="14">
        <f>_xlfn.VAR.P(Table3[Penalty Kill %])</f>
        <v>16.693427734375007</v>
      </c>
      <c r="G37" s="14">
        <f>_xlfn.VAR.P(Table3[Net Penalty Kill%])</f>
        <v>18.338085937499994</v>
      </c>
      <c r="H37" s="14">
        <f>_xlfn.VAR.P(Table3[Net PK vs PK Difference])</f>
        <v>1.8461621093750011</v>
      </c>
      <c r="I37" s="14">
        <f>_xlfn.VAR.P(Table3[PIM])</f>
        <v>17269.4990234375</v>
      </c>
      <c r="J37" s="14">
        <f>_xlfn.VAR.P(Table3[SHG])</f>
        <v>11.08984375</v>
      </c>
      <c r="K37" s="14">
        <f>_xlfn.VAR.P(Table3[GA])</f>
        <v>1503.4375</v>
      </c>
      <c r="L37" s="14">
        <f>_xlfn.VAR.P(Table3[GA/GP])</f>
        <v>0.22414521484375349</v>
      </c>
      <c r="M37" s="14">
        <f>_xlfn.VAR.P(Table3[SA/GP])</f>
        <v>6.5826464843750019</v>
      </c>
      <c r="N37" s="14">
        <f>_xlfn.VAR.P(Table3[Power Play %])</f>
        <v>13.168818359375052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C5D4-5668-4946-8DDE-2E6E0196E5E7}">
  <dimension ref="A1:R37"/>
  <sheetViews>
    <sheetView topLeftCell="A12" workbookViewId="0">
      <selection activeCell="A35" sqref="A35:N36"/>
    </sheetView>
  </sheetViews>
  <sheetFormatPr defaultRowHeight="15"/>
  <cols>
    <col min="1" max="1" width="22.42578125" bestFit="1" customWidth="1"/>
    <col min="2" max="2" width="12.5703125" bestFit="1" customWidth="1"/>
    <col min="3" max="5" width="30.7109375" bestFit="1" customWidth="1"/>
    <col min="6" max="6" width="16.28515625" bestFit="1" customWidth="1"/>
    <col min="7" max="7" width="20.28515625" bestFit="1" customWidth="1"/>
    <col min="8" max="8" width="11.85546875" bestFit="1" customWidth="1"/>
    <col min="9" max="10" width="11.85546875" customWidth="1"/>
    <col min="11" max="11" width="10.28515625" bestFit="1" customWidth="1"/>
    <col min="12" max="12" width="9.85546875" bestFit="1" customWidth="1"/>
    <col min="13" max="13" width="9.5703125" bestFit="1" customWidth="1"/>
    <col min="16" max="16" width="35.85546875" bestFit="1" customWidth="1"/>
  </cols>
  <sheetData>
    <row r="1" spans="1:18">
      <c r="A1" s="7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64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65</v>
      </c>
    </row>
    <row r="2" spans="1:18">
      <c r="A2" s="3" t="s">
        <v>14</v>
      </c>
      <c r="B2" s="3">
        <v>0.90700000000000003</v>
      </c>
      <c r="C2">
        <v>300.98</v>
      </c>
      <c r="D2">
        <v>5.71</v>
      </c>
      <c r="E2">
        <f>Table6[[#This Row],[Skating Distance Penalty Killing (Total)]]/Table6[[#This Row],[PIM]]</f>
        <v>0.3965480895915679</v>
      </c>
      <c r="F2" s="3">
        <v>80.8</v>
      </c>
      <c r="G2" s="3">
        <v>83.5</v>
      </c>
      <c r="H2" s="3">
        <f>Table6[[#This Row],[Net Penalty Kill %]]-Table6[[#This Row],[Penalty Kill %]]</f>
        <v>2.7000000000000028</v>
      </c>
      <c r="I2" s="3">
        <v>759</v>
      </c>
      <c r="J2" s="3">
        <v>6</v>
      </c>
      <c r="K2" s="3">
        <v>266</v>
      </c>
      <c r="L2" s="3">
        <v>3.24</v>
      </c>
      <c r="M2" s="3">
        <v>33.200000000000003</v>
      </c>
      <c r="N2" s="3">
        <v>21.9</v>
      </c>
      <c r="Q2" s="2" t="s">
        <v>15</v>
      </c>
      <c r="R2" s="2" t="s">
        <v>16</v>
      </c>
    </row>
    <row r="3" spans="1:18">
      <c r="A3" s="3" t="s">
        <v>19</v>
      </c>
      <c r="B3" s="3">
        <v>0.89700000000000002</v>
      </c>
      <c r="C3">
        <v>314.18</v>
      </c>
      <c r="D3">
        <v>5.37</v>
      </c>
      <c r="E3">
        <f>Table6[[#This Row],[Skating Distance Penalty Killing (Total)]]/Table6[[#This Row],[PIM]]</f>
        <v>0.37402380952380954</v>
      </c>
      <c r="F3" s="3">
        <v>75</v>
      </c>
      <c r="G3" s="3">
        <v>76.2</v>
      </c>
      <c r="H3" s="3">
        <f>Table6[[#This Row],[Net Penalty Kill %]]-Table6[[#This Row],[Penalty Kill %]]</f>
        <v>1.2000000000000028</v>
      </c>
      <c r="I3" s="3">
        <v>840</v>
      </c>
      <c r="J3" s="3">
        <v>3</v>
      </c>
      <c r="K3" s="3">
        <v>309</v>
      </c>
      <c r="L3" s="3">
        <v>3.77</v>
      </c>
      <c r="M3" s="3">
        <v>35.5</v>
      </c>
      <c r="N3" s="3">
        <v>13.9</v>
      </c>
      <c r="P3" s="10" t="s">
        <v>17</v>
      </c>
      <c r="Q3" s="2">
        <f>CORREL(Table6[Save %],Table6[Penalty Kill %])</f>
        <v>0.54596761963662044</v>
      </c>
      <c r="R3" s="2">
        <v>0.56653225806451613</v>
      </c>
    </row>
    <row r="4" spans="1:18">
      <c r="A4" s="3" t="s">
        <v>23</v>
      </c>
      <c r="B4" s="3">
        <v>0.91300000000000003</v>
      </c>
      <c r="C4">
        <v>365.07</v>
      </c>
      <c r="D4">
        <v>7.07</v>
      </c>
      <c r="E4">
        <f>Table6[[#This Row],[Skating Distance Penalty Killing (Total)]]/Table6[[#This Row],[PIM]]</f>
        <v>0.45126081582200245</v>
      </c>
      <c r="F4" s="3">
        <v>81.3</v>
      </c>
      <c r="G4" s="3">
        <v>83.2</v>
      </c>
      <c r="H4" s="3">
        <f>Table6[[#This Row],[Net Penalty Kill %]]-Table6[[#This Row],[Penalty Kill %]]</f>
        <v>1.9000000000000057</v>
      </c>
      <c r="I4" s="3">
        <v>809</v>
      </c>
      <c r="J4" s="3">
        <v>5</v>
      </c>
      <c r="K4" s="3">
        <v>218</v>
      </c>
      <c r="L4" s="3">
        <v>2.66</v>
      </c>
      <c r="M4" s="3">
        <v>28.7</v>
      </c>
      <c r="N4" s="3">
        <v>21.2</v>
      </c>
      <c r="P4" s="10" t="s">
        <v>18</v>
      </c>
      <c r="Q4" s="2">
        <f>CORREL(Table6[Skating Distance Penalty Killing (per PIM)],Table6[Penalty Kill %])</f>
        <v>0.40082834393335337</v>
      </c>
      <c r="R4" s="2">
        <v>0.35282258064516125</v>
      </c>
    </row>
    <row r="5" spans="1:18">
      <c r="A5" s="3" t="s">
        <v>25</v>
      </c>
      <c r="B5" s="3">
        <v>0.89900000000000002</v>
      </c>
      <c r="C5">
        <v>301.27</v>
      </c>
      <c r="D5">
        <v>6.07</v>
      </c>
      <c r="E5">
        <f>Table6[[#This Row],[Skating Distance Penalty Killing (Total)]]/Table6[[#This Row],[PIM]]</f>
        <v>0.45167916041979006</v>
      </c>
      <c r="F5" s="3">
        <v>76.400000000000006</v>
      </c>
      <c r="G5" s="3">
        <v>79.3</v>
      </c>
      <c r="H5" s="3">
        <f>Table6[[#This Row],[Net Penalty Kill %]]-Table6[[#This Row],[Penalty Kill %]]</f>
        <v>2.8999999999999915</v>
      </c>
      <c r="I5" s="3">
        <v>667</v>
      </c>
      <c r="J5" s="3">
        <v>6</v>
      </c>
      <c r="K5" s="3">
        <v>287</v>
      </c>
      <c r="L5" s="3">
        <v>3.5</v>
      </c>
      <c r="M5" s="3">
        <v>33</v>
      </c>
      <c r="N5" s="3">
        <v>21.2</v>
      </c>
      <c r="P5" s="26" t="s">
        <v>20</v>
      </c>
      <c r="Q5" s="27">
        <f>CORREL(Table6[SHG],Table6[Penalty Kill %])</f>
        <v>3.009947240128363E-2</v>
      </c>
      <c r="R5" s="27">
        <v>6.4516129032258118E-2</v>
      </c>
    </row>
    <row r="6" spans="1:18">
      <c r="A6" s="3" t="s">
        <v>26</v>
      </c>
      <c r="B6" s="3">
        <v>0.91800000000000004</v>
      </c>
      <c r="C6">
        <v>363.04</v>
      </c>
      <c r="D6">
        <v>6.33</v>
      </c>
      <c r="E6">
        <f>Table6[[#This Row],[Skating Distance Penalty Killing (Total)]]/Table6[[#This Row],[PIM]]</f>
        <v>0.48795698924731185</v>
      </c>
      <c r="F6" s="3">
        <v>83.2</v>
      </c>
      <c r="G6" s="3">
        <v>86</v>
      </c>
      <c r="H6" s="3">
        <f>Table6[[#This Row],[Net Penalty Kill %]]-Table6[[#This Row],[Penalty Kill %]]</f>
        <v>2.7999999999999972</v>
      </c>
      <c r="I6" s="3">
        <v>744</v>
      </c>
      <c r="J6" s="3">
        <v>7</v>
      </c>
      <c r="K6" s="3">
        <v>206</v>
      </c>
      <c r="L6" s="3">
        <v>2.5099999999999998</v>
      </c>
      <c r="M6" s="3">
        <v>29</v>
      </c>
      <c r="N6" s="3">
        <v>22.9</v>
      </c>
      <c r="P6" s="2" t="s">
        <v>21</v>
      </c>
      <c r="Q6" s="2">
        <f>CORREL(Table6[Penalty Kill %],Table6[SA/GP])</f>
        <v>-0.40808044078952382</v>
      </c>
      <c r="R6" s="2">
        <v>-0.40285923753665687</v>
      </c>
    </row>
    <row r="7" spans="1:18">
      <c r="A7" s="3" t="s">
        <v>27</v>
      </c>
      <c r="B7" s="3">
        <v>0.91600000000000004</v>
      </c>
      <c r="C7">
        <v>430.89</v>
      </c>
      <c r="D7">
        <v>6.31</v>
      </c>
      <c r="E7">
        <f>Table6[[#This Row],[Skating Distance Penalty Killing (Total)]]/Table6[[#This Row],[PIM]]</f>
        <v>0.56845646437994723</v>
      </c>
      <c r="F7" s="3">
        <v>88</v>
      </c>
      <c r="G7" s="3">
        <v>89.5</v>
      </c>
      <c r="H7" s="3">
        <f>Table6[[#This Row],[Net Penalty Kill %]]-Table6[[#This Row],[Penalty Kill %]]</f>
        <v>1.5</v>
      </c>
      <c r="I7" s="3">
        <v>758</v>
      </c>
      <c r="J7" s="3">
        <v>4</v>
      </c>
      <c r="K7" s="3">
        <v>200</v>
      </c>
      <c r="L7" s="3">
        <v>2.44</v>
      </c>
      <c r="M7" s="3">
        <v>28.2</v>
      </c>
      <c r="N7" s="3">
        <v>22</v>
      </c>
      <c r="P7" s="28" t="s">
        <v>22</v>
      </c>
      <c r="Q7" s="29">
        <f>CORREL(Table6[SHG],Table6[Skating Distance Penalty Killing (per PIM)])</f>
        <v>0.31416767700649328</v>
      </c>
      <c r="R7" s="29">
        <v>0.34155058651026393</v>
      </c>
    </row>
    <row r="8" spans="1:18">
      <c r="A8" s="3" t="s">
        <v>28</v>
      </c>
      <c r="B8" s="3">
        <v>0.89900000000000002</v>
      </c>
      <c r="C8">
        <v>296.33999999999997</v>
      </c>
      <c r="D8">
        <v>6.31</v>
      </c>
      <c r="E8">
        <f>Table6[[#This Row],[Skating Distance Penalty Killing (Total)]]/Table6[[#This Row],[PIM]]</f>
        <v>0.45873065015479875</v>
      </c>
      <c r="F8" s="3">
        <v>76.2</v>
      </c>
      <c r="G8" s="3">
        <v>77.099999999999994</v>
      </c>
      <c r="H8" s="3">
        <f>Table6[[#This Row],[Net Penalty Kill %]]-Table6[[#This Row],[Penalty Kill %]]</f>
        <v>0.89999999999999147</v>
      </c>
      <c r="I8" s="3">
        <v>646</v>
      </c>
      <c r="J8" s="3">
        <v>2</v>
      </c>
      <c r="K8" s="3">
        <v>289</v>
      </c>
      <c r="L8" s="3">
        <v>3.52</v>
      </c>
      <c r="M8" s="3">
        <v>33</v>
      </c>
      <c r="N8" s="3">
        <v>19.2</v>
      </c>
      <c r="P8" s="10" t="s">
        <v>24</v>
      </c>
      <c r="Q8" s="2">
        <f>CORREL(Table6[Penalty Kill %],Table6[Net PK vs. PK Difference])</f>
        <v>1.9187798949726647E-2</v>
      </c>
      <c r="R8" s="2">
        <v>4.2796920821114415E-2</v>
      </c>
    </row>
    <row r="9" spans="1:18">
      <c r="A9" s="3" t="s">
        <v>29</v>
      </c>
      <c r="B9" s="3">
        <v>0.91600000000000004</v>
      </c>
      <c r="C9">
        <v>322.49</v>
      </c>
      <c r="D9">
        <v>6.77</v>
      </c>
      <c r="E9">
        <f>Table6[[#This Row],[Skating Distance Penalty Killing (Total)]]/Table6[[#This Row],[PIM]]</f>
        <v>0.43462264150943397</v>
      </c>
      <c r="F9" s="3">
        <v>79.7</v>
      </c>
      <c r="G9" s="3">
        <v>82.2</v>
      </c>
      <c r="H9" s="3">
        <f>Table6[[#This Row],[Net Penalty Kill %]]-Table6[[#This Row],[Penalty Kill %]]</f>
        <v>2.5</v>
      </c>
      <c r="I9" s="3">
        <v>742</v>
      </c>
      <c r="J9" s="3">
        <v>6</v>
      </c>
      <c r="K9" s="3">
        <v>232</v>
      </c>
      <c r="L9" s="3">
        <v>2.83</v>
      </c>
      <c r="M9" s="3">
        <v>32</v>
      </c>
      <c r="N9" s="3">
        <v>24</v>
      </c>
    </row>
    <row r="10" spans="1:18">
      <c r="A10" s="3" t="s">
        <v>30</v>
      </c>
      <c r="B10" s="3">
        <v>0.90100000000000002</v>
      </c>
      <c r="C10">
        <v>333.27</v>
      </c>
      <c r="D10">
        <v>6.27</v>
      </c>
      <c r="E10">
        <f>Table6[[#This Row],[Skating Distance Penalty Killing (Total)]]/Table6[[#This Row],[PIM]]</f>
        <v>0.52483464566929128</v>
      </c>
      <c r="F10" s="3">
        <v>78.599999999999994</v>
      </c>
      <c r="G10" s="3">
        <v>81.5</v>
      </c>
      <c r="H10" s="3">
        <f>Table6[[#This Row],[Net Penalty Kill %]]-Table6[[#This Row],[Penalty Kill %]]</f>
        <v>2.9000000000000057</v>
      </c>
      <c r="I10" s="3">
        <v>635</v>
      </c>
      <c r="J10" s="3">
        <v>7</v>
      </c>
      <c r="K10" s="3">
        <v>297</v>
      </c>
      <c r="L10" s="3">
        <v>3.62</v>
      </c>
      <c r="M10" s="3">
        <v>35.200000000000003</v>
      </c>
      <c r="N10" s="3">
        <v>18.600000000000001</v>
      </c>
    </row>
    <row r="11" spans="1:18">
      <c r="A11" s="3" t="s">
        <v>31</v>
      </c>
      <c r="B11" s="3">
        <v>0.91100000000000003</v>
      </c>
      <c r="C11">
        <v>284.67</v>
      </c>
      <c r="D11">
        <v>6.05</v>
      </c>
      <c r="E11">
        <f>Table6[[#This Row],[Skating Distance Penalty Killing (Total)]]/Table6[[#This Row],[PIM]]</f>
        <v>0.5166424682395645</v>
      </c>
      <c r="F11" s="3">
        <v>79</v>
      </c>
      <c r="G11" s="3">
        <v>82.2</v>
      </c>
      <c r="H11" s="3">
        <f>Table6[[#This Row],[Net Penalty Kill %]]-Table6[[#This Row],[Penalty Kill %]]</f>
        <v>3.2000000000000028</v>
      </c>
      <c r="I11" s="3">
        <v>551</v>
      </c>
      <c r="J11" s="3">
        <v>7</v>
      </c>
      <c r="K11" s="3">
        <v>244</v>
      </c>
      <c r="L11" s="3">
        <v>2.98</v>
      </c>
      <c r="M11" s="3">
        <v>31</v>
      </c>
      <c r="N11" s="3">
        <v>22.4</v>
      </c>
    </row>
    <row r="12" spans="1:18">
      <c r="A12" s="3" t="s">
        <v>32</v>
      </c>
      <c r="B12" s="3">
        <v>0.89700000000000002</v>
      </c>
      <c r="C12">
        <v>283.91000000000003</v>
      </c>
      <c r="D12">
        <v>5.9</v>
      </c>
      <c r="E12">
        <f>Table6[[#This Row],[Skating Distance Penalty Killing (Total)]]/Table6[[#This Row],[PIM]]</f>
        <v>0.38732605729877223</v>
      </c>
      <c r="F12" s="3">
        <v>73.8</v>
      </c>
      <c r="G12" s="3">
        <v>75.599999999999994</v>
      </c>
      <c r="H12" s="3">
        <f>Table6[[#This Row],[Net Penalty Kill %]]-Table6[[#This Row],[Penalty Kill %]]</f>
        <v>1.7999999999999972</v>
      </c>
      <c r="I12" s="3">
        <v>733</v>
      </c>
      <c r="J12" s="3">
        <v>4</v>
      </c>
      <c r="K12" s="3">
        <v>310</v>
      </c>
      <c r="L12" s="3">
        <v>3.78</v>
      </c>
      <c r="M12" s="3">
        <v>33.700000000000003</v>
      </c>
      <c r="N12" s="3">
        <v>16.3</v>
      </c>
    </row>
    <row r="13" spans="1:18">
      <c r="A13" s="3" t="s">
        <v>33</v>
      </c>
      <c r="B13" s="3">
        <v>0.90800000000000003</v>
      </c>
      <c r="C13">
        <v>353.53</v>
      </c>
      <c r="D13">
        <v>6.26</v>
      </c>
      <c r="E13">
        <f>Table6[[#This Row],[Skating Distance Penalty Killing (Total)]]/Table6[[#This Row],[PIM]]</f>
        <v>0.53082582582582583</v>
      </c>
      <c r="F13" s="3">
        <v>79.400000000000006</v>
      </c>
      <c r="G13" s="3">
        <v>83.7</v>
      </c>
      <c r="H13" s="3">
        <f>Table6[[#This Row],[Net Penalty Kill %]]-Table6[[#This Row],[Penalty Kill %]]</f>
        <v>4.2999999999999972</v>
      </c>
      <c r="I13" s="3">
        <v>666</v>
      </c>
      <c r="J13" s="3">
        <v>11</v>
      </c>
      <c r="K13" s="3">
        <v>251</v>
      </c>
      <c r="L13" s="3">
        <v>3.06</v>
      </c>
      <c r="M13" s="3">
        <v>32.299999999999997</v>
      </c>
      <c r="N13" s="3">
        <v>26</v>
      </c>
    </row>
    <row r="14" spans="1:18">
      <c r="A14" s="3" t="s">
        <v>34</v>
      </c>
      <c r="B14" s="3">
        <v>0.90700000000000003</v>
      </c>
      <c r="C14">
        <v>370.16</v>
      </c>
      <c r="D14">
        <v>6.73</v>
      </c>
      <c r="E14">
        <f>Table6[[#This Row],[Skating Distance Penalty Killing (Total)]]/Table6[[#This Row],[PIM]]</f>
        <v>0.44490384615384621</v>
      </c>
      <c r="F14" s="3">
        <v>79.5</v>
      </c>
      <c r="G14" s="3">
        <v>84.2</v>
      </c>
      <c r="H14" s="3">
        <f>Table6[[#This Row],[Net Penalty Kill %]]-Table6[[#This Row],[Penalty Kill %]]</f>
        <v>4.7000000000000028</v>
      </c>
      <c r="I14" s="3">
        <v>832</v>
      </c>
      <c r="J14" s="3">
        <v>12</v>
      </c>
      <c r="K14" s="3">
        <v>242</v>
      </c>
      <c r="L14" s="3">
        <v>2.95</v>
      </c>
      <c r="M14" s="3">
        <v>30.7</v>
      </c>
      <c r="N14" s="3">
        <v>24.4</v>
      </c>
    </row>
    <row r="15" spans="1:18">
      <c r="A15" s="3" t="s">
        <v>35</v>
      </c>
      <c r="B15" s="3">
        <v>0.90500000000000003</v>
      </c>
      <c r="C15">
        <v>318.81</v>
      </c>
      <c r="D15">
        <v>6.48</v>
      </c>
      <c r="E15">
        <f>Table6[[#This Row],[Skating Distance Penalty Killing (Total)]]/Table6[[#This Row],[PIM]]</f>
        <v>0.50206299212598426</v>
      </c>
      <c r="F15" s="3">
        <v>76.7</v>
      </c>
      <c r="G15" s="3">
        <v>81.5</v>
      </c>
      <c r="H15" s="3">
        <f>Table6[[#This Row],[Net Penalty Kill %]]-Table6[[#This Row],[Penalty Kill %]]</f>
        <v>4.7999999999999972</v>
      </c>
      <c r="I15" s="3">
        <v>635</v>
      </c>
      <c r="J15" s="3">
        <v>11</v>
      </c>
      <c r="K15" s="3">
        <v>232</v>
      </c>
      <c r="L15" s="3">
        <v>2.83</v>
      </c>
      <c r="M15" s="3">
        <v>28.5</v>
      </c>
      <c r="N15" s="3">
        <v>16.100000000000001</v>
      </c>
    </row>
    <row r="16" spans="1:18">
      <c r="A16" s="3" t="s">
        <v>36</v>
      </c>
      <c r="B16" s="3">
        <v>0.91100000000000003</v>
      </c>
      <c r="C16">
        <v>348.19</v>
      </c>
      <c r="D16">
        <v>5.65</v>
      </c>
      <c r="E16">
        <f>Table6[[#This Row],[Skating Distance Penalty Killing (Total)]]/Table6[[#This Row],[PIM]]</f>
        <v>0.39477324263038549</v>
      </c>
      <c r="F16" s="3">
        <v>76.099999999999994</v>
      </c>
      <c r="G16" s="3">
        <v>76.900000000000006</v>
      </c>
      <c r="H16" s="3">
        <f>Table6[[#This Row],[Net Penalty Kill %]]-Table6[[#This Row],[Penalty Kill %]]</f>
        <v>0.80000000000001137</v>
      </c>
      <c r="I16" s="3">
        <v>882</v>
      </c>
      <c r="J16" s="3">
        <v>2</v>
      </c>
      <c r="K16" s="3">
        <v>249</v>
      </c>
      <c r="L16" s="3">
        <v>3.04</v>
      </c>
      <c r="M16" s="3">
        <v>31.4</v>
      </c>
      <c r="N16" s="3">
        <v>20.5</v>
      </c>
    </row>
    <row r="17" spans="1:14">
      <c r="A17" s="3" t="s">
        <v>63</v>
      </c>
      <c r="B17" s="3">
        <v>0.89400000000000002</v>
      </c>
      <c r="C17">
        <v>357.27</v>
      </c>
      <c r="D17">
        <v>6.72</v>
      </c>
      <c r="E17">
        <f>Table6[[#This Row],[Skating Distance Penalty Killing (Total)]]/Table6[[#This Row],[PIM]]</f>
        <v>0.42735645933014355</v>
      </c>
      <c r="F17" s="3">
        <v>75.599999999999994</v>
      </c>
      <c r="G17" s="3">
        <v>77.7</v>
      </c>
      <c r="H17" s="3">
        <f>Table6[[#This Row],[Net Penalty Kill %]]-Table6[[#This Row],[Penalty Kill %]]</f>
        <v>2.1000000000000085</v>
      </c>
      <c r="I17" s="3">
        <v>836</v>
      </c>
      <c r="J17" s="3">
        <v>6</v>
      </c>
      <c r="K17" s="3">
        <v>317</v>
      </c>
      <c r="L17" s="3">
        <v>3.87</v>
      </c>
      <c r="M17" s="3">
        <v>34.4</v>
      </c>
      <c r="N17" s="3">
        <v>13.7</v>
      </c>
    </row>
    <row r="18" spans="1:14">
      <c r="A18" s="3" t="s">
        <v>38</v>
      </c>
      <c r="B18" s="3">
        <v>0.91100000000000003</v>
      </c>
      <c r="C18">
        <v>349.52</v>
      </c>
      <c r="D18">
        <v>5.93</v>
      </c>
      <c r="E18">
        <f>Table6[[#This Row],[Skating Distance Penalty Killing (Total)]]/Table6[[#This Row],[PIM]]</f>
        <v>0.33770048309178741</v>
      </c>
      <c r="F18" s="3">
        <v>79.2</v>
      </c>
      <c r="G18" s="3">
        <v>79.900000000000006</v>
      </c>
      <c r="H18" s="3">
        <f>Table6[[#This Row],[Net Penalty Kill %]]-Table6[[#This Row],[Penalty Kill %]]</f>
        <v>0.70000000000000284</v>
      </c>
      <c r="I18" s="3">
        <v>1035</v>
      </c>
      <c r="J18" s="3">
        <v>2</v>
      </c>
      <c r="K18" s="3">
        <v>250</v>
      </c>
      <c r="L18" s="3">
        <v>3.05</v>
      </c>
      <c r="M18" s="3">
        <v>32.299999999999997</v>
      </c>
      <c r="N18" s="3">
        <v>24.4</v>
      </c>
    </row>
    <row r="19" spans="1:14">
      <c r="A19" s="3" t="s">
        <v>39</v>
      </c>
      <c r="B19" s="3">
        <v>0.88600000000000001</v>
      </c>
      <c r="C19">
        <v>295.04000000000002</v>
      </c>
      <c r="D19">
        <v>5.96</v>
      </c>
      <c r="E19">
        <f>Table6[[#This Row],[Skating Distance Penalty Killing (Total)]]/Table6[[#This Row],[PIM]]</f>
        <v>0.44167664670658685</v>
      </c>
      <c r="F19" s="3">
        <v>80.2</v>
      </c>
      <c r="G19" s="3">
        <v>83</v>
      </c>
      <c r="H19" s="3">
        <f>Table6[[#This Row],[Net Penalty Kill %]]-Table6[[#This Row],[Penalty Kill %]]</f>
        <v>2.7999999999999972</v>
      </c>
      <c r="I19" s="3">
        <v>668</v>
      </c>
      <c r="J19" s="3">
        <v>6</v>
      </c>
      <c r="K19" s="3">
        <v>302</v>
      </c>
      <c r="L19" s="3">
        <v>3.68</v>
      </c>
      <c r="M19" s="3">
        <v>31</v>
      </c>
      <c r="N19" s="3">
        <v>15.6</v>
      </c>
    </row>
    <row r="20" spans="1:14">
      <c r="A20" s="3" t="s">
        <v>40</v>
      </c>
      <c r="B20" s="3">
        <v>0.92</v>
      </c>
      <c r="C20">
        <v>286.55</v>
      </c>
      <c r="D20">
        <v>6.85</v>
      </c>
      <c r="E20">
        <f>Table6[[#This Row],[Skating Distance Penalty Killing (Total)]]/Table6[[#This Row],[PIM]]</f>
        <v>0.39307270233196162</v>
      </c>
      <c r="F20" s="3">
        <v>84.2</v>
      </c>
      <c r="G20" s="3">
        <v>86.5</v>
      </c>
      <c r="H20" s="3">
        <f>Table6[[#This Row],[Net Penalty Kill %]]-Table6[[#This Row],[Penalty Kill %]]</f>
        <v>2.2999999999999972</v>
      </c>
      <c r="I20" s="3">
        <v>729</v>
      </c>
      <c r="J20" s="3">
        <v>5</v>
      </c>
      <c r="K20" s="3">
        <v>231</v>
      </c>
      <c r="L20" s="3">
        <v>2.82</v>
      </c>
      <c r="M20" s="3">
        <v>32.5</v>
      </c>
      <c r="N20" s="3">
        <v>22.1</v>
      </c>
    </row>
    <row r="21" spans="1:14">
      <c r="A21" s="3" t="s">
        <v>41</v>
      </c>
      <c r="B21" s="3">
        <v>0.92100000000000004</v>
      </c>
      <c r="C21">
        <v>320.02</v>
      </c>
      <c r="D21">
        <v>6.54</v>
      </c>
      <c r="E21">
        <f>Table6[[#This Row],[Skating Distance Penalty Killing (Total)]]/Table6[[#This Row],[PIM]]</f>
        <v>0.47410370370370369</v>
      </c>
      <c r="F21" s="3">
        <v>82.3</v>
      </c>
      <c r="G21" s="3">
        <v>85.8</v>
      </c>
      <c r="H21" s="3">
        <f>Table6[[#This Row],[Net Penalty Kill %]]-Table6[[#This Row],[Penalty Kill %]]</f>
        <v>3.5</v>
      </c>
      <c r="I21" s="3">
        <v>675</v>
      </c>
      <c r="J21" s="3">
        <v>8</v>
      </c>
      <c r="K21" s="3">
        <v>204</v>
      </c>
      <c r="L21" s="3">
        <v>2.4900000000000002</v>
      </c>
      <c r="M21" s="3">
        <v>30.8</v>
      </c>
      <c r="N21" s="3">
        <v>25.2</v>
      </c>
    </row>
    <row r="22" spans="1:14">
      <c r="A22" s="3" t="s">
        <v>42</v>
      </c>
      <c r="B22" s="3">
        <v>0.90900000000000003</v>
      </c>
      <c r="C22">
        <v>345.35</v>
      </c>
      <c r="D22">
        <v>6.64</v>
      </c>
      <c r="E22">
        <f>Table6[[#This Row],[Skating Distance Penalty Killing (Total)]]/Table6[[#This Row],[PIM]]</f>
        <v>0.42013381995133825</v>
      </c>
      <c r="F22" s="3">
        <v>80.3</v>
      </c>
      <c r="G22" s="3">
        <v>83.9</v>
      </c>
      <c r="H22" s="3">
        <f>Table6[[#This Row],[Net Penalty Kill %]]-Table6[[#This Row],[Penalty Kill %]]</f>
        <v>3.6000000000000085</v>
      </c>
      <c r="I22" s="3">
        <v>822</v>
      </c>
      <c r="J22" s="3">
        <v>9</v>
      </c>
      <c r="K22" s="3">
        <v>264</v>
      </c>
      <c r="L22" s="3">
        <v>3.22</v>
      </c>
      <c r="M22" s="3">
        <v>33.4</v>
      </c>
      <c r="N22" s="3">
        <v>19.3</v>
      </c>
    </row>
    <row r="23" spans="1:14">
      <c r="A23" s="3" t="s">
        <v>43</v>
      </c>
      <c r="B23" s="3">
        <v>0.90300000000000002</v>
      </c>
      <c r="C23">
        <v>307.77999999999997</v>
      </c>
      <c r="D23">
        <v>5.81</v>
      </c>
      <c r="E23">
        <f>Table6[[#This Row],[Skating Distance Penalty Killing (Total)]]/Table6[[#This Row],[PIM]]</f>
        <v>0.41648173207036532</v>
      </c>
      <c r="F23" s="3">
        <v>75.7</v>
      </c>
      <c r="G23" s="3">
        <v>78.3</v>
      </c>
      <c r="H23" s="3">
        <f>Table6[[#This Row],[Net Penalty Kill %]]-Table6[[#This Row],[Penalty Kill %]]</f>
        <v>2.5999999999999943</v>
      </c>
      <c r="I23" s="3">
        <v>739</v>
      </c>
      <c r="J23" s="3">
        <v>6</v>
      </c>
      <c r="K23" s="3">
        <v>294</v>
      </c>
      <c r="L23" s="3">
        <v>3.59</v>
      </c>
      <c r="M23" s="3">
        <v>34</v>
      </c>
      <c r="N23" s="3">
        <v>12.6</v>
      </c>
    </row>
    <row r="24" spans="1:14">
      <c r="A24" s="3" t="s">
        <v>44</v>
      </c>
      <c r="B24" s="3">
        <v>0.91900000000000004</v>
      </c>
      <c r="C24">
        <v>298.05</v>
      </c>
      <c r="D24">
        <v>6.04</v>
      </c>
      <c r="E24">
        <f>Table6[[#This Row],[Skating Distance Penalty Killing (Total)]]/Table6[[#This Row],[PIM]]</f>
        <v>0.52659010600706713</v>
      </c>
      <c r="F24" s="3">
        <v>84.4</v>
      </c>
      <c r="G24" s="3">
        <v>85.9</v>
      </c>
      <c r="H24" s="3">
        <f>Table6[[#This Row],[Net Penalty Kill %]]-Table6[[#This Row],[Penalty Kill %]]</f>
        <v>1.5</v>
      </c>
      <c r="I24" s="3">
        <v>566</v>
      </c>
      <c r="J24" s="3">
        <v>3</v>
      </c>
      <c r="K24" s="3">
        <v>222</v>
      </c>
      <c r="L24" s="3">
        <v>2.71</v>
      </c>
      <c r="M24" s="3">
        <v>31.4</v>
      </c>
      <c r="N24" s="3">
        <v>20.2</v>
      </c>
    </row>
    <row r="25" spans="1:14">
      <c r="A25" s="3" t="s">
        <v>45</v>
      </c>
      <c r="B25" s="3">
        <v>0.90800000000000003</v>
      </c>
      <c r="C25">
        <v>319.57</v>
      </c>
      <c r="D25">
        <v>6.39</v>
      </c>
      <c r="E25">
        <f>Table6[[#This Row],[Skating Distance Penalty Killing (Total)]]/Table6[[#This Row],[PIM]]</f>
        <v>0.44078620689655174</v>
      </c>
      <c r="F25" s="3">
        <v>85.2</v>
      </c>
      <c r="G25" s="3">
        <v>87</v>
      </c>
      <c r="H25" s="3">
        <f>Table6[[#This Row],[Net Penalty Kill %]]-Table6[[#This Row],[Penalty Kill %]]</f>
        <v>1.7999999999999972</v>
      </c>
      <c r="I25" s="3">
        <v>725</v>
      </c>
      <c r="J25" s="3">
        <v>4</v>
      </c>
      <c r="K25" s="3">
        <v>261</v>
      </c>
      <c r="L25" s="3">
        <v>3.18</v>
      </c>
      <c r="M25" s="3">
        <v>32</v>
      </c>
      <c r="N25" s="3">
        <v>19</v>
      </c>
    </row>
    <row r="26" spans="1:14">
      <c r="A26" s="3" t="s">
        <v>46</v>
      </c>
      <c r="B26" s="3">
        <v>0.89</v>
      </c>
      <c r="C26">
        <v>303.97000000000003</v>
      </c>
      <c r="D26">
        <v>7.03</v>
      </c>
      <c r="E26">
        <f>Table6[[#This Row],[Skating Distance Penalty Killing (Total)]]/Table6[[#This Row],[PIM]]</f>
        <v>0.43424285714285721</v>
      </c>
      <c r="F26" s="3">
        <v>74.900000000000006</v>
      </c>
      <c r="G26" s="3">
        <v>78.5</v>
      </c>
      <c r="H26" s="3">
        <f>Table6[[#This Row],[Net Penalty Kill %]]-Table6[[#This Row],[Penalty Kill %]]</f>
        <v>3.5999999999999943</v>
      </c>
      <c r="I26" s="3">
        <v>700</v>
      </c>
      <c r="J26" s="3">
        <v>8</v>
      </c>
      <c r="K26" s="3">
        <v>284</v>
      </c>
      <c r="L26" s="3">
        <v>3.46</v>
      </c>
      <c r="M26" s="3">
        <v>28.9</v>
      </c>
      <c r="N26" s="3">
        <v>14.6</v>
      </c>
    </row>
    <row r="27" spans="1:14">
      <c r="A27" s="3" t="s">
        <v>47</v>
      </c>
      <c r="B27" s="3">
        <v>0.91200000000000003</v>
      </c>
      <c r="C27">
        <v>304.05</v>
      </c>
      <c r="D27">
        <v>5.81</v>
      </c>
      <c r="E27">
        <f>Table6[[#This Row],[Skating Distance Penalty Killing (Total)]]/Table6[[#This Row],[PIM]]</f>
        <v>0.49762684124386253</v>
      </c>
      <c r="F27" s="3">
        <v>84.1</v>
      </c>
      <c r="G27" s="3">
        <v>88.2</v>
      </c>
      <c r="H27" s="3">
        <f>Table6[[#This Row],[Net Penalty Kill %]]-Table6[[#This Row],[Penalty Kill %]]</f>
        <v>4.1000000000000085</v>
      </c>
      <c r="I27" s="3">
        <v>611</v>
      </c>
      <c r="J27" s="3">
        <v>9</v>
      </c>
      <c r="K27" s="3">
        <v>239</v>
      </c>
      <c r="L27" s="3">
        <v>2.91</v>
      </c>
      <c r="M27" s="3">
        <v>31.6</v>
      </c>
      <c r="N27" s="3">
        <v>27</v>
      </c>
    </row>
    <row r="28" spans="1:14">
      <c r="A28" s="3" t="s">
        <v>48</v>
      </c>
      <c r="B28" s="3">
        <v>0.91300000000000003</v>
      </c>
      <c r="C28">
        <v>338.8</v>
      </c>
      <c r="D28">
        <v>6.03</v>
      </c>
      <c r="E28">
        <f>Table6[[#This Row],[Skating Distance Penalty Killing (Total)]]/Table6[[#This Row],[PIM]]</f>
        <v>0.37602663706992234</v>
      </c>
      <c r="F28" s="3">
        <v>80.599999999999994</v>
      </c>
      <c r="G28" s="3">
        <v>83.3</v>
      </c>
      <c r="H28" s="3">
        <f>Table6[[#This Row],[Net Penalty Kill %]]-Table6[[#This Row],[Penalty Kill %]]</f>
        <v>2.7000000000000028</v>
      </c>
      <c r="I28" s="3">
        <v>901</v>
      </c>
      <c r="J28" s="3">
        <v>7</v>
      </c>
      <c r="K28" s="3">
        <v>228</v>
      </c>
      <c r="L28" s="3">
        <v>2.78</v>
      </c>
      <c r="M28" s="3">
        <v>29.8</v>
      </c>
      <c r="N28" s="3">
        <v>23.9</v>
      </c>
    </row>
    <row r="29" spans="1:14">
      <c r="A29" s="3" t="s">
        <v>49</v>
      </c>
      <c r="B29" s="3">
        <v>0.90400000000000003</v>
      </c>
      <c r="C29">
        <v>332.34</v>
      </c>
      <c r="D29">
        <v>6.67</v>
      </c>
      <c r="E29">
        <f>Table6[[#This Row],[Skating Distance Penalty Killing (Total)]]/Table6[[#This Row],[PIM]]</f>
        <v>0.47341880341880338</v>
      </c>
      <c r="F29" s="3">
        <v>82.1</v>
      </c>
      <c r="G29" s="3">
        <v>87.6</v>
      </c>
      <c r="H29" s="3">
        <f>Table6[[#This Row],[Net Penalty Kill %]]-Table6[[#This Row],[Penalty Kill %]]</f>
        <v>5.5</v>
      </c>
      <c r="I29" s="3">
        <v>702</v>
      </c>
      <c r="J29" s="3">
        <v>13</v>
      </c>
      <c r="K29" s="3">
        <v>252</v>
      </c>
      <c r="L29" s="3">
        <v>3.07</v>
      </c>
      <c r="M29" s="3">
        <v>30.6</v>
      </c>
      <c r="N29" s="3">
        <v>27.3</v>
      </c>
    </row>
    <row r="30" spans="1:14">
      <c r="A30" s="3" t="s">
        <v>50</v>
      </c>
      <c r="B30" s="3">
        <v>0.91500000000000004</v>
      </c>
      <c r="C30">
        <v>309.17</v>
      </c>
      <c r="D30">
        <v>6.12</v>
      </c>
      <c r="E30">
        <f>Table6[[#This Row],[Skating Distance Penalty Killing (Total)]]/Table6[[#This Row],[PIM]]</f>
        <v>0.47201526717557252</v>
      </c>
      <c r="F30" s="3">
        <v>74.900000000000006</v>
      </c>
      <c r="G30" s="3">
        <v>77.099999999999994</v>
      </c>
      <c r="H30" s="3">
        <f>Table6[[#This Row],[Net Penalty Kill %]]-Table6[[#This Row],[Penalty Kill %]]</f>
        <v>2.1999999999999886</v>
      </c>
      <c r="I30" s="3">
        <v>655</v>
      </c>
      <c r="J30" s="3">
        <v>5</v>
      </c>
      <c r="K30" s="3">
        <v>231</v>
      </c>
      <c r="L30" s="3">
        <v>2.82</v>
      </c>
      <c r="M30" s="3">
        <v>31.9</v>
      </c>
      <c r="N30" s="3">
        <v>23.5</v>
      </c>
    </row>
    <row r="31" spans="1:14">
      <c r="A31" s="3" t="s">
        <v>51</v>
      </c>
      <c r="B31" s="3">
        <v>0.90600000000000003</v>
      </c>
      <c r="C31">
        <v>280.45999999999998</v>
      </c>
      <c r="D31">
        <v>5.45</v>
      </c>
      <c r="E31">
        <f>Table6[[#This Row],[Skating Distance Penalty Killing (Total)]]/Table6[[#This Row],[PIM]]</f>
        <v>0.44945512820512817</v>
      </c>
      <c r="F31" s="3">
        <v>77.400000000000006</v>
      </c>
      <c r="G31" s="3">
        <v>82.2</v>
      </c>
      <c r="H31" s="3">
        <f>Table6[[#This Row],[Net Penalty Kill %]]-Table6[[#This Row],[Penalty Kill %]]</f>
        <v>4.7999999999999972</v>
      </c>
      <c r="I31" s="3">
        <v>624</v>
      </c>
      <c r="J31" s="3">
        <v>10</v>
      </c>
      <c r="K31" s="3">
        <v>244</v>
      </c>
      <c r="L31" s="3">
        <v>2.98</v>
      </c>
      <c r="M31" s="3">
        <v>30</v>
      </c>
      <c r="N31" s="3">
        <v>18.399999999999999</v>
      </c>
    </row>
    <row r="32" spans="1:14">
      <c r="A32" s="3" t="s">
        <v>52</v>
      </c>
      <c r="B32" s="3">
        <v>0.90200000000000002</v>
      </c>
      <c r="C32">
        <v>297.86</v>
      </c>
      <c r="D32">
        <v>6.16</v>
      </c>
      <c r="E32">
        <f>Table6[[#This Row],[Skating Distance Penalty Killing (Total)]]/Table6[[#This Row],[PIM]]</f>
        <v>0.47204437400950872</v>
      </c>
      <c r="F32" s="3">
        <v>80.400000000000006</v>
      </c>
      <c r="G32" s="3">
        <v>84</v>
      </c>
      <c r="H32" s="3">
        <f>Table6[[#This Row],[Net Penalty Kill %]]-Table6[[#This Row],[Penalty Kill %]]</f>
        <v>3.5999999999999943</v>
      </c>
      <c r="I32" s="3">
        <v>631</v>
      </c>
      <c r="J32" s="3">
        <v>8</v>
      </c>
      <c r="K32" s="3">
        <v>242</v>
      </c>
      <c r="L32" s="3">
        <v>2.95</v>
      </c>
      <c r="M32" s="3">
        <v>29</v>
      </c>
      <c r="N32" s="3">
        <v>18.8</v>
      </c>
    </row>
    <row r="33" spans="1:14">
      <c r="A33" s="3" t="s">
        <v>53</v>
      </c>
      <c r="B33" s="3">
        <v>0.91300000000000003</v>
      </c>
      <c r="C33">
        <v>302.37</v>
      </c>
      <c r="D33">
        <v>6.28</v>
      </c>
      <c r="E33">
        <f>Table6[[#This Row],[Skating Distance Penalty Killing (Total)]]/Table6[[#This Row],[PIM]]</f>
        <v>0.41879501385041551</v>
      </c>
      <c r="F33" s="3">
        <v>75</v>
      </c>
      <c r="G33" s="3">
        <v>78.900000000000006</v>
      </c>
      <c r="H33" s="3">
        <f>Table6[[#This Row],[Net Penalty Kill %]]-Table6[[#This Row],[Penalty Kill %]]</f>
        <v>3.9000000000000057</v>
      </c>
      <c r="I33" s="3">
        <v>722</v>
      </c>
      <c r="J33" s="3">
        <v>9</v>
      </c>
      <c r="K33" s="3">
        <v>253</v>
      </c>
      <c r="L33" s="3">
        <v>3.09</v>
      </c>
      <c r="M33" s="3">
        <v>33.200000000000003</v>
      </c>
      <c r="N33" s="3">
        <v>21.1</v>
      </c>
    </row>
    <row r="35" spans="1:14">
      <c r="A35" s="1" t="s">
        <v>54</v>
      </c>
      <c r="B35" s="14">
        <f>AVERAGE(B2:B33)</f>
        <v>0.90721874999999996</v>
      </c>
      <c r="C35" s="14">
        <f t="shared" ref="C35:N35" si="0">AVERAGE(C2:C33)</f>
        <v>322.96781250000004</v>
      </c>
      <c r="D35" s="14">
        <f t="shared" si="0"/>
        <v>6.2409374999999985</v>
      </c>
      <c r="E35" s="14">
        <f t="shared" si="0"/>
        <v>0.44988045252493475</v>
      </c>
      <c r="F35" s="14">
        <f t="shared" si="0"/>
        <v>79.381250000000009</v>
      </c>
      <c r="G35" s="14">
        <f t="shared" si="0"/>
        <v>82.2</v>
      </c>
      <c r="H35" s="14">
        <f t="shared" si="0"/>
        <v>2.8187500000000001</v>
      </c>
      <c r="I35" s="14">
        <f t="shared" si="0"/>
        <v>726.25</v>
      </c>
      <c r="J35" s="14">
        <f t="shared" si="0"/>
        <v>6.59375</v>
      </c>
      <c r="K35" s="14">
        <f t="shared" si="0"/>
        <v>254.6875</v>
      </c>
      <c r="L35" s="14">
        <f t="shared" si="0"/>
        <v>3.1062499999999997</v>
      </c>
      <c r="M35" s="14">
        <f t="shared" si="0"/>
        <v>31.631249999999994</v>
      </c>
      <c r="N35" s="14">
        <f t="shared" si="0"/>
        <v>20.540624999999999</v>
      </c>
    </row>
    <row r="36" spans="1:14">
      <c r="A36" s="1" t="s">
        <v>55</v>
      </c>
      <c r="B36" s="14">
        <f>_xlfn.STDEV.P(Table6[Save %])</f>
        <v>8.5868153839185422E-3</v>
      </c>
      <c r="C36" s="14">
        <f>_xlfn.STDEV.P(Table6[Skating Distance Penalty Killing (Total)])</f>
        <v>32.185593412889617</v>
      </c>
      <c r="D36" s="14">
        <f>_xlfn.STDEV.P(Table6[Skating Distance Penalty Killing (per 60)])</f>
        <v>0.42617748191774513</v>
      </c>
      <c r="E36" s="14">
        <f>_xlfn.STDEV.P(Table6[Skating Distance Penalty Killing (per PIM)])</f>
        <v>5.1892517732385277E-2</v>
      </c>
      <c r="F36" s="14">
        <f>_xlfn.STDEV.P(Table6[Penalty Kill %])</f>
        <v>3.5284059343420227</v>
      </c>
      <c r="G36" s="14">
        <f>_xlfn.STDEV.P(Table6[Net Penalty Kill %])</f>
        <v>3.7599035891894892</v>
      </c>
      <c r="H36" s="14">
        <f>_xlfn.STDEV.P(Table6[Net PK vs. PK Difference])</f>
        <v>1.2329936891565985</v>
      </c>
      <c r="I36" s="14">
        <f>_xlfn.STDEV.P(Table6[PIM])</f>
        <v>102.62096520692056</v>
      </c>
      <c r="J36" s="14">
        <f>_xlfn.STDEV.P(Table6[SHG])</f>
        <v>2.8707509361663544</v>
      </c>
      <c r="K36" s="14">
        <f>_xlfn.STDEV.P(Table6[GA])</f>
        <v>32.057017075049266</v>
      </c>
      <c r="L36" s="14">
        <f>_xlfn.STDEV.P(Table6[GA/GP])</f>
        <v>0.39056649561886603</v>
      </c>
      <c r="M36" s="14">
        <f>_xlfn.STDEV.P(Table6[SA/GP])</f>
        <v>1.93704631785097</v>
      </c>
      <c r="N36" s="14">
        <f>_xlfn.STDEV.P(Table6[PP%])</f>
        <v>3.8967020811674793</v>
      </c>
    </row>
    <row r="37" spans="1:14">
      <c r="A37" s="1" t="s">
        <v>56</v>
      </c>
      <c r="B37" s="14">
        <f>_xlfn.VAR.P(Table6[Save %])</f>
        <v>7.373339843750015E-5</v>
      </c>
      <c r="C37" s="14">
        <f>_xlfn.VAR.P(Table6[Skating Distance Penalty Killing (Total)])</f>
        <v>1035.9124233398434</v>
      </c>
      <c r="D37" s="14">
        <f>_xlfn.VAR.P(Table6[Skating Distance Penalty Killing (per 60)])</f>
        <v>0.18162724609374997</v>
      </c>
      <c r="E37" s="14">
        <f>_xlfn.VAR.P(Table6[Skating Distance Penalty Killing (per PIM)])</f>
        <v>2.6928333966059204E-3</v>
      </c>
      <c r="F37" s="14">
        <f>_xlfn.VAR.P(Table6[Penalty Kill %])</f>
        <v>12.449648437500002</v>
      </c>
      <c r="G37" s="14">
        <f>_xlfn.VAR.P(Table6[Net Penalty Kill %])</f>
        <v>14.136875000000002</v>
      </c>
      <c r="H37" s="14">
        <f>_xlfn.VAR.P(Table6[Net PK vs. PK Difference])</f>
        <v>1.5202734374999984</v>
      </c>
      <c r="I37" s="14">
        <f>_xlfn.VAR.P(Table6[PIM])</f>
        <v>10531.0625</v>
      </c>
      <c r="J37" s="14">
        <f>_xlfn.VAR.P(Table6[SHG])</f>
        <v>8.2412109375</v>
      </c>
      <c r="K37" s="14">
        <f>_xlfn.VAR.P(Table6[GA])</f>
        <v>1027.65234375</v>
      </c>
      <c r="L37" s="14">
        <f>_xlfn.VAR.P(Table6[GA/GP])</f>
        <v>0.1525421875000017</v>
      </c>
      <c r="M37" s="14">
        <f>_xlfn.VAR.P(Table6[SA/GP])</f>
        <v>3.7521484375000016</v>
      </c>
      <c r="N37" s="14">
        <f>_xlfn.VAR.P(Table6[PP%])</f>
        <v>15.184287109374964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ECBB-6C29-4B5C-AC98-C5C3EB069B80}">
  <dimension ref="A1:N33"/>
  <sheetViews>
    <sheetView workbookViewId="0">
      <selection activeCell="L28" sqref="L28"/>
    </sheetView>
  </sheetViews>
  <sheetFormatPr defaultRowHeight="15"/>
  <cols>
    <col min="1" max="1" width="34.28515625" bestFit="1" customWidth="1"/>
    <col min="2" max="4" width="12.7109375" bestFit="1" customWidth="1"/>
    <col min="5" max="7" width="15.5703125" bestFit="1" customWidth="1"/>
    <col min="11" max="11" width="34.28515625" bestFit="1" customWidth="1"/>
    <col min="12" max="14" width="14.85546875" bestFit="1" customWidth="1"/>
  </cols>
  <sheetData>
    <row r="1" spans="1:14">
      <c r="A1" t="s">
        <v>0</v>
      </c>
      <c r="B1" t="s">
        <v>66</v>
      </c>
      <c r="C1" t="s">
        <v>67</v>
      </c>
      <c r="D1" t="s">
        <v>68</v>
      </c>
      <c r="E1" s="8" t="s">
        <v>69</v>
      </c>
      <c r="F1" t="s">
        <v>70</v>
      </c>
      <c r="G1" t="s">
        <v>71</v>
      </c>
    </row>
    <row r="2" spans="1:14">
      <c r="A2" t="s">
        <v>14</v>
      </c>
      <c r="B2">
        <v>80.8</v>
      </c>
      <c r="C2">
        <v>72.099999999999994</v>
      </c>
      <c r="D2">
        <v>72.400000000000006</v>
      </c>
      <c r="E2" s="8">
        <f>C2-B2</f>
        <v>-8.7000000000000028</v>
      </c>
      <c r="F2">
        <f>D2-C2</f>
        <v>0.30000000000001137</v>
      </c>
      <c r="G2">
        <f>D2-B2</f>
        <v>-8.3999999999999915</v>
      </c>
    </row>
    <row r="3" spans="1:14">
      <c r="A3" t="s">
        <v>19</v>
      </c>
      <c r="B3">
        <v>75</v>
      </c>
      <c r="C3">
        <v>74.599999999999994</v>
      </c>
      <c r="D3">
        <v>76.3</v>
      </c>
      <c r="E3" s="8">
        <f>C3-B3</f>
        <v>-0.40000000000000568</v>
      </c>
      <c r="F3">
        <f>D3-C3</f>
        <v>1.7000000000000028</v>
      </c>
      <c r="G3">
        <f>D3-B3</f>
        <v>1.2999999999999972</v>
      </c>
      <c r="K3" s="32" t="s">
        <v>54</v>
      </c>
      <c r="L3" s="11" t="s">
        <v>66</v>
      </c>
      <c r="M3" s="11" t="s">
        <v>67</v>
      </c>
      <c r="N3" s="11" t="s">
        <v>68</v>
      </c>
    </row>
    <row r="4" spans="1:14">
      <c r="A4" t="s">
        <v>23</v>
      </c>
      <c r="B4">
        <v>81.3</v>
      </c>
      <c r="C4">
        <v>87.3</v>
      </c>
      <c r="D4">
        <v>82.5</v>
      </c>
      <c r="E4" s="8">
        <f>C4-B4</f>
        <v>6</v>
      </c>
      <c r="F4">
        <f>D4-C4</f>
        <v>-4.7999999999999972</v>
      </c>
      <c r="G4">
        <f>D4-B4</f>
        <v>1.2000000000000028</v>
      </c>
      <c r="K4" s="11" t="s">
        <v>1</v>
      </c>
      <c r="L4" s="33">
        <f>'Data 2021-2022'!B35</f>
        <v>0.90721874999999996</v>
      </c>
      <c r="M4" s="33">
        <f>'Data 2022-2023'!B35</f>
        <v>0.90428124999999993</v>
      </c>
      <c r="N4" s="33">
        <f>'Data 2023-2024'!B35</f>
        <v>0.90340624999999997</v>
      </c>
    </row>
    <row r="5" spans="1:14">
      <c r="A5" t="s">
        <v>25</v>
      </c>
      <c r="B5">
        <v>76.400000000000006</v>
      </c>
      <c r="C5">
        <v>73</v>
      </c>
      <c r="D5">
        <v>79.8</v>
      </c>
      <c r="E5" s="8">
        <f>C5-B5</f>
        <v>-3.4000000000000057</v>
      </c>
      <c r="F5">
        <f>D5-C5</f>
        <v>6.7999999999999972</v>
      </c>
      <c r="G5">
        <f>D5-B5</f>
        <v>3.3999999999999915</v>
      </c>
      <c r="K5" s="11" t="s">
        <v>72</v>
      </c>
      <c r="L5" s="33">
        <f>'Data 2021-2022'!C35</f>
        <v>322.96781250000004</v>
      </c>
      <c r="M5" s="33">
        <f>'Data 2022-2023'!C35</f>
        <v>336.66968749999995</v>
      </c>
      <c r="N5" s="33">
        <f>'Data 2023-2024'!C35</f>
        <v>329.75874999999996</v>
      </c>
    </row>
    <row r="6" spans="1:14">
      <c r="A6" t="s">
        <v>26</v>
      </c>
      <c r="B6">
        <v>83.2</v>
      </c>
      <c r="C6">
        <v>82.6</v>
      </c>
      <c r="D6">
        <v>80.8</v>
      </c>
      <c r="E6" s="8">
        <f>C6-B6</f>
        <v>-0.60000000000000853</v>
      </c>
      <c r="F6">
        <f>D6-C6</f>
        <v>-1.7999999999999972</v>
      </c>
      <c r="G6">
        <f>D6-B6</f>
        <v>-2.4000000000000057</v>
      </c>
      <c r="K6" s="11" t="s">
        <v>73</v>
      </c>
      <c r="L6" s="33">
        <f>'Data 2021-2022'!E35</f>
        <v>0.44988045252493475</v>
      </c>
      <c r="M6" s="33">
        <f>'Data 2022-2023'!E35</f>
        <v>0.45494627288085443</v>
      </c>
      <c r="N6" s="33">
        <f>'Data 2023-2024'!E35</f>
        <v>0.44157363529859223</v>
      </c>
    </row>
    <row r="7" spans="1:14">
      <c r="A7" t="s">
        <v>27</v>
      </c>
      <c r="B7">
        <v>88</v>
      </c>
      <c r="C7">
        <v>84.4</v>
      </c>
      <c r="D7">
        <v>86.4</v>
      </c>
      <c r="E7" s="8">
        <f>C7-B7</f>
        <v>-3.5999999999999943</v>
      </c>
      <c r="F7">
        <f>D7-C7</f>
        <v>2</v>
      </c>
      <c r="G7">
        <f>D7-B7</f>
        <v>-1.5999999999999943</v>
      </c>
      <c r="K7" s="11" t="s">
        <v>5</v>
      </c>
      <c r="L7" s="33">
        <f>'Data 2021-2022'!F35</f>
        <v>79.381250000000009</v>
      </c>
      <c r="M7" s="33">
        <f>'Data 2022-2023'!F35</f>
        <v>78.703125000000014</v>
      </c>
      <c r="N7" s="33">
        <f>'Data 2023-2024'!F35</f>
        <v>79.068750000000009</v>
      </c>
    </row>
    <row r="8" spans="1:14">
      <c r="A8" t="s">
        <v>28</v>
      </c>
      <c r="B8">
        <v>76.2</v>
      </c>
      <c r="C8">
        <v>76.2</v>
      </c>
      <c r="D8">
        <v>75.8</v>
      </c>
      <c r="E8" s="8">
        <f>C8-B8</f>
        <v>0</v>
      </c>
      <c r="F8">
        <f>D8-C8</f>
        <v>-0.40000000000000568</v>
      </c>
      <c r="G8">
        <f>D8-B8</f>
        <v>-0.40000000000000568</v>
      </c>
      <c r="K8" s="11" t="s">
        <v>74</v>
      </c>
      <c r="L8" s="33">
        <f>'Data 2021-2022'!G35</f>
        <v>82.2</v>
      </c>
      <c r="M8" s="33">
        <f>'Data 2022-2023'!G35</f>
        <v>81.843750000000014</v>
      </c>
      <c r="N8" s="33">
        <f>'Data 2023-2024'!G35</f>
        <v>82.04062500000002</v>
      </c>
    </row>
    <row r="9" spans="1:14">
      <c r="A9" t="s">
        <v>29</v>
      </c>
      <c r="B9">
        <v>79.7</v>
      </c>
      <c r="C9">
        <v>79</v>
      </c>
      <c r="D9">
        <v>79.900000000000006</v>
      </c>
      <c r="E9" s="8">
        <f>C9-B9</f>
        <v>-0.70000000000000284</v>
      </c>
      <c r="F9">
        <f>D9-C9</f>
        <v>0.90000000000000568</v>
      </c>
      <c r="G9">
        <f>D9-B9</f>
        <v>0.20000000000000284</v>
      </c>
      <c r="K9" s="11" t="s">
        <v>8</v>
      </c>
      <c r="L9" s="33">
        <f>'Data 2021-2022'!I35</f>
        <v>726.25</v>
      </c>
      <c r="M9" s="33">
        <f>'Data 2022-2023'!I35</f>
        <v>752.53125</v>
      </c>
      <c r="N9" s="33">
        <f>'Data 2023-2024'!I35</f>
        <v>760.625</v>
      </c>
    </row>
    <row r="10" spans="1:14">
      <c r="A10" t="s">
        <v>30</v>
      </c>
      <c r="B10">
        <v>78.599999999999994</v>
      </c>
      <c r="C10">
        <v>75.099999999999994</v>
      </c>
      <c r="D10">
        <v>76.3</v>
      </c>
      <c r="E10" s="8">
        <f>C10-B10</f>
        <v>-3.5</v>
      </c>
      <c r="F10">
        <f>D10-C10</f>
        <v>1.2000000000000028</v>
      </c>
      <c r="G10">
        <f>D10-B10</f>
        <v>-2.2999999999999972</v>
      </c>
      <c r="K10" s="11" t="s">
        <v>9</v>
      </c>
      <c r="L10" s="33">
        <f>'Data 2021-2022'!J35</f>
        <v>6.59375</v>
      </c>
      <c r="M10" s="33">
        <f>'Data 2022-2023'!J35</f>
        <v>7.8125</v>
      </c>
      <c r="N10" s="33">
        <f>'Data 2023-2024'!J35</f>
        <v>7.3125</v>
      </c>
    </row>
    <row r="11" spans="1:14">
      <c r="A11" t="s">
        <v>31</v>
      </c>
      <c r="B11">
        <v>79</v>
      </c>
      <c r="C11">
        <v>83.5</v>
      </c>
      <c r="D11">
        <v>82</v>
      </c>
      <c r="E11" s="8">
        <f>C11-B11</f>
        <v>4.5</v>
      </c>
      <c r="F11">
        <f>D11-C11</f>
        <v>-1.5</v>
      </c>
      <c r="G11">
        <f>D11-B11</f>
        <v>3</v>
      </c>
    </row>
    <row r="12" spans="1:14">
      <c r="A12" t="s">
        <v>32</v>
      </c>
      <c r="B12">
        <v>73.8</v>
      </c>
      <c r="C12">
        <v>78.3</v>
      </c>
      <c r="D12">
        <v>79.599999999999994</v>
      </c>
      <c r="E12" s="8">
        <f>C12-B12</f>
        <v>4.5</v>
      </c>
      <c r="F12">
        <f>D12-C12</f>
        <v>1.2999999999999972</v>
      </c>
      <c r="G12">
        <f>D12-B12</f>
        <v>5.7999999999999972</v>
      </c>
    </row>
    <row r="13" spans="1:14">
      <c r="A13" t="s">
        <v>33</v>
      </c>
      <c r="B13">
        <v>79.400000000000006</v>
      </c>
      <c r="C13">
        <v>77</v>
      </c>
      <c r="D13">
        <v>79.5</v>
      </c>
      <c r="E13" s="8">
        <f>C13-B13</f>
        <v>-2.4000000000000057</v>
      </c>
      <c r="F13">
        <f>D13-C13</f>
        <v>2.5</v>
      </c>
      <c r="G13">
        <f>D13-B13</f>
        <v>9.9999999999994316E-2</v>
      </c>
    </row>
    <row r="14" spans="1:14">
      <c r="A14" t="s">
        <v>34</v>
      </c>
      <c r="B14">
        <v>79.5</v>
      </c>
      <c r="C14">
        <v>76</v>
      </c>
      <c r="D14">
        <v>82.5</v>
      </c>
      <c r="E14" s="8">
        <f>C14-B14</f>
        <v>-3.5</v>
      </c>
      <c r="F14">
        <f>D14-C14</f>
        <v>6.5</v>
      </c>
      <c r="G14">
        <f>D14-B14</f>
        <v>3</v>
      </c>
    </row>
    <row r="15" spans="1:14">
      <c r="A15" t="s">
        <v>35</v>
      </c>
      <c r="B15">
        <v>76.7</v>
      </c>
      <c r="C15">
        <v>75.8</v>
      </c>
      <c r="D15">
        <v>84.6</v>
      </c>
      <c r="E15" s="8">
        <f>C15-B15</f>
        <v>-0.90000000000000568</v>
      </c>
      <c r="F15">
        <f>D15-C15</f>
        <v>8.7999999999999972</v>
      </c>
      <c r="G15">
        <f>D15-B15</f>
        <v>7.8999999999999915</v>
      </c>
    </row>
    <row r="16" spans="1:14">
      <c r="A16" t="s">
        <v>36</v>
      </c>
      <c r="B16">
        <v>76.099999999999994</v>
      </c>
      <c r="C16">
        <v>82</v>
      </c>
      <c r="D16">
        <v>74.5</v>
      </c>
      <c r="E16" s="8">
        <f>C16-B16</f>
        <v>5.9000000000000057</v>
      </c>
      <c r="F16">
        <f>D16-C16</f>
        <v>-7.5</v>
      </c>
      <c r="G16">
        <f>D16-B16</f>
        <v>-1.5999999999999943</v>
      </c>
    </row>
    <row r="17" spans="1:7">
      <c r="A17" t="s">
        <v>37</v>
      </c>
      <c r="B17">
        <v>75.599999999999994</v>
      </c>
      <c r="C17">
        <v>72.7</v>
      </c>
      <c r="D17">
        <v>76.5</v>
      </c>
      <c r="E17" s="8">
        <f>C17-B17</f>
        <v>-2.8999999999999915</v>
      </c>
      <c r="F17">
        <f>D17-C17</f>
        <v>3.7999999999999972</v>
      </c>
      <c r="G17">
        <f>D17-B17</f>
        <v>0.90000000000000568</v>
      </c>
    </row>
    <row r="18" spans="1:7">
      <c r="A18" t="s">
        <v>38</v>
      </c>
      <c r="B18">
        <v>79.2</v>
      </c>
      <c r="C18">
        <v>82.6</v>
      </c>
      <c r="D18">
        <v>76.900000000000006</v>
      </c>
      <c r="E18" s="8">
        <f>C18-B18</f>
        <v>3.3999999999999915</v>
      </c>
      <c r="F18">
        <f>D18-C18</f>
        <v>-5.6999999999999886</v>
      </c>
      <c r="G18">
        <f>D18-B18</f>
        <v>-2.2999999999999972</v>
      </c>
    </row>
    <row r="19" spans="1:7">
      <c r="A19" t="s">
        <v>39</v>
      </c>
      <c r="B19">
        <v>80.2</v>
      </c>
      <c r="C19">
        <v>82.6</v>
      </c>
      <c r="D19">
        <v>80.7</v>
      </c>
      <c r="E19" s="8">
        <f>C19-B19</f>
        <v>2.3999999999999915</v>
      </c>
      <c r="F19">
        <f>D19-C19</f>
        <v>-1.8999999999999915</v>
      </c>
      <c r="G19">
        <f>D19-B19</f>
        <v>0.5</v>
      </c>
    </row>
    <row r="20" spans="1:7">
      <c r="A20" t="s">
        <v>40</v>
      </c>
      <c r="B20">
        <v>84.2</v>
      </c>
      <c r="C20">
        <v>82.2</v>
      </c>
      <c r="D20">
        <v>71.5</v>
      </c>
      <c r="E20" s="8">
        <f>C20-B20</f>
        <v>-2</v>
      </c>
      <c r="F20">
        <f>D20-C20</f>
        <v>-10.700000000000003</v>
      </c>
      <c r="G20">
        <f>D20-B20</f>
        <v>-12.700000000000003</v>
      </c>
    </row>
    <row r="21" spans="1:7">
      <c r="A21" t="s">
        <v>41</v>
      </c>
      <c r="B21">
        <v>82.3</v>
      </c>
      <c r="C21">
        <v>81.2</v>
      </c>
      <c r="D21">
        <v>84.5</v>
      </c>
      <c r="E21" s="8">
        <f>C21-B21</f>
        <v>-1.0999999999999943</v>
      </c>
      <c r="F21">
        <f>D21-C21</f>
        <v>3.2999999999999972</v>
      </c>
      <c r="G21">
        <f>D21-B21</f>
        <v>2.2000000000000028</v>
      </c>
    </row>
    <row r="22" spans="1:7">
      <c r="A22" t="s">
        <v>42</v>
      </c>
      <c r="B22">
        <v>80.3</v>
      </c>
      <c r="C22">
        <v>80.099999999999994</v>
      </c>
      <c r="D22">
        <v>75.099999999999994</v>
      </c>
      <c r="E22" s="8">
        <f>C22-B22</f>
        <v>-0.20000000000000284</v>
      </c>
      <c r="F22">
        <f>D22-C22</f>
        <v>-5</v>
      </c>
      <c r="G22">
        <f>D22-B22</f>
        <v>-5.2000000000000028</v>
      </c>
    </row>
    <row r="23" spans="1:7">
      <c r="A23" t="s">
        <v>43</v>
      </c>
      <c r="B23">
        <v>75.7</v>
      </c>
      <c r="C23">
        <v>74.7</v>
      </c>
      <c r="D23">
        <v>83.4</v>
      </c>
      <c r="E23" s="8">
        <f>C23-B23</f>
        <v>-1</v>
      </c>
      <c r="F23">
        <f>D23-C23</f>
        <v>8.7000000000000028</v>
      </c>
      <c r="G23">
        <f>D23-B23</f>
        <v>7.7000000000000028</v>
      </c>
    </row>
    <row r="24" spans="1:7">
      <c r="A24" t="s">
        <v>44</v>
      </c>
      <c r="B24">
        <v>84.4</v>
      </c>
      <c r="C24">
        <v>79.099999999999994</v>
      </c>
      <c r="D24">
        <v>80.7</v>
      </c>
      <c r="E24" s="8">
        <f>C24-B24</f>
        <v>-5.3000000000000114</v>
      </c>
      <c r="F24">
        <f>D24-C24</f>
        <v>1.6000000000000085</v>
      </c>
      <c r="G24">
        <f>D24-B24</f>
        <v>-3.7000000000000028</v>
      </c>
    </row>
    <row r="25" spans="1:7">
      <c r="A25" t="s">
        <v>45</v>
      </c>
      <c r="B25">
        <v>85.2</v>
      </c>
      <c r="C25">
        <v>82.4</v>
      </c>
      <c r="D25">
        <v>75.400000000000006</v>
      </c>
      <c r="E25" s="8">
        <f>C25-B25</f>
        <v>-2.7999999999999972</v>
      </c>
      <c r="F25">
        <f>D25-C25</f>
        <v>-7</v>
      </c>
      <c r="G25">
        <f>D25-B25</f>
        <v>-9.7999999999999972</v>
      </c>
    </row>
    <row r="26" spans="1:7">
      <c r="A26" t="s">
        <v>46</v>
      </c>
      <c r="B26">
        <v>74.900000000000006</v>
      </c>
      <c r="C26">
        <v>76.7</v>
      </c>
      <c r="D26">
        <v>78.8</v>
      </c>
      <c r="E26" s="8">
        <f>C26-B26</f>
        <v>1.7999999999999972</v>
      </c>
      <c r="F26">
        <f>D26-C26</f>
        <v>2.0999999999999943</v>
      </c>
      <c r="G26">
        <f>D26-B26</f>
        <v>3.8999999999999915</v>
      </c>
    </row>
    <row r="27" spans="1:7">
      <c r="A27" t="s">
        <v>47</v>
      </c>
      <c r="B27">
        <v>84.1</v>
      </c>
      <c r="C27">
        <v>72.400000000000006</v>
      </c>
      <c r="D27">
        <v>79.099999999999994</v>
      </c>
      <c r="E27" s="8">
        <f>C27-B27</f>
        <v>-11.699999999999989</v>
      </c>
      <c r="F27">
        <f>D27-C27</f>
        <v>6.6999999999999886</v>
      </c>
      <c r="G27">
        <f>D27-B27</f>
        <v>-5</v>
      </c>
    </row>
    <row r="28" spans="1:7">
      <c r="A28" t="s">
        <v>48</v>
      </c>
      <c r="B28">
        <v>80.599999999999994</v>
      </c>
      <c r="C28">
        <v>79.7</v>
      </c>
      <c r="D28">
        <v>83.3</v>
      </c>
      <c r="E28" s="8">
        <f>C28-B28</f>
        <v>-0.89999999999999147</v>
      </c>
      <c r="F28">
        <f>D28-C28</f>
        <v>3.5999999999999943</v>
      </c>
      <c r="G28">
        <f>D28-B28</f>
        <v>2.7000000000000028</v>
      </c>
    </row>
    <row r="29" spans="1:7">
      <c r="A29" t="s">
        <v>49</v>
      </c>
      <c r="B29">
        <v>82.1</v>
      </c>
      <c r="C29">
        <v>81.900000000000006</v>
      </c>
      <c r="D29">
        <v>76.900000000000006</v>
      </c>
      <c r="E29" s="8">
        <f>C29-B29</f>
        <v>-0.19999999999998863</v>
      </c>
      <c r="F29">
        <f>D29-C29</f>
        <v>-5</v>
      </c>
      <c r="G29">
        <f>D29-B29</f>
        <v>-5.1999999999999886</v>
      </c>
    </row>
    <row r="30" spans="1:7">
      <c r="A30" t="s">
        <v>50</v>
      </c>
      <c r="B30">
        <v>74.900000000000006</v>
      </c>
      <c r="C30">
        <v>71.599999999999994</v>
      </c>
      <c r="D30">
        <v>79.099999999999994</v>
      </c>
      <c r="E30" s="8">
        <f>C30-B30</f>
        <v>-3.3000000000000114</v>
      </c>
      <c r="F30">
        <f>D30-C30</f>
        <v>7.5</v>
      </c>
      <c r="G30">
        <f>D30-B30</f>
        <v>4.1999999999999886</v>
      </c>
    </row>
    <row r="31" spans="1:7">
      <c r="A31" t="s">
        <v>51</v>
      </c>
      <c r="B31">
        <v>77.400000000000006</v>
      </c>
      <c r="C31">
        <v>77.400000000000006</v>
      </c>
      <c r="D31">
        <v>79.3</v>
      </c>
      <c r="E31" s="8">
        <f>C31-B31</f>
        <v>0</v>
      </c>
      <c r="F31">
        <f>D31-C31</f>
        <v>1.8999999999999915</v>
      </c>
      <c r="G31">
        <f>D31-B31</f>
        <v>1.8999999999999915</v>
      </c>
    </row>
    <row r="32" spans="1:7">
      <c r="A32" t="s">
        <v>52</v>
      </c>
      <c r="B32">
        <v>80.400000000000006</v>
      </c>
      <c r="C32">
        <v>81.900000000000006</v>
      </c>
      <c r="D32">
        <v>79</v>
      </c>
      <c r="E32" s="8">
        <f>C32-B32</f>
        <v>1.5</v>
      </c>
      <c r="F32">
        <f>D32-C32</f>
        <v>-2.9000000000000057</v>
      </c>
      <c r="G32">
        <f>D32-B32</f>
        <v>-1.4000000000000057</v>
      </c>
    </row>
    <row r="33" spans="1:7">
      <c r="A33" t="s">
        <v>53</v>
      </c>
      <c r="B33">
        <v>75</v>
      </c>
      <c r="C33">
        <v>82.4</v>
      </c>
      <c r="D33">
        <v>77.099999999999994</v>
      </c>
      <c r="E33" s="8">
        <f>C33-B33</f>
        <v>7.4000000000000057</v>
      </c>
      <c r="F33">
        <f>D33-C33</f>
        <v>-5.3000000000000114</v>
      </c>
      <c r="G33">
        <f>D33-B33</f>
        <v>2.0999999999999943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40CD-CA7D-410A-B9B6-2A3ADA75AFD3}">
  <dimension ref="A1:J97"/>
  <sheetViews>
    <sheetView workbookViewId="0">
      <selection activeCell="J1" sqref="J1:J1048576"/>
    </sheetView>
  </sheetViews>
  <sheetFormatPr defaultRowHeight="15"/>
  <cols>
    <col min="1" max="1" width="9.140625" style="9"/>
    <col min="3" max="4" width="9.42578125" bestFit="1" customWidth="1"/>
    <col min="5" max="5" width="16" bestFit="1" customWidth="1"/>
    <col min="6" max="6" width="12.7109375" bestFit="1" customWidth="1"/>
    <col min="9" max="9" width="25.140625" bestFit="1" customWidth="1"/>
    <col min="10" max="10" width="15" customWidth="1"/>
  </cols>
  <sheetData>
    <row r="1" spans="1:10">
      <c r="A1" s="12" t="s">
        <v>75</v>
      </c>
      <c r="B1" s="1" t="s">
        <v>76</v>
      </c>
      <c r="C1" s="30" t="s">
        <v>77</v>
      </c>
      <c r="D1" s="1" t="s">
        <v>78</v>
      </c>
      <c r="E1" s="1" t="s">
        <v>79</v>
      </c>
      <c r="F1" s="1" t="s">
        <v>80</v>
      </c>
      <c r="G1" s="1"/>
    </row>
    <row r="2" spans="1:10">
      <c r="A2" s="13">
        <v>72.099999999999994</v>
      </c>
      <c r="B2">
        <v>0.89900000000000002</v>
      </c>
      <c r="C2">
        <f>_xlfn.RANK.AVG(A2,$A$2:$A$97)</f>
        <v>94</v>
      </c>
      <c r="D2">
        <f>_xlfn.RANK.AVG(B2,$B$2:$B$97)</f>
        <v>69</v>
      </c>
      <c r="E2">
        <f>C2-D2</f>
        <v>25</v>
      </c>
      <c r="F2">
        <f>E2^2</f>
        <v>625</v>
      </c>
    </row>
    <row r="3" spans="1:10">
      <c r="A3" s="13">
        <v>80.8</v>
      </c>
      <c r="B3">
        <v>0.90700000000000003</v>
      </c>
      <c r="C3">
        <f t="shared" ref="C3:C66" si="0">_xlfn.RANK.AVG(A3,$A$2:$A$97)</f>
        <v>31.5</v>
      </c>
      <c r="D3">
        <f t="shared" ref="D3:D66" si="1">_xlfn.RANK.AVG(B3,$B$2:$B$97)</f>
        <v>41.5</v>
      </c>
      <c r="E3">
        <f>C3-D3</f>
        <v>-10</v>
      </c>
      <c r="F3">
        <f>E3^2</f>
        <v>100</v>
      </c>
    </row>
    <row r="4" spans="1:10">
      <c r="A4" s="13">
        <v>72.400000000000006</v>
      </c>
      <c r="B4">
        <v>0.89400000000000002</v>
      </c>
      <c r="C4">
        <f t="shared" si="0"/>
        <v>92.5</v>
      </c>
      <c r="D4">
        <f t="shared" si="1"/>
        <v>84</v>
      </c>
      <c r="E4">
        <f>C4-D4</f>
        <v>8.5</v>
      </c>
      <c r="F4">
        <f>E4^2</f>
        <v>72.25</v>
      </c>
    </row>
    <row r="5" spans="1:10">
      <c r="A5" s="13">
        <v>75</v>
      </c>
      <c r="B5">
        <v>0.89700000000000002</v>
      </c>
      <c r="C5">
        <f t="shared" si="0"/>
        <v>82.5</v>
      </c>
      <c r="D5">
        <f t="shared" si="1"/>
        <v>75</v>
      </c>
      <c r="E5">
        <f>C5-D5</f>
        <v>7.5</v>
      </c>
      <c r="F5">
        <f>E5^2</f>
        <v>56.25</v>
      </c>
      <c r="I5" s="36" t="s">
        <v>81</v>
      </c>
      <c r="J5" s="36"/>
    </row>
    <row r="6" spans="1:10">
      <c r="A6" s="13">
        <v>74.599999999999994</v>
      </c>
      <c r="B6">
        <v>0.9</v>
      </c>
      <c r="C6">
        <f t="shared" si="0"/>
        <v>87</v>
      </c>
      <c r="D6">
        <f t="shared" si="1"/>
        <v>65.5</v>
      </c>
      <c r="E6">
        <f>C6-D6</f>
        <v>21.5</v>
      </c>
      <c r="F6">
        <f>E6^2</f>
        <v>462.25</v>
      </c>
      <c r="I6" s="2" t="s">
        <v>82</v>
      </c>
      <c r="J6" s="2">
        <f>ROWS(Table1[])</f>
        <v>96</v>
      </c>
    </row>
    <row r="7" spans="1:10">
      <c r="A7" s="13">
        <v>76.3</v>
      </c>
      <c r="B7">
        <v>0.90100000000000002</v>
      </c>
      <c r="C7">
        <f t="shared" si="0"/>
        <v>69.5</v>
      </c>
      <c r="D7">
        <f t="shared" si="1"/>
        <v>62.5</v>
      </c>
      <c r="E7">
        <f>C7-D7</f>
        <v>7</v>
      </c>
      <c r="F7">
        <f>E7^2</f>
        <v>49</v>
      </c>
      <c r="I7" s="31" t="s">
        <v>83</v>
      </c>
      <c r="J7" s="31">
        <f>SUM(F2:F97)</f>
        <v>72334.5</v>
      </c>
    </row>
    <row r="8" spans="1:10">
      <c r="A8" s="13">
        <v>81.3</v>
      </c>
      <c r="B8">
        <v>0.91300000000000003</v>
      </c>
      <c r="C8">
        <f t="shared" si="0"/>
        <v>29</v>
      </c>
      <c r="D8">
        <f t="shared" si="1"/>
        <v>20.5</v>
      </c>
      <c r="E8">
        <f>C8-D8</f>
        <v>8.5</v>
      </c>
      <c r="F8">
        <f>E8^2</f>
        <v>72.25</v>
      </c>
      <c r="I8" s="2" t="s">
        <v>84</v>
      </c>
      <c r="J8" s="2">
        <f>6*J7</f>
        <v>434007</v>
      </c>
    </row>
    <row r="9" spans="1:10">
      <c r="A9" s="13">
        <v>82.5</v>
      </c>
      <c r="B9">
        <v>0.91500000000000004</v>
      </c>
      <c r="C9">
        <f t="shared" si="0"/>
        <v>18.5</v>
      </c>
      <c r="D9">
        <f t="shared" si="1"/>
        <v>17</v>
      </c>
      <c r="E9">
        <f>C9-D9</f>
        <v>1.5</v>
      </c>
      <c r="F9">
        <f>E9^2</f>
        <v>2.25</v>
      </c>
      <c r="I9" s="31" t="s">
        <v>85</v>
      </c>
      <c r="J9" s="31">
        <f>J6*((J6^2)-1)</f>
        <v>884640</v>
      </c>
    </row>
    <row r="10" spans="1:10">
      <c r="A10" s="13">
        <v>87.3</v>
      </c>
      <c r="B10">
        <v>0.93100000000000005</v>
      </c>
      <c r="C10">
        <f t="shared" si="0"/>
        <v>2</v>
      </c>
      <c r="D10">
        <f t="shared" si="1"/>
        <v>1</v>
      </c>
      <c r="E10">
        <f>C10-D10</f>
        <v>1</v>
      </c>
      <c r="F10">
        <f>E10^2</f>
        <v>1</v>
      </c>
      <c r="I10" s="2" t="s">
        <v>86</v>
      </c>
      <c r="J10" s="11">
        <f>1-(J8/J9)</f>
        <v>0.50939704286489418</v>
      </c>
    </row>
    <row r="11" spans="1:10">
      <c r="A11" s="13">
        <v>76.400000000000006</v>
      </c>
      <c r="B11">
        <v>0.89900000000000002</v>
      </c>
      <c r="C11">
        <f t="shared" si="0"/>
        <v>68</v>
      </c>
      <c r="D11">
        <f t="shared" si="1"/>
        <v>69</v>
      </c>
      <c r="E11">
        <f>C11-D11</f>
        <v>-1</v>
      </c>
      <c r="F11">
        <f>E11^2</f>
        <v>1</v>
      </c>
    </row>
    <row r="12" spans="1:10">
      <c r="A12" s="13">
        <v>79.8</v>
      </c>
      <c r="B12">
        <v>0.90300000000000002</v>
      </c>
      <c r="C12">
        <f t="shared" si="0"/>
        <v>41</v>
      </c>
      <c r="D12">
        <f t="shared" si="1"/>
        <v>54.5</v>
      </c>
      <c r="E12">
        <f>C12-D12</f>
        <v>-13.5</v>
      </c>
      <c r="F12">
        <f>E12^2</f>
        <v>182.25</v>
      </c>
    </row>
    <row r="13" spans="1:10">
      <c r="A13" s="13">
        <v>73</v>
      </c>
      <c r="B13">
        <v>0.89600000000000002</v>
      </c>
      <c r="C13">
        <f t="shared" si="0"/>
        <v>90</v>
      </c>
      <c r="D13">
        <f t="shared" si="1"/>
        <v>79</v>
      </c>
      <c r="E13">
        <f>C13-D13</f>
        <v>11</v>
      </c>
      <c r="F13">
        <f>E13^2</f>
        <v>121</v>
      </c>
    </row>
    <row r="14" spans="1:10">
      <c r="A14" s="13">
        <v>83.2</v>
      </c>
      <c r="B14">
        <v>0.91800000000000004</v>
      </c>
      <c r="C14">
        <f t="shared" si="0"/>
        <v>14</v>
      </c>
      <c r="D14">
        <f t="shared" si="1"/>
        <v>9</v>
      </c>
      <c r="E14">
        <f>C14-D14</f>
        <v>5</v>
      </c>
      <c r="F14">
        <f>E14^2</f>
        <v>25</v>
      </c>
    </row>
    <row r="15" spans="1:10">
      <c r="A15" s="13">
        <v>82.6</v>
      </c>
      <c r="B15">
        <v>0.89300000000000002</v>
      </c>
      <c r="C15">
        <f t="shared" si="0"/>
        <v>16</v>
      </c>
      <c r="D15">
        <f t="shared" si="1"/>
        <v>86</v>
      </c>
      <c r="E15">
        <f>C15-D15</f>
        <v>-70</v>
      </c>
      <c r="F15">
        <f>E15^2</f>
        <v>4900</v>
      </c>
    </row>
    <row r="16" spans="1:10">
      <c r="A16" s="13">
        <v>80.8</v>
      </c>
      <c r="B16">
        <v>0.89700000000000002</v>
      </c>
      <c r="C16">
        <f t="shared" si="0"/>
        <v>31.5</v>
      </c>
      <c r="D16">
        <f t="shared" si="1"/>
        <v>75</v>
      </c>
      <c r="E16">
        <f>C16-D16</f>
        <v>-43.5</v>
      </c>
      <c r="F16">
        <f>E16^2</f>
        <v>1892.25</v>
      </c>
    </row>
    <row r="17" spans="1:6">
      <c r="A17" s="13">
        <v>88</v>
      </c>
      <c r="B17">
        <v>0.91600000000000004</v>
      </c>
      <c r="C17">
        <f t="shared" si="0"/>
        <v>1</v>
      </c>
      <c r="D17">
        <f t="shared" si="1"/>
        <v>13.5</v>
      </c>
      <c r="E17">
        <f>C17-D17</f>
        <v>-12.5</v>
      </c>
      <c r="F17">
        <f>E17^2</f>
        <v>156.25</v>
      </c>
    </row>
    <row r="18" spans="1:6">
      <c r="A18" s="13">
        <v>86.4</v>
      </c>
      <c r="B18">
        <v>0.90500000000000003</v>
      </c>
      <c r="C18">
        <f t="shared" si="0"/>
        <v>3</v>
      </c>
      <c r="D18">
        <f t="shared" si="1"/>
        <v>47</v>
      </c>
      <c r="E18">
        <f>C18-D18</f>
        <v>-44</v>
      </c>
      <c r="F18">
        <f>E18^2</f>
        <v>1936</v>
      </c>
    </row>
    <row r="19" spans="1:6">
      <c r="A19" s="13">
        <v>84.4</v>
      </c>
      <c r="B19">
        <v>0.90700000000000003</v>
      </c>
      <c r="C19">
        <f t="shared" si="0"/>
        <v>7.5</v>
      </c>
      <c r="D19">
        <f t="shared" si="1"/>
        <v>41.5</v>
      </c>
      <c r="E19">
        <f>C19-D19</f>
        <v>-34</v>
      </c>
      <c r="F19">
        <f>E19^2</f>
        <v>1156</v>
      </c>
    </row>
    <row r="20" spans="1:6">
      <c r="A20" s="13">
        <v>76.2</v>
      </c>
      <c r="B20">
        <v>0.89900000000000002</v>
      </c>
      <c r="C20">
        <f t="shared" si="0"/>
        <v>71.5</v>
      </c>
      <c r="D20">
        <f t="shared" si="1"/>
        <v>69</v>
      </c>
      <c r="E20">
        <f>C20-D20</f>
        <v>2.5</v>
      </c>
      <c r="F20">
        <f>E20^2</f>
        <v>6.25</v>
      </c>
    </row>
    <row r="21" spans="1:6">
      <c r="A21" s="13">
        <v>75.8</v>
      </c>
      <c r="B21">
        <v>0.89700000000000002</v>
      </c>
      <c r="C21">
        <f t="shared" si="0"/>
        <v>75.5</v>
      </c>
      <c r="D21">
        <f t="shared" si="1"/>
        <v>75</v>
      </c>
      <c r="E21">
        <f>C21-D21</f>
        <v>0.5</v>
      </c>
      <c r="F21">
        <f>E21^2</f>
        <v>0.25</v>
      </c>
    </row>
    <row r="22" spans="1:6">
      <c r="A22" s="13">
        <v>76.2</v>
      </c>
      <c r="B22">
        <v>0.89800000000000002</v>
      </c>
      <c r="C22">
        <f t="shared" si="0"/>
        <v>71.5</v>
      </c>
      <c r="D22">
        <f t="shared" si="1"/>
        <v>71.5</v>
      </c>
      <c r="E22">
        <f>C22-D22</f>
        <v>0</v>
      </c>
      <c r="F22">
        <f>E22^2</f>
        <v>0</v>
      </c>
    </row>
    <row r="23" spans="1:6">
      <c r="A23" s="13">
        <v>79</v>
      </c>
      <c r="B23">
        <v>0.91700000000000004</v>
      </c>
      <c r="C23">
        <f t="shared" si="0"/>
        <v>54</v>
      </c>
      <c r="D23">
        <f t="shared" si="1"/>
        <v>11</v>
      </c>
      <c r="E23">
        <f>C23-D23</f>
        <v>43</v>
      </c>
      <c r="F23">
        <f>E23^2</f>
        <v>1849</v>
      </c>
    </row>
    <row r="24" spans="1:6">
      <c r="A24" s="13">
        <v>79.7</v>
      </c>
      <c r="B24">
        <v>0.91600000000000004</v>
      </c>
      <c r="C24">
        <f t="shared" si="0"/>
        <v>42.5</v>
      </c>
      <c r="D24">
        <f t="shared" si="1"/>
        <v>13.5</v>
      </c>
      <c r="E24">
        <f>C24-D24</f>
        <v>29</v>
      </c>
      <c r="F24">
        <f>E24^2</f>
        <v>841</v>
      </c>
    </row>
    <row r="25" spans="1:6">
      <c r="A25" s="13">
        <v>79.900000000000006</v>
      </c>
      <c r="B25">
        <v>0.90200000000000002</v>
      </c>
      <c r="C25">
        <f t="shared" si="0"/>
        <v>40</v>
      </c>
      <c r="D25">
        <f t="shared" si="1"/>
        <v>59.5</v>
      </c>
      <c r="E25">
        <f>C25-D25</f>
        <v>-19.5</v>
      </c>
      <c r="F25">
        <f>E25^2</f>
        <v>380.25</v>
      </c>
    </row>
    <row r="26" spans="1:6">
      <c r="A26" s="13">
        <v>76.3</v>
      </c>
      <c r="B26">
        <v>0.9</v>
      </c>
      <c r="C26">
        <f t="shared" si="0"/>
        <v>69.5</v>
      </c>
      <c r="D26">
        <f t="shared" si="1"/>
        <v>65.5</v>
      </c>
      <c r="E26">
        <f>C26-D26</f>
        <v>4</v>
      </c>
      <c r="F26">
        <f>E26^2</f>
        <v>16</v>
      </c>
    </row>
    <row r="27" spans="1:6">
      <c r="A27" s="13">
        <v>75.099999999999994</v>
      </c>
      <c r="B27">
        <v>0.89100000000000001</v>
      </c>
      <c r="C27">
        <f t="shared" si="0"/>
        <v>80.5</v>
      </c>
      <c r="D27">
        <f t="shared" si="1"/>
        <v>89</v>
      </c>
      <c r="E27">
        <f>C27-D27</f>
        <v>-8.5</v>
      </c>
      <c r="F27">
        <f>E27^2</f>
        <v>72.25</v>
      </c>
    </row>
    <row r="28" spans="1:6">
      <c r="A28" s="13">
        <v>78.599999999999994</v>
      </c>
      <c r="B28">
        <v>0.90100000000000002</v>
      </c>
      <c r="C28">
        <f t="shared" si="0"/>
        <v>57</v>
      </c>
      <c r="D28">
        <f t="shared" si="1"/>
        <v>62.5</v>
      </c>
      <c r="E28">
        <f>C28-D28</f>
        <v>-5.5</v>
      </c>
      <c r="F28">
        <f>E28^2</f>
        <v>30.25</v>
      </c>
    </row>
    <row r="29" spans="1:6">
      <c r="A29" s="13">
        <v>79</v>
      </c>
      <c r="B29">
        <v>0.91100000000000003</v>
      </c>
      <c r="C29">
        <f t="shared" si="0"/>
        <v>54</v>
      </c>
      <c r="D29">
        <f t="shared" si="1"/>
        <v>29.5</v>
      </c>
      <c r="E29">
        <f>C29-D29</f>
        <v>24.5</v>
      </c>
      <c r="F29">
        <f>E29^2</f>
        <v>600.25</v>
      </c>
    </row>
    <row r="30" spans="1:6">
      <c r="A30" s="13">
        <v>83.5</v>
      </c>
      <c r="B30">
        <v>0.91600000000000004</v>
      </c>
      <c r="C30">
        <f t="shared" si="0"/>
        <v>11</v>
      </c>
      <c r="D30">
        <f t="shared" si="1"/>
        <v>13.5</v>
      </c>
      <c r="E30">
        <f>C30-D30</f>
        <v>-2.5</v>
      </c>
      <c r="F30">
        <f>E30^2</f>
        <v>6.25</v>
      </c>
    </row>
    <row r="31" spans="1:6">
      <c r="A31" s="13">
        <v>82</v>
      </c>
      <c r="B31">
        <v>0.90400000000000003</v>
      </c>
      <c r="C31">
        <f t="shared" si="0"/>
        <v>25.5</v>
      </c>
      <c r="D31">
        <f t="shared" si="1"/>
        <v>50</v>
      </c>
      <c r="E31">
        <f>C31-D31</f>
        <v>-24.5</v>
      </c>
      <c r="F31">
        <f>E31^2</f>
        <v>600.25</v>
      </c>
    </row>
    <row r="32" spans="1:6">
      <c r="A32" s="13">
        <v>73.8</v>
      </c>
      <c r="B32">
        <v>0.89700000000000002</v>
      </c>
      <c r="C32">
        <f t="shared" si="0"/>
        <v>89</v>
      </c>
      <c r="D32">
        <f t="shared" si="1"/>
        <v>75</v>
      </c>
      <c r="E32">
        <f>C32-D32</f>
        <v>14</v>
      </c>
      <c r="F32">
        <f>E32^2</f>
        <v>196</v>
      </c>
    </row>
    <row r="33" spans="1:6">
      <c r="A33" s="13">
        <v>78.3</v>
      </c>
      <c r="B33">
        <v>0.89400000000000002</v>
      </c>
      <c r="C33">
        <f t="shared" si="0"/>
        <v>58</v>
      </c>
      <c r="D33">
        <f t="shared" si="1"/>
        <v>84</v>
      </c>
      <c r="E33">
        <f>C33-D33</f>
        <v>-26</v>
      </c>
      <c r="F33">
        <f>E33^2</f>
        <v>676</v>
      </c>
    </row>
    <row r="34" spans="1:6">
      <c r="A34" s="13">
        <v>79.599999999999994</v>
      </c>
      <c r="B34">
        <v>0.90200000000000002</v>
      </c>
      <c r="C34">
        <f t="shared" si="0"/>
        <v>44</v>
      </c>
      <c r="D34">
        <f t="shared" si="1"/>
        <v>59.5</v>
      </c>
      <c r="E34">
        <f t="shared" ref="E34:E97" si="2">C34-D34</f>
        <v>-15.5</v>
      </c>
      <c r="F34">
        <f t="shared" ref="F34:F97" si="3">E34^2</f>
        <v>240.25</v>
      </c>
    </row>
    <row r="35" spans="1:6">
      <c r="A35" s="13">
        <v>79.5</v>
      </c>
      <c r="B35">
        <v>0.90400000000000003</v>
      </c>
      <c r="C35">
        <f t="shared" si="0"/>
        <v>45.5</v>
      </c>
      <c r="D35">
        <f t="shared" si="1"/>
        <v>50</v>
      </c>
      <c r="E35">
        <f t="shared" si="2"/>
        <v>-4.5</v>
      </c>
      <c r="F35">
        <f t="shared" si="3"/>
        <v>20.25</v>
      </c>
    </row>
    <row r="36" spans="1:6">
      <c r="A36" s="13">
        <v>79.400000000000006</v>
      </c>
      <c r="B36">
        <v>0.90800000000000003</v>
      </c>
      <c r="C36">
        <f t="shared" si="0"/>
        <v>47</v>
      </c>
      <c r="D36">
        <f t="shared" si="1"/>
        <v>37</v>
      </c>
      <c r="E36">
        <f t="shared" si="2"/>
        <v>10</v>
      </c>
      <c r="F36">
        <f t="shared" si="3"/>
        <v>100</v>
      </c>
    </row>
    <row r="37" spans="1:6">
      <c r="A37" s="13">
        <v>77</v>
      </c>
      <c r="B37">
        <v>0.90300000000000002</v>
      </c>
      <c r="C37">
        <f t="shared" si="0"/>
        <v>62</v>
      </c>
      <c r="D37">
        <f t="shared" si="1"/>
        <v>54.5</v>
      </c>
      <c r="E37">
        <f t="shared" si="2"/>
        <v>7.5</v>
      </c>
      <c r="F37">
        <f t="shared" si="3"/>
        <v>56.25</v>
      </c>
    </row>
    <row r="38" spans="1:6">
      <c r="A38" s="13">
        <v>76</v>
      </c>
      <c r="B38">
        <v>0.90300000000000002</v>
      </c>
      <c r="C38">
        <f t="shared" si="0"/>
        <v>74</v>
      </c>
      <c r="D38">
        <f t="shared" si="1"/>
        <v>54.5</v>
      </c>
      <c r="E38">
        <f t="shared" si="2"/>
        <v>19.5</v>
      </c>
      <c r="F38">
        <f t="shared" si="3"/>
        <v>380.25</v>
      </c>
    </row>
    <row r="39" spans="1:6">
      <c r="A39" s="13">
        <v>82.5</v>
      </c>
      <c r="B39">
        <v>0.91800000000000004</v>
      </c>
      <c r="C39">
        <f t="shared" si="0"/>
        <v>18.5</v>
      </c>
      <c r="D39">
        <f t="shared" si="1"/>
        <v>9</v>
      </c>
      <c r="E39">
        <f t="shared" si="2"/>
        <v>9.5</v>
      </c>
      <c r="F39">
        <f t="shared" si="3"/>
        <v>90.25</v>
      </c>
    </row>
    <row r="40" spans="1:6">
      <c r="A40" s="13">
        <v>79.5</v>
      </c>
      <c r="B40">
        <v>0.90700000000000003</v>
      </c>
      <c r="C40">
        <f t="shared" si="0"/>
        <v>45.5</v>
      </c>
      <c r="D40">
        <f t="shared" si="1"/>
        <v>41.5</v>
      </c>
      <c r="E40">
        <f t="shared" si="2"/>
        <v>4</v>
      </c>
      <c r="F40">
        <f t="shared" si="3"/>
        <v>16</v>
      </c>
    </row>
    <row r="41" spans="1:6">
      <c r="A41" s="13">
        <v>75.8</v>
      </c>
      <c r="B41">
        <v>0.89200000000000002</v>
      </c>
      <c r="C41">
        <f t="shared" si="0"/>
        <v>75.5</v>
      </c>
      <c r="D41">
        <f t="shared" si="1"/>
        <v>87.5</v>
      </c>
      <c r="E41">
        <f t="shared" si="2"/>
        <v>-12</v>
      </c>
      <c r="F41">
        <f t="shared" si="3"/>
        <v>144</v>
      </c>
    </row>
    <row r="42" spans="1:6">
      <c r="A42" s="13">
        <v>84.6</v>
      </c>
      <c r="B42">
        <v>0.91200000000000003</v>
      </c>
      <c r="C42">
        <f t="shared" si="0"/>
        <v>5</v>
      </c>
      <c r="D42">
        <f t="shared" si="1"/>
        <v>25</v>
      </c>
      <c r="E42">
        <f t="shared" si="2"/>
        <v>-20</v>
      </c>
      <c r="F42">
        <f t="shared" si="3"/>
        <v>400</v>
      </c>
    </row>
    <row r="43" spans="1:6">
      <c r="A43" s="13">
        <v>76.7</v>
      </c>
      <c r="B43">
        <v>0.90500000000000003</v>
      </c>
      <c r="C43">
        <f t="shared" si="0"/>
        <v>65.5</v>
      </c>
      <c r="D43">
        <f t="shared" si="1"/>
        <v>47</v>
      </c>
      <c r="E43">
        <f t="shared" si="2"/>
        <v>18.5</v>
      </c>
      <c r="F43">
        <f t="shared" si="3"/>
        <v>342.25</v>
      </c>
    </row>
    <row r="44" spans="1:6">
      <c r="A44" s="13">
        <v>76.099999999999994</v>
      </c>
      <c r="B44">
        <v>0.91100000000000003</v>
      </c>
      <c r="C44">
        <f t="shared" si="0"/>
        <v>73</v>
      </c>
      <c r="D44">
        <f t="shared" si="1"/>
        <v>29.5</v>
      </c>
      <c r="E44">
        <f t="shared" si="2"/>
        <v>43.5</v>
      </c>
      <c r="F44">
        <f t="shared" si="3"/>
        <v>1892.25</v>
      </c>
    </row>
    <row r="45" spans="1:6">
      <c r="A45" s="13">
        <v>74.5</v>
      </c>
      <c r="B45">
        <v>0.89700000000000002</v>
      </c>
      <c r="C45">
        <f t="shared" si="0"/>
        <v>88</v>
      </c>
      <c r="D45">
        <f t="shared" si="1"/>
        <v>75</v>
      </c>
      <c r="E45">
        <f t="shared" si="2"/>
        <v>13</v>
      </c>
      <c r="F45">
        <f t="shared" si="3"/>
        <v>169</v>
      </c>
    </row>
    <row r="46" spans="1:6">
      <c r="A46" s="13">
        <v>82</v>
      </c>
      <c r="B46">
        <v>0.91900000000000004</v>
      </c>
      <c r="C46">
        <f t="shared" si="0"/>
        <v>25.5</v>
      </c>
      <c r="D46">
        <f t="shared" si="1"/>
        <v>6.5</v>
      </c>
      <c r="E46">
        <f t="shared" si="2"/>
        <v>19</v>
      </c>
      <c r="F46">
        <f t="shared" si="3"/>
        <v>361</v>
      </c>
    </row>
    <row r="47" spans="1:6">
      <c r="A47" s="13">
        <v>75.599999999999994</v>
      </c>
      <c r="B47">
        <v>0.89400000000000002</v>
      </c>
      <c r="C47">
        <f t="shared" si="0"/>
        <v>78</v>
      </c>
      <c r="D47">
        <f t="shared" si="1"/>
        <v>84</v>
      </c>
      <c r="E47">
        <f t="shared" si="2"/>
        <v>-6</v>
      </c>
      <c r="F47">
        <f t="shared" si="3"/>
        <v>36</v>
      </c>
    </row>
    <row r="48" spans="1:6">
      <c r="A48" s="13">
        <v>76.5</v>
      </c>
      <c r="B48">
        <v>0.90200000000000002</v>
      </c>
      <c r="C48">
        <f t="shared" si="0"/>
        <v>67</v>
      </c>
      <c r="D48">
        <f t="shared" si="1"/>
        <v>59.5</v>
      </c>
      <c r="E48">
        <f t="shared" si="2"/>
        <v>7.5</v>
      </c>
      <c r="F48">
        <f t="shared" si="3"/>
        <v>56.25</v>
      </c>
    </row>
    <row r="49" spans="1:6">
      <c r="A49" s="13">
        <v>72.7</v>
      </c>
      <c r="B49">
        <v>0.89500000000000002</v>
      </c>
      <c r="C49">
        <f t="shared" si="0"/>
        <v>91</v>
      </c>
      <c r="D49">
        <f t="shared" si="1"/>
        <v>81.5</v>
      </c>
      <c r="E49">
        <f t="shared" si="2"/>
        <v>9.5</v>
      </c>
      <c r="F49">
        <f t="shared" si="3"/>
        <v>90.25</v>
      </c>
    </row>
    <row r="50" spans="1:6">
      <c r="A50" s="13">
        <v>79.2</v>
      </c>
      <c r="B50">
        <v>0.91100000000000003</v>
      </c>
      <c r="C50">
        <f t="shared" si="0"/>
        <v>49</v>
      </c>
      <c r="D50">
        <f t="shared" si="1"/>
        <v>29.5</v>
      </c>
      <c r="E50">
        <f t="shared" si="2"/>
        <v>19.5</v>
      </c>
      <c r="F50">
        <f t="shared" si="3"/>
        <v>380.25</v>
      </c>
    </row>
    <row r="51" spans="1:6">
      <c r="A51" s="13">
        <v>82.6</v>
      </c>
      <c r="B51">
        <v>0.91800000000000004</v>
      </c>
      <c r="C51">
        <f t="shared" si="0"/>
        <v>16</v>
      </c>
      <c r="D51">
        <f t="shared" si="1"/>
        <v>9</v>
      </c>
      <c r="E51">
        <f t="shared" si="2"/>
        <v>7</v>
      </c>
      <c r="F51">
        <f t="shared" si="3"/>
        <v>49</v>
      </c>
    </row>
    <row r="52" spans="1:6">
      <c r="A52" s="13">
        <v>76.900000000000006</v>
      </c>
      <c r="B52">
        <v>0.90700000000000003</v>
      </c>
      <c r="C52">
        <f t="shared" si="0"/>
        <v>63.5</v>
      </c>
      <c r="D52">
        <f t="shared" si="1"/>
        <v>41.5</v>
      </c>
      <c r="E52">
        <f t="shared" si="2"/>
        <v>22</v>
      </c>
      <c r="F52">
        <f t="shared" si="3"/>
        <v>484</v>
      </c>
    </row>
    <row r="53" spans="1:6">
      <c r="A53" s="13">
        <v>80.7</v>
      </c>
      <c r="B53">
        <v>0.89600000000000002</v>
      </c>
      <c r="C53">
        <f t="shared" si="0"/>
        <v>33.5</v>
      </c>
      <c r="D53">
        <f t="shared" si="1"/>
        <v>79</v>
      </c>
      <c r="E53">
        <f t="shared" si="2"/>
        <v>-45.5</v>
      </c>
      <c r="F53">
        <f t="shared" si="3"/>
        <v>2070.25</v>
      </c>
    </row>
    <row r="54" spans="1:6">
      <c r="A54" s="13">
        <v>80.2</v>
      </c>
      <c r="B54">
        <v>0.88600000000000001</v>
      </c>
      <c r="C54">
        <f t="shared" si="0"/>
        <v>38</v>
      </c>
      <c r="D54">
        <f t="shared" si="1"/>
        <v>96</v>
      </c>
      <c r="E54">
        <f t="shared" si="2"/>
        <v>-58</v>
      </c>
      <c r="F54">
        <f t="shared" si="3"/>
        <v>3364</v>
      </c>
    </row>
    <row r="55" spans="1:6">
      <c r="A55" s="13">
        <v>82.6</v>
      </c>
      <c r="B55">
        <v>0.90800000000000003</v>
      </c>
      <c r="C55">
        <f t="shared" si="0"/>
        <v>16</v>
      </c>
      <c r="D55">
        <f t="shared" si="1"/>
        <v>37</v>
      </c>
      <c r="E55">
        <f t="shared" si="2"/>
        <v>-21</v>
      </c>
      <c r="F55">
        <f t="shared" si="3"/>
        <v>441</v>
      </c>
    </row>
    <row r="56" spans="1:6">
      <c r="A56" s="13">
        <v>84.2</v>
      </c>
      <c r="B56">
        <v>0.92</v>
      </c>
      <c r="C56">
        <f t="shared" si="0"/>
        <v>9</v>
      </c>
      <c r="D56">
        <f t="shared" si="1"/>
        <v>5</v>
      </c>
      <c r="E56">
        <f t="shared" si="2"/>
        <v>4</v>
      </c>
      <c r="F56">
        <f t="shared" si="3"/>
        <v>16</v>
      </c>
    </row>
    <row r="57" spans="1:6">
      <c r="A57" s="13">
        <v>82.2</v>
      </c>
      <c r="B57">
        <v>0.92100000000000004</v>
      </c>
      <c r="C57">
        <f t="shared" si="0"/>
        <v>23</v>
      </c>
      <c r="D57">
        <f t="shared" si="1"/>
        <v>3.5</v>
      </c>
      <c r="E57">
        <f t="shared" si="2"/>
        <v>19.5</v>
      </c>
      <c r="F57">
        <f t="shared" si="3"/>
        <v>380.25</v>
      </c>
    </row>
    <row r="58" spans="1:6">
      <c r="A58" s="13">
        <v>71.5</v>
      </c>
      <c r="B58">
        <v>0.91100000000000003</v>
      </c>
      <c r="C58">
        <f t="shared" si="0"/>
        <v>96</v>
      </c>
      <c r="D58">
        <f t="shared" si="1"/>
        <v>29.5</v>
      </c>
      <c r="E58">
        <f t="shared" si="2"/>
        <v>66.5</v>
      </c>
      <c r="F58">
        <f t="shared" si="3"/>
        <v>4422.25</v>
      </c>
    </row>
    <row r="59" spans="1:6">
      <c r="A59" s="13">
        <v>81.2</v>
      </c>
      <c r="B59">
        <v>0.91200000000000003</v>
      </c>
      <c r="C59">
        <f t="shared" si="0"/>
        <v>30</v>
      </c>
      <c r="D59">
        <f t="shared" si="1"/>
        <v>25</v>
      </c>
      <c r="E59">
        <f t="shared" si="2"/>
        <v>5</v>
      </c>
      <c r="F59">
        <f t="shared" si="3"/>
        <v>25</v>
      </c>
    </row>
    <row r="60" spans="1:6">
      <c r="A60" s="13">
        <v>84.5</v>
      </c>
      <c r="B60">
        <v>0.91200000000000003</v>
      </c>
      <c r="C60">
        <f t="shared" si="0"/>
        <v>6</v>
      </c>
      <c r="D60">
        <f t="shared" si="1"/>
        <v>25</v>
      </c>
      <c r="E60">
        <f t="shared" si="2"/>
        <v>-19</v>
      </c>
      <c r="F60">
        <f t="shared" si="3"/>
        <v>361</v>
      </c>
    </row>
    <row r="61" spans="1:6">
      <c r="A61" s="13">
        <v>82.3</v>
      </c>
      <c r="B61">
        <v>0.92100000000000004</v>
      </c>
      <c r="C61">
        <f t="shared" si="0"/>
        <v>22</v>
      </c>
      <c r="D61">
        <f t="shared" si="1"/>
        <v>3.5</v>
      </c>
      <c r="E61">
        <f t="shared" si="2"/>
        <v>18.5</v>
      </c>
      <c r="F61">
        <f t="shared" si="3"/>
        <v>342.25</v>
      </c>
    </row>
    <row r="62" spans="1:6">
      <c r="A62" s="13">
        <v>75.099999999999994</v>
      </c>
      <c r="B62">
        <v>0.88800000000000001</v>
      </c>
      <c r="C62">
        <f t="shared" si="0"/>
        <v>80.5</v>
      </c>
      <c r="D62">
        <f t="shared" si="1"/>
        <v>93.5</v>
      </c>
      <c r="E62">
        <f t="shared" si="2"/>
        <v>-13</v>
      </c>
      <c r="F62">
        <f t="shared" si="3"/>
        <v>169</v>
      </c>
    </row>
    <row r="63" spans="1:6">
      <c r="A63" s="13">
        <v>80.099999999999994</v>
      </c>
      <c r="B63">
        <v>0.9</v>
      </c>
      <c r="C63">
        <f t="shared" si="0"/>
        <v>39</v>
      </c>
      <c r="D63">
        <f t="shared" si="1"/>
        <v>65.5</v>
      </c>
      <c r="E63">
        <f t="shared" si="2"/>
        <v>-26.5</v>
      </c>
      <c r="F63">
        <f t="shared" si="3"/>
        <v>702.25</v>
      </c>
    </row>
    <row r="64" spans="1:6">
      <c r="A64" s="13">
        <v>80.3</v>
      </c>
      <c r="B64">
        <v>0.90900000000000003</v>
      </c>
      <c r="C64">
        <f t="shared" si="0"/>
        <v>37</v>
      </c>
      <c r="D64">
        <f t="shared" si="1"/>
        <v>33.5</v>
      </c>
      <c r="E64">
        <f t="shared" si="2"/>
        <v>3.5</v>
      </c>
      <c r="F64">
        <f t="shared" si="3"/>
        <v>12.25</v>
      </c>
    </row>
    <row r="65" spans="1:6">
      <c r="A65" s="13">
        <v>75.7</v>
      </c>
      <c r="B65">
        <v>0.90300000000000002</v>
      </c>
      <c r="C65">
        <f t="shared" si="0"/>
        <v>77</v>
      </c>
      <c r="D65">
        <f t="shared" si="1"/>
        <v>54.5</v>
      </c>
      <c r="E65">
        <f t="shared" si="2"/>
        <v>22.5</v>
      </c>
      <c r="F65">
        <f t="shared" si="3"/>
        <v>506.25</v>
      </c>
    </row>
    <row r="66" spans="1:6">
      <c r="A66" s="13">
        <v>74.7</v>
      </c>
      <c r="B66">
        <v>0.9</v>
      </c>
      <c r="C66">
        <f t="shared" si="0"/>
        <v>86</v>
      </c>
      <c r="D66">
        <f t="shared" si="1"/>
        <v>65.5</v>
      </c>
      <c r="E66">
        <f t="shared" si="2"/>
        <v>20.5</v>
      </c>
      <c r="F66">
        <f t="shared" si="3"/>
        <v>420.25</v>
      </c>
    </row>
    <row r="67" spans="1:6">
      <c r="A67" s="13">
        <v>83.4</v>
      </c>
      <c r="B67">
        <v>0.88900000000000001</v>
      </c>
      <c r="C67">
        <f t="shared" ref="C67:C97" si="4">_xlfn.RANK.AVG(A67,$A$2:$A$97)</f>
        <v>12</v>
      </c>
      <c r="D67">
        <f t="shared" ref="D67:D96" si="5">_xlfn.RANK.AVG(B67,$B$2:$B$97)</f>
        <v>92</v>
      </c>
      <c r="E67">
        <f t="shared" si="2"/>
        <v>-80</v>
      </c>
      <c r="F67">
        <f t="shared" si="3"/>
        <v>6400</v>
      </c>
    </row>
    <row r="68" spans="1:6">
      <c r="A68" s="13">
        <v>84.4</v>
      </c>
      <c r="B68">
        <v>0.91900000000000004</v>
      </c>
      <c r="C68">
        <f t="shared" si="4"/>
        <v>7.5</v>
      </c>
      <c r="D68">
        <f t="shared" si="5"/>
        <v>6.5</v>
      </c>
      <c r="E68">
        <f t="shared" si="2"/>
        <v>1</v>
      </c>
      <c r="F68">
        <f t="shared" si="3"/>
        <v>1</v>
      </c>
    </row>
    <row r="69" spans="1:6">
      <c r="A69" s="13">
        <v>80.7</v>
      </c>
      <c r="B69">
        <v>0.90300000000000002</v>
      </c>
      <c r="C69">
        <f t="shared" si="4"/>
        <v>33.5</v>
      </c>
      <c r="D69">
        <f t="shared" si="5"/>
        <v>54.5</v>
      </c>
      <c r="E69">
        <f t="shared" si="2"/>
        <v>-21</v>
      </c>
      <c r="F69">
        <f t="shared" si="3"/>
        <v>441</v>
      </c>
    </row>
    <row r="70" spans="1:6">
      <c r="A70" s="13">
        <v>79.099999999999994</v>
      </c>
      <c r="B70">
        <v>0.90700000000000003</v>
      </c>
      <c r="C70">
        <f t="shared" si="4"/>
        <v>51</v>
      </c>
      <c r="D70">
        <f t="shared" si="5"/>
        <v>41.5</v>
      </c>
      <c r="E70">
        <f t="shared" si="2"/>
        <v>9.5</v>
      </c>
      <c r="F70">
        <f t="shared" si="3"/>
        <v>90.25</v>
      </c>
    </row>
    <row r="71" spans="1:6">
      <c r="A71" s="13">
        <v>75.400000000000006</v>
      </c>
      <c r="B71">
        <v>0.89200000000000002</v>
      </c>
      <c r="C71">
        <f t="shared" si="4"/>
        <v>79</v>
      </c>
      <c r="D71">
        <f t="shared" si="5"/>
        <v>87.5</v>
      </c>
      <c r="E71">
        <f t="shared" si="2"/>
        <v>-8.5</v>
      </c>
      <c r="F71">
        <f t="shared" si="3"/>
        <v>72.25</v>
      </c>
    </row>
    <row r="72" spans="1:6">
      <c r="A72" s="13">
        <v>85.2</v>
      </c>
      <c r="B72">
        <v>0.90800000000000003</v>
      </c>
      <c r="C72">
        <f t="shared" si="4"/>
        <v>4</v>
      </c>
      <c r="D72">
        <f t="shared" si="5"/>
        <v>37</v>
      </c>
      <c r="E72">
        <f t="shared" si="2"/>
        <v>-33</v>
      </c>
      <c r="F72">
        <f t="shared" si="3"/>
        <v>1089</v>
      </c>
    </row>
    <row r="73" spans="1:6">
      <c r="A73" s="13">
        <v>82.4</v>
      </c>
      <c r="B73">
        <v>0.88700000000000001</v>
      </c>
      <c r="C73">
        <f t="shared" si="4"/>
        <v>20.5</v>
      </c>
      <c r="D73">
        <f t="shared" si="5"/>
        <v>95</v>
      </c>
      <c r="E73">
        <f t="shared" si="2"/>
        <v>-74.5</v>
      </c>
      <c r="F73">
        <f t="shared" si="3"/>
        <v>5550.25</v>
      </c>
    </row>
    <row r="74" spans="1:6">
      <c r="A74" s="13">
        <v>76.7</v>
      </c>
      <c r="B74">
        <v>0.89</v>
      </c>
      <c r="C74">
        <f t="shared" si="4"/>
        <v>65.5</v>
      </c>
      <c r="D74">
        <f t="shared" si="5"/>
        <v>90.5</v>
      </c>
      <c r="E74">
        <f t="shared" si="2"/>
        <v>-25</v>
      </c>
      <c r="F74">
        <f t="shared" si="3"/>
        <v>625</v>
      </c>
    </row>
    <row r="75" spans="1:6">
      <c r="A75" s="13">
        <v>78.8</v>
      </c>
      <c r="B75">
        <v>0.90900000000000003</v>
      </c>
      <c r="C75">
        <f t="shared" si="4"/>
        <v>56</v>
      </c>
      <c r="D75">
        <f t="shared" si="5"/>
        <v>33.5</v>
      </c>
      <c r="E75">
        <f t="shared" si="2"/>
        <v>22.5</v>
      </c>
      <c r="F75">
        <f t="shared" si="3"/>
        <v>506.25</v>
      </c>
    </row>
    <row r="76" spans="1:6">
      <c r="A76" s="13">
        <v>74.900000000000006</v>
      </c>
      <c r="B76">
        <v>0.89</v>
      </c>
      <c r="C76">
        <f t="shared" si="4"/>
        <v>84.5</v>
      </c>
      <c r="D76">
        <f t="shared" si="5"/>
        <v>90.5</v>
      </c>
      <c r="E76">
        <f t="shared" si="2"/>
        <v>-6</v>
      </c>
      <c r="F76">
        <f t="shared" si="3"/>
        <v>36</v>
      </c>
    </row>
    <row r="77" spans="1:6">
      <c r="A77" s="13">
        <v>72.400000000000006</v>
      </c>
      <c r="B77">
        <v>0.89500000000000002</v>
      </c>
      <c r="C77">
        <f t="shared" si="4"/>
        <v>92.5</v>
      </c>
      <c r="D77">
        <f t="shared" si="5"/>
        <v>81.5</v>
      </c>
      <c r="E77">
        <f t="shared" si="2"/>
        <v>11</v>
      </c>
      <c r="F77">
        <f t="shared" si="3"/>
        <v>121</v>
      </c>
    </row>
    <row r="78" spans="1:6">
      <c r="A78" s="13">
        <v>84.1</v>
      </c>
      <c r="B78">
        <v>0.91200000000000003</v>
      </c>
      <c r="C78">
        <f t="shared" si="4"/>
        <v>10</v>
      </c>
      <c r="D78">
        <f t="shared" si="5"/>
        <v>25</v>
      </c>
      <c r="E78">
        <f t="shared" si="2"/>
        <v>-15</v>
      </c>
      <c r="F78">
        <f t="shared" si="3"/>
        <v>225</v>
      </c>
    </row>
    <row r="79" spans="1:6">
      <c r="A79" s="13">
        <v>79.099999999999994</v>
      </c>
      <c r="B79">
        <v>0.91300000000000003</v>
      </c>
      <c r="C79">
        <f t="shared" si="4"/>
        <v>51</v>
      </c>
      <c r="D79">
        <f t="shared" si="5"/>
        <v>20.5</v>
      </c>
      <c r="E79">
        <f t="shared" si="2"/>
        <v>30.5</v>
      </c>
      <c r="F79">
        <f t="shared" si="3"/>
        <v>930.25</v>
      </c>
    </row>
    <row r="80" spans="1:6">
      <c r="A80" s="13">
        <v>83.3</v>
      </c>
      <c r="B80">
        <v>0.89600000000000002</v>
      </c>
      <c r="C80">
        <f t="shared" si="4"/>
        <v>13</v>
      </c>
      <c r="D80">
        <f t="shared" si="5"/>
        <v>79</v>
      </c>
      <c r="E80">
        <f t="shared" si="2"/>
        <v>-66</v>
      </c>
      <c r="F80">
        <f t="shared" si="3"/>
        <v>4356</v>
      </c>
    </row>
    <row r="81" spans="1:6">
      <c r="A81" s="13">
        <v>80.599999999999994</v>
      </c>
      <c r="B81">
        <v>0.91300000000000003</v>
      </c>
      <c r="C81">
        <f t="shared" si="4"/>
        <v>35</v>
      </c>
      <c r="D81">
        <f t="shared" si="5"/>
        <v>20.5</v>
      </c>
      <c r="E81">
        <f t="shared" si="2"/>
        <v>14.5</v>
      </c>
      <c r="F81">
        <f t="shared" si="3"/>
        <v>210.25</v>
      </c>
    </row>
    <row r="82" spans="1:6">
      <c r="A82" s="13">
        <v>79.7</v>
      </c>
      <c r="B82">
        <v>0.90900000000000003</v>
      </c>
      <c r="C82">
        <f t="shared" si="4"/>
        <v>42.5</v>
      </c>
      <c r="D82">
        <f t="shared" si="5"/>
        <v>33.5</v>
      </c>
      <c r="E82">
        <f t="shared" si="2"/>
        <v>9</v>
      </c>
      <c r="F82">
        <f t="shared" si="3"/>
        <v>81</v>
      </c>
    </row>
    <row r="83" spans="1:6">
      <c r="A83" s="13">
        <v>76.900000000000006</v>
      </c>
      <c r="B83">
        <v>0.89800000000000002</v>
      </c>
      <c r="C83">
        <f t="shared" si="4"/>
        <v>63.5</v>
      </c>
      <c r="D83">
        <f t="shared" si="5"/>
        <v>71.5</v>
      </c>
      <c r="E83">
        <f t="shared" si="2"/>
        <v>-8</v>
      </c>
      <c r="F83">
        <f t="shared" si="3"/>
        <v>64</v>
      </c>
    </row>
    <row r="84" spans="1:6">
      <c r="A84" s="13">
        <v>81.900000000000006</v>
      </c>
      <c r="B84">
        <v>0.91200000000000003</v>
      </c>
      <c r="C84">
        <f t="shared" si="4"/>
        <v>27.5</v>
      </c>
      <c r="D84">
        <f t="shared" si="5"/>
        <v>25</v>
      </c>
      <c r="E84">
        <f t="shared" si="2"/>
        <v>2.5</v>
      </c>
      <c r="F84">
        <f t="shared" si="3"/>
        <v>6.25</v>
      </c>
    </row>
    <row r="85" spans="1:6">
      <c r="A85" s="13">
        <v>82.1</v>
      </c>
      <c r="B85">
        <v>0.90400000000000003</v>
      </c>
      <c r="C85">
        <f t="shared" si="4"/>
        <v>24</v>
      </c>
      <c r="D85">
        <f t="shared" si="5"/>
        <v>50</v>
      </c>
      <c r="E85">
        <f t="shared" si="2"/>
        <v>-26</v>
      </c>
      <c r="F85">
        <f t="shared" si="3"/>
        <v>676</v>
      </c>
    </row>
    <row r="86" spans="1:6">
      <c r="A86" s="13">
        <v>74.900000000000006</v>
      </c>
      <c r="B86">
        <v>0.91500000000000004</v>
      </c>
      <c r="C86">
        <f t="shared" si="4"/>
        <v>84.5</v>
      </c>
      <c r="D86">
        <f t="shared" si="5"/>
        <v>17</v>
      </c>
      <c r="E86">
        <f t="shared" si="2"/>
        <v>67.5</v>
      </c>
      <c r="F86">
        <f t="shared" si="3"/>
        <v>4556.25</v>
      </c>
    </row>
    <row r="87" spans="1:6">
      <c r="A87" s="13">
        <v>79.099999999999994</v>
      </c>
      <c r="B87">
        <v>0.90900000000000003</v>
      </c>
      <c r="C87">
        <f t="shared" si="4"/>
        <v>51</v>
      </c>
      <c r="D87">
        <f t="shared" si="5"/>
        <v>33.5</v>
      </c>
      <c r="E87">
        <f t="shared" si="2"/>
        <v>17.5</v>
      </c>
      <c r="F87">
        <f t="shared" si="3"/>
        <v>306.25</v>
      </c>
    </row>
    <row r="88" spans="1:6">
      <c r="A88" s="13">
        <v>71.599999999999994</v>
      </c>
      <c r="B88">
        <v>0.88800000000000001</v>
      </c>
      <c r="C88">
        <f t="shared" si="4"/>
        <v>95</v>
      </c>
      <c r="D88">
        <f t="shared" si="5"/>
        <v>93.5</v>
      </c>
      <c r="E88">
        <f t="shared" si="2"/>
        <v>1.5</v>
      </c>
      <c r="F88">
        <f t="shared" si="3"/>
        <v>2.25</v>
      </c>
    </row>
    <row r="89" spans="1:6">
      <c r="A89" s="13">
        <v>79.3</v>
      </c>
      <c r="B89">
        <v>0.90700000000000003</v>
      </c>
      <c r="C89">
        <f t="shared" si="4"/>
        <v>48</v>
      </c>
      <c r="D89">
        <f t="shared" si="5"/>
        <v>41.5</v>
      </c>
      <c r="E89">
        <f t="shared" si="2"/>
        <v>6.5</v>
      </c>
      <c r="F89">
        <f t="shared" si="3"/>
        <v>42.25</v>
      </c>
    </row>
    <row r="90" spans="1:6">
      <c r="A90" s="13">
        <v>77.400000000000006</v>
      </c>
      <c r="B90">
        <v>0.90600000000000003</v>
      </c>
      <c r="C90">
        <f t="shared" si="4"/>
        <v>59.5</v>
      </c>
      <c r="D90">
        <f t="shared" si="5"/>
        <v>45</v>
      </c>
      <c r="E90">
        <f t="shared" si="2"/>
        <v>14.5</v>
      </c>
      <c r="F90">
        <f t="shared" si="3"/>
        <v>210.25</v>
      </c>
    </row>
    <row r="91" spans="1:6">
      <c r="A91" s="13">
        <v>77.400000000000006</v>
      </c>
      <c r="B91">
        <v>0.91500000000000004</v>
      </c>
      <c r="C91">
        <f t="shared" si="4"/>
        <v>59.5</v>
      </c>
      <c r="D91">
        <f t="shared" si="5"/>
        <v>17</v>
      </c>
      <c r="E91">
        <f t="shared" si="2"/>
        <v>42.5</v>
      </c>
      <c r="F91">
        <f t="shared" si="3"/>
        <v>1806.25</v>
      </c>
    </row>
    <row r="92" spans="1:6">
      <c r="A92" s="13">
        <v>79</v>
      </c>
      <c r="B92">
        <v>0.90300000000000002</v>
      </c>
      <c r="C92">
        <f t="shared" si="4"/>
        <v>54</v>
      </c>
      <c r="D92">
        <f t="shared" si="5"/>
        <v>54.5</v>
      </c>
      <c r="E92">
        <f t="shared" si="2"/>
        <v>-0.5</v>
      </c>
      <c r="F92">
        <f t="shared" si="3"/>
        <v>0.25</v>
      </c>
    </row>
    <row r="93" spans="1:6">
      <c r="A93" s="13">
        <v>81.900000000000006</v>
      </c>
      <c r="B93">
        <v>0.90500000000000003</v>
      </c>
      <c r="C93">
        <f t="shared" si="4"/>
        <v>27.5</v>
      </c>
      <c r="D93">
        <f t="shared" si="5"/>
        <v>47</v>
      </c>
      <c r="E93">
        <f t="shared" si="2"/>
        <v>-19.5</v>
      </c>
      <c r="F93">
        <f t="shared" si="3"/>
        <v>380.25</v>
      </c>
    </row>
    <row r="94" spans="1:6">
      <c r="A94" s="13">
        <v>80.400000000000006</v>
      </c>
      <c r="B94">
        <v>0.90200000000000002</v>
      </c>
      <c r="C94">
        <f t="shared" si="4"/>
        <v>36</v>
      </c>
      <c r="D94">
        <f t="shared" si="5"/>
        <v>59.5</v>
      </c>
      <c r="E94">
        <f t="shared" si="2"/>
        <v>-23.5</v>
      </c>
      <c r="F94">
        <f t="shared" si="3"/>
        <v>552.25</v>
      </c>
    </row>
    <row r="95" spans="1:6">
      <c r="A95" s="13">
        <v>77.099999999999994</v>
      </c>
      <c r="B95">
        <v>0.92300000000000004</v>
      </c>
      <c r="C95">
        <f t="shared" si="4"/>
        <v>61</v>
      </c>
      <c r="D95">
        <f t="shared" si="5"/>
        <v>2</v>
      </c>
      <c r="E95">
        <f t="shared" si="2"/>
        <v>59</v>
      </c>
      <c r="F95">
        <f t="shared" si="3"/>
        <v>3481</v>
      </c>
    </row>
    <row r="96" spans="1:6">
      <c r="A96" s="13">
        <v>82.4</v>
      </c>
      <c r="B96">
        <v>0.91600000000000004</v>
      </c>
      <c r="C96">
        <f t="shared" si="4"/>
        <v>20.5</v>
      </c>
      <c r="D96">
        <f t="shared" si="5"/>
        <v>13.5</v>
      </c>
      <c r="E96">
        <f t="shared" si="2"/>
        <v>7</v>
      </c>
      <c r="F96">
        <f t="shared" si="3"/>
        <v>49</v>
      </c>
    </row>
    <row r="97" spans="1:6">
      <c r="A97" s="13">
        <v>75</v>
      </c>
      <c r="B97">
        <v>0.91300000000000003</v>
      </c>
      <c r="C97">
        <f t="shared" si="4"/>
        <v>82.5</v>
      </c>
      <c r="D97">
        <f>_xlfn.RANK.AVG(B97,$B$2:$B$97)</f>
        <v>20.5</v>
      </c>
      <c r="E97">
        <f t="shared" si="2"/>
        <v>62</v>
      </c>
      <c r="F97">
        <f t="shared" si="3"/>
        <v>3844</v>
      </c>
    </row>
  </sheetData>
  <mergeCells count="1">
    <mergeCell ref="I5:J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2024-08-08T00:05:52Z</dcterms:created>
  <dcterms:modified xsi:type="dcterms:W3CDTF">2024-08-22T02:10:58Z</dcterms:modified>
  <cp:category/>
  <cp:contentStatus/>
</cp:coreProperties>
</file>