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R25" i="1" l="1"/>
  <c r="U19" i="1"/>
  <c r="J16" i="1"/>
  <c r="U17" i="1" s="1"/>
  <c r="E16" i="1"/>
  <c r="I16" i="1"/>
  <c r="L25" i="1"/>
  <c r="L27" i="1" s="1"/>
  <c r="F18" i="1"/>
  <c r="F16" i="1"/>
  <c r="S19" i="1"/>
  <c r="I27" i="1"/>
  <c r="H27" i="1"/>
  <c r="H25" i="1"/>
  <c r="M25" i="1"/>
  <c r="M27" i="1" s="1"/>
  <c r="I25" i="1"/>
  <c r="T15" i="1"/>
  <c r="T4" i="1"/>
  <c r="N12" i="1"/>
  <c r="I12" i="1"/>
  <c r="I6" i="1"/>
  <c r="K4" i="1" s="1"/>
  <c r="J18" i="1" l="1"/>
  <c r="I18" i="1"/>
  <c r="B9" i="1"/>
  <c r="T2" i="1"/>
  <c r="D9" i="1"/>
  <c r="A9" i="1"/>
  <c r="T13" i="1"/>
  <c r="S17" i="1" s="1"/>
  <c r="L2" i="1"/>
  <c r="Q2" i="1"/>
  <c r="P2" i="1"/>
  <c r="N10" i="1"/>
  <c r="T7" i="1"/>
  <c r="E18" i="1"/>
  <c r="T9" i="1"/>
  <c r="V7" i="1" l="1"/>
  <c r="O25" i="1"/>
  <c r="K25" i="1"/>
  <c r="O27" i="1"/>
  <c r="K27" i="1"/>
  <c r="E7" i="1"/>
  <c r="C16" i="1"/>
  <c r="I10" i="1"/>
  <c r="O4" i="1"/>
  <c r="N4" i="1"/>
  <c r="K2" i="1"/>
  <c r="J4" i="1"/>
  <c r="I4" i="1"/>
  <c r="E4" i="1"/>
  <c r="C4" i="1"/>
  <c r="C2" i="1"/>
  <c r="B4" i="1"/>
</calcChain>
</file>

<file path=xl/sharedStrings.xml><?xml version="1.0" encoding="utf-8"?>
<sst xmlns="http://schemas.openxmlformats.org/spreadsheetml/2006/main" count="80" uniqueCount="40">
  <si>
    <t>м3</t>
  </si>
  <si>
    <t>Па</t>
  </si>
  <si>
    <t>p, мм рт ст</t>
  </si>
  <si>
    <t>p атм, Па</t>
  </si>
  <si>
    <t>V зап, см3</t>
  </si>
  <si>
    <t>h1, см</t>
  </si>
  <si>
    <t>h2, см</t>
  </si>
  <si>
    <t>h3, см</t>
  </si>
  <si>
    <t>h4, см</t>
  </si>
  <si>
    <t>rho, г/см3</t>
  </si>
  <si>
    <t>кг/м3</t>
  </si>
  <si>
    <t>g, м/с2</t>
  </si>
  <si>
    <t>м</t>
  </si>
  <si>
    <t>delta p, Па</t>
  </si>
  <si>
    <t>p вв, Па</t>
  </si>
  <si>
    <t>p фв, Па</t>
  </si>
  <si>
    <t>V фв, м3</t>
  </si>
  <si>
    <t>I, А</t>
  </si>
  <si>
    <t>p пред, мм рт ст</t>
  </si>
  <si>
    <t>p вв, пред</t>
  </si>
  <si>
    <t>p фв, пред</t>
  </si>
  <si>
    <t>koeff</t>
  </si>
  <si>
    <t>W</t>
  </si>
  <si>
    <t>W, м3/c</t>
  </si>
  <si>
    <t>V вв, м3</t>
  </si>
  <si>
    <t>delta t, c</t>
  </si>
  <si>
    <t>delta p, мм рт ст</t>
  </si>
  <si>
    <t>L, см</t>
  </si>
  <si>
    <t>T, K</t>
  </si>
  <si>
    <t>mu, г/моль</t>
  </si>
  <si>
    <t>кг/моль</t>
  </si>
  <si>
    <t>Cтр</t>
  </si>
  <si>
    <t>Qн, Па*м3/c</t>
  </si>
  <si>
    <t>r, cм</t>
  </si>
  <si>
    <t>W_2</t>
  </si>
  <si>
    <t xml:space="preserve"> </t>
  </si>
  <si>
    <t>sigma</t>
  </si>
  <si>
    <t>delta p</t>
  </si>
  <si>
    <t>delta t</t>
  </si>
  <si>
    <t>Qн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</si>
</sst>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zoomScaleNormal="100" workbookViewId="0">
      <selection activeCell="R26" sqref="R26"/>
    </sheetView>
  </sheetViews>
  <sheetFormatPr defaultRowHeight="14.4" x14ac:dyDescent="0.3"/>
  <cols>
    <col min="1" max="1" width="8.6640625" bestFit="1" customWidth="1"/>
    <col min="2" max="2" width="9.5546875" customWidth="1"/>
    <col min="3" max="3" width="9.88671875" customWidth="1"/>
    <col min="5" max="5" width="12" bestFit="1" customWidth="1"/>
    <col min="9" max="9" width="12" bestFit="1" customWidth="1"/>
    <col min="11" max="11" width="12" bestFit="1" customWidth="1"/>
    <col min="14" max="15" width="12" bestFit="1" customWidth="1"/>
    <col min="18" max="18" width="12" bestFit="1" customWidth="1"/>
    <col min="20" max="20" width="12" bestFit="1" customWidth="1"/>
    <col min="21" max="21" width="12.6640625" customWidth="1"/>
    <col min="22" max="22" width="12.6640625" bestFit="1" customWidth="1"/>
  </cols>
  <sheetData>
    <row r="1" spans="1:22" x14ac:dyDescent="0.3">
      <c r="A1" t="s">
        <v>3</v>
      </c>
      <c r="B1" t="s">
        <v>4</v>
      </c>
      <c r="C1" t="s">
        <v>2</v>
      </c>
      <c r="E1" t="s">
        <v>9</v>
      </c>
      <c r="F1" t="s">
        <v>11</v>
      </c>
      <c r="I1" t="s">
        <v>5</v>
      </c>
      <c r="J1" t="s">
        <v>6</v>
      </c>
      <c r="K1" t="s">
        <v>13</v>
      </c>
      <c r="L1" t="s">
        <v>15</v>
      </c>
      <c r="N1" t="s">
        <v>7</v>
      </c>
      <c r="O1" t="s">
        <v>8</v>
      </c>
      <c r="P1" t="s">
        <v>13</v>
      </c>
      <c r="Q1" t="s">
        <v>14</v>
      </c>
      <c r="S1" t="s">
        <v>21</v>
      </c>
      <c r="T1" t="s">
        <v>23</v>
      </c>
    </row>
    <row r="2" spans="1:22" x14ac:dyDescent="0.3">
      <c r="A2">
        <v>100150</v>
      </c>
      <c r="B2">
        <v>50</v>
      </c>
      <c r="C2">
        <f>2/100</f>
        <v>0.02</v>
      </c>
      <c r="E2">
        <v>0.88500000000000001</v>
      </c>
      <c r="F2">
        <v>9.81</v>
      </c>
      <c r="I2">
        <v>38.5</v>
      </c>
      <c r="J2">
        <v>12</v>
      </c>
      <c r="K2">
        <f>E4*F2*(I4-J4)</f>
        <v>2300.6902500000001</v>
      </c>
      <c r="L2">
        <f>K2+C4</f>
        <v>2303.3562500000003</v>
      </c>
      <c r="N2">
        <v>34</v>
      </c>
      <c r="O2">
        <v>17</v>
      </c>
      <c r="P2">
        <f>E4*F2*(N4-O4)</f>
        <v>1475.9145000000001</v>
      </c>
      <c r="Q2">
        <f>P2+C4</f>
        <v>1478.5805</v>
      </c>
      <c r="S2">
        <v>-0.15</v>
      </c>
      <c r="T2">
        <f>-S2*N10</f>
        <v>1.8190390089420217E-4</v>
      </c>
    </row>
    <row r="3" spans="1:22" x14ac:dyDescent="0.3">
      <c r="B3" t="s">
        <v>0</v>
      </c>
      <c r="C3" t="s">
        <v>1</v>
      </c>
      <c r="E3" t="s">
        <v>10</v>
      </c>
      <c r="I3" t="s">
        <v>12</v>
      </c>
      <c r="J3" t="s">
        <v>12</v>
      </c>
      <c r="K3" t="s">
        <v>36</v>
      </c>
      <c r="N3" t="s">
        <v>12</v>
      </c>
      <c r="O3" t="s">
        <v>12</v>
      </c>
      <c r="S3" t="s">
        <v>36</v>
      </c>
      <c r="T3" t="s">
        <v>36</v>
      </c>
    </row>
    <row r="4" spans="1:22" x14ac:dyDescent="0.3">
      <c r="B4">
        <f>B2/1000000</f>
        <v>5.0000000000000002E-5</v>
      </c>
      <c r="C4">
        <f>C2*133.3</f>
        <v>2.6660000000000004</v>
      </c>
      <c r="E4">
        <f>E2/1000*1000000</f>
        <v>885</v>
      </c>
      <c r="I4">
        <f>I2/100</f>
        <v>0.38500000000000001</v>
      </c>
      <c r="J4">
        <f>J2/100</f>
        <v>0.12</v>
      </c>
      <c r="K4">
        <f>E4*F2*2*I6</f>
        <v>17.363700000000001</v>
      </c>
      <c r="N4">
        <f>N2/100</f>
        <v>0.34</v>
      </c>
      <c r="O4">
        <f>O2/100</f>
        <v>0.17</v>
      </c>
      <c r="S4">
        <v>4.0000000000000001E-3</v>
      </c>
      <c r="T4">
        <f>N10*S15-S13*N12</f>
        <v>1.4877243277508659E-5</v>
      </c>
    </row>
    <row r="5" spans="1:22" x14ac:dyDescent="0.3">
      <c r="I5" t="s">
        <v>36</v>
      </c>
    </row>
    <row r="6" spans="1:22" x14ac:dyDescent="0.3">
      <c r="A6" t="s">
        <v>27</v>
      </c>
      <c r="B6" t="s">
        <v>33</v>
      </c>
      <c r="C6" t="s">
        <v>28</v>
      </c>
      <c r="D6" t="s">
        <v>29</v>
      </c>
      <c r="E6" t="s">
        <v>31</v>
      </c>
      <c r="I6">
        <f>0.001</f>
        <v>1E-3</v>
      </c>
      <c r="S6" t="s">
        <v>25</v>
      </c>
      <c r="T6" t="s">
        <v>26</v>
      </c>
      <c r="V6" t="s">
        <v>32</v>
      </c>
    </row>
    <row r="7" spans="1:22" x14ac:dyDescent="0.3">
      <c r="A7">
        <v>10.8</v>
      </c>
      <c r="B7">
        <v>0.4</v>
      </c>
      <c r="C7">
        <v>298</v>
      </c>
      <c r="D7">
        <v>29</v>
      </c>
      <c r="E7">
        <f>4/3*B9*B9*B9/A9*SQRT(2*3.14*8.31*C7/D9)</f>
        <v>5.7860798390737514E-4</v>
      </c>
      <c r="S7">
        <v>120</v>
      </c>
      <c r="T7">
        <f>(6.1-0.52)/10000</f>
        <v>5.5800000000000001E-4</v>
      </c>
      <c r="V7">
        <f>E18*S17-N10*T9/S7</f>
        <v>2.9028484263467265E-7</v>
      </c>
    </row>
    <row r="8" spans="1:22" x14ac:dyDescent="0.3">
      <c r="A8" t="s">
        <v>12</v>
      </c>
      <c r="B8" t="s">
        <v>12</v>
      </c>
      <c r="C8" t="s">
        <v>36</v>
      </c>
      <c r="D8" t="s">
        <v>30</v>
      </c>
      <c r="T8" t="s">
        <v>1</v>
      </c>
    </row>
    <row r="9" spans="1:22" x14ac:dyDescent="0.3">
      <c r="A9">
        <f>A7/100</f>
        <v>0.10800000000000001</v>
      </c>
      <c r="B9">
        <f>B7/100</f>
        <v>4.0000000000000001E-3</v>
      </c>
      <c r="C9">
        <v>1</v>
      </c>
      <c r="D9">
        <f>D7/1000</f>
        <v>2.9000000000000001E-2</v>
      </c>
      <c r="I9" t="s">
        <v>16</v>
      </c>
      <c r="N9" t="s">
        <v>24</v>
      </c>
      <c r="T9">
        <f>T7*133.3</f>
        <v>7.4381400000000014E-2</v>
      </c>
    </row>
    <row r="10" spans="1:22" x14ac:dyDescent="0.3">
      <c r="B10" t="s">
        <v>36</v>
      </c>
      <c r="I10">
        <f>A2*B4/L2</f>
        <v>2.174001524948648E-3</v>
      </c>
      <c r="N10">
        <f>A2*B4/Q2-I10</f>
        <v>1.2126926726280145E-3</v>
      </c>
    </row>
    <row r="11" spans="1:22" x14ac:dyDescent="0.3">
      <c r="I11" t="s">
        <v>36</v>
      </c>
      <c r="N11" t="s">
        <v>36</v>
      </c>
    </row>
    <row r="12" spans="1:22" x14ac:dyDescent="0.3">
      <c r="I12">
        <f>I10/L2*K4</f>
        <v>1.6388567890334306E-5</v>
      </c>
      <c r="N12">
        <f>A2*B4/Q2/Q2*K4+I12</f>
        <v>5.6160188061479466E-5</v>
      </c>
      <c r="S12" t="s">
        <v>21</v>
      </c>
      <c r="T12" t="s">
        <v>22</v>
      </c>
    </row>
    <row r="13" spans="1:22" x14ac:dyDescent="0.3">
      <c r="S13">
        <v>-0.15694</v>
      </c>
      <c r="T13">
        <f>-S13*N10</f>
        <v>1.903199880422406E-4</v>
      </c>
    </row>
    <row r="14" spans="1:22" x14ac:dyDescent="0.3">
      <c r="S14" t="s">
        <v>36</v>
      </c>
      <c r="T14" t="s">
        <v>36</v>
      </c>
    </row>
    <row r="15" spans="1:22" x14ac:dyDescent="0.3">
      <c r="A15" t="s">
        <v>17</v>
      </c>
      <c r="C15" t="s">
        <v>2</v>
      </c>
      <c r="E15" t="s">
        <v>18</v>
      </c>
      <c r="F15" t="s">
        <v>36</v>
      </c>
      <c r="I15" t="s">
        <v>19</v>
      </c>
      <c r="J15" t="s">
        <v>20</v>
      </c>
      <c r="S15">
        <v>5.0000000000000001E-3</v>
      </c>
      <c r="T15">
        <f>N10*S4-S2*N12</f>
        <v>1.3274798899733977E-5</v>
      </c>
    </row>
    <row r="16" spans="1:22" x14ac:dyDescent="0.3">
      <c r="A16">
        <v>0.6</v>
      </c>
      <c r="C16">
        <f>3/10000</f>
        <v>2.9999999999999997E-4</v>
      </c>
      <c r="E16">
        <f>4.2/100000</f>
        <v>4.2000000000000004E-5</v>
      </c>
      <c r="F16">
        <f>0.1/100000</f>
        <v>9.9999999999999995E-7</v>
      </c>
      <c r="I16">
        <f>1.1/10000</f>
        <v>1.1E-4</v>
      </c>
      <c r="J16">
        <f>3/10000</f>
        <v>2.9999999999999997E-4</v>
      </c>
      <c r="K16" t="s">
        <v>35</v>
      </c>
      <c r="S16" t="s">
        <v>22</v>
      </c>
      <c r="U16" t="s">
        <v>34</v>
      </c>
    </row>
    <row r="17" spans="5:21" x14ac:dyDescent="0.3">
      <c r="E17" t="s">
        <v>1</v>
      </c>
      <c r="F17" t="s">
        <v>1</v>
      </c>
      <c r="I17" t="s">
        <v>1</v>
      </c>
      <c r="J17" t="s">
        <v>1</v>
      </c>
      <c r="S17">
        <f>AVERAGE(T13,T2)</f>
        <v>1.8611194446822138E-4</v>
      </c>
      <c r="U17">
        <f>4/3*B9*B9*B9/A9*SQRT(2*3.14*8.31*C7/D9)*(J16-I16)/(I16-E16)</f>
        <v>1.6166987785647244E-3</v>
      </c>
    </row>
    <row r="18" spans="5:21" x14ac:dyDescent="0.3">
      <c r="E18">
        <f>E16*133.3</f>
        <v>5.5986000000000013E-3</v>
      </c>
      <c r="F18">
        <f>F16*133.3</f>
        <v>1.3330000000000001E-4</v>
      </c>
      <c r="I18">
        <f>I16*133.3</f>
        <v>1.4663000000000002E-2</v>
      </c>
      <c r="J18">
        <f>J16*133.3</f>
        <v>3.9989999999999998E-2</v>
      </c>
      <c r="S18" t="s">
        <v>36</v>
      </c>
      <c r="U18" t="s">
        <v>36</v>
      </c>
    </row>
    <row r="19" spans="5:21" x14ac:dyDescent="0.3">
      <c r="S19">
        <f>0.15/10000</f>
        <v>1.4999999999999999E-5</v>
      </c>
      <c r="U19">
        <f>4/3*3*B9*B9/A9*SQRT(2*3.14*8.31*C7/D9)*B11*(J18-I18)/(I18-E18)+4/3*3*B9*B9*B9/A9/A9*SQRT(2*3.14*8.31*C7/D9)*B11*(J18-I18)/(I18-E18)+4/3*3*B9*B9*B9/A9*SQRT(2*3.14*8.31/D9)/2/SQRT(C7)*C9*(J18-I18)/(I18-E18)+4/3*3*B9*B9*B9/A9*SQRT(2*3.14*8.31*C7/D9)*2*0.1/100000*133.3/(I18-E18)+4/3*3*B9*B9*B9/A9*SQRT(2*3.14*8.31*C7/D9)*(J18-I18)/(I18-E18)/(I18-E18)*2*0.1/100000*133.3</f>
        <v>2.0184128339487348E-4</v>
      </c>
    </row>
    <row r="24" spans="5:21" x14ac:dyDescent="0.3">
      <c r="H24" t="s">
        <v>36</v>
      </c>
      <c r="I24" t="s">
        <v>37</v>
      </c>
      <c r="J24" t="s">
        <v>38</v>
      </c>
      <c r="K24" t="s">
        <v>39</v>
      </c>
      <c r="L24" t="s">
        <v>36</v>
      </c>
      <c r="M24" t="s">
        <v>37</v>
      </c>
      <c r="N24" t="s">
        <v>38</v>
      </c>
      <c r="O24" t="s">
        <v>39</v>
      </c>
      <c r="R24" t="s">
        <v>31</v>
      </c>
    </row>
    <row r="25" spans="5:21" x14ac:dyDescent="0.3">
      <c r="H25">
        <f>0.2/100000</f>
        <v>1.9999999999999999E-6</v>
      </c>
      <c r="I25">
        <f>40/100000</f>
        <v>4.0000000000000002E-4</v>
      </c>
      <c r="J25">
        <v>84</v>
      </c>
      <c r="K25">
        <f>E18*S17-N10*I27/J25</f>
        <v>2.7219522153162079E-7</v>
      </c>
      <c r="L25">
        <f>0.2/100000</f>
        <v>1.9999999999999999E-6</v>
      </c>
      <c r="M25">
        <f>39.1/100000</f>
        <v>3.9100000000000002E-4</v>
      </c>
      <c r="N25">
        <v>84</v>
      </c>
      <c r="O25">
        <f>E18*S17-N10*M27/N25</f>
        <v>2.8951507152390446E-7</v>
      </c>
      <c r="R25">
        <f>4/3*3*B9*B9/A9*SQRT(2*3.14*8.31*C7/D9)*B11+4/3*3*B9*B9*B9/A9/A9*SQRT(2*3.14*8.31*C7/D9)*B11+4/3*3*B9*B9*B9/A9*SQRT(2*3.14*8.31/D9)/2/SQRT(C7)*C9</f>
        <v>2.9124562948357807E-6</v>
      </c>
    </row>
    <row r="26" spans="5:21" x14ac:dyDescent="0.3">
      <c r="H26" t="s">
        <v>1</v>
      </c>
      <c r="I26" t="s">
        <v>1</v>
      </c>
      <c r="J26" t="s">
        <v>36</v>
      </c>
      <c r="K26" t="s">
        <v>36</v>
      </c>
      <c r="L26" t="s">
        <v>1</v>
      </c>
      <c r="M26" t="s">
        <v>1</v>
      </c>
      <c r="N26" t="s">
        <v>36</v>
      </c>
      <c r="O26" t="s">
        <v>36</v>
      </c>
    </row>
    <row r="27" spans="5:21" x14ac:dyDescent="0.3">
      <c r="H27">
        <f>H25*133.3</f>
        <v>2.6660000000000003E-4</v>
      </c>
      <c r="I27">
        <f>I25*133.3</f>
        <v>5.3320000000000006E-2</v>
      </c>
      <c r="J27">
        <v>2</v>
      </c>
      <c r="K27">
        <f>E18*S19+S17*F18+H27*N10/J25+N12*I27/J25+N10*I27/J25/J25*J27</f>
        <v>1.6661280928686442E-7</v>
      </c>
      <c r="L27">
        <f>L25*133.3</f>
        <v>2.6660000000000003E-4</v>
      </c>
      <c r="M27">
        <f>M25*133.3</f>
        <v>5.2120300000000008E-2</v>
      </c>
      <c r="N27">
        <v>2</v>
      </c>
      <c r="O27">
        <f>E18*S19+S17*F18+N10*L27/N25+N12*M27/N25+N10*M27/N25/N25*N27</f>
        <v>1.6539834407731771E-7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2023-03-01T20:33:59Z</dcterms:modified>
</cp:coreProperties>
</file>