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udgets 2627" sheetId="1" r:id="rId4"/>
    <sheet state="visible" name="Budgets 2526" sheetId="2" r:id="rId5"/>
    <sheet state="visible" name="World 2526" sheetId="3" r:id="rId6"/>
    <sheet state="visible" name="Attendance" sheetId="4" r:id="rId7"/>
    <sheet state="visible" name="Player Salaries" sheetId="5" r:id="rId8"/>
    <sheet state="visible" name="Notes" sheetId="6" r:id="rId9"/>
    <sheet state="visible" name="Taxes" sheetId="7" r:id="rId10"/>
  </sheets>
  <definedNames>
    <definedName hidden="1" localSheetId="2" name="_xlnm._FilterDatabase">'World 2526'!$B$4:$H$226</definedName>
    <definedName hidden="1" localSheetId="3" name="_xlnm._FilterDatabase">Attendance!$B$4:$F$20</definedName>
    <definedName hidden="1" localSheetId="4" name="_xlnm._FilterDatabase">'Player Salaries'!$B$25:$L$2861</definedName>
  </definedNames>
  <calcPr/>
  <extLst>
    <ext uri="GoogleSheetsCustomDataVersion2">
      <go:sheetsCustomData xmlns:go="http://customooxmlschemas.google.com/" r:id="rId11" roundtripDataChecksum="DdlwSmuBz4ahYK3mTB+QE1bAwlq7ofalrkcWd6pSUUU="/>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850">
      <text>
        <t xml:space="preserve">======
ID#AAACHNso-r0
Robert Stefanovič    (2026-09-16 10:53:10)
Buyout 200 k to oly</t>
      </text>
    </comment>
    <comment authorId="0" ref="C34">
      <text>
        <t xml:space="preserve">======
ID#AAAB9vBwTno
Robert Stefanovič    (2026-06-17 20:25:39)
Best payed team player that season</t>
      </text>
    </comment>
    <comment authorId="0" ref="C769">
      <text>
        <t xml:space="preserve">======
ID#AAAB-Miw8ow
Robert Stefanovič    (2026-06-23 11:56:43)
Buyout 300k euro to Žalgiris</t>
      </text>
    </comment>
    <comment authorId="0" ref="C224">
      <text>
        <t xml:space="preserve">======
ID#AAAB9vBwTnM
Robert Stefanovič    (2026-06-17 19:56:11)
Most expensive player on the squad</t>
      </text>
    </comment>
    <comment authorId="0" ref="C414">
      <text>
        <t xml:space="preserve">======
ID#AAAB9sqgoqo
Robert Stefanovič    (2026-06-18 11:37:46)
Most payed team player that season</t>
      </text>
    </comment>
    <comment authorId="0" ref="C92">
      <text>
        <t xml:space="preserve">======
ID#AAAB-Y59n64
Robert Stefanovič    (2026-06-26 18:46:27)
Buyout to AEK 150k</t>
      </text>
    </comment>
    <comment authorId="0" ref="C2520">
      <text>
        <t xml:space="preserve">======
ID#AAACFgXwZrk
Robert Stefanovič    (2026-08-13 12:39:47)
Loaned by Asvel</t>
      </text>
    </comment>
    <comment authorId="0" ref="G315">
      <text>
        <t xml:space="preserve">======
ID#AAAB-QtSgOQ
Robert Stefanovič    (2026-06-24 16:00:24)
Was released and received 700k</t>
      </text>
    </comment>
    <comment authorId="0" ref="C1463">
      <text>
        <t xml:space="preserve">======
ID#AAAB-MfuxlM
Robert Stefanovič    (2026-06-23 07:40:58)
Buyout 150k dollars to Ramat Gan</t>
      </text>
    </comment>
    <comment authorId="0" ref="C1133">
      <text>
        <t xml:space="preserve">======
ID#AAAB95Bz-BA
Robert Stefanovič    (2026-06-21 10:57:00)
Buyout 50k To žalgiris</t>
      </text>
    </comment>
    <comment authorId="0" ref="C1868">
      <text>
        <t xml:space="preserve">======
ID#AAACA82eeYc
Robert Stefanovič    (2026-07-13 10:50:40)
300k buyout to Reggio Emilia</t>
      </text>
    </comment>
    <comment authorId="0" ref="C43">
      <text>
        <t xml:space="preserve">======
ID#AAACA82eeX8
Robert Stefanovič    (2026-07-13 10:10:07)
Buyout 600 k dollar to Maccabi</t>
      </text>
    </comment>
    <comment authorId="0" ref="C2248">
      <text>
        <t xml:space="preserve">======
ID#AAACA82eeYI
Robert Stefanovič    (2026-07-13 10:23:25)
Asvel 400k Euro Buyout to Žalgiris, then Pana 1M buyout to Asvel</t>
      </text>
    </comment>
    <comment authorId="0" ref="C2281">
      <text>
        <t xml:space="preserve">======
ID#AAAB-tN8BnA
Robert Stefanovič    (2026-06-30 09:21:59)
Buyout 1 M to Valencia</t>
      </text>
    </comment>
    <comment authorId="0" ref="C646">
      <text>
        <t xml:space="preserve">======
ID#AAAB-Miw8ok
Robert Stefanovič    (2026-06-23 10:17:42)
Paid 100k dollar buyout to Manisa</t>
      </text>
    </comment>
    <comment authorId="0" ref="C1381">
      <text>
        <t xml:space="preserve">======
ID#AAAB-l4ID2Q
Robert Stefanovič    (2026-06-26 15:10:26)
Received 200k compensation after leaving in september</t>
      </text>
    </comment>
    <comment authorId="0" ref="C68">
      <text>
        <t xml:space="preserve">======
ID#AAAB95IkC8E
Robert Stefanovič    (2026-06-21 18:36:51)
Buyout 1million to Baskonia</t>
      </text>
    </comment>
    <comment authorId="0" ref="C2">
      <text>
        <t xml:space="preserve">======
ID#AAAB9zek2vM
Robert Stefanovič    (2026-06-22 19:35:29)
Some contracts are signed in dollars, while others are in euros. To have a correct comparison all the contracts values and salaries converted to euro.</t>
      </text>
    </comment>
    <comment authorId="0" ref="C2785">
      <text>
        <t xml:space="preserve">======
ID#AAACFD8uWjo
Robert Stefanovič    (2026-08-26 09:15:51)
Salary covered by Hapoel Tel Aviv</t>
      </text>
    </comment>
    <comment authorId="0" ref="C2397">
      <text>
        <t xml:space="preserve">======
ID#AAAB__-Q3Oo
Robert Stefanovič    (2026-07-14 07:32:23)
Buyout 150k dollars to Partizan</t>
      </text>
    </comment>
    <comment authorId="0" ref="C2298">
      <text>
        <t xml:space="preserve">======
ID#AAAB-vi8SUs
Robert Stefanovič    (2026-07-03 04:52:38)
Buyout 1.5M euro to Valencia</t>
      </text>
    </comment>
    <comment authorId="0" ref="C85">
      <text>
        <t xml:space="preserve">======
ID#AAAB-Miw8o0
Robert Stefanovič    (2026-06-23 12:00:00)
Buyout 300k to Partizan</t>
      </text>
    </comment>
    <comment authorId="0" ref="B1646">
      <text>
        <t xml:space="preserve">======
ID#AAAB-S3QIoc
Robert Stefanovič    (2026-06-25 08:09:28)
Buyout to Aris 150k dollar</t>
      </text>
    </comment>
    <comment authorId="0" ref="C457">
      <text>
        <t xml:space="preserve">======
ID#AAAB9vBwTos
Robert Stefanovič    (2026-06-17 22:09:46)
Most payed team player that season</t>
      </text>
    </comment>
    <comment authorId="0" ref="C168">
      <text>
        <t xml:space="preserve">======
ID#AAAB_4_I6No
Robert Stefanovič    (2026-06-22 10:23:22)
Žalgiris covers 500k</t>
      </text>
    </comment>
    <comment authorId="0" ref="C2249">
      <text>
        <t xml:space="preserve">======
ID#AAAB-pnYMqk
Robert Stefanovič    (2026-06-28 21:16:21)
Buyout 600k to Zaragoza</t>
      </text>
    </comment>
    <comment authorId="0" ref="C1159">
      <text>
        <t xml:space="preserve">======
ID#AAAB95IkC7o
Robert Stefanovič    (2026-06-21 18:03:42)
Buyout 400k</t>
      </text>
    </comment>
    <comment authorId="0" ref="C325">
      <text>
        <t xml:space="preserve">======
ID#AAAB9zrWOY0
Robert Stefanovič    (2026-06-19 18:50:57)
Buyout from Israel 190k</t>
      </text>
    </comment>
    <comment authorId="0" ref="C573">
      <text>
        <t xml:space="preserve">======
ID#AAAB-Mfuxlc
Robert Stefanovič    (2026-06-23 10:17:30)
Payed buyout 350k to Alba</t>
      </text>
    </comment>
    <comment authorId="0" ref="C2299">
      <text>
        <t xml:space="preserve">======
ID#AAAB-vi8SUw
Robert Stefanovič    (2026-07-03 05:13:53)
Buyout 30k to Maccabi Ramat Gan</t>
      </text>
    </comment>
    <comment authorId="0" ref="C2456">
      <text>
        <t xml:space="preserve">======
ID#AAACELxdxoY
Robert Stefanovič    (2026-07-30 05:52:13)
500-600k euro buyout to Baskonia</t>
      </text>
    </comment>
    <comment authorId="0" ref="B1655">
      <text>
        <t xml:space="preserve">======
ID#AAACAHD2EpM
Robert Stefanovič    (2026-06-25 09:43:27)
Buyout after 24/25 500k to Promitheas by Olympiacos. 1.1mil 5years contract</t>
      </text>
    </comment>
    <comment authorId="0" ref="C1622">
      <text>
        <t xml:space="preserve">======
ID#AAACHfHeV2s
Robert Stefanovič    (2026-09-23 07:17:56)
Buyout 650k to Real Madrid</t>
      </text>
    </comment>
    <comment authorId="0" ref="C2357">
      <text>
        <t xml:space="preserve">======
ID#AAACA44s0hw
Robert Stefanovič    (2026-07-10 19:51:19)
Buyout 900k to Barcelona</t>
      </text>
    </comment>
    <comment authorId="0" ref="C2258">
      <text>
        <t xml:space="preserve">======
ID#AAAB-pnSYAg
Robert Stefanovič    (2026-06-29 09:26:27)
Buyout 70k to Brescia</t>
      </text>
    </comment>
    <comment authorId="0" ref="C2316">
      <text>
        <t xml:space="preserve">======
ID#AAAB_Y3u5bE
Robert Stefanovič    (2026-07-08 07:14:16)
Buyout 50k to Trento</t>
      </text>
    </comment>
    <comment authorId="0" ref="C301">
      <text>
        <t xml:space="preserve">======
ID#AAAB93AGDx0
Robert Stefanovič    (2026-06-20 19:53:13)
Buyout to Galatasaray 30k</t>
      </text>
    </comment>
    <comment authorId="0" ref="C747">
      <text>
        <t xml:space="preserve">======
ID#AAACE8jmVo4
Robert Stefanovič    (2026-08-10 11:49:30)
Loaned by Asvel</t>
      </text>
    </comment>
    <comment authorId="0" ref="C235">
      <text>
        <t xml:space="preserve">======
ID#AAAB9vBwToU
Robert Stefanovič    (2026-06-17 21:15:41)
300 k out of 400k payed by Darussafaka as he was loaned</t>
      </text>
    </comment>
    <comment authorId="0" ref="C615">
      <text>
        <t xml:space="preserve">======
ID#AAACDkaQG9g
Robert Stefanovič    (2026-07-20 06:45:09)
Buyout 600k dollars to Hapoel Holon</t>
      </text>
    </comment>
    <comment authorId="0" ref="C103">
      <text>
        <t xml:space="preserve">======
ID#AAAB9vBwToI
Robert Stefanovič    (2026-06-17 21:08:59)
Most payed player of the team that season</t>
      </text>
    </comment>
    <comment authorId="0" ref="C838">
      <text>
        <t xml:space="preserve">======
ID#AAAB8NE7RPg
Robert Stefanovič    (2026-06-19 08:41:19)
Most expensive team player that season</t>
      </text>
    </comment>
    <comment authorId="0" ref="C2366">
      <text>
        <t xml:space="preserve">======
ID#AAACA82eeWw
Robert Stefanovič    (2026-07-13 09:10:19)
2M buyout to Panathinaikos</t>
      </text>
    </comment>
    <comment authorId="0" ref="C2399">
      <text>
        <t xml:space="preserve">======
ID#AAACAAVlWV0
Robert Stefanovič    (2026-07-14 09:18:23)
50k dollars Buyout to Varese</t>
      </text>
    </comment>
    <comment authorId="0" ref="C2457">
      <text>
        <t xml:space="preserve">======
ID#AAACELxdxpQ
Robert Stefanovič    (2026-07-30 06:34:58)
Loaned by Rytas. Lietkabelis covers full</t>
      </text>
    </comment>
    <comment authorId="0" ref="C855">
      <text>
        <t xml:space="preserve">======
ID#AAAB-MfuxlQ
Robert Stefanovič    (2026-06-23 08:31:43)
Buyot to Maccabi 1.2 million dollars</t>
      </text>
    </comment>
    <comment authorId="0" ref="C54">
      <text>
        <t xml:space="preserve">======
ID#AAAB-l4ID18
Robert Stefanovič    (2026-06-26 14:50:59)
340k euro buyout to Maccabi</t>
      </text>
    </comment>
    <comment authorId="0" ref="C2391">
      <text>
        <t xml:space="preserve">======
ID#AAAB-l4ID10
Robert Stefanovič    (2026-06-26 14:41:13)
Buyout 1.5M to Valencia</t>
      </text>
    </comment>
    <comment authorId="0" ref="C756">
      <text>
        <t xml:space="preserve">======
ID#AAAB-M4Q7Ys
Robert Stefanovič    (2026-06-23 16:20:52)
Buyout by Žalgiris 530k dollar</t>
      </text>
    </comment>
    <comment authorId="0" ref="C178">
      <text>
        <t xml:space="preserve">======
ID#AAAB_1PHzGc
Robert Stefanovič    (2026-06-18 06:52:09)
Most payed player on the team that season</t>
      </text>
    </comment>
    <comment authorId="0" ref="C434">
      <text>
        <t xml:space="preserve">======
ID#AAAB9vBwTo8
Robert Stefanovič    (2026-06-17 22:16:07)
Most payed team player that season</t>
      </text>
    </comment>
    <comment authorId="0" ref="C2449">
      <text>
        <t xml:space="preserve">======
ID#AAACELxdxnc
Robert Stefanovič    (2026-07-30 05:01:58)
Most expensive player on the roster</t>
      </text>
    </comment>
    <comment authorId="0" ref="C1648">
      <text>
        <t xml:space="preserve">======
ID#AAAB-S3QIok
Robert Stefanovič    (2026-06-25 08:31:44)
Loaned to Bnei Herzliya</t>
      </text>
    </comment>
    <comment authorId="0" ref="C1871">
      <text>
        <t xml:space="preserve">======
ID#AAAB-TuyBTI
Robert Stefanovič    (2026-06-25 20:34:01)
Loaned from Paris</t>
      </text>
    </comment>
    <comment authorId="0" ref="C459">
      <text>
        <t xml:space="preserve">======
ID#AAAB9vBwTow
Robert Stefanovič    (2026-06-17 22:10:09)
Most payed team player that season</t>
      </text>
    </comment>
    <comment authorId="0" ref="C393">
      <text>
        <t xml:space="preserve">======
ID#AAAB_1PHzIo
Robert Stefanovič    (2026-06-18 08:37:57)
Buyout 120k</t>
      </text>
    </comment>
    <comment authorId="0" ref="C104">
      <text>
        <t xml:space="preserve">======
ID#AAAB9vBwToM
Robert Stefanovič    (2026-06-17 21:09:27)
Most payed player of the team that season</t>
      </text>
    </comment>
    <comment authorId="0" ref="C2375">
      <text>
        <t xml:space="preserve">======
ID#AAACA82eeYA
Robert Stefanovič    (2026-07-13 10:16:01)
2 M buyout to Fenerbahce</t>
      </text>
    </comment>
    <comment authorId="0" ref="C1541">
      <text>
        <t xml:space="preserve">======
ID#AAAB-QtSgOE
Robert Stefanovič    (2026-06-24 15:16:09)
Compensation by Khimki + CSKA salary</t>
      </text>
    </comment>
    <comment authorId="0" ref="C1219">
      <text>
        <t xml:space="preserve">======
ID#AAACHNso-r8
Robert Stefanovič    (2026-09-16 10:54:20)
Buyout is 2,3 million Euro</t>
      </text>
    </comment>
    <comment authorId="0" ref="C451">
      <text>
        <t xml:space="preserve">======
ID#AAAB9vBwTo4
Robert Stefanovič    (2026-06-17 22:13:27)
Most payed team player that season</t>
      </text>
    </comment>
    <comment authorId="0" ref="C2400">
      <text>
        <t xml:space="preserve">======
ID#AAACACgk99c
Robert Stefanovič    (2026-07-15 05:21:33)
Buyout 500k eur to Milano</t>
      </text>
    </comment>
    <comment authorId="0" ref="C2433">
      <text>
        <t xml:space="preserve">======
ID#AAACDkYOW1k
Robert Stefanovič    (2026-07-20 06:38:41)
750k dollars covered by Hapoel Tel Aviv</t>
      </text>
    </comment>
    <comment authorId="0" ref="C765">
      <text>
        <t xml:space="preserve">======
ID#AAAB-oSfczM
Robert Stefanovič    (2026-06-27 20:09:44)
500k by Partizan 800k by Maccabi</t>
      </text>
    </comment>
    <comment authorId="0" ref="C187">
      <text>
        <t xml:space="preserve">======
ID#AAAB_1PHzGg
Robert Stefanovič    (2026-06-18 07:00:23)
Neptūnas pays around 9k, 5k pays Rytas</t>
      </text>
    </comment>
    <comment authorId="0" ref="C1624">
      <text>
        <t xml:space="preserve">======
ID#AAAB-QtSgOc
Robert Stefanovič    (2026-06-24 20:44:59)
second highest-paid local player in the league</t>
      </text>
    </comment>
    <comment authorId="0" ref="C88">
      <text>
        <t xml:space="preserve">======
ID#AAAB95IkC78
Robert Stefanovič    (2026-06-21 18:24:04)
Buyout 550 k dollars to Partizan
------
ID#AAAB-Miw8o4
Robert Stefanovič    (2026-06-23 12:00:31)
Buyout 450k euro to Partizan</t>
      </text>
    </comment>
    <comment authorId="0" ref="C311">
      <text>
        <t xml:space="preserve">======
ID#AAAB9vBwTo0
Robert Stefanovič    (2026-06-17 22:12:23)
Kairys šiemet uždirba maždaug dvigubai mažiau nei pernai, tačiau per sezoną gali pasididinti atlyginimą, jeigu išvengs traumų – jo kontrakte numatyta premija už tam tikrą kiekį sužaistų rungtynių.</t>
      </text>
    </comment>
    <comment authorId="0" ref="C757">
      <text>
        <t xml:space="preserve">======
ID#AAAB-oSfcy4
Robert Stefanovič    (2026-06-27 19:52:51)
Buyout 100k to Real Madrid</t>
      </text>
    </comment>
    <comment authorId="0" ref="C1013">
      <text>
        <t xml:space="preserve">======
ID#AAAB93AGDt8
Robert Stefanovič    (2026-06-20 18:18:18)
Buyout 150k to baskonia + 50 k sutaupyta už bonusus</t>
      </text>
    </comment>
    <comment authorId="0" ref="C724">
      <text>
        <t xml:space="preserve">======
ID#AAAB93AGDxg
Robert Stefanovič    (2026-06-20 19:17:52)
Buyout to žalgiris 150 k</t>
      </text>
    </comment>
    <comment authorId="0" ref="C303">
      <text>
        <t xml:space="preserve">======
ID#AAAB93AGDxw
Robert Stefanovič    (2026-06-20 19:48:39)
Buyout 70k to Bešiktaš</t>
      </text>
    </comment>
    <comment authorId="0" ref="C2376">
      <text>
        <t xml:space="preserve">======
ID#AAACA82eeYE
Robert Stefanovič    (2026-07-13 10:18:06)
Buyout 1 M to Dubai</t>
      </text>
    </comment>
    <comment authorId="0" ref="C105">
      <text>
        <t xml:space="preserve">======
ID#AAAB9vBwToQ
Robert Stefanovič    (2026-06-17 21:11:28)
Rytas pays 20000 k out of 70000</t>
      </text>
    </comment>
    <comment authorId="0" ref="C2409">
      <text>
        <t xml:space="preserve">======
ID#AAACDkYOW1c
Robert Stefanovič    (2026-07-20 05:07:25)
Buyout 1.2 M Eur to Panathinaikos</t>
      </text>
    </comment>
    <comment authorId="0" ref="C1187">
      <text>
        <t xml:space="preserve">======
ID#AAAB-oSfcy0
Robert Stefanovič    (2026-06-27 19:45:19)
Buyout 400k to Baskonia</t>
      </text>
    </comment>
    <comment authorId="0" ref="C1088">
      <text>
        <t xml:space="preserve">======
ID#AAAB9vBwTog
Robert Stefanovič    (2026-06-17 21:37:36)
120k by Bamberg, 30 k by Žalgiris</t>
      </text>
    </comment>
    <comment authorId="0" ref="C312">
      <text>
        <t xml:space="preserve">======
ID#AAAB-QtSgOA
Robert Stefanovič    (2026-06-24 14:06:34)
Buyout 250k to Žalgiris</t>
      </text>
    </comment>
    <comment authorId="0" ref="C180">
      <text>
        <t xml:space="preserve">======
ID#AAAB_4_I6Ns
Robert Stefanovič    (2026-06-22 10:23:33)
Buyout to Žalgiris 500k</t>
      </text>
    </comment>
    <comment authorId="0" ref="C2319">
      <text>
        <t xml:space="preserve">======
ID#AAAB_Y3u5bM
Robert Stefanovič    (2026-07-08 07:42:34)
Buyout 250k dollar to Varese</t>
      </text>
    </comment>
    <comment authorId="0" ref="C1064">
      <text>
        <t xml:space="preserve">======
ID#AAAB95Bz9-U
Robert Stefanovič    (2026-06-21 08:00:07)
Buyout 700k from Munchen Bayern</t>
      </text>
    </comment>
    <comment authorId="0" ref="C2245">
      <text>
        <t xml:space="preserve">======
ID#AAAB-yAhE4U
Robert Stefanovič    (2026-07-01 19:49:51)
Buyout 200k dollars to Fenerbahce</t>
      </text>
    </comment>
    <comment authorId="0" ref="C511">
      <text>
        <t xml:space="preserve">======
ID#AAAB96Lp7x0
Robert Stefanovič    (2026-06-22 21:32:39)
11k dollar buyout to brindisi</t>
      </text>
    </comment>
    <comment authorId="0" ref="C2774">
      <text>
        <t xml:space="preserve">======
ID#AAACFD8uWbk
Robert Stefanovič    (2026-08-26 07:13:27)
Buyout 150-200k to Seoul Samsung Thunders (was signed for 26/27)</t>
      </text>
    </comment>
    <comment authorId="0" ref="C2518">
      <text>
        <t xml:space="preserve">======
ID#AAACFgXwZrg
Robert Stefanovič    (2026-08-13 12:25:50)
Buyout 450k dollars to Asvel</t>
      </text>
    </comment>
    <comment authorId="0" ref="C2386">
      <text>
        <t xml:space="preserve">======
ID#AAAB_Y3u5bA
Robert Stefanovič    (2026-07-08 07:00:45)
Buyout 700k euro to Partizan</t>
      </text>
    </comment>
    <comment authorId="0" ref="C82">
      <text>
        <t xml:space="preserve">======
ID#AAACA82eeYU
Robert Stefanovič    (2026-07-13 10:47:43)
600k buyout to Baskonia</t>
      </text>
    </comment>
    <comment authorId="0" ref="C2287">
      <text>
        <t xml:space="preserve">======
ID#AAAB-vRBJuo
Robert Stefanovič    (2026-07-01 05:55:13)
Real Madrid pays €3M net to Sergio Scariolo to terminate the contract (was until 2028 summer)</t>
      </text>
    </comment>
    <comment authorId="0" ref="C2246">
      <text>
        <t xml:space="preserve">======
ID#AAAB-pnYMpc
Robert Stefanovič    (2026-06-28 20:29:22)
2.5 M by Fener, 1 M by Efes</t>
      </text>
    </comment>
    <comment authorId="0" ref="C1858">
      <text>
        <t xml:space="preserve">======
ID#AAAB_WrMwHw
Robert Stefanovič    (2026-07-07 10:33:03)
Buyout 150k Dollar to Trapani</t>
      </text>
    </comment>
    <comment authorId="0" ref="C1346">
      <text>
        <t xml:space="preserve">======
ID#AAAB_4_I6Ng
Robert Stefanovič    (2026-06-22 10:08:59)
Bešiktaš ~600k, Bologna 400k</t>
      </text>
    </comment>
    <comment authorId="0" ref="C1024">
      <text>
        <t xml:space="preserve">======
ID#AAAB_Y3u5bs
Robert Stefanovič    (2026-07-08 09:09:04)
Buyout 400k dollar to Maccabi</t>
      </text>
    </comment>
    <comment authorId="0" ref="C1627">
      <text>
        <t xml:space="preserve">======
ID#AAAB-QtSgOk
Robert Stefanovič    (2026-06-24 21:18:12)
highest-paid import in the NBL</t>
      </text>
    </comment>
    <comment authorId="0" ref="C570">
      <text>
        <t xml:space="preserve">======
ID#AAACD6Hb6lc
Robert Stefanovič    (2026-07-24 05:58:50)
Loaned from Alba</t>
      </text>
    </comment>
    <comment authorId="0" ref="C760">
      <text>
        <t xml:space="preserve">======
ID#AAAB-Miw8pE
Robert Stefanovič    (2026-06-23 12:14:16)
Received buyout from 76ers 1.75 million dollars</t>
      </text>
    </comment>
    <comment authorId="0" ref="G25">
      <text>
        <t xml:space="preserve">======
ID#AAAB9zek2vE
Robert Stefanovič    (2026-06-22 19:29:04)
Contract value at the moment it was signed. I keep this value even if the player didn't finish that season with the same team. It better represents value of the player at the time he was signed. In some cases is not the value player earned that season, because some of these contracts were terminated during the season when player moved to other team
------
ID#AAAB-l4ID2Y
Robert Stefanovič    (2026-06-26 15:26:30)
_Marked as resolved_
------
ID#AAAB-l4ID2c
Robert Stefanovič    (2026-06-26 15:27:01)
_Re-opened_</t>
      </text>
    </comment>
    <comment authorId="0" ref="C1652">
      <text>
        <t xml:space="preserve">======
ID#AAACAHD2EpI
Robert Stefanovič    (2026-06-25 09:36:46)
Buyout to Patras Prometheas 650k</t>
      </text>
    </comment>
    <comment authorId="0" ref="H25">
      <text>
        <t xml:space="preserve">======
ID#AAAB9zek2vA
Robert Stefanovič    (2026-06-22 19:26:01)
Standard full season is 10 months
------
ID#AAAB-l4ID2U
Robert Stefanovič    (2026-06-26 15:26:25)
_Marked as resolved_
------
ID#AAAB-l4ID2g
Robert Stefanovič    (2026-06-26 15:27:03)
_Re-opened_</t>
      </text>
    </comment>
    <comment authorId="0" ref="C83">
      <text>
        <t xml:space="preserve">======
ID#AAACA82eeX4
Robert Stefanovič    (2026-07-13 10:05:26)
Buyout 250 k to Paris</t>
      </text>
    </comment>
    <comment authorId="0" ref="I25">
      <text>
        <t xml:space="preserve">======
ID#AAAB-QtSgOg
Robert Stefanovič    (2026-06-24 21:08:22)
Standard full season in Europe is 10 months.
In Australia 7 months</t>
      </text>
    </comment>
    <comment authorId="0" ref="C1041">
      <text>
        <t xml:space="preserve">======
ID#AAAB-QtSgN8
Robert Stefanovič    (2026-06-24 13:45:15)
Buyout to Žalgiris 150k</t>
      </text>
    </comment>
    <comment authorId="0" ref="C752">
      <text>
        <t xml:space="preserve">======
ID#AAACA82eeYg
Robert Stefanovič    (2026-07-13 10:53:38)
Buyout 700k</t>
      </text>
    </comment>
    <comment authorId="0" ref="C1644">
      <text>
        <t xml:space="preserve">======
ID#AAACAAVlWVs
Robert Stefanovič    (2026-07-14 08:43:38)
Buyout 150k dollars to Zenit</t>
      </text>
    </comment>
    <comment authorId="0" ref="C2379">
      <text>
        <t xml:space="preserve">======
ID#AAACA82eeYY
Robert Stefanovič    (2026-07-13 10:49:52)
Buyout 400k to Maccabi</t>
      </text>
    </comment>
    <comment authorId="0" ref="C2280">
      <text>
        <t xml:space="preserve">======
ID#AAAB-tN8Bm8
Robert Stefanovič    (2026-06-30 09:19:06)
assistant coach</t>
      </text>
    </comment>
    <comment authorId="0" ref="C1157">
      <text>
        <t xml:space="preserve">======
ID#AAAB95IkC7k
Robert Stefanovič    (2026-06-21 17:47:51)
Buyout 500k for Monaco</t>
      </text>
    </comment>
    <comment authorId="0" ref="C1380">
      <text>
        <t xml:space="preserve">======
ID#AAAB-l4ID2A
Robert Stefanovič    (2026-06-26 14:58:55)
Buyout 500 k to Gran Canaria</t>
      </text>
    </comment>
  </commentList>
  <extLst>
    <ext uri="GoogleSheetsCustomDataVersion2">
      <go:sheetsCustomData xmlns:go="http://customooxmlschemas.google.com/" r:id="rId1" roundtripDataSignature="AMtx7mjXASImbthz3TSvCAmUzjlZJa+C1w=="/>
    </ext>
  </extLst>
</comments>
</file>

<file path=xl/sharedStrings.xml><?xml version="1.0" encoding="utf-8"?>
<sst xmlns="http://schemas.openxmlformats.org/spreadsheetml/2006/main" count="23596" uniqueCount="3041">
  <si>
    <t>World</t>
  </si>
  <si>
    <t>Nation</t>
  </si>
  <si>
    <t>French league (Betclic Elite)</t>
  </si>
  <si>
    <t>Club</t>
  </si>
  <si>
    <t>Total Budget</t>
  </si>
  <si>
    <t>Gross salary budget</t>
  </si>
  <si>
    <t>Salary % from total budget</t>
  </si>
  <si>
    <t>Place in the national league after the regular season</t>
  </si>
  <si>
    <t>Participation in European tournament</t>
  </si>
  <si>
    <t>Latvia</t>
  </si>
  <si>
    <t>Latvijas Universitātes</t>
  </si>
  <si>
    <t>Season 25/26</t>
  </si>
  <si>
    <t>Budget increase from the last season</t>
  </si>
  <si>
    <t>France</t>
  </si>
  <si>
    <t>Paris</t>
  </si>
  <si>
    <t>Prancūzijos lyga (Betclic Elite)</t>
  </si>
  <si>
    <t>-</t>
  </si>
  <si>
    <t>Euroleague - regular season 16 place</t>
  </si>
  <si>
    <t>Klubas</t>
  </si>
  <si>
    <t>Monaco</t>
  </si>
  <si>
    <t>Finland</t>
  </si>
  <si>
    <t>Korihait</t>
  </si>
  <si>
    <t>Vidutinis žiūrovų skaičius</t>
  </si>
  <si>
    <t>Arena talpina</t>
  </si>
  <si>
    <t>Užpildymas</t>
  </si>
  <si>
    <t>Vieta nac. čemp. turnyrinėje lentelėje po reg. sezono</t>
  </si>
  <si>
    <t>Euroleague - Top 8 / quarter-finals</t>
  </si>
  <si>
    <t>Nanterre</t>
  </si>
  <si>
    <t>Liepaja</t>
  </si>
  <si>
    <t>Bisons Laimaa</t>
  </si>
  <si>
    <t>Asvel</t>
  </si>
  <si>
    <t>Cholet</t>
  </si>
  <si>
    <t>Tampereen Pyrinto</t>
  </si>
  <si>
    <t>Euroleague - regular season 20 place</t>
  </si>
  <si>
    <t>Le Mans</t>
  </si>
  <si>
    <t>Bourg-en-Bresse</t>
  </si>
  <si>
    <t>BCL - Play-in round</t>
  </si>
  <si>
    <t>Kouvot</t>
  </si>
  <si>
    <t>Strasbourg</t>
  </si>
  <si>
    <t>BCL - Top 16 round</t>
  </si>
  <si>
    <t>Chalon</t>
  </si>
  <si>
    <t>Kobrat</t>
  </si>
  <si>
    <t>Nancy</t>
  </si>
  <si>
    <t>Eurocup - Winners</t>
  </si>
  <si>
    <t>Dijon</t>
  </si>
  <si>
    <t>KTP Basket</t>
  </si>
  <si>
    <t>Boulazac</t>
  </si>
  <si>
    <t>Tampiolan Honka</t>
  </si>
  <si>
    <t>Limoges</t>
  </si>
  <si>
    <t>Ogre</t>
  </si>
  <si>
    <t>Czech Republic</t>
  </si>
  <si>
    <t>Fiba  Europe Cup - did not advance from the group to the next round</t>
  </si>
  <si>
    <t>Basket Brno</t>
  </si>
  <si>
    <t>Gravelines</t>
  </si>
  <si>
    <t>Ventspilis</t>
  </si>
  <si>
    <t>Saint-Quentin</t>
  </si>
  <si>
    <t>North Macedonia</t>
  </si>
  <si>
    <t>KK Pelister</t>
  </si>
  <si>
    <t>Le Portel</t>
  </si>
  <si>
    <t>Romania</t>
  </si>
  <si>
    <t>Sibiu</t>
  </si>
  <si>
    <t>League average</t>
  </si>
  <si>
    <t>Salon Vilpas</t>
  </si>
  <si>
    <t>Kataja Basket</t>
  </si>
  <si>
    <t>Slovakia</t>
  </si>
  <si>
    <t>Levice Patrioti</t>
  </si>
  <si>
    <t>German league (easyCredit BBL)</t>
  </si>
  <si>
    <t>Kauhajoki</t>
  </si>
  <si>
    <t>BC Nokia</t>
  </si>
  <si>
    <t>Lithuania</t>
  </si>
  <si>
    <t>Nevėžis</t>
  </si>
  <si>
    <t>Germany</t>
  </si>
  <si>
    <t>FC Bayern</t>
  </si>
  <si>
    <t>Riga Zelli</t>
  </si>
  <si>
    <t>ENBL - Top 8 / quarter-finals</t>
  </si>
  <si>
    <t>Valmiera Glass/ViA</t>
  </si>
  <si>
    <t>ENBL - Top 16</t>
  </si>
  <si>
    <t>Poland</t>
  </si>
  <si>
    <t>Miasto Szkła Krosno</t>
  </si>
  <si>
    <t>Alba Berlin</t>
  </si>
  <si>
    <t>Slovenia</t>
  </si>
  <si>
    <t>Perspektiva Illirija</t>
  </si>
  <si>
    <t>Helsinki Seagulls</t>
  </si>
  <si>
    <t>Hungary</t>
  </si>
  <si>
    <t>Alba-Fehervar</t>
  </si>
  <si>
    <t>Montenegro</t>
  </si>
  <si>
    <t>Studentski Centar Derby</t>
  </si>
  <si>
    <t>Bamberg Baskets</t>
  </si>
  <si>
    <t>Serbia</t>
  </si>
  <si>
    <t>Borac Mozzart</t>
  </si>
  <si>
    <t>Euroleague - regular season 13 place</t>
  </si>
  <si>
    <t>Estonia</t>
  </si>
  <si>
    <t>Tartu Ulikool</t>
  </si>
  <si>
    <t>Telekom Baskets Bonn</t>
  </si>
  <si>
    <t>Jonava</t>
  </si>
  <si>
    <t>BCL- Top 8 / quarter-finals</t>
  </si>
  <si>
    <t>Vef Riga</t>
  </si>
  <si>
    <t>Wurzburg</t>
  </si>
  <si>
    <t>BCL - did not advance from the group to the next round</t>
  </si>
  <si>
    <t>Gargždai</t>
  </si>
  <si>
    <t>Ratiopharm Ulm</t>
  </si>
  <si>
    <t>Rasta Vechta</t>
  </si>
  <si>
    <t>BCL - Top 16</t>
  </si>
  <si>
    <t>Gladiators Trier</t>
  </si>
  <si>
    <t>BC Kalev/Cramo</t>
  </si>
  <si>
    <t>Rostock Seawolves</t>
  </si>
  <si>
    <t>Juventus</t>
  </si>
  <si>
    <t>Eurocup - regular season 7 place</t>
  </si>
  <si>
    <t>MHP Riesen Ludwigsburg</t>
  </si>
  <si>
    <t>EWE Baskets Oldenburg</t>
  </si>
  <si>
    <t>CS Vâlcea 1924</t>
  </si>
  <si>
    <t>Niners Chemnitz</t>
  </si>
  <si>
    <t>Vidurkis</t>
  </si>
  <si>
    <t>Fiba  Europe Cup - Top 16</t>
  </si>
  <si>
    <t>Greece</t>
  </si>
  <si>
    <t>Karditsas</t>
  </si>
  <si>
    <t>Syntainics MBC</t>
  </si>
  <si>
    <t>Hamburg Towers</t>
  </si>
  <si>
    <t>Frankfurt Skyliners</t>
  </si>
  <si>
    <t>Kaposvari</t>
  </si>
  <si>
    <t>Science City Jena</t>
  </si>
  <si>
    <t>Lowen Braunschweig</t>
  </si>
  <si>
    <t>Eurocup - 1/8 finals</t>
  </si>
  <si>
    <t>Šiauliai</t>
  </si>
  <si>
    <t>MLP Academics Heidelberg</t>
  </si>
  <si>
    <t>Vokietijos lyga (easyCredit BBL)</t>
  </si>
  <si>
    <t>King Wilki Morskie Szczecin</t>
  </si>
  <si>
    <t>ENBL - F4 / third place</t>
  </si>
  <si>
    <t>CS Dinamo Bucharest</t>
  </si>
  <si>
    <t>Eurocup - regular season 10 place</t>
  </si>
  <si>
    <t>Spanish league (liga Endesa)</t>
  </si>
  <si>
    <t>Lietkabelis</t>
  </si>
  <si>
    <r>
      <rPr>
        <rFont val="&quot;Times New Roman&quot;, sans-serif"/>
        <color rgb="FF1155CC"/>
        <sz val="12.0"/>
        <u/>
      </rPr>
      <t>https://easycredit-bbl.de/statistiken/zuschauer</t>
    </r>
  </si>
  <si>
    <t>Eurocup -  regular season 9 place</t>
  </si>
  <si>
    <t>Trefl Sopot</t>
  </si>
  <si>
    <t>Source 1</t>
  </si>
  <si>
    <t>Source 2</t>
  </si>
  <si>
    <t>Source 3</t>
  </si>
  <si>
    <t>FMP Beograd</t>
  </si>
  <si>
    <t>+</t>
  </si>
  <si>
    <t>Spain</t>
  </si>
  <si>
    <t>Real Madrid</t>
  </si>
  <si>
    <t>Neptūnas</t>
  </si>
  <si>
    <t>Eurocup -  regular season 8 place</t>
  </si>
  <si>
    <r>
      <rPr>
        <rFont val="Inherit"/>
        <b/>
        <color theme="1"/>
        <sz val="12.0"/>
      </rPr>
      <t xml:space="preserve">Unicaja </t>
    </r>
    <r>
      <rPr>
        <rFont val="Inherit"/>
        <b val="0"/>
        <color theme="1"/>
        <sz val="12.0"/>
      </rPr>
      <t xml:space="preserve">- šiek tiek virš 16 mln bendras (algoms ~9-10), (penktas didžiausias ACB, prezidento žodžiai) </t>
    </r>
    <r>
      <rPr>
        <rFont val="Inherit"/>
        <b/>
        <color theme="1"/>
        <sz val="12.0"/>
      </rPr>
      <t>Tenerifė</t>
    </r>
    <r>
      <rPr>
        <rFont val="Inherit"/>
        <b val="0"/>
        <color theme="1"/>
        <sz val="12.0"/>
      </rPr>
      <t xml:space="preserve"> - 11-12 mln. (algoms apie 6-6.5 mln) </t>
    </r>
    <r>
      <rPr>
        <rFont val="Inherit"/>
        <b/>
        <color theme="1"/>
        <sz val="12.0"/>
      </rPr>
      <t>AEK</t>
    </r>
    <r>
      <rPr>
        <rFont val="Inherit"/>
        <b val="0"/>
        <color theme="1"/>
        <sz val="12.0"/>
      </rPr>
      <t xml:space="preserve">- 6-7 mln (algoms 3.5-4.5 mln) Kitos komandos TOP 8: </t>
    </r>
    <r>
      <rPr>
        <rFont val="Inherit"/>
        <b/>
        <color theme="1"/>
        <sz val="12.0"/>
      </rPr>
      <t xml:space="preserve">Joventut </t>
    </r>
    <r>
      <rPr>
        <rFont val="Inherit"/>
        <b val="0"/>
        <color theme="1"/>
        <sz val="12.0"/>
      </rPr>
      <t xml:space="preserve">~9 mln (Algoms apie ~6 mln) </t>
    </r>
    <r>
      <rPr>
        <rFont val="Inherit"/>
        <b/>
        <color theme="1"/>
        <sz val="12.0"/>
      </rPr>
      <t>Galatasaray</t>
    </r>
    <r>
      <rPr>
        <rFont val="Inherit"/>
        <b val="0"/>
        <color theme="1"/>
        <sz val="12.0"/>
      </rPr>
      <t xml:space="preserve"> - 7.7 eur (5.3 mln algoms) oficialūs skaičiai </t>
    </r>
    <r>
      <rPr>
        <rFont val="Inherit"/>
        <b/>
        <color theme="1"/>
        <sz val="12.0"/>
      </rPr>
      <t xml:space="preserve">Alba Berlin </t>
    </r>
    <r>
      <rPr>
        <rFont val="Inherit"/>
        <b val="0"/>
        <color theme="1"/>
        <sz val="12.0"/>
      </rPr>
      <t xml:space="preserve">- 11.4 mln (4.7 mln algoms) </t>
    </r>
    <r>
      <rPr>
        <rFont val="Inherit"/>
        <b/>
        <color theme="1"/>
        <sz val="12.0"/>
      </rPr>
      <t xml:space="preserve">Nymburk </t>
    </r>
    <r>
      <rPr>
        <rFont val="Inherit"/>
        <b val="0"/>
        <color theme="1"/>
        <sz val="12.0"/>
      </rPr>
      <t xml:space="preserve">- ~3 mln eur (1,5-2 mln algoms) Kitos komandos TOP16: </t>
    </r>
    <r>
      <rPr>
        <rFont val="Inherit"/>
        <b/>
        <color theme="1"/>
        <sz val="12.0"/>
      </rPr>
      <t xml:space="preserve">Würzburg </t>
    </r>
    <r>
      <rPr>
        <rFont val="Inherit"/>
        <b val="0"/>
        <color theme="1"/>
        <sz val="12.0"/>
      </rPr>
      <t xml:space="preserve">- 6.73 mln (algoms 2.8mln. ) </t>
    </r>
    <r>
      <rPr>
        <rFont val="Inherit"/>
        <b/>
        <color theme="1"/>
        <sz val="12.0"/>
      </rPr>
      <t xml:space="preserve">Gran Canaria </t>
    </r>
    <r>
      <rPr>
        <rFont val="Inherit"/>
        <b val="0"/>
        <color theme="1"/>
        <sz val="12.0"/>
      </rPr>
      <t xml:space="preserve">- ~11 mln (algoms 5-5.5 mln.) </t>
    </r>
    <r>
      <rPr>
        <rFont val="Inherit"/>
        <b/>
        <color theme="1"/>
        <sz val="12.0"/>
      </rPr>
      <t>Le Mans</t>
    </r>
    <r>
      <rPr>
        <rFont val="Inherit"/>
        <b val="0"/>
        <color theme="1"/>
        <sz val="12.0"/>
      </rPr>
      <t xml:space="preserve"> - 7.5 mln (algoms 2.3 mln) </t>
    </r>
    <r>
      <rPr>
        <rFont val="Inherit"/>
        <b/>
        <color theme="1"/>
        <sz val="12.0"/>
      </rPr>
      <t>Chalon</t>
    </r>
    <r>
      <rPr>
        <rFont val="Inherit"/>
        <b val="0"/>
        <color theme="1"/>
        <sz val="12.0"/>
      </rPr>
      <t xml:space="preserve"> - 7.2 mln (algoms 2 mln.) </t>
    </r>
    <r>
      <rPr>
        <rFont val="Inherit"/>
        <b/>
        <color theme="1"/>
        <sz val="12.0"/>
      </rPr>
      <t xml:space="preserve">Trieste </t>
    </r>
    <r>
      <rPr>
        <rFont val="Inherit"/>
        <b val="0"/>
        <color theme="1"/>
        <sz val="12.0"/>
      </rPr>
      <t xml:space="preserve">- 6-7.5 mln (algoms 3,5-4,5 mln) </t>
    </r>
    <r>
      <rPr>
        <rFont val="Inherit"/>
        <b/>
        <color theme="1"/>
        <sz val="12.0"/>
      </rPr>
      <t>Tofaš</t>
    </r>
    <r>
      <rPr>
        <rFont val="Inherit"/>
        <b val="0"/>
        <color theme="1"/>
        <sz val="12.0"/>
      </rPr>
      <t xml:space="preserve"> - 6-8 mln. (algoms 4-5.5 mln) </t>
    </r>
    <r>
      <rPr>
        <rFont val="Inherit"/>
        <b/>
        <color theme="1"/>
        <sz val="12.0"/>
      </rPr>
      <t>Holon</t>
    </r>
    <r>
      <rPr>
        <rFont val="Inherit"/>
        <b val="0"/>
        <color theme="1"/>
        <sz val="12.0"/>
      </rPr>
      <t xml:space="preserve"> - 4.5-6 mln (algoms 3-4 mln) </t>
    </r>
    <r>
      <rPr>
        <rFont val="Inherit"/>
        <b/>
        <color theme="1"/>
        <sz val="12.0"/>
      </rPr>
      <t>Karditsas</t>
    </r>
    <r>
      <rPr>
        <rFont val="Inherit"/>
        <b val="0"/>
        <color theme="1"/>
        <sz val="12.0"/>
      </rPr>
      <t xml:space="preserve">- 2.5-4 mln (algoms 1.5-2.5 mln) </t>
    </r>
    <r>
      <rPr>
        <rFont val="Inherit"/>
        <b/>
        <color theme="1"/>
        <sz val="12.0"/>
      </rPr>
      <t>Rytas</t>
    </r>
    <r>
      <rPr>
        <rFont val="Inherit"/>
        <b val="0"/>
        <color theme="1"/>
        <sz val="12.0"/>
      </rPr>
      <t xml:space="preserve"> -6.6 mln (algoms 3.2 mln) </t>
    </r>
  </si>
  <si>
    <t>Era Nymburk</t>
  </si>
  <si>
    <t>BCL - Top 8 / quarter-finals</t>
  </si>
  <si>
    <t>Dziki Warszawa</t>
  </si>
  <si>
    <t>ENBL - Winner</t>
  </si>
  <si>
    <t>13488 / 8780</t>
  </si>
  <si>
    <t>Mega Basket</t>
  </si>
  <si>
    <t>https://cronicavasca.elespanol.com/deportes/20260910/baskonia-contara-cuarto-presupuesto-acb-millones-euros/1003742791603_0.html</t>
  </si>
  <si>
    <t>Australia</t>
  </si>
  <si>
    <t>Cairns Taipans</t>
  </si>
  <si>
    <t>Croatia</t>
  </si>
  <si>
    <t>Zadar</t>
  </si>
  <si>
    <t>18500 / 6000</t>
  </si>
  <si>
    <t>Peristeri</t>
  </si>
  <si>
    <t>Euroleague - F4 / second place</t>
  </si>
  <si>
    <t>https://www.2playbook.com/clubes/real-madrid-perdera-38-millones-con-baloncesto-en-2025-2026-como-paso-previo-su-apuesta-nba_20577_102.html</t>
  </si>
  <si>
    <t>Fiba Europe Cup - Top 8 / quarter-finals</t>
  </si>
  <si>
    <t>11500 / 6731</t>
  </si>
  <si>
    <t>Mykonos</t>
  </si>
  <si>
    <t>Slask Wroclaw</t>
  </si>
  <si>
    <t>Valencia basket</t>
  </si>
  <si>
    <t>6335 / 3148</t>
  </si>
  <si>
    <t>Eurocup - regular season 9 place</t>
  </si>
  <si>
    <t>https://encestando.es/el-real-madrid-facturo-25-millones-la-pasada-temporada-y-perdio-195-este-ano-preve-38</t>
  </si>
  <si>
    <t>Iraklis</t>
  </si>
  <si>
    <t>https://www.diariosur.es/unicaja/competencia-nunca-unicaja-20260628120526-nt.html#vca=fixed-btn&amp;vso=rrss&amp;vmc=tw&amp;vli=unicaja</t>
  </si>
  <si>
    <t>Brisbane Bullets</t>
  </si>
  <si>
    <t>https://cronicaglobal.elespanol.com/culemania/palco/20251115/barca-basket-millones-real-madrid-jugadores-laporta/1003742707818_0.html</t>
  </si>
  <si>
    <t>https://www.merchanendirecto.es/presupuesto-de-record-para-unicaja/</t>
  </si>
  <si>
    <t>Atomeromu Paks</t>
  </si>
  <si>
    <t>Israel</t>
  </si>
  <si>
    <t>Ironi Kiryat Ata</t>
  </si>
  <si>
    <t>Galil Elyon</t>
  </si>
  <si>
    <t>Maccabi Raanana</t>
  </si>
  <si>
    <t>Valencia</t>
  </si>
  <si>
    <t>14713 / 4521</t>
  </si>
  <si>
    <t>Kosner Baskonia</t>
  </si>
  <si>
    <t>Arka Gdynia</t>
  </si>
  <si>
    <t>Euroleague - F4 / semi-finals</t>
  </si>
  <si>
    <t>https://as.com/baloncesto/el-bilbao-basket-empieza-a-crecer-f202512-n/</t>
  </si>
  <si>
    <t>Denmark</t>
  </si>
  <si>
    <t>Bakken Bears</t>
  </si>
  <si>
    <t>https://www.basketeurope.com/euroleague-valence-booste-son-budget-a-35-millions-deuros/</t>
  </si>
  <si>
    <t>Austria</t>
  </si>
  <si>
    <t>Vienna Basket</t>
  </si>
  <si>
    <t>UCAM Murcia</t>
  </si>
  <si>
    <t>Bosnia and Herzegovina</t>
  </si>
  <si>
    <t>KK Bosna</t>
  </si>
  <si>
    <t>Szolnoki Olaj</t>
  </si>
  <si>
    <t>KK Krka</t>
  </si>
  <si>
    <t>Barcelona</t>
  </si>
  <si>
    <t>Turkey</t>
  </si>
  <si>
    <t>12015 / 3400</t>
  </si>
  <si>
    <t>Buyukcekmece</t>
  </si>
  <si>
    <t>Kolossos Rhodes</t>
  </si>
  <si>
    <t>https://www.lasprovincias.es/deportes/valencia-bc/valencia-basket-aprueba-presupuesto-record-millones-temporada-20251211191149-nt.html</t>
  </si>
  <si>
    <t>New Zealand Breakers</t>
  </si>
  <si>
    <t>https://www.lesportiudecatalunya.cat/basquet/article/2659368-aposta-forta-6-5-milions-d-euros-mes.html</t>
  </si>
  <si>
    <t>12000 / 3000</t>
  </si>
  <si>
    <t>Baskonia</t>
  </si>
  <si>
    <t>Euroleague - regular season 18 place</t>
  </si>
  <si>
    <t>https://cronicaglobal.elespanol.com/culemania/palco/20260321/laporta-subira-presupuesto-barca-basket-millones-temporada/1003742743992_0.html</t>
  </si>
  <si>
    <t>https://cronicavasca.elespanol.com/deportes/20250727/baskonia-seguira-potente-acb-contara-millones-presupuesto/1003742675823_0.html</t>
  </si>
  <si>
    <t>Falco Szombatey</t>
  </si>
  <si>
    <t>Fiba  Europe Cup - F4 / semifinals</t>
  </si>
  <si>
    <t>Hapoel Beer Sheeva</t>
  </si>
  <si>
    <t>Elitzur Maccabi Netanya</t>
  </si>
  <si>
    <t>https://www.sport.es/es/noticias/barca/baloncesto/salto-dara-barca-basket-nivel-130299412</t>
  </si>
  <si>
    <t>Portugal</t>
  </si>
  <si>
    <t>Porto</t>
  </si>
  <si>
    <t>Promitheas Patras</t>
  </si>
  <si>
    <t>Ispanijos lyga (liga Endesa)</t>
  </si>
  <si>
    <t>https://www.elcorreo.com/baskonia/baskonia-pablo-laso-costo-113-millones-euros-20251130000753-nt.html</t>
  </si>
  <si>
    <t>Joventut Badalona</t>
  </si>
  <si>
    <t>Illawarra Hawks</t>
  </si>
  <si>
    <t>Surne Bilbao Basket</t>
  </si>
  <si>
    <t>https://cronicavasca.elespanol.com/deportes/20260227/baskonia-cuarto-presupuesto-salarial-euroliga-millones-euros/1003742736078_0.html</t>
  </si>
  <si>
    <t>Tenerife</t>
  </si>
  <si>
    <t>Italy</t>
  </si>
  <si>
    <t>Cremona</t>
  </si>
  <si>
    <t>Malaga Unicaja</t>
  </si>
  <si>
    <t>Split</t>
  </si>
  <si>
    <t>https://www.diariosur.es/unicaja/presupuesto-record-unicaja-baloncesto-2026-2027-20260611183146-nt.html</t>
  </si>
  <si>
    <t>Unicaja</t>
  </si>
  <si>
    <t>Fiba  Europe Cup - F4 / semi-finals</t>
  </si>
  <si>
    <t>https://www.marca.com/baloncesto/acb/playoffs/2024/06/06/665de632268e3e39178b4602.html</t>
  </si>
  <si>
    <t>Maccabi Ironi Ramat Gan</t>
  </si>
  <si>
    <t>Merkezefendi</t>
  </si>
  <si>
    <t>Belgium</t>
  </si>
  <si>
    <t>Antwerp Giants</t>
  </si>
  <si>
    <t>https://cadenaser.com/murcia/2025/05/14/alejandro-gomez-presupuesto-de-ucam-murcia-y-planificacion-de-la-proxima-temporada-radio-murcia/</t>
  </si>
  <si>
    <t>San Pablo Burgos</t>
  </si>
  <si>
    <t>Kids&amp;Us Manresa</t>
  </si>
  <si>
    <t>Japan</t>
  </si>
  <si>
    <t>Shiga</t>
  </si>
  <si>
    <t>Anwil Wloclawek</t>
  </si>
  <si>
    <t>https://palco23.mundodeportivo.com/clubes/ucam-murcia-refuerza-su-estructura-con-una-ampliacion-de-capital-de-970000-euros</t>
  </si>
  <si>
    <t>Rio Breogan</t>
  </si>
  <si>
    <t>Legia Warsaw</t>
  </si>
  <si>
    <t>Bibao Basket</t>
  </si>
  <si>
    <t>Benfica</t>
  </si>
  <si>
    <t>FIATC Basquet Girona</t>
  </si>
  <si>
    <t>Tasmania JackJumpers</t>
  </si>
  <si>
    <t>Basket Zaragoza</t>
  </si>
  <si>
    <t>Bnei Herzliya</t>
  </si>
  <si>
    <t>Euroleague - play-in round</t>
  </si>
  <si>
    <t>https://www.eurohoops.net/en/euroleague/1941681/joan-laporta-talks-budget-barcelona-euroleague/</t>
  </si>
  <si>
    <t>Maccabi Rishon</t>
  </si>
  <si>
    <t>89ers Sendai</t>
  </si>
  <si>
    <t>Ilerna Lleida</t>
  </si>
  <si>
    <t>Bursaspor</t>
  </si>
  <si>
    <t>Granada</t>
  </si>
  <si>
    <t>https://www.segre.com/es/deportes/260820/empieza-reto_1308642.html</t>
  </si>
  <si>
    <t>https://www.2playbook.com/clubes/joventut-badalona-formaliza-ampliacion-capital-717685-euros_17599_102.html</t>
  </si>
  <si>
    <t>Udine</t>
  </si>
  <si>
    <t>CB Gran Canaria</t>
  </si>
  <si>
    <t>SE Melbourne Phoenix</t>
  </si>
  <si>
    <t>Casademont Zaragoza</t>
  </si>
  <si>
    <t>Lleida</t>
  </si>
  <si>
    <t>https://palco23.mundodeportivo.com/clubes/joventut-de-badalona-perdio-46-millones-en-un-complicado-2023-2024</t>
  </si>
  <si>
    <t>MoraBanc Andorra</t>
  </si>
  <si>
    <t>Breogan</t>
  </si>
  <si>
    <t>CSM Oradea</t>
  </si>
  <si>
    <t>Manisa</t>
  </si>
  <si>
    <t>https://palco23.mundodeportivo.com/clubes/joventut-de-badalona-engorda-su-agujero-pese-a-recortar-casi-un-30-sus-perdidas-en-2024-2025</t>
  </si>
  <si>
    <t>Leyma Coruna</t>
  </si>
  <si>
    <t>Basquet Girona</t>
  </si>
  <si>
    <t>Melbourne United</t>
  </si>
  <si>
    <t>https://www.lavozdegalicia.es/noticia/basquetcoruna/2026/06/10/leyma-basquet-coruna-contara-presupuesto-5-6-millones/00031781113228571297171.htm</t>
  </si>
  <si>
    <t>Igokea</t>
  </si>
  <si>
    <t>Fiba  Europe Cup - Winner</t>
  </si>
  <si>
    <t>https://www.naiz.eus/info/noticia/20251230/bilbao-basket-aprueba-un-presupuesto-de-5-4-millones-de-euros-para-cerrar-un-curso-historico</t>
  </si>
  <si>
    <t>Baxi Manresa</t>
  </si>
  <si>
    <t>Monbus Obradoiro</t>
  </si>
  <si>
    <t>-%</t>
  </si>
  <si>
    <t>Maroussi</t>
  </si>
  <si>
    <t>https://www.elcorreogallego.es/deportes/2026/09/02/obradoiro-desnuda-regreso-acb-monbus-liga-endesa-diego-epifanio-epi-hector-galan-mercado-fichajes-133867789.html</t>
  </si>
  <si>
    <t>https://radiopopular.com/2025/12/el-bilbao-basket-pasa-de-resistir-a-construir-futuro</t>
  </si>
  <si>
    <t>Andorra</t>
  </si>
  <si>
    <t>https://www.elcorreo.com/bilbaobasket/surne-bilbao-fija-presupuesto-millones-destina-brutos-20251229212548-nt.html?ref=https%3A%2F%2Fwww.elcorreo.com%2Fbilbaobasket%2Fsurne-bilbao-fija-presupuesto-millones-destina-brutos-20251229212548-nt.html</t>
  </si>
  <si>
    <t>Sydney Kings</t>
  </si>
  <si>
    <t>taxes expl</t>
  </si>
  <si>
    <t>Cantu</t>
  </si>
  <si>
    <t>Italian league (Lega A)</t>
  </si>
  <si>
    <t>Source 4</t>
  </si>
  <si>
    <t>Virtus Bologna</t>
  </si>
  <si>
    <t>BCL - F4 / fourth place</t>
  </si>
  <si>
    <t>https://www.eldia.es/deportes/cb-canarias/2026/01/19/canarias-cierra-pasado-ejercicio-200-125859060.html</t>
  </si>
  <si>
    <t>Italijos lyga (Lega A)</t>
  </si>
  <si>
    <t>Filou Ostende</t>
  </si>
  <si>
    <t>https://x.com/hizlihucum/status/2070424325295890624</t>
  </si>
  <si>
    <t>Saga</t>
  </si>
  <si>
    <t>https://www.2playbook.com/clubes/laguna-tenerife-cierra-en-beneficios-factura-114-millones-euros-en-2024-2025_21196_102.html</t>
  </si>
  <si>
    <t>Vidutinės rungtynių pajamos</t>
  </si>
  <si>
    <r>
      <rPr>
        <rFont val="&quot;Times New Roman&quot;, sans-serif"/>
        <color rgb="FF1155CC"/>
        <sz val="12.0"/>
        <u/>
      </rPr>
      <t>https://www.legabasket.it/news/138712/pubblico-regular-season-2025-26</t>
    </r>
  </si>
  <si>
    <t>Brescia</t>
  </si>
  <si>
    <t>Adelaide 36ers</t>
  </si>
  <si>
    <t>Olimpia Milano</t>
  </si>
  <si>
    <t>BCL - F4 / third place</t>
  </si>
  <si>
    <t>https://www.malagahoy.es/unicaja/presupuestos-euroliga-24-25-estaria-unicaja_0_2003407564.html</t>
  </si>
  <si>
    <t>Venezia</t>
  </si>
  <si>
    <t>Tortona</t>
  </si>
  <si>
    <t>Nes Ziona</t>
  </si>
  <si>
    <t>Reggiana</t>
  </si>
  <si>
    <t>https://www.malagahoy.es/unicaja/estaria-unicaja-ranking-gasto-neto_0_2005999254.html</t>
  </si>
  <si>
    <t>Trieste</t>
  </si>
  <si>
    <t>Trento</t>
  </si>
  <si>
    <t>Karsiyaka</t>
  </si>
  <si>
    <t>Trapani</t>
  </si>
  <si>
    <t>Varese</t>
  </si>
  <si>
    <t>Treviso</t>
  </si>
  <si>
    <t>Perth Wildcats</t>
  </si>
  <si>
    <t>https://palco23.mundodeportivo.com/clubes/baxi-manresa-busca-la-permanencia-con-41-millones-de-presupuesto-en-2025-2026</t>
  </si>
  <si>
    <t>Spartak Subotica</t>
  </si>
  <si>
    <t>Napoli</t>
  </si>
  <si>
    <t>122 878 €</t>
  </si>
  <si>
    <t>Eurocup -quarter-finals (Top 8)</t>
  </si>
  <si>
    <t>Dvi arenos. 9 rungtynės talpinančioj 12700 ;5 rungt 5309 talpinančioje</t>
  </si>
  <si>
    <t>Panionios</t>
  </si>
  <si>
    <t>Eurocup -  regular season 10 place</t>
  </si>
  <si>
    <t>https://www.cbbreogan.com/jgo/INFORME_DE_GESTION_24_25.pdf</t>
  </si>
  <si>
    <t>115 943 €</t>
  </si>
  <si>
    <t>Dvi arenos. 10 rungtynių talpinančioj 10220 ;4 rungt 5570 talpinančioje</t>
  </si>
  <si>
    <t>Sassari</t>
  </si>
  <si>
    <t>104 377 €</t>
  </si>
  <si>
    <t>https://www.2playbook.com/clubes/rio-breogan-cierra-2023-2024-con-beneficio-600000-euros-presupuesta-417-millones_17233_102.html</t>
  </si>
  <si>
    <t>Lithuanian league (LKL)</t>
  </si>
  <si>
    <t>57 140 €</t>
  </si>
  <si>
    <t>Petkim Spor</t>
  </si>
  <si>
    <t>Total budget increase from the last season</t>
  </si>
  <si>
    <t>Fiba Europe Cup -  Top 8 / quarter-finals</t>
  </si>
  <si>
    <t>Žalgiris</t>
  </si>
  <si>
    <t>Esenler Erokspor</t>
  </si>
  <si>
    <t>71 097 €</t>
  </si>
  <si>
    <t xml:space="preserve">Fiba Europe Cup - Top 16 </t>
  </si>
  <si>
    <t>https://www.2playbook.com/clubes/marc-gasol-inyectara-24-millones-en-basquet-girona-convertir-club-en-sad_14882_102.html</t>
  </si>
  <si>
    <t>Levanga Hokkaido</t>
  </si>
  <si>
    <t>https://www.15min.lt/24sek/naujiena/europa/lkl-klubai-prie-starto-linijos-i-dalis-biudzetai-zvaigzdes-klaustukai-ir-prognozes-874-2527376</t>
  </si>
  <si>
    <t>88 022 €</t>
  </si>
  <si>
    <t>United Kingdom</t>
  </si>
  <si>
    <t>London Lions</t>
  </si>
  <si>
    <t>Eurocup - regular season 8 place</t>
  </si>
  <si>
    <t>36 607 €</t>
  </si>
  <si>
    <t>https://palco23.mundodeportivo.com/clubes/basquet-girona-objetivo-cumplido-en-2022-2023-con-hasta-cuatro-millones-de-presupuesto</t>
  </si>
  <si>
    <t>https://www.15min.lt/24sek/naujiena/lietuva/lkl-klubai-prie-starto-linijos-ii-dalis-rekordinis-ryto-biudzetas-ir-neptuno-potencialas-875-2525574</t>
  </si>
  <si>
    <t>Hapoel HaEmek</t>
  </si>
  <si>
    <t>41 805 €</t>
  </si>
  <si>
    <t>Rytas</t>
  </si>
  <si>
    <t>BCL - Winner</t>
  </si>
  <si>
    <t>76 998 €</t>
  </si>
  <si>
    <t>Koshigaya</t>
  </si>
  <si>
    <t>Osaka</t>
  </si>
  <si>
    <t>Cluj Napoca</t>
  </si>
  <si>
    <t>70 572 €</t>
  </si>
  <si>
    <t>Eurocup - Top 8 / quarter-finals</t>
  </si>
  <si>
    <t>https://diaricatalunya.cat/es/segria/lleida/el-forca-lleida-roza-los-seis-millones-de-euros-de-presupuesto-cifra-record</t>
  </si>
  <si>
    <t>40 609 €</t>
  </si>
  <si>
    <t>Buducnost</t>
  </si>
  <si>
    <t>23 138 €</t>
  </si>
  <si>
    <t>https://www.segre.com/es/opinion/editorial/250802/el-gran-coste-de-competir-en-la-elite-deportiva_913619.html</t>
  </si>
  <si>
    <t>Trabzonspor</t>
  </si>
  <si>
    <t>50 247 €</t>
  </si>
  <si>
    <t>Fiba Europe Cup - quarter-finals (Top 8)</t>
  </si>
  <si>
    <t>Kyoto</t>
  </si>
  <si>
    <t>Cedevita Olimpia</t>
  </si>
  <si>
    <t>34 334 €</t>
  </si>
  <si>
    <t>AEK</t>
  </si>
  <si>
    <t>BCL - F4 / Final (second place)</t>
  </si>
  <si>
    <t>22 338 €</t>
  </si>
  <si>
    <t>Hapoel Holon</t>
  </si>
  <si>
    <t>https://foros.acb.com/forum/index.php?thread/521107-casademont-zaragoza-2025-2026-confiamos-en-plaza-si-se-puede/&amp;postID=33965944</t>
  </si>
  <si>
    <t>San-en</t>
  </si>
  <si>
    <t>Ibaraki</t>
  </si>
  <si>
    <t>PAOK</t>
  </si>
  <si>
    <t>Fiba Europe Cup - Final (second place)</t>
  </si>
  <si>
    <t>https://www.bca.ad/es/el-bc-morabanc-andorra-reafirma-su-solidez-economica-y-su-compromiso-con-la-transparencia/</t>
  </si>
  <si>
    <t>Aris</t>
  </si>
  <si>
    <t>Tauragė</t>
  </si>
  <si>
    <t>Eurocup -  regular season 7 place</t>
  </si>
  <si>
    <t>Shimane</t>
  </si>
  <si>
    <t>Akita</t>
  </si>
  <si>
    <t>Lietuvos lyga (LKL)</t>
  </si>
  <si>
    <t>Mersin SK</t>
  </si>
  <si>
    <t>https://www.atlanticohoy.com/deportes-sa/cb-gran-canaria-aprueba-presupuesto-103-millones-mitad-procede-erario-publico_1538123_102.html</t>
  </si>
  <si>
    <t>Greek league (GBL)</t>
  </si>
  <si>
    <t>Olympiacos</t>
  </si>
  <si>
    <t>Hiroshima</t>
  </si>
  <si>
    <t>Kawasaki</t>
  </si>
  <si>
    <t>https://www.ideal.es/deportes/fundacioncbgranada/coviran-invierte-poco-dos-millones-euros-jugadores-20251022095748-nt.html?ref=https%3A%2F%2Fwww.ideal.es%2Fdeportes%2Ffundacioncbgranada%2Fcoviran-invierte-poco-dos-millones-euros-jugadores-20251022095748-nt.html</t>
  </si>
  <si>
    <t>FE Nagoya</t>
  </si>
  <si>
    <t>Tofaš</t>
  </si>
  <si>
    <t>Ryukyu</t>
  </si>
  <si>
    <t>Panathinaikos</t>
  </si>
  <si>
    <t>Nagoya D</t>
  </si>
  <si>
    <t>Yokohama BC</t>
  </si>
  <si>
    <t>https://www.gazzetta.gr/basketball/euroleague/2552984/panathinaikos-giampoysele-o-3os-me-4-ekatommyria-symbolaio-prokalei</t>
  </si>
  <si>
    <t>Sunrockers Shibuya</t>
  </si>
  <si>
    <t>https://www.basketnews.lt/news-180219-brangiausiu-eurolygos-zaideju-penkioliktukas.html</t>
  </si>
  <si>
    <t>Galatasaray</t>
  </si>
  <si>
    <t>Nagasaki Velca</t>
  </si>
  <si>
    <t>Gunma</t>
  </si>
  <si>
    <t>Turk Telekom</t>
  </si>
  <si>
    <t>Eurocup - F4 / semi-finals</t>
  </si>
  <si>
    <t>Utsonomiya Brex</t>
  </si>
  <si>
    <t>Besiktas</t>
  </si>
  <si>
    <t>Eurocup - Final (second place)</t>
  </si>
  <si>
    <t>Mikawa</t>
  </si>
  <si>
    <t>Hapoel Jerusalem</t>
  </si>
  <si>
    <t>Bahcesehir</t>
  </si>
  <si>
    <t>Alvark Tokyo</t>
  </si>
  <si>
    <t>Chiba Jets</t>
  </si>
  <si>
    <t>Euroleague - regular season 17 place</t>
  </si>
  <si>
    <t>https://basketnews.com/news-204932-euroleague-teams-clubs-budgets.html</t>
  </si>
  <si>
    <t>https://www.sportefinanza.it/2025/12/06/virtus-bologna-bilancio-perdita-zanetti/</t>
  </si>
  <si>
    <t>https://basketnews.com/news-233398-euroleague-budgets-payrolls-2026-biggest-spenders.html</t>
  </si>
  <si>
    <t>Maccabi Tel Aviv</t>
  </si>
  <si>
    <t>https://www.reportaziende.it/virtus_pallacanestro_bologna_societa_per_azioni_bo_00584700371</t>
  </si>
  <si>
    <t>Euroleague - regular season 12 place</t>
  </si>
  <si>
    <t>Partizan</t>
  </si>
  <si>
    <t>Euroleague - regular season 15 place</t>
  </si>
  <si>
    <t>https://www.ufficiocamerale.it/3138/pallacanestro-brescia-srl#:~:text=Indirizzo%3A%20VIA%20CAPRERA%205%20%2D%2025125,Dipendenti%20%3A%2021%20(2026)</t>
  </si>
  <si>
    <t>Crvena Zvezda</t>
  </si>
  <si>
    <t>Euroleague - regular season 10 place</t>
  </si>
  <si>
    <t>United Arab Emirates</t>
  </si>
  <si>
    <t>Dubai</t>
  </si>
  <si>
    <t>Euroleague - regular season 11 place</t>
  </si>
  <si>
    <t>https://www.reportaziende.it/pallacanestro_brescia_srl_bs_02800370989</t>
  </si>
  <si>
    <t>Euroleague - regular season 14 place</t>
  </si>
  <si>
    <t>Fenerbahce</t>
  </si>
  <si>
    <t>https://obiettivolavoro.it/stipendi-basket-serie-a-quanto-guadagnano-i-giocatori-cestisti/</t>
  </si>
  <si>
    <t>Anadolu Efes</t>
  </si>
  <si>
    <t>Euroleague - regular season 19 place</t>
  </si>
  <si>
    <t>Euroleague - Winner</t>
  </si>
  <si>
    <t>https://realolimpiamilano.com/2025/06/10/bilancio-olimpia-milano-2024-22-3-milioni-in-salari-e-stipendi/?utm_source=chatgpt.com</t>
  </si>
  <si>
    <t>Hapoel Tel Aviv</t>
  </si>
  <si>
    <t>Eurolyga - Top 8 / quarter-finals</t>
  </si>
  <si>
    <t>Turkish league (Super Ligi)</t>
  </si>
  <si>
    <t>https://www.reportaziende.it/pallacanestro_olimpia_milano_societa_sportiva_a_responsabilita_limitata_o_pallacanestro_ol_mi_01852920154</t>
  </si>
  <si>
    <t>MKS Dabrowa Gornicza</t>
  </si>
  <si>
    <t>https://basketfaul.com.tr/turkiye/bsl/basketnews-fenerbahcenin-oyuncu-butcesi-gecen-sezonki-gibi-17-milyon-euro/</t>
  </si>
  <si>
    <t>Astoria Bydgoszcz</t>
  </si>
  <si>
    <t>https://sport.888casino.it/blog/stipendi-venezia-basket</t>
  </si>
  <si>
    <t>https://www.reportaziende.it/societa_sportiva_professionistica_reyer_venezia_mestre_srl_in_sigla_ssp_reyer_venezi_ve_03849670272</t>
  </si>
  <si>
    <t>https://www.fanatik.com.tr/fenerbahce/basketbol/fenerbahce-basketbolda-aziz-yildirim-ek-butceye-onay-verdi-ama-tek-bir-sartla-2632209</t>
  </si>
  <si>
    <t>https://www.pianetabasket.com/olimpia-milano/lera-armani-vale-253-milioni-i-conti-di-olimpia-milano-nellanno-del-triplete</t>
  </si>
  <si>
    <t>https://basketnews.com/news-252703-fenerbahce-offseason-expected-budget-full-roster.html</t>
  </si>
  <si>
    <t>https://www.gazzetta.it/Basket/SerieA/16-01-2026/basket-tortona-e-il-report-semestrale-il-palasport-i-partner-la-visione-il-territorio.shtml</t>
  </si>
  <si>
    <t>https://www.reportaziende.it/derthona_basket_societa_sportiva_a_responsabilita_limitata_al_02224170064</t>
  </si>
  <si>
    <t>https://x.com/Andrea__Calzoni/status/2070513497809514614</t>
  </si>
  <si>
    <t>https://www.reportaziende.it/pallacanestro_reggiana_srl_re_00532610359</t>
  </si>
  <si>
    <t>https://www.sdna.gr/mpasket/1443738_mpatzet-tis-mpesiktas-den-tha-einai-kato-apo-12-ekat-eyro</t>
  </si>
  <si>
    <t>https://www.reportaziende.it/pallacanestro_trieste_2004_societa_sportiva_dilettantistica_srl_ts_01072900325</t>
  </si>
  <si>
    <t>https://www.backdoorpodcast.com/virtus-rosso-da-euroleague-trento-e-venezia-bilanci-lba/</t>
  </si>
  <si>
    <t>https://www.reportaziende.it/aquila_basket_trento_2013_srl_tn_02125690228</t>
  </si>
  <si>
    <t>https://sportando.basketball/openjobmetis-varese-redbird-budget-25-milioni/#goog_rewarded</t>
  </si>
  <si>
    <t>https://www.reportaziende.it/pallacanestro_varese_srl_va_00338980121</t>
  </si>
  <si>
    <t>https://www.reportaziende.it/ss_napolibasket_srl_na_07000361217</t>
  </si>
  <si>
    <t>Denizli basket</t>
  </si>
  <si>
    <t>https://www.reportaziende.it/guerino_vanoli_basket_societa_a_responsabilita_limitata_cr_01192650198</t>
  </si>
  <si>
    <t>Korfez Basket</t>
  </si>
  <si>
    <t>https://www.reportaziende.it/universo_treviso_basket_srl_tv_07362590726</t>
  </si>
  <si>
    <t>https://www.reportaziende.it/amici_pallacanestro_udinese_societa_sportiva_dilettantistica_a_responsabilita_limitata_ud_02665760308</t>
  </si>
  <si>
    <t>Pinar Karsiyaka</t>
  </si>
  <si>
    <t>https://www.messaggeroveneto.it/sport/ap-la-forza-sono-le-idee-in-serie-a-con-un-budget-di-fascia-medio-bassa-prlv26jt</t>
  </si>
  <si>
    <t>https://www.reportaziende.it/pallacanestro_cantu_spa_societa_sportiva_dilettantistica_co_00254400138</t>
  </si>
  <si>
    <t>ABA league</t>
  </si>
  <si>
    <t>https://www.reportaziende.it/polisportiva_dinamo_srl_ss_01166920908</t>
  </si>
  <si>
    <t>https://www.reportaziende.it/trapani_shark_ssd_a_rl_tp_02539490819</t>
  </si>
  <si>
    <t>https://nova.rs/sport/kosarka/skupstina-kk-partizan-septembar-2026-detalji</t>
  </si>
  <si>
    <t>https://www.glassrpske.com/cir/sport/kosarka/mijalovic-ostaje-na-celu-partizana/651925</t>
  </si>
  <si>
    <t>Dollar to euro conversion rate</t>
  </si>
  <si>
    <t>https://zurnal.politika.rs/scc/clanak/252853/kosarka/zvezda/drcelic-teodosic-tomic-i-navaro-za-novu-dimenziju</t>
  </si>
  <si>
    <t>https://www.lrt.lt/naujienos/sportas/10/2700152/kauno-zalgiris-pristate-rekordini-2025-2026-m-sezono-biudzeta?srsltid=AfmBOopGXyxC169tMhv2TU5SXOKXuuENL1itZs6SqKyjpXQEabWp8QfG</t>
  </si>
  <si>
    <t>2005 summer</t>
  </si>
  <si>
    <t>1 usd 0.81 eur</t>
  </si>
  <si>
    <t>2007 summer</t>
  </si>
  <si>
    <t>1 usd 0.72 eur</t>
  </si>
  <si>
    <t>2008 summer</t>
  </si>
  <si>
    <t>1 usd 0.65 eur</t>
  </si>
  <si>
    <t>2009 summer</t>
  </si>
  <si>
    <t>1 usd 0.7 eur</t>
  </si>
  <si>
    <t>2010 summer</t>
  </si>
  <si>
    <t>1 usd 0.8 eur</t>
  </si>
  <si>
    <t>2011 summer</t>
  </si>
  <si>
    <t>2012 summer</t>
  </si>
  <si>
    <t>2013 summer</t>
  </si>
  <si>
    <t>1 usd 0.75 eur</t>
  </si>
  <si>
    <t>https://www.delfi.lt/krepsinis/naujienos/rytas-pristate-rekordini-biudzeta-sieks-beveik-7-milijonus-euru-120178053</t>
  </si>
  <si>
    <t>2014 summer</t>
  </si>
  <si>
    <t>2015 summer</t>
  </si>
  <si>
    <t>1 usd 0.9 eur</t>
  </si>
  <si>
    <t>2016 summer</t>
  </si>
  <si>
    <t>https://www.lrt.lt/naujienos/sportas/10/2942193/ryto-vadovas-giga-tikisi-kad-ateityje-klubo-biudzetas-sieks-20-mln-euru#:~:text=Gigos%20teigimu%2C%20klubo%20biud%C5%BEetas%20%C5%A1%C4%AF,tur%C4%97t%C5%B3%20pasiekti%209%20mln.%20eur%C5%B3.</t>
  </si>
  <si>
    <t>2017 summer</t>
  </si>
  <si>
    <t>1 usd 0.86 eur</t>
  </si>
  <si>
    <t>2018 summer</t>
  </si>
  <si>
    <t>1 usd 0.85 eur</t>
  </si>
  <si>
    <t>https://www.basketnews.lt/news-230665-neptunas-pristate-padidejusi-biudzeta-ir-skiriama-suma-krepsininkams.html</t>
  </si>
  <si>
    <t>2019 summer</t>
  </si>
  <si>
    <t>1 usd 0.90 eur</t>
  </si>
  <si>
    <t>2020 summer</t>
  </si>
  <si>
    <t>1 usd 0.87 eur</t>
  </si>
  <si>
    <t>2021 summer</t>
  </si>
  <si>
    <t>2022 summer</t>
  </si>
  <si>
    <t>https://ekipa.svet24.si/sport/kosarka/liga-aba/zvezdan-mitrovic-cedevita-olimpija-proracun-1924093</t>
  </si>
  <si>
    <t>1 usd 1 eur</t>
  </si>
  <si>
    <t>2023 summer</t>
  </si>
  <si>
    <t>2024 summer</t>
  </si>
  <si>
    <t>1 usd 0.92 eur</t>
  </si>
  <si>
    <t>https://www.15min.lt/24sek/naujiena/lietuva/po-kosmarisko-siauliu-starto-direktoriaus-zinute-pazadas-ir-atskleistas-biudzetas-875-2142054</t>
  </si>
  <si>
    <t>2025 summer</t>
  </si>
  <si>
    <t>2026 summer</t>
  </si>
  <si>
    <t>1 usd 0.88 eur</t>
  </si>
  <si>
    <t>Role</t>
  </si>
  <si>
    <t>Name</t>
  </si>
  <si>
    <t>https://www.basketnews.lt/news-243778-panevezys-9-tukst-euru-padidino-lietkabelio-finansavima.html#google_vignette</t>
  </si>
  <si>
    <t>Country</t>
  </si>
  <si>
    <t>Team</t>
  </si>
  <si>
    <t>Season</t>
  </si>
  <si>
    <t>Contract value</t>
  </si>
  <si>
    <t>Contract lenght</t>
  </si>
  <si>
    <t>Monthly Salary</t>
  </si>
  <si>
    <t>Player</t>
  </si>
  <si>
    <t>https://www.15min.lt/24sek/naujiena/lietuva/maciulis-apie-lietkabelio-sudeti-tikslus-biudzeta-ir-isgaravusia-baime-del-canako-875-2501070</t>
  </si>
  <si>
    <t>Jonas Mačiulis</t>
  </si>
  <si>
    <t>19/20</t>
  </si>
  <si>
    <t>Full season</t>
  </si>
  <si>
    <t>https://www.basketnews.lt/news-246157-jonavos-biudzetas-augantis-bet-ne-zaidejams.html#google_vignette</t>
  </si>
  <si>
    <t>https://www.basketnews.lt/news-231646-nevezis-atskleide-biudzeta-desimtadalis-skolu-grazinimui.html</t>
  </si>
  <si>
    <t>https://assets.fiba.basketball/image/upload/v1726052961/Corporate%20Images/HQ%20Departments/Legal/BAT%20Awards/1752-21.pdf</t>
  </si>
  <si>
    <r>
      <rPr>
        <rFont val="&quot;Times New Roman&quot;, sans-serif"/>
        <color rgb="FF1155CC"/>
        <sz val="12.0"/>
        <u/>
      </rPr>
      <t>https://basketnews.com/news-233398-euroleague-budgets-payrolls-2026-biggest-spenders.html</t>
    </r>
  </si>
  <si>
    <t>https://www.foxbet.gr/315873/mpatzet-omadon-mpasket-a1</t>
  </si>
  <si>
    <t>Lior Eliyahu</t>
  </si>
  <si>
    <t>18/19</t>
  </si>
  <si>
    <t>https://www.sport5.co.il/articles.aspx?FolderID=407&amp;docID=293704</t>
  </si>
  <si>
    <t>https://www.sport24.gr/basket/euroleague-basketball/olimpiakos-i-pio-akrivi-omada-olon-ton-epoxon-afta-einai-ta-xrisa-simvolaia-ton-erithrolefkon/</t>
  </si>
  <si>
    <t>Israeli league (Winner)</t>
  </si>
  <si>
    <t>Žygimantas Janavičius</t>
  </si>
  <si>
    <t>Klaipėdos Neptūnas</t>
  </si>
  <si>
    <t>20/21</t>
  </si>
  <si>
    <t>https://as.com/baloncesto/euroliga/el-panathinaikos-el-que-mas-gasta-en-la-euroliga-f202602-n</t>
  </si>
  <si>
    <t>https://www.15min.lt/naujiena/prenumerata/ivykiai/top-30-geriausiai-apmokamu-lkl-zaideju-zalgirieciu-dominavimas-ir-svarbios-detales-1226-1370624</t>
  </si>
  <si>
    <t>https://www.sport5.co.il/articles.aspx?FolderID=11840&amp;docID=559870</t>
  </si>
  <si>
    <t>https://www.sport24.gr/basket/euroleague-basketball/panathinaikos-aktor-i-axia-ton-prasinon-simvolaion-apogeiothike-kai-angizei-ta-25-ekatommiria/</t>
  </si>
  <si>
    <t>Mindaugas Kupšas</t>
  </si>
  <si>
    <t>https://www.protothema.gr/sports/article/1772720/panathinaikos-to-muthiko-sumvolaio-pou-tha-parei-heiz-devis-stin-ellada-den-xepernaei-to-kase-tou-nan/</t>
  </si>
  <si>
    <t>Utenos Juventus</t>
  </si>
  <si>
    <t>Julius Jucikas</t>
  </si>
  <si>
    <t>Paulius Valinskas</t>
  </si>
  <si>
    <r>
      <rPr>
        <rFont val="&quot;Times New Roman&quot;, sans-serif"/>
        <color rgb="FF1155CC"/>
        <sz val="12.0"/>
        <u/>
      </rPr>
      <t>https://www.gazzetta.gr/basketball/basket-league/2454961/aris-me-ena-smparo-dyo-trygonia-se-protathlima-kai-euroleague</t>
    </r>
  </si>
  <si>
    <t>Rokas Jokubaitis</t>
  </si>
  <si>
    <t>Kauno Žalgiris</t>
  </si>
  <si>
    <t>Kyle Vinales</t>
  </si>
  <si>
    <r>
      <rPr>
        <rFont val="&quot;Times New Roman&quot;, sans-serif"/>
        <color rgb="FF1155CC"/>
        <sz val="12.0"/>
        <u/>
      </rPr>
      <t>https://www.gazzetta.gr/basketball/basket-league/2454961/aris-me-ena-smparo-dyo-trygonia-se-protathlima-kai-euroleague</t>
    </r>
  </si>
  <si>
    <t>Glen Rice Jr.</t>
  </si>
  <si>
    <t>https://www.superbasket.gr/basket-league/115461-angelopoulos-prin-tria-chronia-me-eiche-plesiasei-fund-gia-na-agorasei-tis-metoches-tes-aek.html</t>
  </si>
  <si>
    <t>Mindaugas Lukauskis</t>
  </si>
  <si>
    <t>Rytas Vilnius</t>
  </si>
  <si>
    <t>14/15</t>
  </si>
  <si>
    <t>https://www.krepsinis.net/naujiena/10-lkl-zaidzianciu-lietuviu-kurie-uzdirba-daugiausiai/248876</t>
  </si>
  <si>
    <t>Australian league (NBL)</t>
  </si>
  <si>
    <r>
      <rPr>
        <rFont val="&quot;Times New Roman&quot;, sans-serif"/>
        <color rgb="FF1155CC"/>
        <sz val="12.0"/>
        <u/>
      </rPr>
      <t>https://www.gazzetta.gr/basketball/basket-league/2454961/aris-me-ena-smparo-dyo-trygonia-se-protathlima-kai-euroleague</t>
    </r>
  </si>
  <si>
    <t>https://www.gazzetta.gr/basketball/eurocup/2454951/aris-sta-25-ekatommyria-eyro-o-proypologismos-tis-neas-sezon</t>
  </si>
  <si>
    <t>zvezda</t>
  </si>
  <si>
    <t>real</t>
  </si>
  <si>
    <t>partizan</t>
  </si>
  <si>
    <t>https://www.basketnews.lt/news-83614-kiek-uzdirba-didziuju-lkl-klubu-krepsininkai.html</t>
  </si>
  <si>
    <t>maccabi</t>
  </si>
  <si>
    <t>zalgiris</t>
  </si>
  <si>
    <t>https://www.codesports.com.au/basketball/nbl/nbl-rich-list-the-leagues-highest-paid-player-revealed/news-story/7866be502730868a77169f1f2856db47</t>
  </si>
  <si>
    <r>
      <rPr>
        <rFont val="&quot;Times New Roman&quot;, sans-serif"/>
        <color rgb="FF1155CC"/>
        <sz val="12.0"/>
        <u/>
      </rPr>
      <t>https://www.gazzetta.gr/basketball/basket-league/2454961/aris-me-ena-smparo-dyo-trygonia-se-protathlima-kai-euroleague</t>
    </r>
  </si>
  <si>
    <t>Artūras Valeika</t>
  </si>
  <si>
    <t>https://www.sport24.gr/basket/oloi-oi-anthropoi-tou-spanouli-sto-peristeri-to-batzet-to-simvolaio-kai-oi-metagrafes/</t>
  </si>
  <si>
    <t>Marin Marič</t>
  </si>
  <si>
    <r>
      <rPr>
        <rFont val="&quot;Times New Roman&quot;, sans-serif"/>
        <color rgb="FF1155CC"/>
        <sz val="12.0"/>
        <u/>
      </rPr>
      <t>https://www.gazzetta.gr/basketball/basket-league/2454961/aris-me-ena-smparo-dyo-trygonia-se-protathlima-kai-euroleague</t>
    </r>
  </si>
  <si>
    <t>https://www.codesports.com.au/basketball/nbl/nbl-bestfive-salaries-revealed-how-one-team-made-mockery-of-1m-pay-gap/news-story/11236aedcbe8c0e7de112b82d144ffe1</t>
  </si>
  <si>
    <r>
      <rPr>
        <rFont val="&quot;Times New Roman&quot;, sans-serif"/>
        <color rgb="FF1155CC"/>
        <sz val="12.0"/>
        <u/>
      </rPr>
      <t>https://www.gazzetta.gr/basketball/basket-league/2454961/aris-me-ena-smparo-dyo-trygonia-se-protathlima-kai-euroleague</t>
    </r>
  </si>
  <si>
    <t>Gytis Masiulis</t>
  </si>
  <si>
    <r>
      <rPr>
        <rFont val="&quot;Times New Roman&quot;, sans-serif"/>
        <color rgb="FF1155CC"/>
        <sz val="12.0"/>
        <u/>
      </rPr>
      <t>https://www.gazzetta.gr/basketball/basket-league/2454961/aris-me-ena-smparo-dyo-trygonia-se-protathlima-kai-euroleague</t>
    </r>
  </si>
  <si>
    <r>
      <rPr>
        <rFont val="&quot;Times New Roman&quot;, sans-serif"/>
        <color rgb="FF1155CC"/>
        <sz val="12.0"/>
        <u/>
      </rPr>
      <t>https://www.gazzetta.gr/basketball/basket-league/2454961/aris-me-ena-smparo-dyo-trygonia-se-protathlima-kai-euroleague</t>
    </r>
  </si>
  <si>
    <t>https://www.sdna.gr/mpasket/1425204_promitheas-i-heiroteri-hronia-tis-istorias-toy-bathmologika-agonistika-dioikitika</t>
  </si>
  <si>
    <t>Kostas Sloukas</t>
  </si>
  <si>
    <t>24/25</t>
  </si>
  <si>
    <t>https://www.codesports.com.au/basketball/nbl/the-true-cost-of-nbl-success-revealed-in-new-salary-cap-spending-figures/news-story/1c36297db11ed850a8217c70dafb8f92</t>
  </si>
  <si>
    <t>https://www.basketnews.lt/news-215342-atskleistos-grigonio-ir-kitu-pao-zaideju-algos.html</t>
  </si>
  <si>
    <t>https://www.sdna.gr/mpasket/976562_o-promitheas-dilose-proypologismo-800000-ston-esake-eno-eurocup-apaitei-25</t>
  </si>
  <si>
    <t>Japan league (B.league B1 2024/25)</t>
  </si>
  <si>
    <r>
      <rPr>
        <rFont val="&quot;Times New Roman&quot;, sans-serif"/>
        <color rgb="FF1155CC"/>
        <sz val="12.0"/>
        <u/>
      </rPr>
      <t>https://www.gazzetta.gr/basketball/basket-league/2454961/aris-me-ena-smparo-dyo-trygonia-se-protathlima-kai-euroleague</t>
    </r>
  </si>
  <si>
    <t>https://www.eurohoops.net/en/trademarks/1747585/panathinaikos-olympiacos-player-contracts-euroleague/</t>
  </si>
  <si>
    <r>
      <rPr>
        <rFont val="&quot;Times New Roman&quot;, sans-serif"/>
        <color rgb="FF1155CC"/>
        <sz val="12.0"/>
        <u/>
      </rPr>
      <t>https://www.gazzetta.gr/basketball/basket-league/2454961/aris-me-ena-smparo-dyo-trygonia-se-protathlima-kai-euroleague</t>
    </r>
  </si>
  <si>
    <t>https://www.gazzetta.gr/basketball/basket-league/2454961/aris-me-ena-smparo-dyo-trygonia-se-protathlima-kai-euroleague</t>
  </si>
  <si>
    <t>https://sports.walla.co.il/item/1656259</t>
  </si>
  <si>
    <t>https://www.enwsi.gr/1682640/aek/aek-basket/ta-mpatzet-toy-antagonismoy-tha-anevoyn-simantika-kai-i-aek-tha-prepei-na-einai-etoimi.html</t>
  </si>
  <si>
    <t>Kendrick Nunn</t>
  </si>
  <si>
    <t>https://www.globes.co.il/news/article.aspx?did=1000820527</t>
  </si>
  <si>
    <t>Juancho Hernangomez</t>
  </si>
  <si>
    <t>https://www.globes.co.il/news/article.aspx?did=1000483989</t>
  </si>
  <si>
    <t>https://x.com/sercanhamzaolu/status/2081041163759329452</t>
  </si>
  <si>
    <t>Lorenzo Brown</t>
  </si>
  <si>
    <t>https://x.com/hizlihucum/status/1803455514354876516</t>
  </si>
  <si>
    <t>https://www.bebasket.fr/le-president-du-besiktas-en-est-sur-son-club-va-remporter-leurocup-et-selon-lui-ca-montrera-que-largent-ne-fait-pas-tout</t>
  </si>
  <si>
    <t>https://www.globes.co.il/news/article.aspx?did=1001069020</t>
  </si>
  <si>
    <t>Mathias Lessort</t>
  </si>
  <si>
    <t>https://medyasiyahbeyaz.com/besiktas-fibabankanin-takim-butcesi-ne-kadar</t>
  </si>
  <si>
    <t>Cedi Osman</t>
  </si>
  <si>
    <t>https://www.globes.co.il/news/article.aspx?did=1000867378</t>
  </si>
  <si>
    <t>9 months</t>
  </si>
  <si>
    <t>https://www.eurohoops.net/tr/eurocup-tr/1892517/igor-milicic-bahcesehirin-butcesi-cok-yuksek-ama-sahada-para-oynamiyor/</t>
  </si>
  <si>
    <t>Marius Grigonis</t>
  </si>
  <si>
    <t>https://www.basketnews.lt/news-132027-mindaugas-kupsas-keliasi-i-jeruzales-hapoel.html?fbclid=IwY2xjawSn9XRleHRuA2FlbQIxMQBicmlkETBRa2FRZjNJbGxOWWRyTHNzc3J0YwZhcHBfaWQQMjIyMDM5MTc4ODIwMDg5MgABHlm5BCQ9jSwT8P3jFbaUb1T0hNZeRWcXnY2RiFZPQk9Syf7avvwq6EYBjFFV_aem_iZGGco9Mo0F0VyMHyS3P-w</t>
  </si>
  <si>
    <t>https://x.com/ErayOzer/status/1933976353847558266</t>
  </si>
  <si>
    <t>Omer Yurtseven</t>
  </si>
  <si>
    <t>https://www.bursahakimiyet.com.tr/yazarlar/suha-gursoy-35/butce-dusuk-emek-buyuk-27597</t>
  </si>
  <si>
    <t>Jerian Grant</t>
  </si>
  <si>
    <t>Other clubs</t>
  </si>
  <si>
    <t>Ioannis Papapetrou</t>
  </si>
  <si>
    <t>https://www.krepsinis.net/naujiena/atskleistos-prancuzijos-lygos-zaideju-ir-treneriu-algos-tarp-kuriu-ir-d-motiejuno/317346</t>
  </si>
  <si>
    <t>https://www.eurohoops.net/tr/tbl-tr/1838799/ertugrul-dogan-trabzonun-basketbol-butcesi-5-milyon-euro/</t>
  </si>
  <si>
    <t>Konstantinos Mitoglou</t>
  </si>
  <si>
    <t>https://www.kuzeyekspres.com.tr/haber/24719791/trabzonsporda-son-dakika-yuksek-butce-icin-harekete-gecildi</t>
  </si>
  <si>
    <t>https://www.krepsinis.net/naujiena/o-samhanas-su-zalgiriu-buvo-sudares-1-4-mln-jav-doleriu-vertes-sutarti/238549</t>
  </si>
  <si>
    <t>Kostas Antetokounmpo</t>
  </si>
  <si>
    <t>https://x.com/GsYanBranslar/status/1916097564161483115?lang=en</t>
  </si>
  <si>
    <t>Panagiotis Kalaitzakis</t>
  </si>
  <si>
    <t>Dimitris Moraitis</t>
  </si>
  <si>
    <t>https://x.com/EskiAcikOnline/status/2048008401834127503</t>
  </si>
  <si>
    <t>https://sportando.basketball/cameron-hunt-unicaja-malaga-joventut/</t>
  </si>
  <si>
    <t>https://www.eurohoops.net/el/trademarks-el/1747652/panathinaikos-olimpiakos-afta-ine-ta-simvolea-ton-dio-megaliteron-budget-stin-evroligka/</t>
  </si>
  <si>
    <t>https://basketfaul.com.tr/turkiye/bsl/deveciler-merkeszefendi-kadrodaki-yerliler-ve-1-2-yabanciyla-devam-edecek/</t>
  </si>
  <si>
    <t>Wenyen Gabriel</t>
  </si>
  <si>
    <t>https://x.com/Andrea__Calzoni/status/2069074312913363121</t>
  </si>
  <si>
    <t>6 months</t>
  </si>
  <si>
    <t>https://www.pianetabasket.com/euroleague/dubai-vuole-convincere-thomas-walkup-a-lasciare-lolympiacos</t>
  </si>
  <si>
    <t>https://www.manisa.bel.tr/Haberler/42692_baskan-hasgor-basketbol-bransinin-butcesinde-artik.aspx</t>
  </si>
  <si>
    <t>Alexandros Samodurov</t>
  </si>
  <si>
    <t>https://www.eurohoops.net/tr/tbl-tr/1708689/manisanin-eski-baskani-konustu-bir-kurus-borc-yokken-takimi-bedavaya-ozel-sirkete-sattilar/</t>
  </si>
  <si>
    <t>https://www.israelhayom.co.il/sport/israeli-basketball/article/20883979</t>
  </si>
  <si>
    <t>Coach</t>
  </si>
  <si>
    <t>Ergin Ataman</t>
  </si>
  <si>
    <t>23/24</t>
  </si>
  <si>
    <t>https://basketdergisi.com/alimpijevic-agresif-ve-sert-savunma-yaptik.html</t>
  </si>
  <si>
    <t>https://www.sport5.co.il/articles.aspx?FolderID=274&amp;docID=550736</t>
  </si>
  <si>
    <t>https://www.pianetabasket.com/euroleague/mercato-el-panathinaikos-un-nuovo-lungo-accordo-per-ergin-ataman-305865</t>
  </si>
  <si>
    <t>https://x.com/salonika___/status/2082565566477283575</t>
  </si>
  <si>
    <t>https://trendbasket.net/pinar-karsiyakanin-onumuzdeki-sezon-butcesi-belli-oldu/</t>
  </si>
  <si>
    <t>https://sportacentrs.com/basketbols/eirokausi/23072026-rigas_zelli_merke_uz_2_5_miljonu_budzetu_</t>
  </si>
  <si>
    <t>25/26</t>
  </si>
  <si>
    <t>https://x.com/NBA_Master_/status/2077316142629093815</t>
  </si>
  <si>
    <t>https://x.com/fersudeniz/status/2076301931136336302</t>
  </si>
  <si>
    <t>https://basketnews.com/news-222625-dimitris-giannakopoulos-announced-extensions-for-nunn-and-osman.html</t>
  </si>
  <si>
    <t>https://www.mondiali.it/news/daniel-hackett-leuropeo-la-nuova-avventura-germania/</t>
  </si>
  <si>
    <t>https://jauns.lv/raksts/sports/728150-vef-riga-atklaj-sis-sezonas-ambiciozos-merkus-un-verienigo-budzetu</t>
  </si>
  <si>
    <t>https://www.athletiko.gr/ekleise-ton-plota-o-olympiakos-ayto-einai-to-symvolaio-toy-96277</t>
  </si>
  <si>
    <t>https://sportacentrs.com/basketbols/lbl/22052026-jaunups_ieskice_vef_riga_nakamas_sezonas_</t>
  </si>
  <si>
    <t>https://x.com/Andrea__Calzoni/status/1873296957445459991</t>
  </si>
  <si>
    <t>Richaun Holmes</t>
  </si>
  <si>
    <t>https://www.gazzetta.gr/basketball/basket-league/2562318/mpartlei-allaxe-atzenti-poia-einai-i-protasi-tis-aek-gia-ananeosi</t>
  </si>
  <si>
    <t>https://x.com/Andrea__Calzoni/status/1875621273579245870</t>
  </si>
  <si>
    <t>https://www.matchmoney.com.gr/athlitika-nea/mpatzet-paok-basket-2026-27/</t>
  </si>
  <si>
    <t>T.J. Shorts</t>
  </si>
  <si>
    <t>https://basketnews.com/news-228333-dubai-basketball-budget-revealed.html</t>
  </si>
  <si>
    <t>https://www.thitanews.gr/paktolos-ekatommyrion-sto-basket-tou-paok-tromazei-i-evropi/</t>
  </si>
  <si>
    <t>https://www.matchmoney.com.gr/athlitika-nea/mpatzet-aris-basket-2026-27/</t>
  </si>
  <si>
    <t>Nikos Rogkavopoulos</t>
  </si>
  <si>
    <t>https://basketnews.com/news-231943-partizan-budget-for-2025-26-season-revealed.html#:~:text=Team%20president%20Ostoja%20Mijailovic%20has,he%20said%2C%20via%20Mozzart%20Sport.</t>
  </si>
  <si>
    <t>https://x.com/Andrea__Calzoni/status/1933796278523052364</t>
  </si>
  <si>
    <t>https://zkrainynba.com/michal-szolc-ujawnia-mamy-juz-9-z-11-kontraktow/?fbclid=IwY2xjawTECbBleHRuA2FlbQIxMABicmlkETB5WGRNWXE3bnoxT0ZkdlBMc3J0YwZhcHBfaWQQMjIyMDM5MTc4ODIwMDg5MgABHlNAjiL-w6cuuFoNP6F1doBaSwMgtyFxY1RZcueGYQyiw7MeX3oltHmyYuct_aem_KnbhgEOH2a5M11rMUpac0A</t>
  </si>
  <si>
    <t>https://x.com/baekpd1983/status/2099695399590408689</t>
  </si>
  <si>
    <t>Vassilis Toliopoulos</t>
  </si>
  <si>
    <t>https://www.eurohoops.net/en/euroleague/1873724/zeljko-drcelic-talks-crvena-zvezda-budget-euroleague/</t>
  </si>
  <si>
    <t>Miasto Szkla Krosno</t>
  </si>
  <si>
    <t>https://www.sport5.co.il/articles.aspx?FolderID=274&amp;docID=561038</t>
  </si>
  <si>
    <t>Kenneth Faried</t>
  </si>
  <si>
    <t>2 months</t>
  </si>
  <si>
    <t>https://en.vijesti.me/sports-e/basketball/771237/Dragan-Bokan--the-future-has-no-problems-with-business-because-it-has-serious-management--the-European-Cup-is-the-most-important-competition</t>
  </si>
  <si>
    <t>Nigel Hayes - Davis</t>
  </si>
  <si>
    <t>4 months</t>
  </si>
  <si>
    <t>https://www.gsp.ro/sporturi/baschet/nimic-fara-bani-publici-noua-forta-din-sportul-romanesc-793363.html</t>
  </si>
  <si>
    <t>https://baschet.ro/liga-nationala-de-baschet-masculin/stiri/ce-salariu-i-a-oferit-u-bt-cluj-napoca-lui-sasu-salin-in-sezonul-2024-2025</t>
  </si>
  <si>
    <t>Sasha Vezenkov</t>
  </si>
  <si>
    <t>https://www.dnevnik.si/sport/kosarka/bruto-proracun-visji-od-buducnosti-neto-pa-2796508/</t>
  </si>
  <si>
    <t>26/27</t>
  </si>
  <si>
    <t>Evan Fournier</t>
  </si>
  <si>
    <t>https://ekipa.svet24.si/sport/kosarka/mednarodna-kosarka/cedevita-olimpija-denar-proracun-evroliga-2025-1798233</t>
  </si>
  <si>
    <t>Biudžetas</t>
  </si>
  <si>
    <t>Biudžetas algoms</t>
  </si>
  <si>
    <t>Algos / Viso biudžeto</t>
  </si>
  <si>
    <t>9M/ 3 Y</t>
  </si>
  <si>
    <t>Dalyvavimas Europiniame turnyre</t>
  </si>
  <si>
    <t>Nikola Milutinov</t>
  </si>
  <si>
    <t>Aek (26/27)</t>
  </si>
  <si>
    <t>https://x.com/Kemp40S/status/1935283038860231093</t>
  </si>
  <si>
    <t>https://x.com/Andrea__Calzoni/status/1932710543149724138</t>
  </si>
  <si>
    <t>https://www.sportime.gr/basket/aek-basket-to-plano-angelopoulou-gia-na-paramini-ischiri-stin-ellada/</t>
  </si>
  <si>
    <t>https://www.bhbasket.ba/dubravko-barbaric-da-bismo-igrali-aba-ligu-potrebno-nam-je-4-5-miliona-eura/</t>
  </si>
  <si>
    <t>Moustapha Fall</t>
  </si>
  <si>
    <t>https://www.dnevnik.rs/sport/kosarka/ove-sezone-budzet-oko-2-2-miliona-evra-predsednik-kosarkaskog-kluba-spartak-slobodan-jaramazovic-obelodanio-2025-04-23</t>
  </si>
  <si>
    <t>Tyler Dorsey</t>
  </si>
  <si>
    <t>Aris (26/27)</t>
  </si>
  <si>
    <t>https://www.eurohoops.net/en/eurocup/1975801/vassilis-spanoulis-reaches-deal-with-aris-eurocup/</t>
  </si>
  <si>
    <t>https://www.companywall.rs/firma/kosarkaski-klub-spartak/MMDENuVD?utm_source=chatgpt.com</t>
  </si>
  <si>
    <t>Kostas Papanikolaou</t>
  </si>
  <si>
    <t>Alec Peters</t>
  </si>
  <si>
    <t>Paok (26/27)</t>
  </si>
  <si>
    <t>https://slobodnadalmacija.hr/dalmacija/zadar/kalelarga/dio-novca-iz-proracuna-za-kk-zadar-ide-visnjiku-gradonacelnik-pojasnio-raspodjelu-sredstava-i-otplatu-dugova-1500927</t>
  </si>
  <si>
    <t>https://sportando.basketball/en/paok-approves-e12m-capital-increase-for-the-clubs-basketball-company/</t>
  </si>
  <si>
    <t>Donta Hall</t>
  </si>
  <si>
    <t>https://x.com/hizlihucum/status/1946533554898264078</t>
  </si>
  <si>
    <t>https://infobiz.fina.hr/tvrtka/kk-zadar-s-d-d/OIB-69533397083</t>
  </si>
  <si>
    <t>Astoria Bydgoszcz (26/27)</t>
  </si>
  <si>
    <t>https://www.companywall.hr/tvrtka/kk-zadar-sdd/MMEt9uTY</t>
  </si>
  <si>
    <t>https://sport.interia.pl/koszykowka/liga-mezczyzn/news-prezes-astorii-odslania-karty-po-awansie-cel-milion-dolarow,nId,23490005</t>
  </si>
  <si>
    <t>Tyson Ward</t>
  </si>
  <si>
    <t>https://www.antenazadar.hr/clanak/2025/08/nema-rasipanja-novca-davor-karlovic-budzet-kk-zadar-se-nece-probijati-moramo-paziti-na-financijsku-stabilnost/</t>
  </si>
  <si>
    <t>https://x.com/hizlihucum/status/1928812864757747719</t>
  </si>
  <si>
    <t>Thomas Walkup</t>
  </si>
  <si>
    <t>https://www.companywall.rs/firma/kk-fmp/MMePuGWR</t>
  </si>
  <si>
    <t>https://x.com/hizlihucum/status/2074955667945787879</t>
  </si>
  <si>
    <t>Frank Ntilikina</t>
  </si>
  <si>
    <t>https://x.com/K_Wasiek/status/2077038127659585664</t>
  </si>
  <si>
    <t>Keenan Evans</t>
  </si>
  <si>
    <t>https://www.youtube.com/watch?v=-r-2jUPjnEI</t>
  </si>
  <si>
    <t>Monte Morris</t>
  </si>
  <si>
    <r>
      <rPr>
        <rFont val="Times New Roman"/>
        <color rgb="FF1155CC"/>
        <sz val="12.0"/>
        <u/>
      </rPr>
      <t>https://www.companywall.si/podjetje/kosarkarski-klub-ilirija/MMxD7CWD</t>
    </r>
    <r>
      <rPr>
        <rFont val="Times New Roman"/>
        <color rgb="FF0563C1"/>
        <sz val="12.0"/>
      </rPr>
      <t>D</t>
    </r>
  </si>
  <si>
    <t>7 months</t>
  </si>
  <si>
    <t>https://encestando.es/el-barcelona-anuncia-a-nebo-y-tiene-cinco-millones-para-los-dos-refuerzos-que-faltan-en-la-pintura/</t>
  </si>
  <si>
    <t>https://x.com/Eurohoopsnet/status/2053479537191653467</t>
  </si>
  <si>
    <t>https://basketnews.com/news-252703-fenerbahce-offseason-expected-budget-full-roster.html#:~:text=BasketNews%20sources%20say%20the%20Turkish,of%20nearly%20%E2%82%AC17%20million.&amp;text=Fenerbahce%20Beko%20Istanbul%20have%20completed,27%20season%2C%20BasketNews%20sources%20confirmed.</t>
  </si>
  <si>
    <t>Tyrique Jones</t>
  </si>
  <si>
    <t>https://www.israelhayom.co.il/sport/israeli-basketball/article/21159863</t>
  </si>
  <si>
    <t>https://x.com/Andrea__Calzoni/status/2008140924724142477</t>
  </si>
  <si>
    <t>https://www.derstandard.at/story/2000135718833/der-hoehenflug-des-bc-vienna-wien-ist-wieder-wer</t>
  </si>
  <si>
    <t>https://www.diariosur.es/unicaja/presupuesto-record-unicaja-baloncesto-2026-2027-20260611183146-nt.html#:~:text=El%20presupuesto%20m%C3%A1s%20alto%20de,de%20la%20Euroliga%20en%20Atenas.</t>
  </si>
  <si>
    <t>https://www.pianetabasket.com/legabasket-serie-a/budget-triplicato-in-quattro-anni-cosi-varese-puo-diventare-grande</t>
  </si>
  <si>
    <t>22/23</t>
  </si>
  <si>
    <t>Shaquielle McKissic</t>
  </si>
  <si>
    <t>Individuals in Germany are taxed between 14 and 42 percent for taxable income ranging from 11,600 and 66,700 euros. The tax rate is 42 percent up for until 277,000 euros and then is 45 percent for more than that. For an unmarried player with no children, a net salary of 60,000 euros needs a gross salary of 133,500 euros, according to the German league. A net salary of 120,000 euros costs a club a gross salary of 244,500 euros.</t>
  </si>
  <si>
    <t>https://takingthecharge.substack.com/p/follow-the-money-why-germanys-top</t>
  </si>
  <si>
    <t>https://www.ozonpress.net/sport/todorovic-ove-godine-nije-dao-ni-dinara-za-kk-borac-pantovic-napusta-klub/</t>
  </si>
  <si>
    <t>https://telesport.rs/2026/08/16/kamenjasevic-partizan-je-rekao-zvanicno-da-ima-najveci-budzet-u-istoriji-a-zvezda-zvanicno-ili-nezvanicno-oko-26-do-27-miliona/</t>
  </si>
  <si>
    <t>Cory Joseph</t>
  </si>
  <si>
    <t>5 months</t>
  </si>
  <si>
    <t>https://x.com/XaviCasals_/status/2090010343707750486</t>
  </si>
  <si>
    <t>https://www.companywall.rs/firma/kk-borac/MMrNkZ60</t>
  </si>
  <si>
    <t>Giannoulis Larentzakis</t>
  </si>
  <si>
    <t>https://www.pianetabasket.com/legabasket-serie-a/maxima-roma-il-budget-per-il-mercato-supera-i-5-milioni-di-euro-netti</t>
  </si>
  <si>
    <t>https://www.athletiko.gr/ayto-einai-to-deal-olympiakoy-larentzaki-mechri-to-2028-23318</t>
  </si>
  <si>
    <t>Spain’s tax situation is a bit different than Germany - though the top rates are actually higher depending on region. The usual rate ranges from 45 to 54 percent with Madrid at 45 percent, Barcelona at 52 percent and Valencia at 54 percent. The tax rate in the northern Spanish area Basque Country, however, is only 20-22 percent with the major clubs there being Baskonia and Bilbao. One major difference in Spain is if you are a non-resident, meaning you are in the country for 182 days or fewer. Then you are only taxed at 24 percent. If a player stays in the country a second season, they then fall under the higher rates.
But a player can stay in Spain for one season at 24 percent and then leave the country for a season and return and they are once again taxed at 24 percent - but just for that first season back</t>
  </si>
  <si>
    <t>The tax rate in Greece is 22 percent, which changed more than 4 years ago after the country’s financial collapse. It had been 40-45 percent up to 100,000 euros and then up to 55 percent for up to 1 million euros. There was a luxury tax for more than that. For example, when Vasilis Spanoulis signed with Olympiacos in 2010 the club paid 5.1 million euros for his 2.4 million euro net salary.</t>
  </si>
  <si>
    <t>https://infobiz.fina.hr/tvrtka/kosarkaski-klub-split-sportsko-dionicko-drustvo-za-obavljanje-sportskih-djelatnos/OIB-93265708320</t>
  </si>
  <si>
    <t>https://x.com/baekpd1983/status/2075466142232326546</t>
  </si>
  <si>
    <t>https://basketballsphere.com/en/eurocup-rejections-bosna-new-budget/</t>
  </si>
  <si>
    <t>1.5 / 3 y</t>
  </si>
  <si>
    <t>https://basketballsphere.com/en/crvena-zvezda-president-zeljko-drcelic-budget-nikola-vucevic-talks/</t>
  </si>
  <si>
    <t>Omiros Netzipoglou</t>
  </si>
  <si>
    <t>https://www.sport24.gr/basket/aek-metagrafes-telos-o-netzipoglou-apo-tin-enosi-anakoinonetai-apo-ton-olimpiako/</t>
  </si>
  <si>
    <t>https://basketballsphere.com/en/asvel-preparing-major-budget-leap-next-season/</t>
  </si>
  <si>
    <t>https://basketballsphere.com/en/asvel-budget-cut-59-million-24-million-tony-parker/</t>
  </si>
  <si>
    <t>Dovydas Giedraitis</t>
  </si>
  <si>
    <t>21/22</t>
  </si>
  <si>
    <t>https://www.15min.lt/24sek/naujiena/lietuva/zalgirieciu-dominavimas-daugiausiai-uzdirbanciu-lkl-zaideju-top-40-875-1641660</t>
  </si>
  <si>
    <t>https://basketballsphere.com/en/hapoel-tel-aviv-planning-budget-increase/</t>
  </si>
  <si>
    <t>https://www.sport5.co.il/articles.aspx?FolderID=11840&amp;docID=518857</t>
  </si>
  <si>
    <t>https://basketballsphere.com/en/high-ambitions-paoks-budget-to-increase-by-12-million-euros-next-season/</t>
  </si>
  <si>
    <t>Martynas Gecevičius</t>
  </si>
  <si>
    <t>https://basketballsphere.com/en/possible-increase-in-barcelona-budget-for-next-season/</t>
  </si>
  <si>
    <t>https://www.one.co.il/Article/506791.html</t>
  </si>
  <si>
    <t>Randy Culpepper</t>
  </si>
  <si>
    <t>Pasvalio Pieno Žvaigždės</t>
  </si>
  <si>
    <t>Jonathan Elmore</t>
  </si>
  <si>
    <t>https://basketballsphere.com/en/nedim-yucel-besiktas-dusan-alimpijevic/</t>
  </si>
  <si>
    <t>https://www.basketnews.lt/news-166796-labiausiai-verte-pasikele-lkl-zaidejai-dabartine-alga-ir-ko-tiketis-vasara.html</t>
  </si>
  <si>
    <t>https://www.sport5.co.il/articles.aspx?FolderID=274&amp;docID=547545</t>
  </si>
  <si>
    <t>Donatas Sabeckis</t>
  </si>
  <si>
    <t>Benas Griciūnas</t>
  </si>
  <si>
    <t>https://www.israelhayom.co.il/sport/israeli-basketball/article/18930694</t>
  </si>
  <si>
    <t>Vytenis Lipkevičius</t>
  </si>
  <si>
    <t>Gediminas Orelik</t>
  </si>
  <si>
    <t>Juan Palacios</t>
  </si>
  <si>
    <t>Žygimantas Skučas</t>
  </si>
  <si>
    <t>https://www.israelhayom.co.il/sport/israeli-basketball/article/18274420</t>
  </si>
  <si>
    <t>Rokas Gustys</t>
  </si>
  <si>
    <t>Adas Juškevičius</t>
  </si>
  <si>
    <t>https://www.israelhayom.co.il/sport/israeli-basketball/article/18109241</t>
  </si>
  <si>
    <t>Simas Jasaitis</t>
  </si>
  <si>
    <t>Billy Baron</t>
  </si>
  <si>
    <t>Karolis Lukošiūnas</t>
  </si>
  <si>
    <t>https://www.15min.lt/24sek/naujiena/lietuva/vertinami-ir-svetur-ir-lietuvoje-geriausiai-apmokamu-lietuvos-krepsininku-top-30-875-1641654</t>
  </si>
  <si>
    <t>Laurynas Beliauskas</t>
  </si>
  <si>
    <t>Obradoiro</t>
  </si>
  <si>
    <t>Taiwan</t>
  </si>
  <si>
    <t>Aquas</t>
  </si>
  <si>
    <t>Bilbao Surne Basket</t>
  </si>
  <si>
    <t>John Bryant</t>
  </si>
  <si>
    <t>Bayern Munich</t>
  </si>
  <si>
    <t>15/16</t>
  </si>
  <si>
    <t>https://www.15min.lt/24sek/naujiena/eurolyga/daugiausia-uzdirbanciu-eurolygos-krepsininku-top-50-be-lietuviu-1362-529764</t>
  </si>
  <si>
    <t>Martinas Geben</t>
  </si>
  <si>
    <t>Laurynas Birutis</t>
  </si>
  <si>
    <t>https://www.espn.com.au/nbl/story/_/id/49150036/how-much-nbl-team-spent-2025-26</t>
  </si>
  <si>
    <t>Osvaldas Olisevičius</t>
  </si>
  <si>
    <t>Reggio Emilia</t>
  </si>
  <si>
    <t>Andrea Trinchieri</t>
  </si>
  <si>
    <t>Bamberg Brose Baskets</t>
  </si>
  <si>
    <t>https://www.krepsinis.net/naujiena/desimt-daugiausiai-uzdirbanciu-eurolygos-treneriu/261586</t>
  </si>
  <si>
    <t>Šarūnas Vasiliauskas</t>
  </si>
  <si>
    <t>CSO Voluntari</t>
  </si>
  <si>
    <t>Travis Leslie</t>
  </si>
  <si>
    <t>Mike Moser</t>
  </si>
  <si>
    <t>Marek Blaževič</t>
  </si>
  <si>
    <t>Ignas Brazdeikis</t>
  </si>
  <si>
    <t>USA</t>
  </si>
  <si>
    <t>Orlando Magic</t>
  </si>
  <si>
    <t>Arnoldas Kulboka</t>
  </si>
  <si>
    <t>Charlotte Hornets</t>
  </si>
  <si>
    <t>Eimantas Bendžius</t>
  </si>
  <si>
    <t>Sassari Dinamo</t>
  </si>
  <si>
    <t>Kšištof Lavrinovič</t>
  </si>
  <si>
    <t>Paulius Jankūnas</t>
  </si>
  <si>
    <t>Tadas Sedekerskis</t>
  </si>
  <si>
    <t>https://kauno.diena.lt/naujienos/sportas/krepsinis/r-jokubaicio-sandorio-su-barcelona-detales-ispirka-zalgiriui-ir-pirmoji-alga-1035234</t>
  </si>
  <si>
    <t>https://www.bleague.jp/files/user/about/pdf/financial_settlement_2024.pdf</t>
  </si>
  <si>
    <t>Russia</t>
  </si>
  <si>
    <t>Parma</t>
  </si>
  <si>
    <t>Mantas Kalnietis</t>
  </si>
  <si>
    <t>Lukas Lekavičius</t>
  </si>
  <si>
    <t>Edgaras Ulanovas</t>
  </si>
  <si>
    <t>Donatas Motiejūnas</t>
  </si>
  <si>
    <t>Mindaugas Kuzminskas</t>
  </si>
  <si>
    <t>Zenit Saint Petersburg</t>
  </si>
  <si>
    <t>Lokomotiv Kuban</t>
  </si>
  <si>
    <t>https://www.15min.lt/naujiena/prenumerata/ivykiai/top-5-geriausiai-europoje-apmokami-lietuvos-krepsininkai-1226-1369892</t>
  </si>
  <si>
    <t>https://www.krepsinis.net/naujiena/10-uzsienyje-zaidzianciu-lietuviu-kurie-uzdirba-daugiausiai/308899</t>
  </si>
  <si>
    <t>Rokas Giedraitis</t>
  </si>
  <si>
    <t>https://www.krepsinis.net/naujiena/10-daugiausiai-uzdirbanciu-lietuviu-kurie-rungtyniauja-uzsienyje/316621</t>
  </si>
  <si>
    <t>Deividas Sirvydis</t>
  </si>
  <si>
    <t xml:space="preserve">Detroit Pistons </t>
  </si>
  <si>
    <t>CSKA Moscow</t>
  </si>
  <si>
    <t>Tomas Dimša</t>
  </si>
  <si>
    <t>Treviso NutriBullet</t>
  </si>
  <si>
    <t>Eigirdas Žukauskas</t>
  </si>
  <si>
    <t>Artūras Milaknis</t>
  </si>
  <si>
    <t>Martynas Echodas</t>
  </si>
  <si>
    <t>Nigel Williams - Goss</t>
  </si>
  <si>
    <t>https://www.basketnews.lt/news-245810-kiek-uzdirba-brangiausi-fenerbahce-ir-zalgirio-zaidejai.html</t>
  </si>
  <si>
    <t>Sylvain Francisco</t>
  </si>
  <si>
    <t>https://statymugidas.com/sportas/krepsinis/daugiausiai-uzdirbantys-zalgirio-krepsininkai/</t>
  </si>
  <si>
    <t>https://consult.cbso.nbb.be/consult-enterprise/0455284247</t>
  </si>
  <si>
    <t>Moses Wright</t>
  </si>
  <si>
    <t>Maodo Lo</t>
  </si>
  <si>
    <r>
      <rPr>
        <rFont val="&quot;Times New Roman&quot;, sans-serif"/>
        <color rgb="FF1155CC"/>
        <sz val="12.0"/>
        <u/>
      </rPr>
      <t>https://consult.cbso.nbb.be/consult-enterprise/0455284247</t>
    </r>
    <r>
      <rPr>
        <rFont val="&quot;Times New Roman&quot;, sans-serif"/>
        <sz val="12.0"/>
      </rPr>
      <t>7</t>
    </r>
  </si>
  <si>
    <t>https://forbes.cz/atak-na-olymp-slavia-a-nymburk-se-spojuji-novy-klub-chce-do-evropske-nba/</t>
  </si>
  <si>
    <t>Ąžuolas Tubelis</t>
  </si>
  <si>
    <t>Arnas Butkevičius</t>
  </si>
  <si>
    <t>Mantas Rubštavičius</t>
  </si>
  <si>
    <t>https://www.idnes.cz/sport/basket/pumpa-basket-brno-sezona-kvalifikace-eurocup-pulpan-farsky.A250923_123013_sport-basket_coch</t>
  </si>
  <si>
    <t>Dustin Sleva</t>
  </si>
  <si>
    <t>Alen Smajlagič</t>
  </si>
  <si>
    <r>
      <rPr>
        <rFont val="&quot;Times New Roman&quot;, sans-serif"/>
        <color rgb="FF1155CC"/>
        <sz val="12.0"/>
        <u/>
      </rPr>
      <t>https://datacvr.virk.dk/gateway/dokument/downloadDokumentForVirksomhed?dokumentId=amNsb3VkczovLzAzLzNjL2NiLzgyLzJjL2ZjMjgtNGQ3OC04ZGVmLTAxNTczMDgyMDhlNQ&amp;cvrNummer=28716958</t>
    </r>
    <r>
      <rPr>
        <rFont val="&quot;Times New Roman&quot;, sans-serif"/>
        <sz val="12.0"/>
      </rPr>
      <t>8</t>
    </r>
  </si>
  <si>
    <t>https://osportas.lt/atskleisti-zalgirieciu-atlyginimai-geriausiai-apmokamas-zaidejas-smailagicius/</t>
  </si>
  <si>
    <t>Matt Mitchell</t>
  </si>
  <si>
    <t>https://sport.err.ee/1609475339/kalev-cramo-manedzer-me-ei-suuda-eelarvet-tosta-muu-maailm-laheb-eest-ara</t>
  </si>
  <si>
    <t>Tyrone Wallace</t>
  </si>
  <si>
    <t>reddit</t>
  </si>
  <si>
    <t>Brady Manek</t>
  </si>
  <si>
    <t>https://basket.fi/site/assets/files/33531/pahkina2024.pdf</t>
  </si>
  <si>
    <t>Bryant Dunston</t>
  </si>
  <si>
    <t>Lonnie Walker</t>
  </si>
  <si>
    <t>3 months</t>
  </si>
  <si>
    <t>https://www.basketnews.lt/news-198049-didziausios-lkl-algos-33-23-vietos.html</t>
  </si>
  <si>
    <t>https://www.basketnews.lt/news-198441-didziausios-lkl-algos-10-1-vietos.html</t>
  </si>
  <si>
    <t>Kevarrius Hayes</t>
  </si>
  <si>
    <t>Jeff Taylor</t>
  </si>
  <si>
    <t>Alytaus Wolves</t>
  </si>
  <si>
    <t>https://www.lrt.lt/naujienos/sportas/10/2246760/brangiausi-eurolygos-lietuviai-grigonis-tapo-lyderiu-o-kur-kiti?srsltid=AfmBOorUWx1a91VmQFEIK0TDUxQBmwj5E1QDpdZPF5VZhKmTNrCpaw4N</t>
  </si>
  <si>
    <t>https://x.com/matty_vanpersie/status/1705572891599810625</t>
  </si>
  <si>
    <t>https://www.15min.lt/24sek/naujiena/eurolyga/i-brazdeikio-perejimo-i-olympiakos-detales-uzdirbs-milijonus-1362-2116050</t>
  </si>
  <si>
    <t>Edmond Sumner</t>
  </si>
  <si>
    <t>https://www.companywall.hu/v%C3%A1llalat/falco-kc-szombathely-kft/MMFLZkdD</t>
  </si>
  <si>
    <t>Rolands Šmits</t>
  </si>
  <si>
    <t>Regimantas Miniotas</t>
  </si>
  <si>
    <t>https://www.basketnews.lt/news-198340-didziausios-lkl-algos-22-11-vietos.html</t>
  </si>
  <si>
    <t>Christian Mekowulu</t>
  </si>
  <si>
    <t>https://www.companywall.hu/v%C3%A1llalat/alba-fehervar-kosarlabda-kft/MM986hAC</t>
  </si>
  <si>
    <t>Antanas Kavaliauskas</t>
  </si>
  <si>
    <t>https://www.15min.lt/24sek/naujiena/lietuva/daugiausia-lietuvoje-uzdirbanciu-krepsininku-penkioliktukas-kur-aukso-grynuolis-o-kuriems-permoketa-875-538226</t>
  </si>
  <si>
    <t>https://www.basketnews.lt/news-90755-geriausiai-apmokamu-krepsininku-lietuvoje-virsuneje-zalgirieciai.html</t>
  </si>
  <si>
    <t>https://www.companywall.hu/v%C3%A1llalat/ase-kosar-kft/MM9sa4DC</t>
  </si>
  <si>
    <t>https://x.com/intars91/status/2064439747976523858https://x.com/intars91/status/2064439747976523858</t>
  </si>
  <si>
    <t>https://www.delfi.lv/sports/17012608/basketbols/120088762/rigas-zellu-budzets-jaunaja-sezona-bus-lielakais-kluba-pastavesanas-vesture</t>
  </si>
  <si>
    <t>Bebasket.fr</t>
  </si>
  <si>
    <t>https://sportnet.sme.sk/spravy/basketbal-riga-levice-preview-skupina-f-liga-majstrov-2025-2026/</t>
  </si>
  <si>
    <t>Rasheed Sulaimon</t>
  </si>
  <si>
    <t>https://www.diena.lv/raksts/sports/basketbols/_vef-riga_-budzets-gaidamaja-sezona-bus-aptuveni-pusotrs-miljons-eiro-14341957</t>
  </si>
  <si>
    <t>Ryan Taylor</t>
  </si>
  <si>
    <t>https://sportacentrs.com/(bez)maksas_sports/21042026-vef_riga_speletaju_algu_budzets_bija_plan</t>
  </si>
  <si>
    <t>Scoochie Smith</t>
  </si>
  <si>
    <t>Tre'Shawn Thurman</t>
  </si>
  <si>
    <t>https://sportacentrs.com/basketbols/lbl/05052026-pa_punktiem_jauna_lbl_kluba_minimalais_bu</t>
  </si>
  <si>
    <t>Djordje Gagič</t>
  </si>
  <si>
    <t>Artūras Gudaitis</t>
  </si>
  <si>
    <t>https://www.15min.lt/24sek/naujiena/lietuva/daugiausia-lietuvoje-uzdirbanciu-zaideju-top-15-a-gudaicio-alga-ir-brangiausio-legionieriaus-kaina-875-538401</t>
  </si>
  <si>
    <t>17/18</t>
  </si>
  <si>
    <t>https://www.krepsinis.net/naujiena/10-uzsienyje-rungtyniaujanciu-lietuviu-kurie-uzdirba-daugiausiai/283956</t>
  </si>
  <si>
    <t>https://www.companywall.com.mk/kompanija/%D0%BA%D0%BE%D1%88%D0%B0%D1%80%D0%BA%D0%B0%D1%80%D1%81%D0%BA%D0%B8-%D0%BA%D0%BB%D1%83%D0%B1-%D0%BF%D0%B5%D0%BB%D0%B8%D1%81%D1%82%D0%B5%D1%80-%D0%B0%D0%B4-%D0%B1%D0%B8%D1%82%D0%BE%D0%BB%D0%B0/MM1zPdJC</t>
  </si>
  <si>
    <t>Vaidas Kariniauskas</t>
  </si>
  <si>
    <t>Nicolas Laprovittola</t>
  </si>
  <si>
    <t>Kristupas Žemaitis</t>
  </si>
  <si>
    <t>https://zkrainynba.com/prezes-anwilu-wloclawek-ujawnil-kwote-budzetu/</t>
  </si>
  <si>
    <t>Deividas Gailius</t>
  </si>
  <si>
    <t>Olivier Hanlan</t>
  </si>
  <si>
    <t>Daniel Ewing</t>
  </si>
  <si>
    <t>https://sport.interia.pl/koszykowka/mistrzostwa-swiata/news-szef-legii-ujawnia-budzet-zapowiada-tez-walke-o-polakow,nId,23325911#google_vignette</t>
  </si>
  <si>
    <t>https://www.15min.lt/24sek/naujiena/lietuva/daugiausia-lietuvoje-uzdirbanciu-zaideju-top-15-desertas-penki-brangiausi-lietuviai-875-538606</t>
  </si>
  <si>
    <t>https://xyz.pl/klub-sportowy-jest-jak-startup-dziki-warszawa-na-drodze-do-euroligi-inba/</t>
  </si>
  <si>
    <t>Ian Vougioukas</t>
  </si>
  <si>
    <t>16/17</t>
  </si>
  <si>
    <t>https://www.krepsinis.net/naujiena/brangiausiu-lkl-zaideju-top-16-6-11-pozicijos/266513</t>
  </si>
  <si>
    <t>https://www.15min.lt/24sek/naujiena/lietuva/daugiausiai-lietuvoje-uzdirbanciu-zaideju-top-15-lietuvos-ryto-dziaugsmas-ir-zalgirio-viltis-875-695937</t>
  </si>
  <si>
    <t>David Logan</t>
  </si>
  <si>
    <t>https://zkrainynba.com/michal-baran-celujemy-w-budzet-na-poziomie-4-mln-zl/</t>
  </si>
  <si>
    <t>Anatoly Kashirov</t>
  </si>
  <si>
    <t>Alytaus Dzūkija</t>
  </si>
  <si>
    <t>https://www.krepsinis.net/naujiena/penki-lkl-zaidejai-kurie-uzdirba-solidziai-bet-dideles-naudos-klubui-kol-kas-neatnese/282845</t>
  </si>
  <si>
    <t>https://www.youtube.com/watch?v=glsspD6e0gs</t>
  </si>
  <si>
    <t>Denis Lukashov</t>
  </si>
  <si>
    <t>Prienai</t>
  </si>
  <si>
    <t>Laimonas Kisielius</t>
  </si>
  <si>
    <t>Drew Gordon</t>
  </si>
  <si>
    <t>https://gs24.pl/szczecin-podzielil-pieniadze-dla-klubow-miliony-dla-pogoni-i-wilkow-morskich/ar/c2p2-28713671</t>
  </si>
  <si>
    <t>https://www.krepsinis.net/naujiena/brangiausiu-lkl-zaideju-top-16-16-12-pozicijos/266483</t>
  </si>
  <si>
    <t>https://dziendobrypomorze.pl/pl/13_sport/76688_ekstraklasa-koszykarzy-amw-arka-postawilismy-na-doswiadczonych-polskich.html</t>
  </si>
  <si>
    <t>Brock Motum</t>
  </si>
  <si>
    <t>https://rc.krepsinis.net/naujiena/brangiausiu-lkl-zaideju-top-16-1-5-pozicijos/266539</t>
  </si>
  <si>
    <t>https://www.15min.lt/24sek/naujiena/lietuva/daugiausiai-lietuvoje-uzdirbanciu-zaideju-top-15-desertas-pirmasis-brangiausiuju-penketas-875-696319</t>
  </si>
  <si>
    <t>Martynas Pocius</t>
  </si>
  <si>
    <t>Marc Carter</t>
  </si>
  <si>
    <t>https://www.krepsinis.net/naujiena/brangiausiu-lkl-zaideju-top-20-20-11-pozicijos/278738</t>
  </si>
  <si>
    <t>https://www.record.pt/futebol/futebol-nacional/liga-betclic/benfica/detalhe/saiba-quanto-e-que-o-benfica-gastou-em-cada-modalidade-na-epoca-passada</t>
  </si>
  <si>
    <t>Jerome Randle</t>
  </si>
  <si>
    <t>https://www.15min.lt/24sek/naujiena/lietuva/penki-daugiausiai-uzdirbantys-zaidejai-lkl-finale-875-633191</t>
  </si>
  <si>
    <t>https://www.ojogo.pt/futebol/artigo/orcamento-das-modalidades-do-fc-porto-cresce-193-mil-euros/17919633</t>
  </si>
  <si>
    <t>Ben Magden</t>
  </si>
  <si>
    <t>Martynas Mažeika</t>
  </si>
  <si>
    <t>https://www.15min.lt/24sek/naujiena/lietuva/daugiausiai-lietuvoje-uzdirbanciu-krepsininku-top-15-nauji-veidai-ir-r-javtoko-pokytis-875-695483</t>
  </si>
  <si>
    <t>https://baschet.ro/liga-nationala-de-baschet-masculin/stiri/bugetul-echipei-de-baschet-cs-valcea-1924-subiect-de-scandal-politic-local</t>
  </si>
  <si>
    <t>Kazan Unics</t>
  </si>
  <si>
    <t>https://valceainfo.ro/2025/12/05/documente-intoxicarile-unor-paraziti-penali-despre-bugetul-cs-valcea-1924-pulverizate-de-probe-aflate-mereu-in-transparenta-publica/</t>
  </si>
  <si>
    <t>Renaldas Seibutis</t>
  </si>
  <si>
    <t>Leo Westermann</t>
  </si>
  <si>
    <t>Travis Peterson</t>
  </si>
  <si>
    <t>Jerai Grant</t>
  </si>
  <si>
    <r>
      <rPr>
        <rFont val="&quot;Times New Roman&quot;, sans-serif"/>
        <color rgb="FF1155CC"/>
        <sz val="12.0"/>
        <u/>
      </rPr>
      <t>https://baschet.ro/liga-nationala-de-baschet-masculin/stiri/cum-arata-tabloul-playoff-ului-in-liga-nationala-de-baschet-masculin</t>
    </r>
    <r>
      <rPr>
        <rFont val="&quot;Times New Roman&quot;, sans-serif"/>
        <sz val="12.0"/>
      </rPr>
      <t>n</t>
    </r>
  </si>
  <si>
    <t>Larry Drew</t>
  </si>
  <si>
    <t>Jimmy Baron</t>
  </si>
  <si>
    <t>Robertas Javtokas</t>
  </si>
  <si>
    <t>https://www.15min.lt/24sek/naujiena/europa/urbonas-apie-staigmenas-rumunijoje-ateiti-ir-patarima-sunui-nekovok-mano-karu-874-2636466</t>
  </si>
  <si>
    <t>Robert Carter</t>
  </si>
  <si>
    <t>Kevin Pangos</t>
  </si>
  <si>
    <t>Augusto Lima</t>
  </si>
  <si>
    <t>https://sportnet.sme.sk/spravy/basketbal-patrioti-levice-aek-ateny-rozhovor-grecky-novinar-liga-majstrov-2025-2026/</t>
  </si>
  <si>
    <t>https://www.krepsinis.net/naujiena/lkl-finalininku-pinigines-kiek-uzdirba-stipriausiu-lietuvos-klubu-zaidejai/274137</t>
  </si>
  <si>
    <t>Isaiah Hartenshtein</t>
  </si>
  <si>
    <t>https://sportnet.sme.sk/spravy/basketbal-rozhovor-nemecky-novinar-patrioti-levice-wurzburg-liga-majstrov-2026/</t>
  </si>
  <si>
    <t>Darjuš Lavrinovič</t>
  </si>
  <si>
    <t>Simas Galdikas</t>
  </si>
  <si>
    <t>https://www.thelondonlions.com/news/london-lions-complete-first-phase-in-plan-for-new-london-arena</t>
  </si>
  <si>
    <t>Gintaras Leonavičius</t>
  </si>
  <si>
    <t>Lorenzo Williams</t>
  </si>
  <si>
    <t>Donatas Tarolis</t>
  </si>
  <si>
    <t>Tadas Rinkūnas</t>
  </si>
  <si>
    <t>Chris Kramer</t>
  </si>
  <si>
    <t>Donatas Zavackas</t>
  </si>
  <si>
    <t>Loukas Mavrokefalidis</t>
  </si>
  <si>
    <t>https://www.krepsinis.net/naujiena/brangiausiu-lkl-zaideju-top-20-1-10-pozicijos/278868</t>
  </si>
  <si>
    <t>Neptūnas (26/27)</t>
  </si>
  <si>
    <t>Evaldas Kairys</t>
  </si>
  <si>
    <t>https://bcneptunas.lt/2026/06/23/neptunas-uzbaige-viena-sekmingiausiu-sezonu-per-desimtmeti-lkl-bronza-ilgalaike-eurocup-licencija-finansinis-stabilumas-ir-rekordinis-sirgaliu-palaikymas/</t>
  </si>
  <si>
    <t>https://www.basketnews.lt/news-133679-geriausiai-apmokami-lkl-zaidejai-desimt-brangiausiuju-zalgiryje.html</t>
  </si>
  <si>
    <t>https://www.15min.lt/24sek/naujiena/lietuva/top-30-atlyginimu-lietuvoje-antrajame-desimtuke-ryto-lietuviu-kompanija-875-1036584?c=24sek</t>
  </si>
  <si>
    <t>D.J. Seeley</t>
  </si>
  <si>
    <t>https://www.15min.lt/24sek/naujiena/lietuva/top-30-atlyginimu-lietuvoje-daugiausiai-uzdirbanciuju-desimtuke-burys-zalgirieciu-875-1036762</t>
  </si>
  <si>
    <t>Dominique Sutton</t>
  </si>
  <si>
    <t>https://www.15min.lt/24sek/naujiena/lietuva/top-30-atlyginimu-lietuvoje-treciasis-daugiausiai-uzdirbanciu-zaideju-desimtukas-875-1034940</t>
  </si>
  <si>
    <t>Mindaugas Girdžiūnas</t>
  </si>
  <si>
    <t>Leyma De Coruna (26/27)</t>
  </si>
  <si>
    <t>5-6 Mln</t>
  </si>
  <si>
    <t>https://x.com/vozdeportes/status/2064965605351162237</t>
  </si>
  <si>
    <t>Mustafa Shakur</t>
  </si>
  <si>
    <t>Valdas Vasylius</t>
  </si>
  <si>
    <t>Riga Zelli (26/27)</t>
  </si>
  <si>
    <t>Vytautas Šarakauskas</t>
  </si>
  <si>
    <t>Bešiktaš (26/27)</t>
  </si>
  <si>
    <t>Justas Sinica</t>
  </si>
  <si>
    <t>Ivan Nelyubov</t>
  </si>
  <si>
    <t>Keith Benson</t>
  </si>
  <si>
    <t>Asvel (26/27)</t>
  </si>
  <si>
    <t>https://www.bebasket.fr/tony-parker-coach-vincent-collet-dans-le-staff-sylvain-francisco-a-la-mene-quatre-autres-recrues-19-noms-confirmes-a-lasvel</t>
  </si>
  <si>
    <t>Dziki Warszawa (26/27)</t>
  </si>
  <si>
    <t>Will Cherry</t>
  </si>
  <si>
    <t>Virtus (26/27)</t>
  </si>
  <si>
    <t>Darius Songaila</t>
  </si>
  <si>
    <t>Siim-Sander Vene</t>
  </si>
  <si>
    <t>James Anderson</t>
  </si>
  <si>
    <t>Valencia (26/27)</t>
  </si>
  <si>
    <t>Barcelona (26/27)</t>
  </si>
  <si>
    <t>https://www.basketnews.lt/news-112706-lietuvos-rinktines-biudzetas-beveik-13-mln-euru.html</t>
  </si>
  <si>
    <t>https://kauno.diena.lt/naujienos/sportas/krepsinis/lkl-isvykeliai-skaudziausios-netektys-ir-vilciu-nepateisine-zaidejai-857802</t>
  </si>
  <si>
    <t>Tu Holloway</t>
  </si>
  <si>
    <t>Francisco Cruz</t>
  </si>
  <si>
    <t>Baskonia (26/27)</t>
  </si>
  <si>
    <t>https://x.com/7Vercost/status/2076274169449242966</t>
  </si>
  <si>
    <t>Cameron Bairstow</t>
  </si>
  <si>
    <t>Dainius Adomaitis</t>
  </si>
  <si>
    <t>https://www.tv3.lt/naujiena/sportas/krepsinio-zvaigzdziu-milijonai-kiek-uzdirba-lietuvos-rinktines-nariai-n1010742</t>
  </si>
  <si>
    <t>Milano Olimpia</t>
  </si>
  <si>
    <t>https://kauno.diena.lt/naujienos/sportas/krepsinis/m-kalnietis-milane-uzdirbs-pusantro-karto-daugiau-nei-kaune-730542</t>
  </si>
  <si>
    <t>https://dev.basketnews.lt/news-93606-mantas-kalnietis-milane-uzdirbs-pusantro-karto-daugiau-nei-kaune.html</t>
  </si>
  <si>
    <t>https://www.15min.lt/24sek/naujiena/lietuva/lietuvos-rinktines-verte-kiek-uzdirba-nacionalines-komandos-zaidejai-875-844744</t>
  </si>
  <si>
    <t>https://www.krepsinis.net/naujiena/lietuvos-rinktines-zaideju-atlyginimai-kiek-kita-sezona-uzdirbs-dvyliktuko-nariai/276896</t>
  </si>
  <si>
    <t>China</t>
  </si>
  <si>
    <t>Golden Stars</t>
  </si>
  <si>
    <t>https://www.krepsinis.net/naujiena/d-motiejunas-brangiausiai-apmokamas-kinijos-lygos-uzsienietis/278050</t>
  </si>
  <si>
    <t>Berlin Alba</t>
  </si>
  <si>
    <t>Dee Bost</t>
  </si>
  <si>
    <t>Axel Toupane</t>
  </si>
  <si>
    <t>Vasilije Micič</t>
  </si>
  <si>
    <t>https://www.15min.lt/24sek/naujiena/europa/ispirka-uz-deivida-sirvydi-didziausia-jeruzales-klubo-istorijoje-874-1324278</t>
  </si>
  <si>
    <t>Brandon Davies</t>
  </si>
  <si>
    <t>Aaron White</t>
  </si>
  <si>
    <t>Chris McCullough</t>
  </si>
  <si>
    <t>Zach LeDay</t>
  </si>
  <si>
    <t>Zaragoza</t>
  </si>
  <si>
    <t>Derrick Williams</t>
  </si>
  <si>
    <t>https://www.basketnews.lt/news-129649-labiausiai-savo-verte-pakele-eurolygos-krepsininkai-sarase-du-zalgirieciai.html</t>
  </si>
  <si>
    <t>Howard Sant - Roos</t>
  </si>
  <si>
    <t>https://assets.fiba.basketball/image/upload/v1775131857/jy8fwsxlublmvbke3ket.pdf</t>
  </si>
  <si>
    <t>https://www.basketnews.lt/news-134510-su-lokomotiv-sutares-mindaugas-kuzminskas-uzdirbs-15-mln-euru.html</t>
  </si>
  <si>
    <t>Saulius Kulvietis</t>
  </si>
  <si>
    <t>Andrew Goudelock</t>
  </si>
  <si>
    <t>Nate Wolters</t>
  </si>
  <si>
    <t>Kyle Weaver</t>
  </si>
  <si>
    <t>Fran Pilepič</t>
  </si>
  <si>
    <t>Emmanuel Omogbo</t>
  </si>
  <si>
    <t>Tomas Delininkaitis</t>
  </si>
  <si>
    <t>Dominik Mavra</t>
  </si>
  <si>
    <t>Mike Morrison</t>
  </si>
  <si>
    <t>Jamar Wilson</t>
  </si>
  <si>
    <t>Dovis Bičkauskis</t>
  </si>
  <si>
    <t>Demetrius Jackson</t>
  </si>
  <si>
    <t>Alex Perez</t>
  </si>
  <si>
    <t>Jock Landale</t>
  </si>
  <si>
    <t>Ignas Vaitkus</t>
  </si>
  <si>
    <t>https://www.basketnews.lt/news-150204-labiausiai-verte-pasikele-lkl-krepsininkai-ir-kokiu-pinigu-jie-gali-tiketis-vasara.html</t>
  </si>
  <si>
    <t>Tomas Lekūnas</t>
  </si>
  <si>
    <t>Elvar Fridriksson</t>
  </si>
  <si>
    <t>Margiris Normantas</t>
  </si>
  <si>
    <t>Mindaugas Sušinskas</t>
  </si>
  <si>
    <t>Matas Jucikas</t>
  </si>
  <si>
    <t>Ivan Buva</t>
  </si>
  <si>
    <t>discord sources</t>
  </si>
  <si>
    <t>Speedy Smith</t>
  </si>
  <si>
    <t>https://www.krepsinis.net/naujiena/rytas-turi-laikytis-krypties-kuri-atnese-titula/320084?utm_source=copy&amp;utm_medium=txt&amp;utm_campaign=copy-txt</t>
  </si>
  <si>
    <t>Steve Vasturia</t>
  </si>
  <si>
    <t>Gytis Radzevičius</t>
  </si>
  <si>
    <t>Augustine Rubit</t>
  </si>
  <si>
    <t>Patricio Garino</t>
  </si>
  <si>
    <t>Joffrey Lauvergne</t>
  </si>
  <si>
    <t>Sedrick Barefield</t>
  </si>
  <si>
    <t>Kėdainių Nevėžis</t>
  </si>
  <si>
    <t>Tanner Leissner</t>
  </si>
  <si>
    <t>Edgaras Želionis</t>
  </si>
  <si>
    <t>Jarvis Williams</t>
  </si>
  <si>
    <t>Patrick Miller</t>
  </si>
  <si>
    <t>Tai Webster</t>
  </si>
  <si>
    <t>Adreian Payne</t>
  </si>
  <si>
    <t>Maurice Ndour</t>
  </si>
  <si>
    <t>Marko Tejič</t>
  </si>
  <si>
    <t>1 month</t>
  </si>
  <si>
    <t>Tyler Cavanaugh</t>
  </si>
  <si>
    <t>Josh Nebo</t>
  </si>
  <si>
    <t>Niels Giffey</t>
  </si>
  <si>
    <t>Janis Strelnieks</t>
  </si>
  <si>
    <t>https://www.tv3.lt/naujiena/sportas/atlyginimai-kaip-ant-delno-kiek-uzdirba-kiekvienas-lietuvos-rinktines-dvyliktuko-narys-n1253983</t>
  </si>
  <si>
    <t>Marcus Foster</t>
  </si>
  <si>
    <t>https://www.basketnews.lt/news-187174-labiausiai-verte-pasikele-lkl-zaidejai-dabartine-alga-ir-ko-tiketis-vasara.html</t>
  </si>
  <si>
    <t>https://www.krepsinis.net/naujiena/top-10-brangiausi-lkl-laisvieji-agentai-lietuviai/328257</t>
  </si>
  <si>
    <t>Kendale McCullum</t>
  </si>
  <si>
    <t>3.5 months</t>
  </si>
  <si>
    <t>Ignas Sargiūnas</t>
  </si>
  <si>
    <t>pulkovskis</t>
  </si>
  <si>
    <t>Tommy Rutherford</t>
  </si>
  <si>
    <t>T.J. Starks</t>
  </si>
  <si>
    <t>Juwan Durham</t>
  </si>
  <si>
    <t>https://www.15min.lt/24sek/naujiena/europa/astuoniskart-alga-pasikeles-lietkabelio-graikas-pakeliui-i-eurolyga-874-1742610</t>
  </si>
  <si>
    <t>Justin Gorham</t>
  </si>
  <si>
    <t>Kendrick Brown</t>
  </si>
  <si>
    <t>Andre Williamson</t>
  </si>
  <si>
    <t>John Gillon</t>
  </si>
  <si>
    <t>Željko Šakič</t>
  </si>
  <si>
    <t>Šarūnas Jasikevičius</t>
  </si>
  <si>
    <t>https://www.krepsinis.net/naujiena/top-15-daugiausiai-uzdirbantys-lietuvos-krepsininkai-ir-s-jasikevicius/327158</t>
  </si>
  <si>
    <t>Xinjiang Flying Tigers</t>
  </si>
  <si>
    <t>https://www.basketnews.lt/news-188679-bentley-pries-passat-kiek-uzdirba-brangiausi-barcelonos-ir-zalgirio-zaidejai.html</t>
  </si>
  <si>
    <t>Brandon Triche</t>
  </si>
  <si>
    <t>https://assets.fiba.basketball/image/upload/v1726049926/Corporate%20Images/HQ%20Departments/Legal/BAT%20Awards/1645-21.pdf</t>
  </si>
  <si>
    <t>Bucharest Rapid</t>
  </si>
  <si>
    <t>Mažeikiai</t>
  </si>
  <si>
    <t>Brad Davison</t>
  </si>
  <si>
    <t>https://www.basketnews.lt/news-223077-labiausiai-verte-pasikelusiu-lkl-zaideju-penketukas-kokiu-sumu-tiketis-vasara.html</t>
  </si>
  <si>
    <t>Joseph Girard</t>
  </si>
  <si>
    <t>Myles Hesson</t>
  </si>
  <si>
    <t>https://www.krepsinis.net/naujiena/10-komandu-10-nusivylimu-labiausiai-lukesciu-nepateisinantys-lkl-ekipu-zaidejai/342093</t>
  </si>
  <si>
    <t>Amit Ebo</t>
  </si>
  <si>
    <t>Dominic Brewton</t>
  </si>
  <si>
    <t>Bogdan Blyzniuk</t>
  </si>
  <si>
    <t>Anthony Cowan</t>
  </si>
  <si>
    <t>Keith Hornsby</t>
  </si>
  <si>
    <t>Gabrielius Maldūnas</t>
  </si>
  <si>
    <t>Mad Ants</t>
  </si>
  <si>
    <t>Amar'e Stoudemire</t>
  </si>
  <si>
    <t>James Feldeine</t>
  </si>
  <si>
    <t>Yogev Ohayon</t>
  </si>
  <si>
    <t>Chris Johnson</t>
  </si>
  <si>
    <t>Bar Timor</t>
  </si>
  <si>
    <t>Josh Owens</t>
  </si>
  <si>
    <t>Da'Sean Butler</t>
  </si>
  <si>
    <t>J'Covan Brown</t>
  </si>
  <si>
    <t>Tamir Blatt</t>
  </si>
  <si>
    <t>Alex Chubrevich</t>
  </si>
  <si>
    <t>TaShawn Thomas</t>
  </si>
  <si>
    <t>Jo Lual-Acuil Jr.</t>
  </si>
  <si>
    <t>Egor Koulechov</t>
  </si>
  <si>
    <t>Maccabi Rishon Lezion</t>
  </si>
  <si>
    <t>https://www.israelhayom.co.il/article/682197</t>
  </si>
  <si>
    <t>Amit Simhon</t>
  </si>
  <si>
    <t>https://www.ynet.co.il/sport/israelibasketball/article/SyWWcspRP#google_vignette</t>
  </si>
  <si>
    <t>Scottie Reynolds</t>
  </si>
  <si>
    <t>https://www.sport5.co.il/articles.aspx?FolderID=274&amp;docID=211866</t>
  </si>
  <si>
    <t>Shlomi Harush</t>
  </si>
  <si>
    <t>Maccabi Ramat Gan</t>
  </si>
  <si>
    <t>https://www.ynet.co.il/sport/israelibasketball/article/ry2F9Rvcw</t>
  </si>
  <si>
    <t>Scottie Wilbekin</t>
  </si>
  <si>
    <t>https://www.israelhayom.co.il/sport/israeli-basketball/article/4368862</t>
  </si>
  <si>
    <t>Idan Zalmanson</t>
  </si>
  <si>
    <t>James Young</t>
  </si>
  <si>
    <t>J.P. Tokoto</t>
  </si>
  <si>
    <t>Jonathan Skjoldebrand</t>
  </si>
  <si>
    <t>Raz Adam</t>
  </si>
  <si>
    <t>Gil Beni</t>
  </si>
  <si>
    <t>Dewan Hernandez</t>
  </si>
  <si>
    <t>8 months</t>
  </si>
  <si>
    <t>https://assets.fiba.basketball/image/upload/v1779182271/xxps23fxlzme8oj478bo.pdf</t>
  </si>
  <si>
    <t>Joe Ragland</t>
  </si>
  <si>
    <t>Michale Kyser</t>
  </si>
  <si>
    <t>Rafael Menco</t>
  </si>
  <si>
    <t>Steven Gray</t>
  </si>
  <si>
    <t>Frederic Bourdillon</t>
  </si>
  <si>
    <t>Guy Pnini</t>
  </si>
  <si>
    <t>Mark Ogden</t>
  </si>
  <si>
    <t>Niv Misgav</t>
  </si>
  <si>
    <t>Eidan Alber</t>
  </si>
  <si>
    <t>Thon Maker</t>
  </si>
  <si>
    <t>Sean Kilpatrick</t>
  </si>
  <si>
    <t>Retin Obasohan</t>
  </si>
  <si>
    <t>Anthony Bennett</t>
  </si>
  <si>
    <t>Jalen Adams</t>
  </si>
  <si>
    <t>Ricky Hickman</t>
  </si>
  <si>
    <t>https://www.israelhayom.co.il/sport/israeli-basketball/article/16015710</t>
  </si>
  <si>
    <t>13/14</t>
  </si>
  <si>
    <t>Tyrese Rice</t>
  </si>
  <si>
    <t>Khimki Moscow</t>
  </si>
  <si>
    <t>Willy Workman</t>
  </si>
  <si>
    <t>Hapoel Galil Elyon</t>
  </si>
  <si>
    <t>https://www.haaretz.co.il/sport/basketball/2021-07-16/ty-article/.premium/0000017f-db7e-df62-a9ff-dfff8b7b0000</t>
  </si>
  <si>
    <t>Adam Ariel</t>
  </si>
  <si>
    <t>Itay Segev</t>
  </si>
  <si>
    <t>Amit Gershon</t>
  </si>
  <si>
    <t>https://www.bizportal.co.il/sport/news/article/816276</t>
  </si>
  <si>
    <t>Khadeen Carrington</t>
  </si>
  <si>
    <t>https://www.israelhayom.co.il/sport/israeli-basketball/article/12826822</t>
  </si>
  <si>
    <t>Zach Hankins</t>
  </si>
  <si>
    <t>Levi Randolph</t>
  </si>
  <si>
    <t>Oz Blayzer</t>
  </si>
  <si>
    <t>Mareks Mejeris</t>
  </si>
  <si>
    <t>Or Cornelius</t>
  </si>
  <si>
    <t>https://www.bizportal.co.il/sport/news/article/818973</t>
  </si>
  <si>
    <t>Yovel Zoosman</t>
  </si>
  <si>
    <t>https://www.israelhayom.co.il/sport/israeli-basketball/article/14449656</t>
  </si>
  <si>
    <t>https://www.sport5.co.il/articles.aspx?FolderID=405&amp;docID=486728</t>
  </si>
  <si>
    <t>Wade Baldwin</t>
  </si>
  <si>
    <t>Bonzie Colson</t>
  </si>
  <si>
    <t>Jasiel Rivero</t>
  </si>
  <si>
    <t>https://www.bizportal.co.il/sport/news/article/827028</t>
  </si>
  <si>
    <t>Roman Sorkin</t>
  </si>
  <si>
    <t>https://www.israelhayom.co.il/sport/israeli-basketball/article/21055509</t>
  </si>
  <si>
    <t>https://www.israelhayom.co.il/sport/israeli-basketball/article/21008495</t>
  </si>
  <si>
    <t>James Webb</t>
  </si>
  <si>
    <t>Antonio Cleveland</t>
  </si>
  <si>
    <t>John Di Bartolomeo</t>
  </si>
  <si>
    <t>Jake Cohen</t>
  </si>
  <si>
    <t>Braian Angola</t>
  </si>
  <si>
    <t>https://www.ice.co.il/sport_news/news/article/974715</t>
  </si>
  <si>
    <t>https://www.sport5.co.il/articles.aspx?FolderID=274&amp;docID=473879</t>
  </si>
  <si>
    <t>Kyle Alexander</t>
  </si>
  <si>
    <t>John Holland</t>
  </si>
  <si>
    <t>Xavier Munford</t>
  </si>
  <si>
    <t>Tomer Ginat</t>
  </si>
  <si>
    <t>Will Cummings</t>
  </si>
  <si>
    <t>Jaylen Hoard</t>
  </si>
  <si>
    <t>Gal Shterenberg</t>
  </si>
  <si>
    <t>Yonatan Rabinowitz</t>
  </si>
  <si>
    <t>Dezmine Wells</t>
  </si>
  <si>
    <t>Dusty Hannahs</t>
  </si>
  <si>
    <t>4,5 months</t>
  </si>
  <si>
    <t>Isaiah Miles</t>
  </si>
  <si>
    <t>2,5 months</t>
  </si>
  <si>
    <t>Tyler Ennis</t>
  </si>
  <si>
    <t>Stefanos Dedas</t>
  </si>
  <si>
    <t>https://www.israelhayom.co.il/sport/israeli-basketball/article/16266850</t>
  </si>
  <si>
    <t>https://www.sport5.co.il/articles.aspx?FolderID=274&amp;docID=482119</t>
  </si>
  <si>
    <t>Jared Harper</t>
  </si>
  <si>
    <t>Nimrod Levi</t>
  </si>
  <si>
    <t>Justin Smith</t>
  </si>
  <si>
    <t>Jeremy Morgan</t>
  </si>
  <si>
    <t>Austin Wiley</t>
  </si>
  <si>
    <t>Gabriel Chachashvili</t>
  </si>
  <si>
    <t xml:space="preserve">Noam Dovrat </t>
  </si>
  <si>
    <t>Elijah Mitrou - Long</t>
  </si>
  <si>
    <t>https://www.israelhayom.co.il/sport/israeli-basketball/article/16202752</t>
  </si>
  <si>
    <t>Yiftach Ziv</t>
  </si>
  <si>
    <t>Marcus Bingham</t>
  </si>
  <si>
    <t>https://sports.walla.co.il/item/3707461</t>
  </si>
  <si>
    <t>https://www.sport5.co.il/articles.aspx?FolderID=274&amp;docID=489809</t>
  </si>
  <si>
    <t>Netanel Artzi</t>
  </si>
  <si>
    <t>Dakarai Tucker</t>
  </si>
  <si>
    <t>Yotam Hanochi</t>
  </si>
  <si>
    <t>Eliad Tal</t>
  </si>
  <si>
    <t>Patrick Beverley</t>
  </si>
  <si>
    <t>https://www.israelhayom.co.il/sport/israeli-basketball/article/16266688</t>
  </si>
  <si>
    <t>Yam Madar</t>
  </si>
  <si>
    <t>https://www.sport5.co.il/articles.aspx?FolderID=274&amp;docID=489948</t>
  </si>
  <si>
    <t>Johnathan Motley</t>
  </si>
  <si>
    <t>Bruno Caboclo</t>
  </si>
  <si>
    <t>Ben Bentil</t>
  </si>
  <si>
    <t>Ishmail Wainright</t>
  </si>
  <si>
    <t>Noam Yaacov</t>
  </si>
  <si>
    <t>Guy Palatin</t>
  </si>
  <si>
    <t>Miron Ruina</t>
  </si>
  <si>
    <t>Jordan Loyd</t>
  </si>
  <si>
    <t>https://www.israelhayom.co.il/sport/israeli-basketball/article/16266613</t>
  </si>
  <si>
    <t>Daryl Macon</t>
  </si>
  <si>
    <t xml:space="preserve">Rafael Menco </t>
  </si>
  <si>
    <t>Saben Lee</t>
  </si>
  <si>
    <t>5.5 months</t>
  </si>
  <si>
    <t>https://x.com/hizlihucum/status/2005519651279696328</t>
  </si>
  <si>
    <t>Will Rayman</t>
  </si>
  <si>
    <t>https://www.eurohoops.net/en/trademarks/1871980/the-top-10-euroleague-salaries-of-2025-26-higher-than-ever/</t>
  </si>
  <si>
    <t>Daniel Oturu</t>
  </si>
  <si>
    <t>https://www.one.co.il/Article/521430.html</t>
  </si>
  <si>
    <t>Elijah Bryant</t>
  </si>
  <si>
    <t>Antonio Blakeney</t>
  </si>
  <si>
    <t>Chris Jones</t>
  </si>
  <si>
    <t>Collin Malcolm</t>
  </si>
  <si>
    <t>Tai Odiase</t>
  </si>
  <si>
    <t>Borislav Mladenov</t>
  </si>
  <si>
    <t>https://www.one.co.il/Article/498884.html</t>
  </si>
  <si>
    <t>Oded Katash</t>
  </si>
  <si>
    <t>https://www.israelhayom.co.il/sport/israeli-basketball/article/18880746</t>
  </si>
  <si>
    <t>https://sport1.maariv.co.il/israeli-basketball/winner-basketball-league/article/1835333/</t>
  </si>
  <si>
    <t>T.J. Leaf</t>
  </si>
  <si>
    <t>Oshae Brissett</t>
  </si>
  <si>
    <t>Jeff Dowtin Jr.</t>
  </si>
  <si>
    <t>Gur Lavy</t>
  </si>
  <si>
    <t>Marcio Santos</t>
  </si>
  <si>
    <t>Jimmy Clark III</t>
  </si>
  <si>
    <t>Uros Trifunovic</t>
  </si>
  <si>
    <t>Clifford Omori</t>
  </si>
  <si>
    <t>Anthony Lamb</t>
  </si>
  <si>
    <t>Cassius Winston</t>
  </si>
  <si>
    <t>Roi Huber</t>
  </si>
  <si>
    <t>Dmytro Skapintsev</t>
  </si>
  <si>
    <t>Josiah - Jordan James</t>
  </si>
  <si>
    <t>Isaiah Mobley</t>
  </si>
  <si>
    <t>https://www.sport5.co.il/articles.aspx?FolderID=11840&amp;docID=527819</t>
  </si>
  <si>
    <t>Roy Paretsky</t>
  </si>
  <si>
    <t>Derrick Walton Jr.</t>
  </si>
  <si>
    <t>https://www.israelhayom.co.il/sport/israeli-basketball/article/18915099</t>
  </si>
  <si>
    <t>Hassan Martin</t>
  </si>
  <si>
    <t>Jordan McRae</t>
  </si>
  <si>
    <t>Nysier Brooks</t>
  </si>
  <si>
    <t>Todd Withers</t>
  </si>
  <si>
    <t>Lior Carreira</t>
  </si>
  <si>
    <t>Jordan Bone</t>
  </si>
  <si>
    <t>Yair Kravitz</t>
  </si>
  <si>
    <t>Damion Rosser</t>
  </si>
  <si>
    <t>Jeff Garrett</t>
  </si>
  <si>
    <t>Martynas Varnas</t>
  </si>
  <si>
    <t>Javin DeLaurier</t>
  </si>
  <si>
    <t>bnews podcast</t>
  </si>
  <si>
    <t>R.J. Cole</t>
  </si>
  <si>
    <t>https://www.pianetabasket.com/legabasket-serie-a/venezia-obiettivo-russell-su-boakye-frena-il-prestito-a-verona</t>
  </si>
  <si>
    <t>1+1</t>
  </si>
  <si>
    <t>Matas Jogėla</t>
  </si>
  <si>
    <t>Arturs Žagars</t>
  </si>
  <si>
    <t>Zhejiang Golden Bulls</t>
  </si>
  <si>
    <t>Pulkovskis</t>
  </si>
  <si>
    <t>https://www.krepsinis.net/naujiena/tarp-kinijos-ir-ryto-latvio-sprendima-nuleme-milijonas/352240</t>
  </si>
  <si>
    <t>Arnas Velička</t>
  </si>
  <si>
    <t>Oskaras Pleikys</t>
  </si>
  <si>
    <t>Tim Lambrecht</t>
  </si>
  <si>
    <t>Steven Enoch</t>
  </si>
  <si>
    <t>E. Pulkovskis podcast</t>
  </si>
  <si>
    <t>https://www.instagram.com/p/DABOiCos8U4/?hl=en</t>
  </si>
  <si>
    <t>Jayvon Graves</t>
  </si>
  <si>
    <t>Savion Flagg</t>
  </si>
  <si>
    <t>Martynas Paliukėnas</t>
  </si>
  <si>
    <t>Gantas Križanauskas</t>
  </si>
  <si>
    <t>Tarik Biberovič</t>
  </si>
  <si>
    <t>Nicolo Melli</t>
  </si>
  <si>
    <t>Talen Horton - Tucker</t>
  </si>
  <si>
    <t>Ignas Urbonas</t>
  </si>
  <si>
    <t>https://x.com/Andrea__Calzoni/status/2046141776675619034</t>
  </si>
  <si>
    <t>https://www.krepsinis.net/naujiena/s-jasaitis-turkijoje-uzdirbs-apie-400-tukst-euru/71494</t>
  </si>
  <si>
    <t>https://x.com/Andrea__Calzoni/status/2065331292925771779</t>
  </si>
  <si>
    <t>https://x.com/RytasNews/status/2047569047881932846</t>
  </si>
  <si>
    <t>Apollon Tsochlas</t>
  </si>
  <si>
    <t>https://www.sdna.gr/mpasket/basket-league/article/128106/mpatzet</t>
  </si>
  <si>
    <t>Armoni Brooks</t>
  </si>
  <si>
    <t>https://x.com/Andrea__Calzoni/status/2059548085991215299</t>
  </si>
  <si>
    <t>https://www.pianetabasket.com/primo-piano/taglia-fuori-ep15-mercato-milano-perde-i-suoi-bomber-roma-cerca-ancora-se-stessa</t>
  </si>
  <si>
    <t>https://www.sport5.co.il/articles.aspx?FolderID=405&amp;docID=555270</t>
  </si>
  <si>
    <t>Jaron Blossomgame</t>
  </si>
  <si>
    <t>3.3 m dollar/2years</t>
  </si>
  <si>
    <t>https://www.tv3.lt/naujiena/sportas/20-eurolygos-komandu-zaidejai-kuriu-kainos-kokybes-santykis-prasciausias-n1493354</t>
  </si>
  <si>
    <t>Nemanja Nedovič</t>
  </si>
  <si>
    <t>Devonte Graham</t>
  </si>
  <si>
    <t>https://x.com/hizlihucum/status/1950228065847853431</t>
  </si>
  <si>
    <t>https://x.com/hizlihucum/status/1942643943709270246</t>
  </si>
  <si>
    <t>Travor Releford</t>
  </si>
  <si>
    <t>germany forums</t>
  </si>
  <si>
    <t>https://www.schoenen-dunk.de/topic/128592/gehalt-bbl-spieler/39</t>
  </si>
  <si>
    <t>Markus Howard</t>
  </si>
  <si>
    <t>https://piratasdelbasket.net/acb-los-contratos-mas-elevados-de-la-liga-endesa</t>
  </si>
  <si>
    <t>https://cronicavasca.elespanol.com/deportes/20251111/howard-encabeza-escala-salarial-baskonia-cuarto-acb/1003742706116_0.html</t>
  </si>
  <si>
    <t>Daulton Hommes</t>
  </si>
  <si>
    <t>Paris Basketball</t>
  </si>
  <si>
    <t>Bebasket</t>
  </si>
  <si>
    <t>Sterling Brown</t>
  </si>
  <si>
    <t>https://zurnal.politika.rs/scc/clanak/239967/kosarka/partizan/mijailovic-nikad-vise-plata-preko-1-500-000-evra</t>
  </si>
  <si>
    <t>Bruno Fernando</t>
  </si>
  <si>
    <t>https://basketballsphere.com/en/done-deal-bruno-fernando-and-partizan-contract-details/</t>
  </si>
  <si>
    <t>2.9 m Euro/2y</t>
  </si>
  <si>
    <t>Isaac Bonga</t>
  </si>
  <si>
    <t>Carlik Jones</t>
  </si>
  <si>
    <t>Cameron Payne</t>
  </si>
  <si>
    <t>Vanja Marinkovič</t>
  </si>
  <si>
    <t>Duane Washington</t>
  </si>
  <si>
    <t>Iffe Lundberg</t>
  </si>
  <si>
    <t>Nick Calathes</t>
  </si>
  <si>
    <t>Jabari Parker</t>
  </si>
  <si>
    <t>Shake Milton</t>
  </si>
  <si>
    <t>Bologna Virtus</t>
  </si>
  <si>
    <t>https://www.sportefinanza.it/2025/07/10/virtus-bologna-alen-smailagic-buyout-stipendio/?refresh_ce</t>
  </si>
  <si>
    <t>New York Knicks</t>
  </si>
  <si>
    <t>Release from NBA in November . Got payed for 17/18 and 18/19 seasons</t>
  </si>
  <si>
    <t>Willy Hernangomez</t>
  </si>
  <si>
    <t>https://cronicaglobal.elespanol.com/culemania/secciones/20240731/laporta-apuesta-barca-de-los-salarios-jugadores/874412684_0.html</t>
  </si>
  <si>
    <t>https://cronicaglobal.elespanol.com/culemania/secciones/20250101/la-nueva-escala-salarial-barca-basket-temporada/908159270_0.html</t>
  </si>
  <si>
    <t>Darius Thompson</t>
  </si>
  <si>
    <t>https://www.basketnews.lt/news-213501-daugiausiai-uzdirbanciu-eurolygos-zaideju-desimtukas.html</t>
  </si>
  <si>
    <t>Mario Hezonja</t>
  </si>
  <si>
    <t>https://www.eurohoops.net/en/trademarks/1719270/the-top-10-euroleague-salaries-of-2024-25/</t>
  </si>
  <si>
    <t>Nikola Mirotič</t>
  </si>
  <si>
    <t>Kevin Punter</t>
  </si>
  <si>
    <t>Mike James</t>
  </si>
  <si>
    <t>BeBasket</t>
  </si>
  <si>
    <t>Walter Tavares</t>
  </si>
  <si>
    <t>https://basketnews.com/news-212201-top-10-highest-paid-euroleague-players.html</t>
  </si>
  <si>
    <t>Shane Larkin</t>
  </si>
  <si>
    <t>https://www.basketnews.lt/news-211193-atskleistos-visu-olympiakos-krepsininku-algos.html</t>
  </si>
  <si>
    <t>Naz Mitrou - Long</t>
  </si>
  <si>
    <t>Luca Vildoza</t>
  </si>
  <si>
    <t>Filip Petrušev</t>
  </si>
  <si>
    <t>Nikola Radicevič</t>
  </si>
  <si>
    <t>https://www.krepsinis.net/naujiena/paviesinti-crvena-zvezda-zaideju-atlyginimai-visus-nustebino-m-bjelicos-uzdarbis/276658</t>
  </si>
  <si>
    <t>Petar Rakicevič</t>
  </si>
  <si>
    <t>Ogjen Dobrič</t>
  </si>
  <si>
    <t>Aleksa Radanov</t>
  </si>
  <si>
    <t>Nemanja Dangubič</t>
  </si>
  <si>
    <t>Marko Keselj</t>
  </si>
  <si>
    <t>Stefan Jankovič</t>
  </si>
  <si>
    <t>Boriša Simanič</t>
  </si>
  <si>
    <t>Milko Bjelica</t>
  </si>
  <si>
    <t>Nikola Jovanovič</t>
  </si>
  <si>
    <t>Branko Lazič</t>
  </si>
  <si>
    <t>Džanan Musa</t>
  </si>
  <si>
    <t>https://www.krepsinis.net/naujiena/top-10-kurie-eurolygos-zaidejai-susizeria-daugiausiai-pinigu/347320</t>
  </si>
  <si>
    <t>https://x.com/AlessandroMagg4/status/1921943448766042420</t>
  </si>
  <si>
    <t>https://www.krepsinis.net/naujiena/top-14-brangiausi-sio-sezono-eurolygos-zaidejai/330325</t>
  </si>
  <si>
    <t>https://www.dnevnik.rs/sport/kosarka/partizan-suspendovan-zbog-duga-prema-panteru-oglasili-crno-beli-evo-sta-su-porucili-2026-04-13</t>
  </si>
  <si>
    <t>https://realolimpiamilano.com/2026/08/26/top-10-stipendi-olimpia-milano-era-ettore-messina/10/</t>
  </si>
  <si>
    <t>https://x.com/arbarkas/status/1677316646887645189</t>
  </si>
  <si>
    <t>Tornike Shengelia</t>
  </si>
  <si>
    <t>Will Clyburn</t>
  </si>
  <si>
    <t>Bebasker</t>
  </si>
  <si>
    <t>Shabazz Napier</t>
  </si>
  <si>
    <t>Tomaš Satoransky</t>
  </si>
  <si>
    <t>Vincent Poirier</t>
  </si>
  <si>
    <t>https://www.israelhayom.co.il/sport/israeli-basketball/article/15593210</t>
  </si>
  <si>
    <t>Austin Hollins</t>
  </si>
  <si>
    <t>https://www.krepsinis.net/naujiena/8-eurolygos-zaidejai-kurie-nepateisina-savo-uzdirbamu-pinigu/318191</t>
  </si>
  <si>
    <t>Achille Polonara</t>
  </si>
  <si>
    <t>Kaleb Tarčevski</t>
  </si>
  <si>
    <t>Pierria Henry</t>
  </si>
  <si>
    <t>Cory Higgins</t>
  </si>
  <si>
    <t>Jan Vesely</t>
  </si>
  <si>
    <t>https://www.eurohoops.net/en/trademarks/1396808/the-top10-euroleague-contracts-salaries-2022-23/8/</t>
  </si>
  <si>
    <t>Nikola Kalinič</t>
  </si>
  <si>
    <t>Isaiah Taylor</t>
  </si>
  <si>
    <t>https://www.israelhayom.co.il/sport/israeli-basketball/article/12084549</t>
  </si>
  <si>
    <t>https://www.eurohoops.net/en/trademarks/1396808/the-top10-euroleague-contracts-salaries-2022-23/12/</t>
  </si>
  <si>
    <t>https://realolimpiamilano.com/2026/08/26/top-10-stipendi-olimpia-milano-era-ettore-messina/6/</t>
  </si>
  <si>
    <t>https://www.eurohoops.net/en/trademarks/1396808/the-top10-euroleague-contracts-salaries-2022-23/11/</t>
  </si>
  <si>
    <t>Marco Belinelli</t>
  </si>
  <si>
    <t>Miloš Teodosič</t>
  </si>
  <si>
    <t>https://www.eurohoops.net/en/trademarks/1396808/the-top10-euroleague-contracts-salaries-2022-23/4/</t>
  </si>
  <si>
    <t>Nemanja Bjelica</t>
  </si>
  <si>
    <t>Alexey Shved</t>
  </si>
  <si>
    <t>https://www.eurohoops.net/en/top-lists/722638/the-top-10-euroleague-salaries/3/</t>
  </si>
  <si>
    <t>Nando de Colo</t>
  </si>
  <si>
    <t>Sergio Rodriguez</t>
  </si>
  <si>
    <t>Sergio Llull</t>
  </si>
  <si>
    <t>Chris Singleton</t>
  </si>
  <si>
    <t>https://realolimpiamilano.com/2026/08/26/top-10-stipendi-olimpia-milano-era-ettore-messina/5/</t>
  </si>
  <si>
    <t>https://www.eurohoops.net/en/trademarks/1240837/the-top-10-euroleague-salaries-of-2021-22/2/</t>
  </si>
  <si>
    <t>Malcolm Delaney</t>
  </si>
  <si>
    <t>https://realolimpiamilano.com/2026/08/26/top-10-stipendi-olimpia-milano-era-ettore-messina/9/</t>
  </si>
  <si>
    <t>Thomas Heurtel</t>
  </si>
  <si>
    <t>Elan Chalon</t>
  </si>
  <si>
    <t>https://basketnews.com/news-167701-malcolm-delaney-this-will-be-my-last-full-season-in-europe.html</t>
  </si>
  <si>
    <t>Giorgos Dedas</t>
  </si>
  <si>
    <t>Vangelis Margaritis</t>
  </si>
  <si>
    <t>Marcus Slaughter</t>
  </si>
  <si>
    <t>https://assets.fiba.basketball/image/upload/v1733838851/vdsdygxia3gr7qewpyyn.pdf</t>
  </si>
  <si>
    <t>Kendrick Ray</t>
  </si>
  <si>
    <t>https://assets.fiba.basketball/image/upload/v1726050338/Corporate%20Images/HQ%20Departments/Legal/BAT%20Awards/1612-20.pdf</t>
  </si>
  <si>
    <t>https://assets.fiba.basketball/image/upload/v1726049771/Corporate%20Images/HQ%20Departments/Legal/BAT%20Awards/1609-20.pdf</t>
  </si>
  <si>
    <t>Keith Langford</t>
  </si>
  <si>
    <t>https://www.gazzetta.gr/basketball/kypello-elladas/article/1563589/layrio-kostizei-oso-o-kith-langkfornt-pics-vid</t>
  </si>
  <si>
    <t>https://www.eurohoops.net/en/featured/110607/shved-for-9-millions-in-khimki/</t>
  </si>
  <si>
    <t>Saliou Niang</t>
  </si>
  <si>
    <t>https://www.pianetabasket.com/legabasket-serie-a/mercato-lba-rivelati-i-dettagli-dei-contratti-di-tote-e-niang-con-milano-e-bologna-349968</t>
  </si>
  <si>
    <t>Aquila Trento</t>
  </si>
  <si>
    <t>Parker Jackson - Cartwright</t>
  </si>
  <si>
    <t>Urbonas podcast</t>
  </si>
  <si>
    <t>https://x.com/RytasNews/status/2036762076698337360</t>
  </si>
  <si>
    <t>Jerrick Harding</t>
  </si>
  <si>
    <t>Tsaltas / Pakenas</t>
  </si>
  <si>
    <t>Jordan Walker</t>
  </si>
  <si>
    <t>Pakenas</t>
  </si>
  <si>
    <t>Kay Bruhnke</t>
  </si>
  <si>
    <t>Urbonas</t>
  </si>
  <si>
    <t>80-120k</t>
  </si>
  <si>
    <t>rumours</t>
  </si>
  <si>
    <t>Jordan Caroline</t>
  </si>
  <si>
    <t>Quino Colom</t>
  </si>
  <si>
    <t>https://assets.fiba.basketball/image/upload/v1747647301/vpvkrxo9jmuxtu6lmrgz.pdf</t>
  </si>
  <si>
    <t>Jacob Wiley</t>
  </si>
  <si>
    <t>Ukraine</t>
  </si>
  <si>
    <t>Prometey</t>
  </si>
  <si>
    <t>https://www.15min.lt/24sek/naujiena/europa/kulboka-is-buvusio-klubo-prisiteise-solidzia-suma-874-2538510</t>
  </si>
  <si>
    <t>Jarel McNeal</t>
  </si>
  <si>
    <t>https://assets.fiba.basketball/image/upload/v1739955990/ntuuuftqwoeqx1t4eri9.pdf</t>
  </si>
  <si>
    <t>Akil Mitchell</t>
  </si>
  <si>
    <t>https://assets.fiba.basketball/image/upload/v1779182548/p9vi5ermxe0nv7ebggeo.pdf</t>
  </si>
  <si>
    <t>Okaro White</t>
  </si>
  <si>
    <t>Dominic Waters</t>
  </si>
  <si>
    <t>Jamelle Hagins</t>
  </si>
  <si>
    <t>Theodoros Zaras</t>
  </si>
  <si>
    <t>Spyros Mourtos</t>
  </si>
  <si>
    <t>Vasilis Xanthopoulos</t>
  </si>
  <si>
    <t>Anastasios Dimas</t>
  </si>
  <si>
    <t>Michalis Pelekanos</t>
  </si>
  <si>
    <t>Slaven Cupkovic</t>
  </si>
  <si>
    <t>Dimitrios Flionis</t>
  </si>
  <si>
    <t>Nikos Diplaros</t>
  </si>
  <si>
    <t>Vassilis Simtsak</t>
  </si>
  <si>
    <t>https://www.gazzetta.gr/basketball/basket-league/2226908/aris-diazygio-me-ton-netzipogloy-itan-dedomeno-apo-kairo-kai-den</t>
  </si>
  <si>
    <t>Kostas Vasileiadis</t>
  </si>
  <si>
    <t>Milenko Tepic</t>
  </si>
  <si>
    <t>Kostas Kakaroudis</t>
  </si>
  <si>
    <t>Uros Duvnjak</t>
  </si>
  <si>
    <t>Nikola Markovic</t>
  </si>
  <si>
    <t>William Hatcher</t>
  </si>
  <si>
    <t>Michail Liapis</t>
  </si>
  <si>
    <t>Thomas Kottas</t>
  </si>
  <si>
    <t>Darko Balaban</t>
  </si>
  <si>
    <t>Kostas Charalampidis</t>
  </si>
  <si>
    <t>Nikos Kamaras</t>
  </si>
  <si>
    <t>https://www.sport24.gr/basket/beverli-paok-o-miniaios-misthos-tou-amerikanou/</t>
  </si>
  <si>
    <t>Raiquan Gray</t>
  </si>
  <si>
    <t>https://x.com/Andrea__Calzoni/status/2062106110815866897</t>
  </si>
  <si>
    <t>https://www.gazzetta.gr/basketball/basket-league/2547140/paok-igemoniko-symbolaio-toy-kalathi</t>
  </si>
  <si>
    <t>https://paokbasket.gr/mozzartsport-afto-ine-to-chriso-simvoleo-tou-kalathi-ston-paok/</t>
  </si>
  <si>
    <t>Paulius Danusevičius</t>
  </si>
  <si>
    <t xml:space="preserve"> https://www.tv3.lt/naujiena/sportas/atlyginimai-kaip-ant-delno-kiek-uzdirba-kiekvienas-lietuvos-rinktines-dvyliktuko-narys-n1253983        </t>
  </si>
  <si>
    <t>https://www.tv3.lt/naujiena/sportas/suskaiciavome-stai-kiek-per-menesi-uzdirba-kiekvienas-lietuvos-rinktines-narys-n1349237</t>
  </si>
  <si>
    <t>https://www.15min.lt/24sek/naujiena/nba/uzdirbs-pirmaji-milijona-paaiskejo-deivido-sirvydzio-atlyginimas-detroite-1130-1417912</t>
  </si>
  <si>
    <t>Arnas Beručka</t>
  </si>
  <si>
    <t>Greg Monroe</t>
  </si>
  <si>
    <t>https://www.eurohoops.net/en/trademarks/909850/the-top-10-euroleague-salaries-of-2019-20/9/</t>
  </si>
  <si>
    <t>Simonas Lukošius</t>
  </si>
  <si>
    <t>Lekšas</t>
  </si>
  <si>
    <t>Bairot Medi</t>
  </si>
  <si>
    <t>https://x.com/hizlihucum/status/1907039923032506414</t>
  </si>
  <si>
    <t>https://www.sport.es/es/noticias/baloncesto/real-madrid-tendra-mayores-perdidas-123464294</t>
  </si>
  <si>
    <t>https://x.com/karusito83/status/2071564062194909406</t>
  </si>
  <si>
    <t>Jean Montero</t>
  </si>
  <si>
    <t>https://eldia.com.do/acuerdo-de-jean-montero-y-el-valencia-basket-es-por-tres-anos-y-4-millones-de-euros/</t>
  </si>
  <si>
    <t>https://www.mundodeportivo.com/baloncesto/euroliga/20260523/1004186818/jean-montero-no-aceptara-renovacion-valencia-basket-definido-proximo-destino.html</t>
  </si>
  <si>
    <t>https://x.com/hizlihucum/status/2055600318583284014</t>
  </si>
  <si>
    <t>Jaime Pradilla</t>
  </si>
  <si>
    <t>https://www.lasprovincias.es/deportes/valencia-bc/valencia-basket-blinda-jaime-pradilla-2027-20240308201356-nt.html</t>
  </si>
  <si>
    <t>Facundo Campazzo</t>
  </si>
  <si>
    <t>https://www.eurohoops.net/en/euroleague/1511796/campazzo-has-a-three-year-deal-with-madrid-taking-a-pay-cut/</t>
  </si>
  <si>
    <t>Andres Feliz</t>
  </si>
  <si>
    <t>Theo Maledon</t>
  </si>
  <si>
    <t>https://karusito.com/2025/08/19/florentino-reabre-el-grifo-al-basket/</t>
  </si>
  <si>
    <t>Xavier Rathan - Mayes</t>
  </si>
  <si>
    <t>https://defensacentral.com/baloncesto/edy-tavares-el-mejor-pagado-del-real-madrid-5-millones-al-ano_283597_102.html</t>
  </si>
  <si>
    <t>Alberto Abalde</t>
  </si>
  <si>
    <t>Usman Garuba</t>
  </si>
  <si>
    <t>Chus Mateo</t>
  </si>
  <si>
    <t>https://www.solobasket.com/liga-endesa/real-madrid-cuanto-cuesta-salarios-fichajes-baloncesto</t>
  </si>
  <si>
    <t>Hugo Gonzalez</t>
  </si>
  <si>
    <t>Serge Ibaka</t>
  </si>
  <si>
    <t>https://x.com/Andrea__Calzoni/status/1794700071445144052?lang=en</t>
  </si>
  <si>
    <t>https://www.lasprovincias.es/deportes/valencia-bc/valencia-basket-ofrece-pradilla-ampliar-contrato-2027-20240301121555-nt.html?</t>
  </si>
  <si>
    <t>https://x.com/Andrea__Calzoni/status/2069390959926788434</t>
  </si>
  <si>
    <t>https://www.mozzartsport.com/kosarka/vesti/dogovoreno-za-hejsa-dvogodisnji-ugovor-vredan-1500000-po-sezoni/545827</t>
  </si>
  <si>
    <t>27/28</t>
  </si>
  <si>
    <t>https://x.com/Andrea__Calzoni/status/2040486216122917154</t>
  </si>
  <si>
    <t>Lugo Breogan</t>
  </si>
  <si>
    <t>https://www.basketnews.lt/news-167339-labiausiai-verte-pasikele-zaidejai-europoje-dabartine-alga-ir-ko-tiketis-vasara.html</t>
  </si>
  <si>
    <t>Alex Abrines</t>
  </si>
  <si>
    <t>Juan Nunez</t>
  </si>
  <si>
    <t>Dario Brizuela</t>
  </si>
  <si>
    <t>Joel Parra</t>
  </si>
  <si>
    <t>Roger Grimau</t>
  </si>
  <si>
    <t>Joan Penarroya</t>
  </si>
  <si>
    <t>https://x.com/hizlihucum/status/2002784779180359683</t>
  </si>
  <si>
    <t>Chimezie Metu</t>
  </si>
  <si>
    <t>Justin Anderson</t>
  </si>
  <si>
    <t>Youssopha Fall</t>
  </si>
  <si>
    <t>Kristjan Kitsing</t>
  </si>
  <si>
    <t>Rapolas Ivanauskas</t>
  </si>
  <si>
    <t>Karolis Giedraitis</t>
  </si>
  <si>
    <t>Augustas Marčiulionis</t>
  </si>
  <si>
    <t>Donaldas Kairys</t>
  </si>
  <si>
    <t>Giedrius Žibėnas</t>
  </si>
  <si>
    <t>pakėnas</t>
  </si>
  <si>
    <t>Lukas Uleckas</t>
  </si>
  <si>
    <t>Jaime Echenique</t>
  </si>
  <si>
    <t>https://www.krepsinis.net/naujiena/desimt-lkl-zaideju-kuriu-sekmingas-zaidimas-gerokai-padidino-ju-rinkos-verte/272566</t>
  </si>
  <si>
    <t>Jamar Diggs</t>
  </si>
  <si>
    <t>Toni Prostran</t>
  </si>
  <si>
    <t>https://www.krepsinis.net/naujiena/m-pocius-galatasaray-klube-uzdirbs-600-tukst-euru-per-sezona/241225</t>
  </si>
  <si>
    <t>https://www.krepsinis.net/naujiena/10-uzsienyje-zaidzianciu-lietuviu-kurie-uzdirba-daugiausiai/249859</t>
  </si>
  <si>
    <t>https://www.basketnews.lt/news-186848-labiausiai-verte-pasikele-eurolygos-zaidejai-dabartine-alga-ir-ko-tiketis-vasara.html</t>
  </si>
  <si>
    <t>https://www.pianetabasket.com/euroleague/mercato-el-fenerbahce-non-solo-melli-e-hall-in-arrivo-i-colpi-baldwin-e-colson-304176</t>
  </si>
  <si>
    <t>https://www.pianetabasket.com/legabasket-serie-a/mercato-lba-virtus-bologna-non-solo-jones-e-loyd-ipotesi-luca-vildoza-303493</t>
  </si>
  <si>
    <t>Jonah Mathews</t>
  </si>
  <si>
    <t>Devon Hall</t>
  </si>
  <si>
    <t>Elie Okobo</t>
  </si>
  <si>
    <t>John Brown</t>
  </si>
  <si>
    <t>Marko Gudurič</t>
  </si>
  <si>
    <t>https://www.basketnews.lt/news-121443-dvigubai-didesne-alga-gausiantis-micicius-oficialiai-susitare-su-anadolu-efes.html</t>
  </si>
  <si>
    <t>Goga Bitadze</t>
  </si>
  <si>
    <t>BG Gottingen</t>
  </si>
  <si>
    <t>https://sportbild.bild.de/sportmix/basketball/basketball-maerchen-millionen-vertrag-fuer-diesen-ex-bundesliga-star-6832f770d892283a30e809f0</t>
  </si>
  <si>
    <t>80k gross</t>
  </si>
  <si>
    <t>Real Betis</t>
  </si>
  <si>
    <t>https://www.diariolibre.com/deportes/baloncesto/2023/09/14/jean-montero-tendria-oferta-turca-que-triplicaria-salario/2461927</t>
  </si>
  <si>
    <t>E. J. Liddell</t>
  </si>
  <si>
    <t>https://www.gazzetta.gr/basketball/basket-league/2544986/aris-pos-epeise-ton-lintel-kai-symbolaio-toy-ekatommyrioy</t>
  </si>
  <si>
    <t>2mln dollar 2 y</t>
  </si>
  <si>
    <t>Lavrio</t>
  </si>
  <si>
    <t>https://www.gazzetta.gr/basketball/euroleague/article/1560947/pos-htizeis-enan-paikti-euroleague-me-3500-dolaria-ton-mina</t>
  </si>
  <si>
    <t>Josh Childress</t>
  </si>
  <si>
    <t>https://www.basketnews.lt/news-28087-tarp-lietuviu-europoje-daugiausiai-uzdirba-siskauskas-ir-kleiza.html</t>
  </si>
  <si>
    <t>Theodoras Papaloukas</t>
  </si>
  <si>
    <t>Linas Kleiza</t>
  </si>
  <si>
    <t>https://www.krepsinis.net/naujiena/zalgirio-vaira-perimantis-italas-priestaringa-asmenybe-ir-platus-taktinis-bagazas/332431</t>
  </si>
  <si>
    <t>https://www.ilbustese.it/2025/05/06/leggi-notizia/argomenti/economia-17/articolo/stipendi-basket-serie-a-2025-i-giocatori-piu-pagati-e-quanto-guadagnano-davvero.html</t>
  </si>
  <si>
    <t>https://basketballgeneration.it/stipendi-giocatori-virtus-bologna#</t>
  </si>
  <si>
    <t>Amedeo della Valle</t>
  </si>
  <si>
    <t>Brescia Germani</t>
  </si>
  <si>
    <t>https://sportando.basketball/amedeo-della-valle-varese-scola-nba-europe/</t>
  </si>
  <si>
    <t>Colbey Ross</t>
  </si>
  <si>
    <t>Sportando</t>
  </si>
  <si>
    <t>https://www.backdoorpodcast.com/varese-redbird-budget-mercato-serie-a/</t>
  </si>
  <si>
    <t>Daniel Hackett</t>
  </si>
  <si>
    <t>Johannes Voigtmann</t>
  </si>
  <si>
    <t>https://basketballgeneration.it/stipendi-giocatori-basket-milano</t>
  </si>
  <si>
    <t>Kyle Hines</t>
  </si>
  <si>
    <t>Shavon Shields</t>
  </si>
  <si>
    <t>https://realolimpiamilano.com/2026/08/26/top-10-stipendi-olimpia-milano-era-ettore-messina/3/</t>
  </si>
  <si>
    <t>Devin Booker</t>
  </si>
  <si>
    <t>https://basketballsphere.com/en/olimpia-milano-will-soon-officially-sign-lorenzo-brown-vlatko-cancar-and-devin-booker-contract-details/</t>
  </si>
  <si>
    <t>https://x.com/Andrea__Calzoni/status/1928800958143709426</t>
  </si>
  <si>
    <t>3 year</t>
  </si>
  <si>
    <t>https://realolimpiamilano.com/2026/08/26/top-10-stipendi-olimpia-milano-era-ettore-messina/11/</t>
  </si>
  <si>
    <t>Leandro Bolmaro</t>
  </si>
  <si>
    <t>https://www.eurodevotion.com/news/480435932678/fuori-mirotic-dentro-guduric-e-poi-il-mercato-dell-olimpia</t>
  </si>
  <si>
    <t>Giampaolo Ricci</t>
  </si>
  <si>
    <t>Nico Mannion</t>
  </si>
  <si>
    <t>Alessandro Pajola</t>
  </si>
  <si>
    <t>Carsen Edwards</t>
  </si>
  <si>
    <t>https://www.pianetabasket.com/legabasket-serie-a/mercato-lba-virtus-bologna-i-dettagli-del-colpo-carsen-edwards-336348</t>
  </si>
  <si>
    <t>https://x.com/hizlihucum/status/1944037591172473120</t>
  </si>
  <si>
    <t>https://www.athletiko.gr/oi-leptomereies-toy-deal-vilntoza-kai-to-mellon-toy-li-15381</t>
  </si>
  <si>
    <t>https://x.com/matty_vanpersie/status/1937821531322691626</t>
  </si>
  <si>
    <t>Matt Morgan</t>
  </si>
  <si>
    <t>https://www.vunerebologna.it/mercato/virtus-bologna-addio-morgan-distanza-sulle-cifre-e-fari-puntati-su-notae-e-steward/</t>
  </si>
  <si>
    <t>https://www.protothema.gr/blogs/fotis-pliakos/article/1838836/to-triplo-metagrafiko-htupima-tou-ari-bettson-deihnei-polla/AMP/</t>
  </si>
  <si>
    <t>2 m/ 2 y</t>
  </si>
  <si>
    <t>Derrick Alston Jr.</t>
  </si>
  <si>
    <t>https://www.nbapassion.com/nba/clyburn-virtus-bologna-barcellona-mercato-lba-news-306050/</t>
  </si>
  <si>
    <t>https://basketnews.com/news-167250-daniel-hackett-officialy-joins-virtus-bologna.html</t>
  </si>
  <si>
    <t>Jordan Mickey</t>
  </si>
  <si>
    <t>Awudu Abass</t>
  </si>
  <si>
    <t>https://basketballgeneration.it/stipendi-giocatori-aquila-basket</t>
  </si>
  <si>
    <t>200k for second season</t>
  </si>
  <si>
    <t>Bamberg Brose Basket</t>
  </si>
  <si>
    <t>Oscar da Silva</t>
  </si>
  <si>
    <t>https://sportbild.bild.de/sportmix/basketball/sport-mix/basketball-bbl-mvp-tj-shorts-verlaesst-die-telekom-baskets-bonn-84753534.sport.html</t>
  </si>
  <si>
    <t>Vladimir Lučič</t>
  </si>
  <si>
    <t>https://sportbild.bild.de/sportmix/basketball/basketball-das-verdienen-die-stars-in-der-nba-euroleague-und-bbl-6731d3d6ebdb8724738ee30b</t>
  </si>
  <si>
    <t>Otis Livingston</t>
  </si>
  <si>
    <t>https://sportbild.bild.de/sportmix/basketball/bbl-der-naechste-mvp-haut-ab-665724cd8eb2f931f8496627</t>
  </si>
  <si>
    <t>Nathan Mensah</t>
  </si>
  <si>
    <t>Georgios Bartzokas</t>
  </si>
  <si>
    <t>Vassilis Spanoulis</t>
  </si>
  <si>
    <t>Gilboa Galil</t>
  </si>
  <si>
    <t>https://www.pianetabasket.com/legabasket-serie-a/mercato-lba-varese-e-nico-mannion-operazione-da-200k-289657</t>
  </si>
  <si>
    <t>Jhivvan Jackson</t>
  </si>
  <si>
    <t>Tigers Tubingen</t>
  </si>
  <si>
    <t>https://sportbild.bild.de/sportmix/basketball/sport-mix/sein-gehalt-sein-ritual-die-geheimnisse-von-bbl-topscorer-jackson-86206680.sport.html</t>
  </si>
  <si>
    <t>Zac Seljaas</t>
  </si>
  <si>
    <t>https://www.bild.de/sport/mehr-sport/wuerzburg-star-zac-seljaas-mehr-geld-fuer-den-vokuhila-mann-661fc8ba56b4320eb37664e0</t>
  </si>
  <si>
    <t>120k gros</t>
  </si>
  <si>
    <t>Thomas Kuhse</t>
  </si>
  <si>
    <t>https://www.bild.de/sport/mehr-sport/basketball/bbl-topscorer-kuhse-grosse-klubs-koennen-sein-gehalt-locker-verdoppeln-86556168.bild.html</t>
  </si>
  <si>
    <t>150k gross</t>
  </si>
  <si>
    <t>Tucker Richardson</t>
  </si>
  <si>
    <t>https://www.schoenen-dunk.de/topic/128592/gehalt-bbl-spieler/56?lang=en-US&amp;page=2</t>
  </si>
  <si>
    <t>Malik Parsons</t>
  </si>
  <si>
    <t>https://sportbild.bild.de/sportmix/basketball/bayerns-obst-ist-top-verdiener-der-gehaltsreport-der-basketball-bundesliga-6a1fee13aa3fa782d1470161</t>
  </si>
  <si>
    <t>https://sportbild.bild.de/sportmix/basketball/bbl-wuerzburg-baskets-mvp-jhivvan-jackson-ueberrascht-mit-neuem-verein-68777ae775e6eb6eedf7f0ff</t>
  </si>
  <si>
    <t>Sek Henry</t>
  </si>
  <si>
    <t>https://assets.fiba.basketball/image/upload/v1726051060/Corporate%20Images/HQ%20Departments/Legal/BAT%20Awards/1734-21.pdf</t>
  </si>
  <si>
    <t>Hunter Hale</t>
  </si>
  <si>
    <t>https://www.fosonline.gr/basket/ellada/article/311731/aek-ypegrapse-o-xeil-to-poso-toy-symvolaioy-toy</t>
  </si>
  <si>
    <t>https://www.sportal.gr/basket/article/aek-to-paraskinio-tis-paramonis-toy-midaoygas-koyzminskas-2024071512093613180</t>
  </si>
  <si>
    <t>Darrun Hilliard</t>
  </si>
  <si>
    <t>https://assets.fiba.basketball/image/upload/v1762269871/e8dhjevrw5atkyemlpbr.pdf</t>
  </si>
  <si>
    <t>Amath M’Baye</t>
  </si>
  <si>
    <t>https://assets.fiba.basketball/image/upload/v1747647141/isewjrrpwdhgh8l25jk8.pdf</t>
  </si>
  <si>
    <t>Tony Taylor</t>
  </si>
  <si>
    <t>https://assets.fiba.basketball/image/upload/v1747646985/drrpzv8qkz78day3eidt.pdf</t>
  </si>
  <si>
    <t>Jarell Martin</t>
  </si>
  <si>
    <t>https://www.israelhayom.co.il/sport/article/3514253</t>
  </si>
  <si>
    <t>Alex Poythress</t>
  </si>
  <si>
    <t>https://assets.fiba.basketball/image/upload/v1739955984/e7h86rni4iqxr2a4duny.pdf</t>
  </si>
  <si>
    <t>https://www.15min.lt/24sek/naujiena/europa/graikijos-ziniasklaida-skelbia-apie-luko-lekaviciaus-uzdarbi-atenu-klube-874-2506210</t>
  </si>
  <si>
    <t>https://www.athletiko.gr/ayto-einai-to-deal-tis-aek-me-ton-lekavitsioys-25596</t>
  </si>
  <si>
    <t>Fran Bartley</t>
  </si>
  <si>
    <t>https://www.sdna.gr/mpasket/1324971_mia-anasa-apo-ton-mpartlei-i-aek</t>
  </si>
  <si>
    <t>Chris Silva</t>
  </si>
  <si>
    <t>https://www.sport24.gr/basket/aek-protasi-ston-silva-gia-neo-simvolaio/</t>
  </si>
  <si>
    <t>https://www.athletiko.gr/sta-adyta-toy-deal-pos-eftase-i-aek-sti-megali-metagrafi-toy-kris-silva-22488</t>
  </si>
  <si>
    <t>https://assets.fiba.basketball/image/upload/v1726052690/Corporate%20Images/HQ%20Departments/Legal/BAT%20Awards/1710-21.pdf</t>
  </si>
  <si>
    <t>Rashawn Thomas</t>
  </si>
  <si>
    <t>https://assets.fiba.basketball/image/upload/v1733838896/s6efuyfv9agnpc04qonr.pdf</t>
  </si>
  <si>
    <t>Damian Kulig</t>
  </si>
  <si>
    <t>https://assets.fiba.basketball/image/upload/v1726052682/Corporate%20Images/HQ%20Departments/Legal/BAT%20Awards/0890-16.pdf</t>
  </si>
  <si>
    <t>Budivelnyk</t>
  </si>
  <si>
    <t>https://assets.fiba.basketball/image/upload/v1726053553/Corporate%20Images/HQ%20Departments/Legal/BAT%20Awards/2006-23.pdf</t>
  </si>
  <si>
    <t>Hapoel Eilat</t>
  </si>
  <si>
    <t>https://assets.fiba.basketball/image/upload/v1726050091/Corporate%20Images/HQ%20Departments/Legal/BAT%20Awards/1741-21.pdf</t>
  </si>
  <si>
    <t>Jonas Jerebko</t>
  </si>
  <si>
    <t>Stefan Jovic</t>
  </si>
  <si>
    <t>https://assets.fiba.basketball/image/upload/v1726050912/Corporate%20Images/HQ%20Departments/Legal/BAT%20Awards/1693-21.pdf</t>
  </si>
  <si>
    <t>https://www.basketnews.lt/news-252506-kuzminskui-priteistas-neismoketas-atlyginimas-turkijoje.html</t>
  </si>
  <si>
    <t>Jarrell Brantley</t>
  </si>
  <si>
    <t>https://assets.fiba.basketball/image/upload/v1726050552/Corporate%20Images/HQ%20Departments/Legal/BAT%20Awards/1813-22.pdf</t>
  </si>
  <si>
    <t>Russ Smith</t>
  </si>
  <si>
    <t>https://www.eurohoops.net/en/euroleague/287945/russ-smith-signed-with-galatasaray/</t>
  </si>
  <si>
    <t>https://assets.fiba.basketball/image/upload/v1726050103/Corporate%20Images/HQ%20Departments/Legal/BAT%20Awards/1666-21.pdf</t>
  </si>
  <si>
    <t xml:space="preserve">Afyon Belediye Genclik </t>
  </si>
  <si>
    <t>https://assets.fiba.basketball/image/upload/v1726050421/Corporate%20Images/HQ%20Departments/Legal/BAT%20Awards/1509-20.pdf</t>
  </si>
  <si>
    <t>Angel Delgado</t>
  </si>
  <si>
    <t>https://assets.fiba.basketball/image/upload/v1779181565/laxunp8eqhj8py1wlcyp.pdf</t>
  </si>
  <si>
    <t>https://x.com/Andrea__Calzoni/status/2068099916346327464</t>
  </si>
  <si>
    <t>6 mln dollar/3 year</t>
  </si>
  <si>
    <t>https://x.com/Andrea__Calzoni/status/2068650378158125089</t>
  </si>
  <si>
    <t>2+1</t>
  </si>
  <si>
    <t>https://www.pianetabasket.com/olimpia-milano/darius-thompson-e-olimpia-milano-la-cronistoria-di-un-matrimonio-che-finalmente-si-fa</t>
  </si>
  <si>
    <t>Matthew Strazel</t>
  </si>
  <si>
    <t>https://x.com/AlessandroMagg4/status/2068727715243426059</t>
  </si>
  <si>
    <t>4.5mln/3yr</t>
  </si>
  <si>
    <t>https://www.eurohoops.net/en/tracdemarks/2008414/the-top-10-euroleague-salaries-of-2026-27-the-32m-line-is-official/</t>
  </si>
  <si>
    <t>Semi Ojeleye</t>
  </si>
  <si>
    <t>https://x.com/BuzzSport_de/status/1927469569754398932</t>
  </si>
  <si>
    <t>2years</t>
  </si>
  <si>
    <t>https://www.15min.lt/24sek/naujiena/lietuva/jankunas-paaiskino-trinchieri-ismokos-situacija-tikimes-kad-jis-ras-darba-875-2536840?utm_source=Facebook&amp;utm_medium=social</t>
  </si>
  <si>
    <t>Tomas Masiulis</t>
  </si>
  <si>
    <t>Rumours</t>
  </si>
  <si>
    <t>Kazys Maksvytis</t>
  </si>
  <si>
    <t>200k gross</t>
  </si>
  <si>
    <t>https://www.stern.de/sport/sportwelt/basketball-em--so-viel-geld-verdienen-die-deutschen-top-spieler-36008024.html</t>
  </si>
  <si>
    <t>https://www.krepsinis.net/naujiena/atskleista-ispudinga-d-bookerio-alga-chimki-a-trinchieri-prisiteise-solidzia-suma-is-partizan-ekipos/320105</t>
  </si>
  <si>
    <t>https://www.kurir.rs/sport/kosarka/9655754/otkrivamo-kolike-su-plate-kosarkasa-zvezde-i-partizana</t>
  </si>
  <si>
    <t>Balša Koprivica</t>
  </si>
  <si>
    <t>Mario Nakič</t>
  </si>
  <si>
    <t>Mitar Bošnjakovič</t>
  </si>
  <si>
    <t>Aleksej Pokuševski</t>
  </si>
  <si>
    <t>Arijan Lakič</t>
  </si>
  <si>
    <t>Isiaha Mike</t>
  </si>
  <si>
    <t>https://www.reddit.com/r/Euroleague/comments/1lnc8pp/buzzsport_semi_ojeleye_is_undergoing_medical/?sort=top</t>
  </si>
  <si>
    <t>Luka Mitrovič</t>
  </si>
  <si>
    <t>Codi Miller - McIntyre</t>
  </si>
  <si>
    <t>https://x.com/matty_vanpersie/status/1798700694943469904</t>
  </si>
  <si>
    <t>Dejan Davidovac</t>
  </si>
  <si>
    <t>Joel Bolomboy</t>
  </si>
  <si>
    <t>Mike Daum</t>
  </si>
  <si>
    <t>Yago dos Santos</t>
  </si>
  <si>
    <t>Isaiah Canaan</t>
  </si>
  <si>
    <t>https://www.instagram.com/p/C8ZF696gGav/</t>
  </si>
  <si>
    <t>https://x.com/Andrea__Calzoni/status/1801723838910042339</t>
  </si>
  <si>
    <t>Nenad Dimitrijevic</t>
  </si>
  <si>
    <t>https://x.com/Andrea__Calzoni/status/1947539342676685220</t>
  </si>
  <si>
    <t>Vlatko Čančar</t>
  </si>
  <si>
    <t>https://x.com/Andrea__Calzoni/status/1946277043336872118</t>
  </si>
  <si>
    <t>https://x.com/Andrea__Calzoni/status/1942884008725017021</t>
  </si>
  <si>
    <t>https://www.krepsinis.net/naujiena/a-juskevicius-laimejo-byla-pries-galatasaray-atskleistas-lietuvio-uzdarbis-turkijos-klube/293365</t>
  </si>
  <si>
    <t>Chima Moneke</t>
  </si>
  <si>
    <t>https://x.com/Andrea__Calzoni/status/1937168267904270837</t>
  </si>
  <si>
    <t>2y</t>
  </si>
  <si>
    <t>https://x.com/hizlihucum/status/1937177225939366314</t>
  </si>
  <si>
    <t>Jordan Nwora</t>
  </si>
  <si>
    <t>https://x.com/Andrea__Calzoni/status/1933900588871495916</t>
  </si>
  <si>
    <t>P. J. Dozier</t>
  </si>
  <si>
    <t>https://x.com/Andrea__Calzoni/status/1932918922807742570</t>
  </si>
  <si>
    <t>2 year</t>
  </si>
  <si>
    <t>https://x.com/search?q=from%3AAndrea__Calzoni%20per%20year&amp;src=typed_query&amp;f=live</t>
  </si>
  <si>
    <t>Hugo Besson</t>
  </si>
  <si>
    <t>https://www.pianetabasket.com/legabasket-serie-a/mercato-lba-varese-i-dettagli-sull-accordo-con-hugo-besson-295134</t>
  </si>
  <si>
    <t>https://x.com/Andrea__Calzoni/status/1805253050489049293</t>
  </si>
  <si>
    <t>https://x.com/Andrea__Calzoni/status/1801938903953236246</t>
  </si>
  <si>
    <t>https://x.com/Andrea__Calzoni/status/1801885386764890507</t>
  </si>
  <si>
    <t>https://x.com/Andrea__Calzoni/status/1679904443825831936</t>
  </si>
  <si>
    <t>https://x.com/AlessandroMagg4/status/2052275453180645769</t>
  </si>
  <si>
    <t>C. J. Massinburg</t>
  </si>
  <si>
    <t>Bahcesehir Koleji</t>
  </si>
  <si>
    <t>https://x.com/AlessandroMagg4/status/1798625070023078172</t>
  </si>
  <si>
    <t>Mfiondu Kabengele</t>
  </si>
  <si>
    <t>https://basketnews.com/news-255434-top-10-highest-paid-euroleague-players-2026-27-season.html</t>
  </si>
  <si>
    <t>https://www.eurohoops.net/en/trademarks/2008414/the-top-10-euroleague-salaries-of-2026-27-the-32m-line-is-official/</t>
  </si>
  <si>
    <t>https://basketnews.com/news-255090-dubai-buyout-fee-to-olympiacos-for-thomas-walkup-revealed.html</t>
  </si>
  <si>
    <t>https://x.com/AlessandroMagg4/status/1719339778850582965</t>
  </si>
  <si>
    <t>https://x.com/bballmaniacs_/status/1932057124139626564</t>
  </si>
  <si>
    <t>Brandon Boston</t>
  </si>
  <si>
    <t>https://x.com/Andrea__Calzoni/status/1952073111224176695</t>
  </si>
  <si>
    <t>https://x.com/Andrea__Calzoni/status/2006030742279586200</t>
  </si>
  <si>
    <t>Armando Bacot</t>
  </si>
  <si>
    <t>https://x.com/Andrea__Calzoni/status/1963262377983348828</t>
  </si>
  <si>
    <t>Khem Birch</t>
  </si>
  <si>
    <t>https://x.com/Andrea__Calzoni/status/1951337413986422881</t>
  </si>
  <si>
    <t>https://x.com/Andrea__Calzoni/status/1792900578370105669</t>
  </si>
  <si>
    <t>Davion Mintz</t>
  </si>
  <si>
    <t>Darius Adams</t>
  </si>
  <si>
    <t>Qingdao DoubleStar</t>
  </si>
  <si>
    <t>https://x.com/chemadelucas/status/1388057682842734592</t>
  </si>
  <si>
    <t>https://basketnews.com/news-155902-mike-james-reveals-his-salary-and-closes-the-door-on-zalgiris.html</t>
  </si>
  <si>
    <t>Denain</t>
  </si>
  <si>
    <t>https://basketnews.com/news-204179-chima-moneke-reveals-how-much-money-he-made-in-6-years-of-playing.html</t>
  </si>
  <si>
    <t>Beliers de Quimper</t>
  </si>
  <si>
    <t>Orleans</t>
  </si>
  <si>
    <t>Champagne Basket</t>
  </si>
  <si>
    <t>bebasket</t>
  </si>
  <si>
    <t>https://x.com/hoopsfthoughtgr/status/1932711909037649972</t>
  </si>
  <si>
    <t>https://x.com/hoopsfthoughtgr/status/1928006068560441693</t>
  </si>
  <si>
    <t>Cole Swider</t>
  </si>
  <si>
    <t>https://x.com/Eurohoopsnet/status/1953799335658807326</t>
  </si>
  <si>
    <t>https://x.com/chemadelucas/status/1795063820290789768</t>
  </si>
  <si>
    <t>https://x.com/chemadelucas/status/1415738981120106497</t>
  </si>
  <si>
    <t>Mario Delaš</t>
  </si>
  <si>
    <t>https://x.com/Eurohoopsnet/status/356731692385435648</t>
  </si>
  <si>
    <t>Aaron Harrison</t>
  </si>
  <si>
    <t>https://assets.fiba.basketball/image/upload/v1726052813/Corporate%20Images/HQ%20Departments/Legal/BAT%20Awards/1655-21.pdf</t>
  </si>
  <si>
    <t>https://www.eurohoops.net/en/trademarks/909850/the-top-10-euroleague-salaries-of-2019-20/3/</t>
  </si>
  <si>
    <t>https://www.eurohoops.net/en/trademarks/1092125/the-top10-euroleague-salaries-of-2020-21/9/</t>
  </si>
  <si>
    <t>Jimmer Fredette</t>
  </si>
  <si>
    <t>https://www.eurohoops.net/en/trademarks/1092125/the-top10-euroleague-salaries-of-2020-21/8/</t>
  </si>
  <si>
    <t>Timofey Mozgov</t>
  </si>
  <si>
    <t>https://www.eurohoops.net/en/trademarks/1092125/the-top10-euroleague-salaries-of-2020-21/11/</t>
  </si>
  <si>
    <t>3y</t>
  </si>
  <si>
    <t>https://www.elespanol.com/elbernabeu/real-madrid/baloncesto/20190717/mentira-barca-jugadores-plantilla-real-madrid-baloncesto/414459643_0.html</t>
  </si>
  <si>
    <t>Kostas Koufos</t>
  </si>
  <si>
    <t>Brae Ivey</t>
  </si>
  <si>
    <t>https://www.eurohoops.net/en/trademarks/1092125/the-top10-euroleague-salaries-of-2020-21/</t>
  </si>
  <si>
    <t>https://defensacentral.com/baloncesto/carroll-seguira-en-el-real-madrid-con-uno-de-los-salarios-mas-bajos_218200_102.html</t>
  </si>
  <si>
    <t>Jaycee Carroll</t>
  </si>
  <si>
    <t>Rudy Fernandez</t>
  </si>
  <si>
    <t>Gabriel Deck</t>
  </si>
  <si>
    <t>Anthony Randolph</t>
  </si>
  <si>
    <t>Trey Thompkins</t>
  </si>
  <si>
    <t>Felipe Reyes</t>
  </si>
  <si>
    <t>Salah Mejri</t>
  </si>
  <si>
    <t>https://www.eurohoops.net/en/trademarks/1092125/the-top10-euroleague-salaries-of-2020-21/6/</t>
  </si>
  <si>
    <t>https://www.eurohoops.net/en/trademarks/1092125/the-top10-euroleague-salaries-of-2020-21/2/</t>
  </si>
  <si>
    <t>https://www.eurohoops.net/en/trademarks/1092125/the-top10-euroleague-salaries-of-2020-21/10/</t>
  </si>
  <si>
    <t xml:space="preserve"> </t>
  </si>
  <si>
    <t>https://www.eurohoops.net/en/trademarks/1092125/the-top10-euroleague-salaries-of-2020-21/3/</t>
  </si>
  <si>
    <t>https://realolimpiamilano.com/2026/08/26/top-10-stipendi-olimpia-milano-era-ettore-messina/4/</t>
  </si>
  <si>
    <t>Ante Žižič</t>
  </si>
  <si>
    <t>https://www.ice.co.il/research/news/article/826087</t>
  </si>
  <si>
    <t>Jalen Reynolds</t>
  </si>
  <si>
    <t>James Nunnally</t>
  </si>
  <si>
    <t>Angelo Caloiaro</t>
  </si>
  <si>
    <t>Kameron Taylor</t>
  </si>
  <si>
    <t>https://www.eurohoops.net/en/trademarks/1240837/the-top-10-euroleague-salaries-of-2021-22/12/</t>
  </si>
  <si>
    <t>Brad Wanamaker</t>
  </si>
  <si>
    <t>https://x.com/ZervasNikolaos/status/886853788388253696</t>
  </si>
  <si>
    <t>Ettore Messina</t>
  </si>
  <si>
    <t>https://x.com/ZakkasGeorge/status/1383106495345258499</t>
  </si>
  <si>
    <t>https://x.com/ZakkasGeorge/status/1383106492778287107</t>
  </si>
  <si>
    <t>Igor Kokoshkov</t>
  </si>
  <si>
    <t>https://x.com/ZakkasGeorge/status/1383106498792992768</t>
  </si>
  <si>
    <t>Dejan Radonjič</t>
  </si>
  <si>
    <t>https://x.com/ZakkasGeorge/status/1383106503503142916</t>
  </si>
  <si>
    <t>https://www.krepsinis.net/naujiena/atskleistas-d-radonjiciaus-atlyginimas/308300</t>
  </si>
  <si>
    <t>Martin Shiller</t>
  </si>
  <si>
    <t>Bata</t>
  </si>
  <si>
    <t>https://www.sport5.co.il/articles.aspx?FolderID=274&amp;docID=292934</t>
  </si>
  <si>
    <t>Alex Tyus</t>
  </si>
  <si>
    <t>Tarik Black</t>
  </si>
  <si>
    <t>Jeremy Pargo</t>
  </si>
  <si>
    <t>Johnny O'bryant</t>
  </si>
  <si>
    <t>Michael Roll</t>
  </si>
  <si>
    <t>Neven Spahija</t>
  </si>
  <si>
    <t>DeAndre Kane</t>
  </si>
  <si>
    <t>Ioannis Sfairopoulos</t>
  </si>
  <si>
    <t>https://x.com/ZakkasGeorge/status/1383106501137551367</t>
  </si>
  <si>
    <t>Marcus Denmon</t>
  </si>
  <si>
    <t>https://x.com/ZakkasGeorge/status/1022130988124647427</t>
  </si>
  <si>
    <t>https://x.com/ZakkasGeorge/status/891639335988195331</t>
  </si>
  <si>
    <t>4y</t>
  </si>
  <si>
    <t>Luke Sikma</t>
  </si>
  <si>
    <t>https://x.com/ZakkasGeorge/status/1679202504582606848</t>
  </si>
  <si>
    <t>https://x.com/ZakkasGeorge/status/1408420584720154624</t>
  </si>
  <si>
    <t>https://x.com/ZakkasGeorge/status/1405918419405398019</t>
  </si>
  <si>
    <t>Gustavo Ayon</t>
  </si>
  <si>
    <t>https://x.com/ZakkasGeorge/status/1278589887722258434</t>
  </si>
  <si>
    <t>Narcisse Ngoy</t>
  </si>
  <si>
    <t>College</t>
  </si>
  <si>
    <t>https://x.com/GabrielPJ_/status/2039049113208057895</t>
  </si>
  <si>
    <t>https://x.com/GabrielPJ_/status/1794061331458408849</t>
  </si>
  <si>
    <t>https://x.com/GabrielPJ_/status/1540820578545946624</t>
  </si>
  <si>
    <t>https://x.com/Be_BasketFr/status/1529017805697318912</t>
  </si>
  <si>
    <t>Massimo Cancellieri</t>
  </si>
  <si>
    <t>https://x.com/GabrielPJ_/status/1524442187827757057</t>
  </si>
  <si>
    <t>Vernon Carey</t>
  </si>
  <si>
    <t>https://x.com/NeoRock06/status/2055222879558443390</t>
  </si>
  <si>
    <t>Errick McCollum</t>
  </si>
  <si>
    <t>Bešiktaš</t>
  </si>
  <si>
    <t>https://x.com/NeoRock06/status/1940088311600542046</t>
  </si>
  <si>
    <t>https://www.bolognabasket.org/news/281185521158/virtus-dopo-zizic-si-attende-l-uscita-di-clyburn</t>
  </si>
  <si>
    <t>https://x.com/NeoRock06/status/1411056295277383683</t>
  </si>
  <si>
    <t>Jordan Morgan</t>
  </si>
  <si>
    <t>https://x.com/chemadelucas/status/1271781574816694272</t>
  </si>
  <si>
    <t>Joel Freeland</t>
  </si>
  <si>
    <t>https://x.com/NeoRock06/status/860521572184072192</t>
  </si>
  <si>
    <t>https://x.com/NeoRock06/status/864807313538002944</t>
  </si>
  <si>
    <t>Dušan Alimpijevič</t>
  </si>
  <si>
    <t>https://x.com/matty_vanpersie/status/1788184100550971591</t>
  </si>
  <si>
    <t>James Gist</t>
  </si>
  <si>
    <t>https://www.novosti.rs/c/sport/kosarka/1084835/crvena-zvezda-kosarka-plate-igraca-kosarkasa-novac-sport-srbija-nebojsa-covic-aba-evroliga</t>
  </si>
  <si>
    <t>https://x.com/matty_vanpersie/status/1604062645111459840</t>
  </si>
  <si>
    <t>https://basketnews.com/news-181996-crvena-zvezda-offer-a-18-million-deal-to-facundo-campazzo.html</t>
  </si>
  <si>
    <t>https://x.com/matty_vanpersie/status/1547946040870940674</t>
  </si>
  <si>
    <t>https://www.reddit.com/r/Euroleague/comments/1lhnf09/ioannis_papapetrou_retires_at_31/</t>
  </si>
  <si>
    <t>https://x.com/matty_vanpersie/status/1544602413537148928</t>
  </si>
  <si>
    <t>Sertac Sanli</t>
  </si>
  <si>
    <t>https://x.com/matty_vanpersie/status/1403317389622710275</t>
  </si>
  <si>
    <t>Trey Lyles</t>
  </si>
  <si>
    <t>https://x.com/DAlessandro_LU/status/1848727387866878078</t>
  </si>
  <si>
    <t>Nate Darling</t>
  </si>
  <si>
    <t>Simas Jarumbauskas</t>
  </si>
  <si>
    <t>Bc Vienna</t>
  </si>
  <si>
    <t>player interview</t>
  </si>
  <si>
    <t>Shaq Buchanan</t>
  </si>
  <si>
    <t>poland leaks</t>
  </si>
  <si>
    <t>Justas Furmanavičius</t>
  </si>
  <si>
    <t>Šeškus leak</t>
  </si>
  <si>
    <t>Cam Reddish</t>
  </si>
  <si>
    <t>podcast</t>
  </si>
  <si>
    <t>Denzel Valentine</t>
  </si>
  <si>
    <t>slightly less than 300k</t>
  </si>
  <si>
    <t>Miklovas/Bnews podcast</t>
  </si>
  <si>
    <t>6mln/3 years</t>
  </si>
  <si>
    <t>Alessandro Magro</t>
  </si>
  <si>
    <t>discord rumour</t>
  </si>
  <si>
    <t>Laimonas Eglinskas</t>
  </si>
  <si>
    <t>Lekšas podcast</t>
  </si>
  <si>
    <t>https://www.israelhayom.co.il/sport/israeli-basketball/article/15701913</t>
  </si>
  <si>
    <t>Olek Balcerowski</t>
  </si>
  <si>
    <t>https://x.com/alex30mp/status/1830622443402084731</t>
  </si>
  <si>
    <t>https://basketnews.com/news-192621-aleksander-balcerowski-officially-joins-panathinaikos.html</t>
  </si>
  <si>
    <t>https://www.sdna.gr/mpasket/1106492_mpike-nba-out-ypsoys-1-ekat-eyro-sto-symbolaio-panathinaikoy-mpaltserofski</t>
  </si>
  <si>
    <t>https://piratasdelbasket.net/el-unicaja-malaga-cerrara-el-fichaje-de-olek-balcerowski</t>
  </si>
  <si>
    <t>Tony Parker</t>
  </si>
  <si>
    <t>https://www.bebasket.fr/face-aux-difficultes-financieres-de-lasvel-le-coach-tony-parker-aurait-divise-son-salaire-par-cinq</t>
  </si>
  <si>
    <t>https://www.reddit.com/r/Euroleague/comments/uix0hy/comment/i7q2ts5/</t>
  </si>
  <si>
    <t>https://x.com/hizlihucum/status/1806267831845048715</t>
  </si>
  <si>
    <t>Georgios Papagiannis</t>
  </si>
  <si>
    <t>https://basketnews.com/news-192080-georgios-papagiannis-move-to-fenerbahce-becomes-official.html</t>
  </si>
  <si>
    <t>Boban Marjanovič</t>
  </si>
  <si>
    <t>https://www.reddit.com/r/Euroleague/comments/1gbxa7c/comment/ltr5ggs/</t>
  </si>
  <si>
    <t>Amine Noua</t>
  </si>
  <si>
    <t>https://www.israelhayom.co.il/sport/israeli-basketball/article/14453359</t>
  </si>
  <si>
    <t>Ahmad Caver</t>
  </si>
  <si>
    <t>Shawn Dawson</t>
  </si>
  <si>
    <t>C. J. Harris</t>
  </si>
  <si>
    <t>https://www.israelhayom.co.il/sport/israeli-basketball/article/12574969</t>
  </si>
  <si>
    <t>https://x.com/yakovmeir1/status/1553636789386100737</t>
  </si>
  <si>
    <t>Marvin Jones</t>
  </si>
  <si>
    <t>Kenny Kadji</t>
  </si>
  <si>
    <t>Hayden Dalton</t>
  </si>
  <si>
    <t>Sonny Weems</t>
  </si>
  <si>
    <t>https://www.salnews.com/forum/viewtopic.php?f=1&amp;t=16044&amp;view=next</t>
  </si>
  <si>
    <t>https://www.krepsinis.net/naujiena/aisku-kiek-pinigu-maccabi-nepagailejo-s-weemsui/261484</t>
  </si>
  <si>
    <t>Devin Smith</t>
  </si>
  <si>
    <t>Maik Zirbes</t>
  </si>
  <si>
    <t>Colton Iverson</t>
  </si>
  <si>
    <t>Victor Rudd</t>
  </si>
  <si>
    <t>D. J. Seeley</t>
  </si>
  <si>
    <t>Tarence Kinsey</t>
  </si>
  <si>
    <t>Curtis Jerrells</t>
  </si>
  <si>
    <t>Jeff Adrien</t>
  </si>
  <si>
    <t>Richard Howell</t>
  </si>
  <si>
    <t>Quincy Miller</t>
  </si>
  <si>
    <t>https://www.one.co.il/Article/298507.html</t>
  </si>
  <si>
    <t>Gal Mekel</t>
  </si>
  <si>
    <t>Sylven Landesberg</t>
  </si>
  <si>
    <t>Joe Alexander</t>
  </si>
  <si>
    <t>Diamon Simpson</t>
  </si>
  <si>
    <t>Pierre Jackson</t>
  </si>
  <si>
    <t>Artsiom Parakhouski</t>
  </si>
  <si>
    <t>DeShaun Thomas</t>
  </si>
  <si>
    <t>Norris Cole</t>
  </si>
  <si>
    <t>Karam Mashour</t>
  </si>
  <si>
    <t>Jonah Bolden</t>
  </si>
  <si>
    <t>Deandre Kane</t>
  </si>
  <si>
    <t>Dagan Yavzuri</t>
  </si>
  <si>
    <t>Yotam Halperin</t>
  </si>
  <si>
    <t>Raviv Limonad</t>
  </si>
  <si>
    <t>Elishay Kadir</t>
  </si>
  <si>
    <t>Afik Nissim</t>
  </si>
  <si>
    <t>Isaac Rosefelt</t>
  </si>
  <si>
    <t>Nizan Hanochi</t>
  </si>
  <si>
    <t>Jerome Dyson</t>
  </si>
  <si>
    <t>Shawn Jones</t>
  </si>
  <si>
    <t>Chris Horton</t>
  </si>
  <si>
    <t>Travis Warech</t>
  </si>
  <si>
    <t>https://www.israelhayom.co.il/sport/israeli-basketball/article/19103537</t>
  </si>
  <si>
    <t>Kyler Edwards</t>
  </si>
  <si>
    <t>Elijah Childs</t>
  </si>
  <si>
    <t>https://sport1.maariv.co.il/israeli-basketball/winner-basketball-league/Article-695240/</t>
  </si>
  <si>
    <t>https://www.sport5.co.il/articles.aspx?FolderID=274&amp;docID=503586</t>
  </si>
  <si>
    <t>Sasha Obradovič</t>
  </si>
  <si>
    <t>https://sport1.maariv.co.il/israeli-basketball/winner-basketball-league/article/1874083/</t>
  </si>
  <si>
    <t>https://x.com/Andrea__Calzoni/status/2069366580702560319</t>
  </si>
  <si>
    <t>Badalona Joventut</t>
  </si>
  <si>
    <t>urbonas podcast</t>
  </si>
  <si>
    <t>https://www.eurohoops.net/en/trademarks/1559225/the-top-10-euroleague-salaries-2023-24/</t>
  </si>
  <si>
    <t>Ante Tomič</t>
  </si>
  <si>
    <t>Adam Hanga</t>
  </si>
  <si>
    <t>Pau Ribas</t>
  </si>
  <si>
    <t>Kyle Kurič</t>
  </si>
  <si>
    <t>Victor Claver</t>
  </si>
  <si>
    <t>Artem Pustovyi</t>
  </si>
  <si>
    <t>https://zurnal.politika.rs/scc/clanak/49529/kosarka/zvezda/zvezda-gal-mekel-nas-je-izigrao-fiba-zazmurila</t>
  </si>
  <si>
    <t>https://www.20minutos.es/lainformacion/economia-y-finanzas/rudy-fernandez-se-retira-dinero-que-ha-ganado-sus-inversiones-sus-mansiones-5265573/</t>
  </si>
  <si>
    <t>4y 10 million</t>
  </si>
  <si>
    <t>12/13</t>
  </si>
  <si>
    <t>2y 5.5</t>
  </si>
  <si>
    <t>https://www.tv3.lt/naujiena/sportas/turtingiausi-krepsininkai-lietuvoje-ir-europoje-n214656</t>
  </si>
  <si>
    <t>Mehmet Okur</t>
  </si>
  <si>
    <t>Turk Telekom Ankara</t>
  </si>
  <si>
    <t>https://www.ballineurope.com/top-salaries-european-basketball-3298/</t>
  </si>
  <si>
    <t>Deron Williams</t>
  </si>
  <si>
    <t>Nenad Krstič</t>
  </si>
  <si>
    <t>Ersan Ilyasova</t>
  </si>
  <si>
    <t>Juan Carlos Navarro</t>
  </si>
  <si>
    <t>Dimitris Diamantidis</t>
  </si>
  <si>
    <t>Mike Batiste</t>
  </si>
  <si>
    <t>Sasha Vujačič</t>
  </si>
  <si>
    <t>Guangdong Tigers</t>
  </si>
  <si>
    <t>https://www.basketnews.lt/news-131314-dideles-vertes-kontrakta-pasirasysiantis-weemsas-lieka-rungtyniauti-kinijoje.html</t>
  </si>
  <si>
    <t>https://www.basketnews.lt/news-202210-atskleistas-sfairopoulo-atlyginimas-crvena-zvezda.html</t>
  </si>
  <si>
    <t>Duško Ivanovič</t>
  </si>
  <si>
    <t>https://www.basketnews.lt/news-120819-7-kartus-alga-pasikeles-kupsas-isvyksta-i-kinija.html</t>
  </si>
  <si>
    <t>https://www.basketnews.lt/news-121617-kaune-likti-nusprendusiam-sarui-rekordinis-atlyginimas.html</t>
  </si>
  <si>
    <t>https://www.basketnews.lt/news-130673-10-geriausiu-lkl-laisvuju-agentu-virsuneje-veteranai.html</t>
  </si>
  <si>
    <t>https://dev.basketnews.lt/news-75046-italijoje-kleizos-alga-bus-5-kartus-mazesne-nei-turkijoje.html</t>
  </si>
  <si>
    <t>https://www.sport.lt/naujienos/krepsinis/atskleista-neitiketinai-maza-g-zibeno-alga-ryte/</t>
  </si>
  <si>
    <t>5 y 4 million</t>
  </si>
  <si>
    <t>https://www.krepsinis.net/naujiena/j-nunnally-tapo-lietuviu-bendraklubiu-ir-uzdirbs-didele-pinigu-suma/347314</t>
  </si>
  <si>
    <t>Loren Woods</t>
  </si>
  <si>
    <t>https://www.krepsinis.net/naujiena/l-woodsas-efes-pilsen-klube-uzdirbs-beveik-2-milijonus-euru/133045</t>
  </si>
  <si>
    <t>https://www.krepsinis.net/naujiena/s-weemsas-zalgiryje-uzdirbs-apie-1-mln-euru/11338</t>
  </si>
  <si>
    <t>https://x.com/Andrea__Calzoni/status/1938905384359694812</t>
  </si>
  <si>
    <t>Rimantas Kaukėnas</t>
  </si>
  <si>
    <t>Darussafaka</t>
  </si>
  <si>
    <t>Vrenz Bleijenbergh</t>
  </si>
  <si>
    <t>https://x.com/Andrea__Calzoni/status/2065365098730860876</t>
  </si>
  <si>
    <t>Deividas Dulkys</t>
  </si>
  <si>
    <t>Yesilgiresun Belediye</t>
  </si>
  <si>
    <t>https://www.krepsinis.net/naujiena/10-uzsienyje-zaidzianciu-lietuviu-kurie-uzdirba-daugiausiai/259841</t>
  </si>
  <si>
    <t>Ankara TED Kolejliler</t>
  </si>
  <si>
    <t>Ramūnas Šiškauskas</t>
  </si>
  <si>
    <t>Siena Montepaschi</t>
  </si>
  <si>
    <t>Richard Hendrix</t>
  </si>
  <si>
    <t>https://www.basketnews.lt/news-63321-per-dvejus-metus-krasnodare-hendrixas-uzdirbs-daugiau-nei-13-mln-litu.html</t>
  </si>
  <si>
    <t>https://www.basketnews.lt/news-158062-geriausiai-apmokamu-eurolygos-zaideju-desimtukas-kieno-pinigine-sustorejo-labiausiai.html</t>
  </si>
  <si>
    <t>https://www.lrytas.lt/sportas/krepsinis/2018/07/02/news/sara-pykdes-lkl-blogiukas-isvyksta-i-uzsieni-naujoje-lygoje-etiketes-nera--6826596?utm_source=lrExtraLinks&amp;utm_campaign=Copy&amp;utm_medium=Copy&amp;fbclid=IwY2xjawSn7MdleHRuA2FlbQIxMQBicmlkETBRa2FRZjNJbGxOWWRyTHNzc3J0YwZhcHBfaWQQMjIyMDM5MTc4ODIwMDg5MgABHhs1WpkFecSPhrGGTHxcpZry4OpGYqnyGASgof0IFpKJ-NLoeRT66V99VaoF_aem_6ehU6PcCJBIPGUPQ459HLA</t>
  </si>
  <si>
    <t>Gries - Oberhoffen</t>
  </si>
  <si>
    <t>Kymis</t>
  </si>
  <si>
    <t>https://www.15min.lt/24sek/naujiena/lietuva/top-12-kiek-uzdirba-lietuvos-krepsinio-rinktines-dvyliktukas-875-664025</t>
  </si>
  <si>
    <t>https://www.krepsinis.net/naujiena/paaiskejo-kiek-m-pocius-uzdirbdavo-zalgirio-ir-real-komandose/248203</t>
  </si>
  <si>
    <t>Julius Kazakauskas</t>
  </si>
  <si>
    <t>Evreux</t>
  </si>
  <si>
    <t>https://www.krepsinis.net/naujiena/atskleisti-prancuzijos-antroje-lygoje-zaidzianciu-lietuviu-atlyginimai/319099</t>
  </si>
  <si>
    <t>Vytenis Čižauskas</t>
  </si>
  <si>
    <t>Dominykas Domarkas</t>
  </si>
  <si>
    <t>Nantes</t>
  </si>
  <si>
    <t>https://www.basketnews.lt/news-16984-geriausiai-apmokami-lietuvos-ir-europos-krepsininkai.html</t>
  </si>
  <si>
    <t>Washington Wizards</t>
  </si>
  <si>
    <t>Arvydas Macijauskas</t>
  </si>
  <si>
    <t>Dynamo Moscow</t>
  </si>
  <si>
    <t>Denver Nuggets</t>
  </si>
  <si>
    <t>Theodoros Papaloukas</t>
  </si>
  <si>
    <t>Boštjan Nachbar</t>
  </si>
  <si>
    <t>Jorge Garbajosa</t>
  </si>
  <si>
    <t>BC Triumph Lyubertsy</t>
  </si>
  <si>
    <t>Carlos Delfino</t>
  </si>
  <si>
    <t>Matjaž Smodiš</t>
  </si>
  <si>
    <t>Fran Vazquez</t>
  </si>
  <si>
    <t>Vitaly Fridzon</t>
  </si>
  <si>
    <t>Justin Doellman</t>
  </si>
  <si>
    <t>Luigi Datome</t>
  </si>
  <si>
    <t>Derrick Brown</t>
  </si>
  <si>
    <t>Andres Nocioni</t>
  </si>
  <si>
    <t>Sergey Monia</t>
  </si>
  <si>
    <t>Petteri Koponen</t>
  </si>
  <si>
    <t>Jamon Gordon</t>
  </si>
  <si>
    <t>Jordan Farmar</t>
  </si>
  <si>
    <t>https://www.sport5.co.il/articles.aspx?FolderID=274&amp;docID=104461</t>
  </si>
  <si>
    <t>Ibi Watson</t>
  </si>
  <si>
    <t>Georgios Printezis</t>
  </si>
  <si>
    <t>Brad Oleson</t>
  </si>
  <si>
    <t>Bogdan Bogdanovič</t>
  </si>
  <si>
    <t>Pero Antič</t>
  </si>
  <si>
    <t>James Augustine</t>
  </si>
  <si>
    <t>Aaron Jackson</t>
  </si>
  <si>
    <t>Miroslav Raduljica</t>
  </si>
  <si>
    <t>Antonis Fotsis</t>
  </si>
  <si>
    <t>Emir Preldžič</t>
  </si>
  <si>
    <t>Jayson Granger</t>
  </si>
  <si>
    <t>Bobby Dixon</t>
  </si>
  <si>
    <t>Shane Lawal</t>
  </si>
  <si>
    <t>Ekpe Udoh</t>
  </si>
  <si>
    <t>Taylor Rochestie</t>
  </si>
  <si>
    <t>Nedas Pacevičius</t>
  </si>
  <si>
    <t>Guerschon Yabusele</t>
  </si>
  <si>
    <t>https://www.eurohoops.net/en/euroleague/1989113/panathinaikos-signing-guerschon-yabusele-to-a-three-year-deal/</t>
  </si>
  <si>
    <t>https://basketnews.com/news-251632-guerschon-yabusele-salary-at-panathinaikos-revealed-as-move-becomes-official.html</t>
  </si>
  <si>
    <t>12 M/3y</t>
  </si>
  <si>
    <t>Spencer Weisz</t>
  </si>
  <si>
    <t>Ness Ziona</t>
  </si>
  <si>
    <t>https://sports.walla.co.il/item/3848287?Source=Generalshare&amp;Medium=sharebuttonapp&amp;Content=feed&amp;Campaign=socialbutton</t>
  </si>
  <si>
    <t>Xavier Cooks</t>
  </si>
  <si>
    <t>Kendric Davis</t>
  </si>
  <si>
    <t>Mason Jones</t>
  </si>
  <si>
    <t>https://x.com/NBLPleb/status/1963837110193913975</t>
  </si>
  <si>
    <t>South Korea</t>
  </si>
  <si>
    <t>Suwon KT Sonicboom</t>
  </si>
  <si>
    <t>https://x.com/NBLPleb/status/1948214766432035123</t>
  </si>
  <si>
    <t>Alex Mumbru</t>
  </si>
  <si>
    <t>https://x.com/AlessandroMagg4/status/2067497125022175668</t>
  </si>
  <si>
    <t>850k worth / 2y</t>
  </si>
  <si>
    <t>https://www.superbasket.eu/lba/61709/alex-mumbru-e-il-nuovo-allenatore-della-virtus-bologna</t>
  </si>
  <si>
    <t>Aleksandar Dordevič</t>
  </si>
  <si>
    <t>Zach Ensminger</t>
  </si>
  <si>
    <t>Jasmin Repeša</t>
  </si>
  <si>
    <t>Joan Plaza</t>
  </si>
  <si>
    <t>Dimitrios Itoudis</t>
  </si>
  <si>
    <t>Xavi Pascual</t>
  </si>
  <si>
    <t>Pablo Laso</t>
  </si>
  <si>
    <t>Dušan Ivkovič</t>
  </si>
  <si>
    <t>Željko Obradovič</t>
  </si>
  <si>
    <t>Braxton Key</t>
  </si>
  <si>
    <t>https://x.com/Andrea__Calzoni/status/2070030381353513364</t>
  </si>
  <si>
    <t>https://x.com/Andrea__Calzoni/status/2070036870583460145</t>
  </si>
  <si>
    <t>https://x.com/HaiTanami/status/2069808722860229108</t>
  </si>
  <si>
    <t>https://www.sport5.co.il/articles.aspx?FolderID=274&amp;docID=535230</t>
  </si>
  <si>
    <t>https://basketnews.com/news-241633-former-maccabi-guard-on-the-verge-of-signing-with-hapoel-tel-aviv.html</t>
  </si>
  <si>
    <t>David DeJulius</t>
  </si>
  <si>
    <t>https://www.sport5.co.il/articles.aspx?FolderID=274&amp;docID=487862</t>
  </si>
  <si>
    <t>https://sports.walla.co.il/item/3701722</t>
  </si>
  <si>
    <t>https://x.com/Orshkedy/status/2062532744006029611</t>
  </si>
  <si>
    <t>https://www.athletiko.gr/ayto-einai-to-chryso-deal-toy-paok-me-ton-markoys-foster-81481</t>
  </si>
  <si>
    <t>2.3/ 2Y</t>
  </si>
  <si>
    <t>Max Heidegger</t>
  </si>
  <si>
    <t>https://www.sport5.co.il/articles.aspx?FolderID=274&amp;docID=350236</t>
  </si>
  <si>
    <t>Adama Sanogo</t>
  </si>
  <si>
    <t>https://www.sport5.co.il/articles.aspx?FolderID=274&amp;docID=540745</t>
  </si>
  <si>
    <t>https://www.israelhayom.co.il/sport/israeli-basketball/article/20359511</t>
  </si>
  <si>
    <t>https://www.israelhayom.co.il/sport/israeli-basketball/article/21183340</t>
  </si>
  <si>
    <t>Chinanu Onuaku</t>
  </si>
  <si>
    <t>https://www.sport5.co.il/articles.aspx?FolderID=274&amp;docID=420077</t>
  </si>
  <si>
    <t>Roma SPQR</t>
  </si>
  <si>
    <t>https://x.com/Andrea__Calzoni/status/2070073180136345689</t>
  </si>
  <si>
    <t>5 mln/3y</t>
  </si>
  <si>
    <t>Athanasios Bazinas</t>
  </si>
  <si>
    <t>https://www.sport24.gr/basket/paok-tinaxe-tin-banka-gia-ton-bazina-afto-einai-to-poso-pou-plirose-o-mistakidis/</t>
  </si>
  <si>
    <t>850k/4y</t>
  </si>
  <si>
    <t>Antonios Karagiannidis</t>
  </si>
  <si>
    <t>https://www.news247.gr/athlitika/o-karagiannidis-ston-olimpiako-apo-ta-1-500-evro-tou-promithea-sto-deal-ton-16-ekatommirion-evro/</t>
  </si>
  <si>
    <t>5y/1.1m</t>
  </si>
  <si>
    <t>Loaned by Oly</t>
  </si>
  <si>
    <t>Martin Hermannsson</t>
  </si>
  <si>
    <t>330k/2years</t>
  </si>
  <si>
    <t>Moritz Krimmer</t>
  </si>
  <si>
    <t>200k/2y</t>
  </si>
  <si>
    <t>Andreas Obst</t>
  </si>
  <si>
    <t>https://basketnews.com/news-242716-andreas-obst-bayern-contract-salary-details.html</t>
  </si>
  <si>
    <t>Kyle Allman</t>
  </si>
  <si>
    <t>Zvezdan Mitrovič</t>
  </si>
  <si>
    <t>T. J. Parker</t>
  </si>
  <si>
    <t>Shaquille Harrison</t>
  </si>
  <si>
    <t>Glynn Watson</t>
  </si>
  <si>
    <t>Mbaye Ndiaye</t>
  </si>
  <si>
    <t>Bastien Vautier</t>
  </si>
  <si>
    <t>Nando De Colo</t>
  </si>
  <si>
    <t>Edwin Jackson</t>
  </si>
  <si>
    <t>Melvin Ajinca</t>
  </si>
  <si>
    <t>Adam Atamna</t>
  </si>
  <si>
    <t>Armel Traore</t>
  </si>
  <si>
    <t>Blois</t>
  </si>
  <si>
    <t>Boulogne - Levallois Metropolitans 92</t>
  </si>
  <si>
    <t>David Lighty</t>
  </si>
  <si>
    <t>Bodian Massa</t>
  </si>
  <si>
    <t>Mehdy Ngouama</t>
  </si>
  <si>
    <t>Hugo Robineau</t>
  </si>
  <si>
    <t>Angelo Warner</t>
  </si>
  <si>
    <t>Jacob Grandison</t>
  </si>
  <si>
    <t>Ousman Krubally</t>
  </si>
  <si>
    <t>K.J. Williams</t>
  </si>
  <si>
    <t>Tony Snell</t>
  </si>
  <si>
    <t>Essome Miyem</t>
  </si>
  <si>
    <t>Lille</t>
  </si>
  <si>
    <t>Antoine Eito</t>
  </si>
  <si>
    <t>Antibes</t>
  </si>
  <si>
    <t>Thomas Ville</t>
  </si>
  <si>
    <t>Cyrille Eliezer - Vanerot</t>
  </si>
  <si>
    <t>Both Gach</t>
  </si>
  <si>
    <t>Bourg - en - Bresse</t>
  </si>
  <si>
    <t>Adam Mokoka</t>
  </si>
  <si>
    <t>Assemian Moulare</t>
  </si>
  <si>
    <t>Vichy</t>
  </si>
  <si>
    <t>Vichy - Clermont</t>
  </si>
  <si>
    <t>Darius McGhee</t>
  </si>
  <si>
    <t>Kevin Kokila</t>
  </si>
  <si>
    <t>Tre Mitchell</t>
  </si>
  <si>
    <t>Ricky Lindo</t>
  </si>
  <si>
    <t>Antony Labanca</t>
  </si>
  <si>
    <t>William McDowell - White</t>
  </si>
  <si>
    <t>Tajuan Agee</t>
  </si>
  <si>
    <t>Yvann Mbaya</t>
  </si>
  <si>
    <t>Alliance Sport Alsace</t>
  </si>
  <si>
    <t>J. T. Shumate</t>
  </si>
  <si>
    <t>Jeremiah Hill</t>
  </si>
  <si>
    <t>Zac Cuthbertson</t>
  </si>
  <si>
    <t>Lionel Gaudoux</t>
  </si>
  <si>
    <t>Jordan Tucker</t>
  </si>
  <si>
    <t>Roanne</t>
  </si>
  <si>
    <t>Justyn Mutts</t>
  </si>
  <si>
    <t>Yohan Choupas</t>
  </si>
  <si>
    <t>Clarence Nadolny</t>
  </si>
  <si>
    <t>Rouen</t>
  </si>
  <si>
    <t>Matheo Leray</t>
  </si>
  <si>
    <t>La Rochelle</t>
  </si>
  <si>
    <t>Obinna Anochili - Killen</t>
  </si>
  <si>
    <t>Yanis Tonnellier</t>
  </si>
  <si>
    <t>Akram Naji</t>
  </si>
  <si>
    <t>Gerald Ayayi</t>
  </si>
  <si>
    <t>Jamuni McNeace</t>
  </si>
  <si>
    <t>Nathan De Sousa</t>
  </si>
  <si>
    <t>Deandre Gholston</t>
  </si>
  <si>
    <t>Mohamed Diarra</t>
  </si>
  <si>
    <t>Chibuzo Agbo</t>
  </si>
  <si>
    <t>Daylen Kountz</t>
  </si>
  <si>
    <t>T. J. Campbell</t>
  </si>
  <si>
    <t>Digue Diawara</t>
  </si>
  <si>
    <t>Keshawn Justice</t>
  </si>
  <si>
    <t>Qudus Wahab</t>
  </si>
  <si>
    <t>Gregor Hrovat</t>
  </si>
  <si>
    <t>Justin Bibbins</t>
  </si>
  <si>
    <t>David Holston</t>
  </si>
  <si>
    <t>Williams Narace</t>
  </si>
  <si>
    <t>Jordan Barnett</t>
  </si>
  <si>
    <t>Tariq Owens</t>
  </si>
  <si>
    <t>Quentin Losser</t>
  </si>
  <si>
    <t>Hyeres - Toulon</t>
  </si>
  <si>
    <t>Axel Julien</t>
  </si>
  <si>
    <t>Robin Ducote</t>
  </si>
  <si>
    <t>Michael Stockton</t>
  </si>
  <si>
    <t>Zeke Moore</t>
  </si>
  <si>
    <t>Edon Maxhuni</t>
  </si>
  <si>
    <t>Chris Babb</t>
  </si>
  <si>
    <t>Mike Lewis II</t>
  </si>
  <si>
    <t>Vafessa Fofana</t>
  </si>
  <si>
    <t>Valentin Chery</t>
  </si>
  <si>
    <t>Bruno Cingala - Mata</t>
  </si>
  <si>
    <t>Gauthier Denis</t>
  </si>
  <si>
    <t>David Joplin</t>
  </si>
  <si>
    <t>Neal Quinn</t>
  </si>
  <si>
    <t>Aix - Maurienne</t>
  </si>
  <si>
    <t>Soren Bracq</t>
  </si>
  <si>
    <t>Louka Letailleur</t>
  </si>
  <si>
    <t>Trevor Hudgins</t>
  </si>
  <si>
    <t>Johnny Berhanemeskel</t>
  </si>
  <si>
    <t>Shannon Bogues</t>
  </si>
  <si>
    <t>David DiLeo</t>
  </si>
  <si>
    <t>Travante Williams</t>
  </si>
  <si>
    <t>Lucas Dufeal</t>
  </si>
  <si>
    <t>Jonathan Jeanne</t>
  </si>
  <si>
    <t>Poitiers</t>
  </si>
  <si>
    <t>Wilfried Yeguete</t>
  </si>
  <si>
    <t>Ugo Doumbia</t>
  </si>
  <si>
    <t>Ivan Fevrier</t>
  </si>
  <si>
    <t>Michael Smith</t>
  </si>
  <si>
    <t>Greg Lee</t>
  </si>
  <si>
    <t>Mathieu Boyer</t>
  </si>
  <si>
    <t>Filip Kruslin</t>
  </si>
  <si>
    <t>Lucas Fischer</t>
  </si>
  <si>
    <t>Sean Armand</t>
  </si>
  <si>
    <t>Trey Wertz</t>
  </si>
  <si>
    <t>Christopher Ebunangombe</t>
  </si>
  <si>
    <t>Tyshaun Crawford</t>
  </si>
  <si>
    <t>Lahaou Konate</t>
  </si>
  <si>
    <t>Gavin Ware</t>
  </si>
  <si>
    <t>Nicolas Lang</t>
  </si>
  <si>
    <t>Frank Mason III</t>
  </si>
  <si>
    <t>Leon Stergar</t>
  </si>
  <si>
    <t>Armaan Franklin</t>
  </si>
  <si>
    <t>Hugo Invernizzi</t>
  </si>
  <si>
    <t>Mamadou Guisse</t>
  </si>
  <si>
    <t>Vincent Amsellem</t>
  </si>
  <si>
    <t>Justin Lewis</t>
  </si>
  <si>
    <t>Shawn Tanner</t>
  </si>
  <si>
    <t>Angers</t>
  </si>
  <si>
    <t>Theo Magrit</t>
  </si>
  <si>
    <t>SCABB (Saint-Chamond)</t>
  </si>
  <si>
    <t>Saint - Chamond</t>
  </si>
  <si>
    <t>Alpha Diallo</t>
  </si>
  <si>
    <t>Yoan Makoundou</t>
  </si>
  <si>
    <t>Daniel Theis</t>
  </si>
  <si>
    <t>Juhann Begarin</t>
  </si>
  <si>
    <t>Terry Tarpey</t>
  </si>
  <si>
    <t>David Michineau</t>
  </si>
  <si>
    <t>Landers Nolley II</t>
  </si>
  <si>
    <t>Stephane Gombauld</t>
  </si>
  <si>
    <t>Phlandrous Fleming</t>
  </si>
  <si>
    <t>Martin Breunig</t>
  </si>
  <si>
    <t>Enzo Goudou - Sinha</t>
  </si>
  <si>
    <t>Kevin Marsillon - Noleo</t>
  </si>
  <si>
    <t>Pau - Lacq - Orthez</t>
  </si>
  <si>
    <t>Mohammad Amini</t>
  </si>
  <si>
    <t>Aundre Hyatt</t>
  </si>
  <si>
    <t>Isaiah Cozart</t>
  </si>
  <si>
    <t>Marc - Owen Fodzo Dada</t>
  </si>
  <si>
    <t>Markis McDuffie</t>
  </si>
  <si>
    <t>Kany N'Kouka</t>
  </si>
  <si>
    <t>Mathis Dossou - Yovo</t>
  </si>
  <si>
    <t>Benjamin Sene</t>
  </si>
  <si>
    <t>Donta Scott</t>
  </si>
  <si>
    <t>Len Schoormann</t>
  </si>
  <si>
    <t>Hugo Yimga - Moukouri</t>
  </si>
  <si>
    <t>Paul Lacombe</t>
  </si>
  <si>
    <t>Zakai Zeigler</t>
  </si>
  <si>
    <t>Lucas Dussoulier</t>
  </si>
  <si>
    <t>Roko Prkačin</t>
  </si>
  <si>
    <t>Jeremy Senglin</t>
  </si>
  <si>
    <t>Mitchell Saxen</t>
  </si>
  <si>
    <t>Nadir Hifi</t>
  </si>
  <si>
    <t>Justin Robinson</t>
  </si>
  <si>
    <t>https://www.pianetabasket.com/euroleague/justin-robinson-che-esordio-in-eurolega-per-l-ex-trapani-shark-342817</t>
  </si>
  <si>
    <t>Jared Rhoden</t>
  </si>
  <si>
    <t>Lamar Stevens</t>
  </si>
  <si>
    <t>Sebastian Herrera</t>
  </si>
  <si>
    <t>Amath M'Baye</t>
  </si>
  <si>
    <t>Derek Willis</t>
  </si>
  <si>
    <t>Yakuba Ouattara</t>
  </si>
  <si>
    <t>Joel Ayayi</t>
  </si>
  <si>
    <t>Leopold Cavaliere</t>
  </si>
  <si>
    <t>Mouhamed Faye</t>
  </si>
  <si>
    <t>https://x.com/hizlihucum/status/1946173517734519192</t>
  </si>
  <si>
    <t>Ismael Bako</t>
  </si>
  <si>
    <t>Allan Dokossi</t>
  </si>
  <si>
    <t>Ilian Moungalla</t>
  </si>
  <si>
    <t>Enzo Shahrvin</t>
  </si>
  <si>
    <t>Eddie Ekiyor</t>
  </si>
  <si>
    <t>Saint - Quentin</t>
  </si>
  <si>
    <t>Nick Johnson</t>
  </si>
  <si>
    <t>Neftali Difuidi</t>
  </si>
  <si>
    <t>Anthony Barber</t>
  </si>
  <si>
    <t>Giovan Oniangue</t>
  </si>
  <si>
    <t>Loic Schwartz</t>
  </si>
  <si>
    <t>Boris Dallo</t>
  </si>
  <si>
    <t>Clifton Moore</t>
  </si>
  <si>
    <t>Jean - Philippe Dally</t>
  </si>
  <si>
    <t>Liam O'Reilly</t>
  </si>
  <si>
    <t>Lucas Boucaud</t>
  </si>
  <si>
    <t>Mike Davis Jr.</t>
  </si>
  <si>
    <t>Marcus Keene</t>
  </si>
  <si>
    <t>Gabe Brown</t>
  </si>
  <si>
    <t>Nelly Jr. Joseph</t>
  </si>
  <si>
    <t>Abdoulaye Ndoye</t>
  </si>
  <si>
    <t>Ben Gregg</t>
  </si>
  <si>
    <t>Fousseyni Traore</t>
  </si>
  <si>
    <t>Jahel Trefle</t>
  </si>
  <si>
    <t>Jean - Baptiste Maille</t>
  </si>
  <si>
    <t>William Pfister</t>
  </si>
  <si>
    <t>Paris Lee</t>
  </si>
  <si>
    <t>Andre Roberson</t>
  </si>
  <si>
    <t>Admiral Schofield</t>
  </si>
  <si>
    <t>Neal Sako</t>
  </si>
  <si>
    <t>Charles Kahudi</t>
  </si>
  <si>
    <t>Xavier Castaneda</t>
  </si>
  <si>
    <t>Jordan Usher</t>
  </si>
  <si>
    <t>Maksim Salash</t>
  </si>
  <si>
    <t>Hugo Benitez</t>
  </si>
  <si>
    <t>3 month</t>
  </si>
  <si>
    <t>Brandon Paul</t>
  </si>
  <si>
    <t>Jean - Marc Pansa</t>
  </si>
  <si>
    <t>Brandon Jefferson</t>
  </si>
  <si>
    <t>Maxime Courby</t>
  </si>
  <si>
    <t>Wilson Jacques</t>
  </si>
  <si>
    <t>Dusan Ristič</t>
  </si>
  <si>
    <t>Jamel Morris</t>
  </si>
  <si>
    <t>Nemanja Nenadič</t>
  </si>
  <si>
    <t>Olivier Cortale</t>
  </si>
  <si>
    <t>Stefan Smith</t>
  </si>
  <si>
    <t>Cleveland Melvin</t>
  </si>
  <si>
    <t>Chris - Ebou Ndow</t>
  </si>
  <si>
    <t>Aaron Wheeler</t>
  </si>
  <si>
    <t>Mohamed Diawara</t>
  </si>
  <si>
    <t>Darel Poirier</t>
  </si>
  <si>
    <t>Justin Briggs</t>
  </si>
  <si>
    <t>Mohamed Sankhe</t>
  </si>
  <si>
    <t>Chris Sengfelder</t>
  </si>
  <si>
    <t>Ilias Kamardine</t>
  </si>
  <si>
    <t>Phil Booth</t>
  </si>
  <si>
    <t>Joshua Obiesie</t>
  </si>
  <si>
    <t>Glynn Watson Jr.</t>
  </si>
  <si>
    <t>Hunter Cattoor</t>
  </si>
  <si>
    <t>Giorgi Bezhanishvili</t>
  </si>
  <si>
    <t>Thomas Cornely</t>
  </si>
  <si>
    <t>Roman Domon</t>
  </si>
  <si>
    <t>Evan Boisdur</t>
  </si>
  <si>
    <t>Hugo Boumpoutou</t>
  </si>
  <si>
    <t>Romeo Langford</t>
  </si>
  <si>
    <t>Tom Digbeu</t>
  </si>
  <si>
    <t>Jubrile Belo</t>
  </si>
  <si>
    <t>Sam Sessoms</t>
  </si>
  <si>
    <t>Tyler Cheese</t>
  </si>
  <si>
    <t>Ryan Hawkins</t>
  </si>
  <si>
    <t>Joshiko Saibou</t>
  </si>
  <si>
    <t>Jakub Niziol</t>
  </si>
  <si>
    <t>Gaetan Clerc</t>
  </si>
  <si>
    <t>Lucas Hergott</t>
  </si>
  <si>
    <t>Jerome Sanchez</t>
  </si>
  <si>
    <t>Allen Flanigan</t>
  </si>
  <si>
    <t>Tray Buchanan</t>
  </si>
  <si>
    <t>Noah Penda</t>
  </si>
  <si>
    <t>Leopold Delaunay</t>
  </si>
  <si>
    <t>Lois Grasshoff</t>
  </si>
  <si>
    <t>Hugo Mienandi</t>
  </si>
  <si>
    <t>Mathias Van den Beemt</t>
  </si>
  <si>
    <t>Jack Nunge</t>
  </si>
  <si>
    <t>Kristers Zoriks</t>
  </si>
  <si>
    <t>Aaron Levarity</t>
  </si>
  <si>
    <t>DeAndre Pinckney</t>
  </si>
  <si>
    <t>DeOndre Burns</t>
  </si>
  <si>
    <t>Jess Esso Essis</t>
  </si>
  <si>
    <t>C.J. Kelly</t>
  </si>
  <si>
    <t>Idrissa Ba</t>
  </si>
  <si>
    <t>Gaetan Meyniel</t>
  </si>
  <si>
    <t>Trevon Bluiett</t>
  </si>
  <si>
    <t>Souley Boum</t>
  </si>
  <si>
    <t>Alexandre Chassang</t>
  </si>
  <si>
    <t>Tyrell Terry</t>
  </si>
  <si>
    <t>Kenny Baptiste</t>
  </si>
  <si>
    <t>Lucas Beaufort</t>
  </si>
  <si>
    <t>Malik Osborne</t>
  </si>
  <si>
    <t>Alexandre Bouzidi</t>
  </si>
  <si>
    <t>Mouhammadou Jaiteh</t>
  </si>
  <si>
    <t>Vitto Brown</t>
  </si>
  <si>
    <t>Petr Cornelie</t>
  </si>
  <si>
    <t>Furkan Korkmaz</t>
  </si>
  <si>
    <t>Shevon Thompson</t>
  </si>
  <si>
    <t>Chris Clemons</t>
  </si>
  <si>
    <t>Clement Frisch</t>
  </si>
  <si>
    <t>Caleb Walker</t>
  </si>
  <si>
    <t>Isaiah Washington</t>
  </si>
  <si>
    <t>Zacharie Perrin</t>
  </si>
  <si>
    <t>Devin Oliver</t>
  </si>
  <si>
    <t>Matthieu Gauzin</t>
  </si>
  <si>
    <t>Desi Rodriguez</t>
  </si>
  <si>
    <t>Justin Tillman</t>
  </si>
  <si>
    <t>Frank Jackson</t>
  </si>
  <si>
    <t>William Howard</t>
  </si>
  <si>
    <t>Milan Barbitch</t>
  </si>
  <si>
    <t>Nathan Zulemie</t>
  </si>
  <si>
    <t>Mikael Jantunen</t>
  </si>
  <si>
    <t>Bandja Sy</t>
  </si>
  <si>
    <t>Michael Kessens</t>
  </si>
  <si>
    <t>Leon Kratzer</t>
  </si>
  <si>
    <t>Jerome Robinson</t>
  </si>
  <si>
    <t>Nolan Traore</t>
  </si>
  <si>
    <t>Dominik Olejniczak</t>
  </si>
  <si>
    <t>Noah Kirkwood</t>
  </si>
  <si>
    <t>Khalid Moore</t>
  </si>
  <si>
    <t>Marcus Santos - Silva</t>
  </si>
  <si>
    <t>Mohamed Diakite</t>
  </si>
  <si>
    <t>Dominic Artis</t>
  </si>
  <si>
    <t>Malcolm Cazalon</t>
  </si>
  <si>
    <t>Brice Dessert</t>
  </si>
  <si>
    <t>Vitalis Chikoko</t>
  </si>
  <si>
    <t>Amadou Sow</t>
  </si>
  <si>
    <t>Malik Fitts</t>
  </si>
  <si>
    <t>Jeff Roberson</t>
  </si>
  <si>
    <t>Illan Pietrus</t>
  </si>
  <si>
    <t>Maxence Lemoine</t>
  </si>
  <si>
    <t>Marcos Suka - Umu</t>
  </si>
  <si>
    <t>Saint - Vallier</t>
  </si>
  <si>
    <t>Louis Cassier</t>
  </si>
  <si>
    <t>Caen</t>
  </si>
  <si>
    <t>Samuta Avea</t>
  </si>
  <si>
    <t>Babacar Mbye</t>
  </si>
  <si>
    <t>Clement Cavallo</t>
  </si>
  <si>
    <t>Lucas Demahis - Ballou</t>
  </si>
  <si>
    <t>Sean McDermott</t>
  </si>
  <si>
    <t>https://www.pianetabasket.com/legabasket-serie-a/mercato-lba-varese-maxi-offerta-dalla-russia-per-mcdermott-301544</t>
  </si>
  <si>
    <t>https://www.pianetabasket.com/legabasket-serie-a/mercato-lba-varese-va-all-in-su-mcdermott-e-prende-tempo-per-altri-italiani-303428</t>
  </si>
  <si>
    <t>https://www.pianetabasket.com/legabasket-serie-a/mercato-lba-varese-a-un-passo-dall-accordo-con-sean-mcdermott-303578</t>
  </si>
  <si>
    <t>https://x.com/ZakkasGeorge/status/2068678957860372924</t>
  </si>
  <si>
    <t>12mln/3y</t>
  </si>
  <si>
    <t>Matt Costello</t>
  </si>
  <si>
    <t>https://www.lasprovincias.es/deportes/valencia-bc/valencia-basket-ficha-ethan-happ-2026-20240701230247-nt.html</t>
  </si>
  <si>
    <t>https://basketnews.com/news-208479-matthew-costello-moves-to-valencia-after-baskonia-fails-to-match-offer.html</t>
  </si>
  <si>
    <t>Ethan Happ</t>
  </si>
  <si>
    <t>https://www.bhbasket.ba/crnogorci-otkrili-plate-kosarkasa-buducnosti/</t>
  </si>
  <si>
    <t>Coty Clarke</t>
  </si>
  <si>
    <t>Earl Clark</t>
  </si>
  <si>
    <t>Zoran Nikolič</t>
  </si>
  <si>
    <t>James Bell</t>
  </si>
  <si>
    <t>Devin Williams</t>
  </si>
  <si>
    <t>Nemanja Gordič</t>
  </si>
  <si>
    <t>Nikola Ivanovič</t>
  </si>
  <si>
    <t>Orlandina</t>
  </si>
  <si>
    <t>discord</t>
  </si>
  <si>
    <t>Sterling Gibbs</t>
  </si>
  <si>
    <t>Desure Buie</t>
  </si>
  <si>
    <t>https://basketballsphere.com/en/olympiacos-lock-in-georgios-bartzokas-on-e6-million-contract-extension/</t>
  </si>
  <si>
    <t xml:space="preserve">6m / 3y </t>
  </si>
  <si>
    <t>https://www.krepsinis.net/naujiena/rytas-gali-geriau/332734?utm_source=copy&amp;utm_medium=txt&amp;utm_campaign=copy-txt</t>
  </si>
  <si>
    <t>https://basketnews.com/news-245747-olympiacos-offer-to-miller-mcintyre-revealed.html</t>
  </si>
  <si>
    <t>https://basketballsphere.com/en/done-deal-olympiacos-sign-cody-miller-mcintyre-contract-details-revealed/</t>
  </si>
  <si>
    <t>https://www.athletiko.gr/poso-kostizei-synolika-to-deal-makintair-ston-olympiako-87542</t>
  </si>
  <si>
    <t>https://basketballsphere.com/en/barcelona-sends-contract-offer-to-mike-james-full-details-revealed/</t>
  </si>
  <si>
    <t>https://basketballsphere.com/en/the-financial-details-of-vassilis-spanouliss-contract-have-been-revealed/</t>
  </si>
  <si>
    <t>https://basketballsphere.com/en/jasiel-rivero-has-doubled-his-salary-at-crvena-zvezda/</t>
  </si>
  <si>
    <t>2y 2.1 mln</t>
  </si>
  <si>
    <t>https://x.com/webEncestando/status/2071127409970078155</t>
  </si>
  <si>
    <t>3 m / 2y</t>
  </si>
  <si>
    <t>Paris Bass</t>
  </si>
  <si>
    <t>https://x.com/baekpd1983/status/2071138505145930038</t>
  </si>
  <si>
    <t>Kenneth Lofton Jr.</t>
  </si>
  <si>
    <t>Shanghai Sharks</t>
  </si>
  <si>
    <t>https://x.com/baekpd1983/status/2071150169228529698</t>
  </si>
  <si>
    <t>https://x.com/Real_JimmyGreen/status/2071271145324651005</t>
  </si>
  <si>
    <t>https://x.com/KChalvatsiotis/status/2086549753316192434</t>
  </si>
  <si>
    <t>https://x.com/hizlihucum/status/2071141557214851509</t>
  </si>
  <si>
    <t>https://x.com/karusito83/status/2076345663726506040</t>
  </si>
  <si>
    <t>https://x.com/hizlihucum/status/2070379026775241168</t>
  </si>
  <si>
    <t>https://x.com/euroleague_time/status/2070090623839879304</t>
  </si>
  <si>
    <t>5m dollar/2y</t>
  </si>
  <si>
    <t>https://www.israelhayom.co.il/sport/israeli-basketball/article/20747392</t>
  </si>
  <si>
    <t>https://m.sport5.co.il/articles.aspx?FolderID=274&amp;docID=548812</t>
  </si>
  <si>
    <t>5 m/3y</t>
  </si>
  <si>
    <t>https://www.athletiko.gr/ayto-einai-to-symvolaio-toy-fransisko-ston-panathinaiko-92567</t>
  </si>
  <si>
    <t>10.7 M/3y</t>
  </si>
  <si>
    <t>Jilson Bango</t>
  </si>
  <si>
    <t>https://x.com/souvess/status/1885219746007699517</t>
  </si>
  <si>
    <t>https://x.com/1907Bros/status/1885233197870391666</t>
  </si>
  <si>
    <t>https://basketballsphere.com/en/virtus-dusko-ivanovic-carsen-edwards/</t>
  </si>
  <si>
    <t>Tom Bialaszewski</t>
  </si>
  <si>
    <t>https://www.pianetabasket.com/legabasket-serie-a/mercato-lba-tom-bialaszewski-resta-sul-libro-paga-di-varese-308063</t>
  </si>
  <si>
    <t>Marko Simonovič</t>
  </si>
  <si>
    <t>https://www.backdoorpodcast.com/varese-marko-simonovic-mercato-lba/</t>
  </si>
  <si>
    <t>https://x.com/Andrea__Calzoni/status/1818915721838989360</t>
  </si>
  <si>
    <t>https://www.pianetabasket.com/legabasket-serie-a/mercato-nba-nico-mannion-oggi-scade-l-escape-nba-ma-sara-ancora-varese-306923</t>
  </si>
  <si>
    <t>Kaodirichi Akobundu - Ehiogu</t>
  </si>
  <si>
    <t>https://www.pianetabasket.com/europa/mercato-lnb-akobundu-ehiogu-l-ex-varese-fa-la-summer-league-e-poi-va-a-digione-335614</t>
  </si>
  <si>
    <t>Jaylen Hands</t>
  </si>
  <si>
    <t>https://www.pianetabasket.com/legabasket-serie-a/mercato-lba-varese-i-dettagli-dell-accordo-con-jaylen-hands-305235</t>
  </si>
  <si>
    <t>https://sport.888casino.it/blog/stipendi-virtus-bologna</t>
  </si>
  <si>
    <t>John Petrucelli</t>
  </si>
  <si>
    <t>Trapani Shark</t>
  </si>
  <si>
    <t>https://sportando.basketball/giornale-di-sicilia-trapani-shark-ai-dettagli-con-john-petrucelli/</t>
  </si>
  <si>
    <t>1 m / 2y</t>
  </si>
  <si>
    <t>https://www.bresciacanestro.com/2024/06/28/pazza-offerta-di-trapani-per-petrucelli-antonini-pronto-a-pagare-il-buyout-a-brescia-e-un-ingaggio-faraonico-al-giocatore/</t>
  </si>
  <si>
    <t>https://www.bolognabasket.org/news/84086787590/virtus-il-punto-sul-mercato-shengelia-e-abass-i-nodi-principali</t>
  </si>
  <si>
    <t>https://www.bolognabasket.org/news/366212451846/la-virtus-ultima-in-eurolega-dopo-un-mese-di-stagione-la-necessita-di-rimediare</t>
  </si>
  <si>
    <t>Jordan Ford</t>
  </si>
  <si>
    <t>https://www.pokerstarsnews.it/basket/trapani-shark-mercato/103983/</t>
  </si>
  <si>
    <t>Pulkovskis podcast</t>
  </si>
  <si>
    <t>Justinas Furmanavičius</t>
  </si>
  <si>
    <t>2y/200k</t>
  </si>
  <si>
    <t>https://www.gsgazete.com/angel-delgado-galatasaray-ekmasa-transfer-oldu</t>
  </si>
  <si>
    <t>Sasu Salin</t>
  </si>
  <si>
    <t>https://baschet.ro/articole/international/u-bt-cluj-napoca-aduce-clarificari-referitoare-la-remuneratia-oferita-lui-sasu-salin</t>
  </si>
  <si>
    <t>https://www.seiska.fi/kotimaa/yli-300-000-euron-palkka-koripallotahti-sasu-salin-asuu-malagassa-meren-lahella-rahaa-on-jaanyt-saastoon/621468</t>
  </si>
  <si>
    <t>https://www.seiska.fi/kotimaa/sasu-salin-tienaa-miljoonia-koripallokentilla-nain-susijengin-kapteeni-sijoittaa-rahojaan-yksi-hankinta-kutkuttaa/157789</t>
  </si>
  <si>
    <t>https://www.is.fi/koripallo/art-2000010460737.html</t>
  </si>
  <si>
    <t>Espoon Honka</t>
  </si>
  <si>
    <t>07/08</t>
  </si>
  <si>
    <t>https://www.susijengi.com/susijengin-salin-kertoo-uutuuskirjassa-kuinka-vahan-tienasi-uransa-alkutaipeleella/</t>
  </si>
  <si>
    <t>08/09</t>
  </si>
  <si>
    <t>09/10</t>
  </si>
  <si>
    <t>https://rerererarara.net/angel-delgado--173526</t>
  </si>
  <si>
    <t>David McCormack</t>
  </si>
  <si>
    <t>https://eksisozluk.com/entry/169226679</t>
  </si>
  <si>
    <t>Roberts Blumbergs</t>
  </si>
  <si>
    <t>Rihards Lomažs</t>
  </si>
  <si>
    <t>180-190</t>
  </si>
  <si>
    <t>Pedro Martinez</t>
  </si>
  <si>
    <t>https://x.com/Andrea__Calzoni/status/2071857299216343500</t>
  </si>
  <si>
    <t>Metecan Birsen</t>
  </si>
  <si>
    <t>https://x.com/alphancoskunn/status/2071919169986081201</t>
  </si>
  <si>
    <t>https://x.com/FenerHoopsTr/status/2071911133326299187</t>
  </si>
  <si>
    <t>Sehmus Hazer</t>
  </si>
  <si>
    <t>https://x.com/tuysuzilhan/status/2071919012603216211</t>
  </si>
  <si>
    <t>Yigit Arslan</t>
  </si>
  <si>
    <t>https://x.com/TSBasket/status/2063298994915205579</t>
  </si>
  <si>
    <t>Sergio Scariolo</t>
  </si>
  <si>
    <t>https://x.com/Andrea__Calzoni/status/2071965149280313761</t>
  </si>
  <si>
    <t>Chuma Okeke</t>
  </si>
  <si>
    <t>Gabriele Procida</t>
  </si>
  <si>
    <t>David Kramer</t>
  </si>
  <si>
    <t>Tony Nakič</t>
  </si>
  <si>
    <t>twitter</t>
  </si>
  <si>
    <t>https://x.com/Andrea__Calzoni/status/2072396290873274607</t>
  </si>
  <si>
    <t>Leonardo Tote</t>
  </si>
  <si>
    <t>Stefan Nikolič</t>
  </si>
  <si>
    <t>https://www.malpensa24.it/openjobmetis-varese-stefan-nikolic-openjobmetis-varese-sempre-piu-vicina-a-stefan-nikolic/</t>
  </si>
  <si>
    <t>Jackson Rowe</t>
  </si>
  <si>
    <t>https://x.com/Orshkedy/status/2072744936307405172</t>
  </si>
  <si>
    <t>https://x.com/AlexDominguezTW/status/2072703782455054551</t>
  </si>
  <si>
    <t>9.5M euro/5years</t>
  </si>
  <si>
    <t>https://www.sport5.co.il/articles.aspx?FolderID=11840&amp;docID=550546</t>
  </si>
  <si>
    <t>https://www.sport5.co.il/articles.aspx?FolderID=274&amp;docID=552085</t>
  </si>
  <si>
    <t>https://www.pianetabasket.com/legabasket-serie-a/mercato-lba-varese-preso-tyus-e-caccia-al-sostituto-di-nico-mannion-314432</t>
  </si>
  <si>
    <t>https://www.israelhayom.co.il/sport/israeli-basketball/article/21157555</t>
  </si>
  <si>
    <t>Keifer Sykes</t>
  </si>
  <si>
    <t>https://www.pianetabasket.com/legabasket-serie-a/mercato-lba-varese-sykes-verso-l-addio-in-bilico-anche-johnson-323876</t>
  </si>
  <si>
    <t>https://www.pianetabasket.com/legabasket-serie-a/la-prealpina-inadeguata-e-abbandonata-l-ojm-trema-323104</t>
  </si>
  <si>
    <t>Jaron Johnson</t>
  </si>
  <si>
    <t>https://www.pianetabasket.com/legabasket-serie-a/mercato-lba-varese-esclusa-la-pista-laszewski-verso-la-conferma-bradford-324416</t>
  </si>
  <si>
    <t>Olivier Nkamhoua</t>
  </si>
  <si>
    <t>https://www.pianetabasket.com/legabasket-serie-a/mercato-lba-la-prealpina-nkamhoua-ci-dice-che-l-ojm-e-piu-ricca-335279</t>
  </si>
  <si>
    <t>Ike Iroegbu</t>
  </si>
  <si>
    <t>https://www.backdoorpodcast.com/openjobmetis-varese-futuro-dei-6-stranieri/</t>
  </si>
  <si>
    <t xml:space="preserve">Malachi Flynn </t>
  </si>
  <si>
    <t>https://x.com/hizlihucum/status/2066513555772375327</t>
  </si>
  <si>
    <t>https://www.pianetabasket.com/eurocup-fiba-europe-cup/ufficiale-ec-colpaccio-bahcesehir-dalla-nba-preso-malachi-flynn-333603</t>
  </si>
  <si>
    <t>Carlos Stewart</t>
  </si>
  <si>
    <t>https://www.backdoorpodcast.com/varese-carlos-stewart-rinnovo-lba-mercato/</t>
  </si>
  <si>
    <t>https://www.sport5.co.il/articles.aspx?FolderID=274&amp;docID=551863</t>
  </si>
  <si>
    <t>10 mln/ 2.5 season</t>
  </si>
  <si>
    <t>https://www.sport5.co.il/articles.aspx?FolderID=11840&amp;docID=551764</t>
  </si>
  <si>
    <t>Simas Lukošius</t>
  </si>
  <si>
    <t>Urbonas/Lekšas</t>
  </si>
  <si>
    <t>1.2M/3Y</t>
  </si>
  <si>
    <t>Michael Devoe</t>
  </si>
  <si>
    <t>Davide Alviti</t>
  </si>
  <si>
    <t>https://www.pianetabasket.com/legabasket-serie-a/varese-quale-futuro-per-davide-alviti-riflessioni-in-corso-per-club-e-giocatore-357071</t>
  </si>
  <si>
    <t>Nate Renfro</t>
  </si>
  <si>
    <t>https://www.backdoorpodcast.com/varese-conferma-renfro-mercato-lba/</t>
  </si>
  <si>
    <t>https://www.pianetabasket.com/legabasket-serie-a/mercato-lba-varese-e-post-hanlan-culver-favorito-a-randall-294854</t>
  </si>
  <si>
    <t>https://www.pianetabasket.com/legabasket-serie-a/mercato-lba-varese-rifiuta-100k-di-buyout-per-hanlan-dal-cska-mosca-294679</t>
  </si>
  <si>
    <t>Stefan Moody</t>
  </si>
  <si>
    <t>https://www.pianetabasket.com/legabasket-serie-a/mercato-lba-varese-moody-verso-l-addio-si-cerca-il-sostituto-347487</t>
  </si>
  <si>
    <t>Allerik Freeman</t>
  </si>
  <si>
    <t>https://www.pianetabasket.com/legabasket-serie-a/mercato-lba-varese-punta-un-ex-venezia-arriva-allerik-freeman-339796</t>
  </si>
  <si>
    <t>Fabian Causeur</t>
  </si>
  <si>
    <t>https://www.pianetabasket.com/olimpia-milano/mercato-lba-olimpia-milano-e-causuer-i-dettagli-economici-dell-accordo-306503</t>
  </si>
  <si>
    <t>https://www.pianetabasket.com/legabasket-serie-a/lba-prealpina-in-serie-a-si-alza-il-budget-delle-societa-il-dettaglio-307192</t>
  </si>
  <si>
    <t>1M/3y</t>
  </si>
  <si>
    <t>https://sportando.basketball/hunter-hale-varese-offerta-mercato-bcl/</t>
  </si>
  <si>
    <t>https://www.backdoorpodcast.com/varese-hunter-hale-mercato-lba/</t>
  </si>
  <si>
    <t>Skylar Spencer</t>
  </si>
  <si>
    <t>Real Rieti</t>
  </si>
  <si>
    <t>https://www.pianetabasket.com/legabasket-serie-a/mercato-lba-varese-serve-un-altro-lungo-si-cerca-un-altro-spencer-311356</t>
  </si>
  <si>
    <t>https://www.varesenews.it/2026/05/prima-gli-italiani-dallopenjobmetis-unofferta-importante-ad-alviti-in-attesa-che-il-mercato-decolli/2591548/</t>
  </si>
  <si>
    <t>https://www.pianetabasket.com/legabasket-serie-a/varese-strappa-il-si-di-davide-alviti-restera-biancorosso-362997</t>
  </si>
  <si>
    <t>https://www.pianetabasket.com/legabasket-serie-a/trieste-i-retroscena-dell-operazione-sean-mcdermott-cosa-porta-l-ex-varese-322204</t>
  </si>
  <si>
    <t>https://www.pianetabasket.com/legabasket-serie-a/varese-aspetta-mcdowell-white-cresce-la-fiducia-per-il-si</t>
  </si>
  <si>
    <t>Carlos Arroyo</t>
  </si>
  <si>
    <t>https://www.sport5.co.il/articles.aspx?FolderID=274&amp;docID=477657</t>
  </si>
  <si>
    <t>Nikola Vujčič</t>
  </si>
  <si>
    <t>https://www.globes.co.il/news/article.aspx?did=1000274919</t>
  </si>
  <si>
    <t>Maciej Lampe</t>
  </si>
  <si>
    <t>Will Solomon</t>
  </si>
  <si>
    <t>Anthony Parker</t>
  </si>
  <si>
    <t>https://www.ynet.co.il/articles/0,7340,L-3080300,00.html#google_vignette</t>
  </si>
  <si>
    <t>Alan Anderson</t>
  </si>
  <si>
    <t>Marcus Fizer</t>
  </si>
  <si>
    <t>https://www.calcalist.co.il/local/articles/0,7340,L-3371150,00.html</t>
  </si>
  <si>
    <t>Yaniv Green</t>
  </si>
  <si>
    <t xml:space="preserve">	CSK VSS Samara</t>
  </si>
  <si>
    <t>Tal Burstein</t>
  </si>
  <si>
    <t>Fuenlabrada</t>
  </si>
  <si>
    <t>David Bluthenthal</t>
  </si>
  <si>
    <t>Yuval Naimy</t>
  </si>
  <si>
    <t>Doron Perkins</t>
  </si>
  <si>
    <t>Johannes Thiemann</t>
  </si>
  <si>
    <t>https://sportbild.bild.de/sportmix/basketball/pokalsieger-syntainics-mbc-kader-zerfall-droht-beim-basketball-team-67bda84cd1e5ac3c115e34a5</t>
  </si>
  <si>
    <t>Gunma Crane Thunders</t>
  </si>
  <si>
    <t>https://www.sport5.co.il/articles.aspx?FolderID=11840&amp;docID=501214</t>
  </si>
  <si>
    <t>Tim Frazier</t>
  </si>
  <si>
    <t>Ironi Nahariyah</t>
  </si>
  <si>
    <t>https://sport1.maariv.co.il/israeli-basketball/winner-basketball-league/article/1887171/</t>
  </si>
  <si>
    <t>https://x.com/Emre_kilic54/status/2074864202351546447</t>
  </si>
  <si>
    <t>Dayvion McKnight</t>
  </si>
  <si>
    <t>discord rumours</t>
  </si>
  <si>
    <t>https://www.sport5.co.il/articles.aspx?FolderID=11840&amp;docID=551887</t>
  </si>
  <si>
    <t>https://x.com/VaggelisIoanno2/status/2076055366765248638</t>
  </si>
  <si>
    <t>https://www.pianetabasket.com/olimpia-milano/olimpia-milano-ufficiale-il-colpo-moses-wright-tutti-i-dettagli</t>
  </si>
  <si>
    <t>https://x.com/VaggelisIoanno2/status/2075645190883135804</t>
  </si>
  <si>
    <t>https://www.athletiko.gr/to-deal-olympiakoy-papanikolaoy-kai-to-depth-chart-stoys-forgoyornt-89244</t>
  </si>
  <si>
    <t>Chris Duarte</t>
  </si>
  <si>
    <t>https://x.com/webEncestando/status/2075499169284780529</t>
  </si>
  <si>
    <t>https://www.sport5.co.il/articles.aspx?FolderID=405&amp;docID=542589</t>
  </si>
  <si>
    <t>https://www.sport5.co.il/articles.aspx?FolderID=274&amp;docID=551605</t>
  </si>
  <si>
    <t>https://x.com/hizlihucum/status/2076295593673072911</t>
  </si>
  <si>
    <t>https://www.sport5.co.il/articles.aspx?FolderID=12045&amp;docID=552014</t>
  </si>
  <si>
    <t>Omri Casspi</t>
  </si>
  <si>
    <t>https://x.com/DahanItan/status/2072696204454936983</t>
  </si>
  <si>
    <t>Zach Leday</t>
  </si>
  <si>
    <t>https://www.sport5.co.il/articles.aspx?FolderID=274&amp;docID=552040</t>
  </si>
  <si>
    <t>Zane Waterman</t>
  </si>
  <si>
    <t>https://sportsrabbi.com/%D7%A2%D7%95%D7%A9%D7%99%D7%9D-%D7%A1%D7%93%D7%A8-%D7%91%D7%91%D7%9C%D7%90%D7%92%D7%9F-%D7%9B%D7%9C-%D7%94%D7%94%D7%A2%D7%91%D7%A8%D7%95%D7%AA-%D7%94%D7%91%D7%95%D7%9C%D7%98%D7%95%D7%AA-%D7%91%D7%90/</t>
  </si>
  <si>
    <t>https://www.athletiko.gr/poso-kostizei-synolika-ston-olympiako-to-deal-me-ton-montero-88142</t>
  </si>
  <si>
    <t>https://x.com/Andrea__Calzoni/status/2075683268385456386</t>
  </si>
  <si>
    <t>9M / 3 Y</t>
  </si>
  <si>
    <t>https://www.sport5.co.il/articles.aspx?FolderID=274&amp;docID=551758</t>
  </si>
  <si>
    <t>Martynas Pacevičius</t>
  </si>
  <si>
    <t>Karlis Šilinš</t>
  </si>
  <si>
    <t>Aurimas Majauskas</t>
  </si>
  <si>
    <t>Mario Saint - Supery</t>
  </si>
  <si>
    <t>https://x.com/karusito83/status/2076260890425328006</t>
  </si>
  <si>
    <t>https://x.com/karusito83/status/2076201077280567404</t>
  </si>
  <si>
    <t>https://x.com/MattNorlander/status/2076003064788754821</t>
  </si>
  <si>
    <t>https://x.com/hizlihucum/status/2076552202357989674</t>
  </si>
  <si>
    <t>Dallas Maverics</t>
  </si>
  <si>
    <t>https://x.com/TheSteinLine/status/2074508878461436050</t>
  </si>
  <si>
    <t>6m/2y gross</t>
  </si>
  <si>
    <t>https://x.com/Andrea__Calzoni/status/2074207066755895633</t>
  </si>
  <si>
    <t>https://x.com/Andrea__Calzoni/status/2076011331845570882</t>
  </si>
  <si>
    <t>https://x.com/ShamsCharania/status/2076397365372866908</t>
  </si>
  <si>
    <t>https://x.com/hizlihucum/status/1995823169639248218</t>
  </si>
  <si>
    <t>https://x.com/hizlihucum/status/1946180516899586055</t>
  </si>
  <si>
    <t>Ioannis Kouzeloglou</t>
  </si>
  <si>
    <t>https://x.com/hizlihucum/status/1954533469595287877</t>
  </si>
  <si>
    <t>https://www.sport24.gr/basket/euroleague-basketball/maik-tzeims-oi-leptomereies-tou-simvolaiou-tou-me-tin-efes-simfona-me-to-basketnews/</t>
  </si>
  <si>
    <t>https://www.sport5.co.il/articles.aspx?FolderID=274&amp;docID=548435</t>
  </si>
  <si>
    <t>https://sports.walla.co.il/item/3850202</t>
  </si>
  <si>
    <t>https://x.com/Andrea__Calzoni/status/2076215103003717927</t>
  </si>
  <si>
    <t>Amir Coffey</t>
  </si>
  <si>
    <t>https://www.sport5.co.il/articles.aspx?FolderID=274&amp;docID=551659</t>
  </si>
  <si>
    <t>https://sport1.maariv.co.il/israeli-basketball/winner-basketball-league/article/1894086/</t>
  </si>
  <si>
    <t>6.5M/3y</t>
  </si>
  <si>
    <t>https://basketballsphere.com/en/panathinaikos-salaries-2026-27/</t>
  </si>
  <si>
    <t>https://x.com/mstef80/status/2069850454993834163</t>
  </si>
  <si>
    <t>2+1 / 6 million total</t>
  </si>
  <si>
    <t>https://basketnews.com/news-250552-moustapha-falls-salary-at-panathinaikos-revealed.html</t>
  </si>
  <si>
    <t>Brancou Badio</t>
  </si>
  <si>
    <t>https://x.com/Andrea__Calzoni/status/2070455895901773995</t>
  </si>
  <si>
    <t>3y /5 m</t>
  </si>
  <si>
    <t>https://x.com/hoopsfthoughtgr/status/2070585410338607401</t>
  </si>
  <si>
    <t>Lefteris Mantzoukas</t>
  </si>
  <si>
    <t>https://www.sport5.co.il/articles.aspx?FolderID=405&amp;docID=551781</t>
  </si>
  <si>
    <t>https://x.com/hizlihucum/status/2051904797561807098</t>
  </si>
  <si>
    <t>https://sportklub.n1info.rs/kosarka/euroleague/kris-dzons-zvezda-transfer-ugovor-micic-madar/</t>
  </si>
  <si>
    <t>https://www.pianetabasket.com/mercato/varese-attende-evbuowman-sondaggio-per-newman-ii</t>
  </si>
  <si>
    <t>https://x.com/AlessandroMagg4/status/2037890087019516253</t>
  </si>
  <si>
    <t>https://www.sport5.co.il/articles.aspx?FolderID=274&amp;docID=552785</t>
  </si>
  <si>
    <t>https://www.pianetabasket.com/euroleague/il-maccabi-tel-aviv-stava-per-soffiare-nebo-al-barca-e-aprire-un-caso-come-wright</t>
  </si>
  <si>
    <t>https://x.com/souvess/status/2077100403531956263</t>
  </si>
  <si>
    <t>https://x.com/MalCulerisme/status/2077350164847616091</t>
  </si>
  <si>
    <t>Garrison Mathews</t>
  </si>
  <si>
    <t>https://x.com/Andrea__Calzoni/status/2077370930230133071</t>
  </si>
  <si>
    <t>Jonas Valančiūnas</t>
  </si>
  <si>
    <t>https://basketnews.com/news-251564-jonas-valanciunas-return-europe-zalgiris-deal-contract.html</t>
  </si>
  <si>
    <t>https://www.athletiko.gr/ayto-einai-to-neo-symvolaio-toy-choyantso-ernagkometh-ston-panathinaiko-90226</t>
  </si>
  <si>
    <t>10 M/4y</t>
  </si>
  <si>
    <t>Jeremiah Robinson - Earl</t>
  </si>
  <si>
    <t>https://www.athletiko.gr/krisimo-48oro-gia-noya-kai-rompison-erl-stin-teliki-eytheia-oi-dyo-ypotheseis-gia-ton-ari-89861</t>
  </si>
  <si>
    <t>https://www.athletiko.gr/to-chryso-deal-toy-ari-me-ton-rompinson-erl-oi-oroi-toy-symvolaioy-90276</t>
  </si>
  <si>
    <t>4M / 2y</t>
  </si>
  <si>
    <t>https://www.athletiko.gr/epesan-oi-ypografes-gia-toliopoylo-kai-episima-paiktis-toy-ari-90759</t>
  </si>
  <si>
    <t>https://www.athletiko.gr/to-all-in-toy-toliopoyloy-gia-ton-ari-evale-400-000-eyro-apo-tin-tsepi-toy-gia-na-epistrepsei-90286</t>
  </si>
  <si>
    <t>https://www.athletiko.gr/ta-chrimata-poy-vgazei-o-panathinaikos-apo-toliopoylo-kai-osman-90327</t>
  </si>
  <si>
    <t>https://x.com/Andrea__Calzoni/status/2078075444860002652</t>
  </si>
  <si>
    <t>Rayshaun Hammonds</t>
  </si>
  <si>
    <t>Ulsan Hyundai Mobis</t>
  </si>
  <si>
    <t>https://x.com/baekpd1983/status/2069012468333228124</t>
  </si>
  <si>
    <t>Scottie James</t>
  </si>
  <si>
    <t>Goyang Sono Skygunners</t>
  </si>
  <si>
    <t>https://x.com/baekpd1983/status/2087036918940979263</t>
  </si>
  <si>
    <t>Seoul Samsung Thunders</t>
  </si>
  <si>
    <t>Gaige Prim</t>
  </si>
  <si>
    <t>Ulsan Hyundai Mobis Phoebus</t>
  </si>
  <si>
    <t>Wonju DB Promy</t>
  </si>
  <si>
    <t>John Mooney</t>
  </si>
  <si>
    <t>Anyang Jung Kwan Red Boosters</t>
  </si>
  <si>
    <t>https://x.com/baekpd1983/status/2069283852850205101</t>
  </si>
  <si>
    <t>https://x.com/baekpd1983/status/2065269640323117058</t>
  </si>
  <si>
    <t>Shawn Long</t>
  </si>
  <si>
    <t>Busan KCC Egis</t>
  </si>
  <si>
    <t>Keve Aluma</t>
  </si>
  <si>
    <t>Daegu KOGAS Pegasus</t>
  </si>
  <si>
    <t>Kerem Kanter</t>
  </si>
  <si>
    <t>https://x.com/baekpd1983/status/2060902536975208601</t>
  </si>
  <si>
    <t>Song Kyo - chang</t>
  </si>
  <si>
    <t>Osaka Evessa</t>
  </si>
  <si>
    <t>https://x.com/baekpd1983/status/2070411232876863606</t>
  </si>
  <si>
    <t>https://x.com/baekpd1983/status/2070442096130163031</t>
  </si>
  <si>
    <t>Johnny O'Bryant III</t>
  </si>
  <si>
    <t>https://x.com/baekpd1983/status/2072212539300323456</t>
  </si>
  <si>
    <t>Byeon Joon - hyeong</t>
  </si>
  <si>
    <t>https://x.com/baekpd1983/status/2072245665166762061</t>
  </si>
  <si>
    <t>Heo Hoon</t>
  </si>
  <si>
    <t>An Young - jun</t>
  </si>
  <si>
    <t>Seoul SK Knights</t>
  </si>
  <si>
    <t>Yang Hong - seok</t>
  </si>
  <si>
    <t>Changwon LG Sakers</t>
  </si>
  <si>
    <t>Lee Jeong - Hyeon</t>
  </si>
  <si>
    <t>Archie Goodwin</t>
  </si>
  <si>
    <t>https://x.com/baekpd1983/status/2070821656130699341</t>
  </si>
  <si>
    <t>Jung Hee - hyeon</t>
  </si>
  <si>
    <t>Shanan United</t>
  </si>
  <si>
    <t>https://x.com/baekpd1983/status/2075472394144411895</t>
  </si>
  <si>
    <t>Gifu Swoops</t>
  </si>
  <si>
    <t>Trey Porter</t>
  </si>
  <si>
    <t>https://x.com/baekpd1983/status/2077937367072284872</t>
  </si>
  <si>
    <t>https://www.sport5.co.il/articles.aspx?FolderID=274&amp;docID=552256</t>
  </si>
  <si>
    <t>https://mozzartsport.com/kosarka/vesti/zvezda-sprema-preko-1500000-dolara-za-dzonatana-motlija/548967</t>
  </si>
  <si>
    <t>https://www.sport5.co.il/articles.aspx?FolderID=274&amp;docID=552420</t>
  </si>
  <si>
    <t>Isaiah Roby</t>
  </si>
  <si>
    <t>https://www.pianetabasket.com/legabasket-serie-a/varese-i-retroscena-delloperazione-roby-contratto-da-250mila-dollari</t>
  </si>
  <si>
    <t>Jure Planinič</t>
  </si>
  <si>
    <t>https://www.abendblatt.de/sport/hamburg-towers/article412486224/basketball-bundesliga-transfermarkt-syntainics-mbc-weissenfels-neuer-center-deutscher.html</t>
  </si>
  <si>
    <t>David Roddy</t>
  </si>
  <si>
    <t>https://www.sport5.co.il/articles.aspx?FolderID=274&amp;docID=553851</t>
  </si>
  <si>
    <t>https://www.israelhayom.co.il/sport/israeli-basketball/article/21025541</t>
  </si>
  <si>
    <t>https://sports.walla.co.il/item/3855583</t>
  </si>
  <si>
    <t>Trent Frazier</t>
  </si>
  <si>
    <t>https://www.pianetabasket.com/legabasket-serie-a/virtus-bologna-in-chiusura-per-trent-frazier-dettagli-e-retroscena-delloperazione</t>
  </si>
  <si>
    <t>https://www.pianetabasket.com/legabasket-serie-a/repubblica-virtus-bologna-trent-frazier-in-dirittura-darrivo</t>
  </si>
  <si>
    <t>https://www.pianetabasket.com/euroleague/alessandro-pajola-quasi-1mln-a-stagione-al-partizan-belgrado</t>
  </si>
  <si>
    <t>https://telesport.rs/2026/07/21/saznajemo-pajola-u-humskoj-ovo-su-detalji-i-dalji-planovi/</t>
  </si>
  <si>
    <t>https://www.pianetabasket.com/euroleague/futuro-gabriele-procida-il-real-madrid-cerca-un-prestito-le-ultime</t>
  </si>
  <si>
    <t>https://x.com/TelesportRS/status/2080276565292650938</t>
  </si>
  <si>
    <t>Jacob Toppin</t>
  </si>
  <si>
    <t>https://www.sport5.co.il/articles.aspx?FolderID=274&amp;docID=553970</t>
  </si>
  <si>
    <t>Cedric Henderson</t>
  </si>
  <si>
    <t>podcast Pulkovskis</t>
  </si>
  <si>
    <t>https://www.sport5.co.il/articles.aspx?FolderID=274&amp;docID=554667</t>
  </si>
  <si>
    <t>Greg Oden</t>
  </si>
  <si>
    <t>Jiangsu Dragons</t>
  </si>
  <si>
    <t>https://x.com/yonann/status/2082446038590472481</t>
  </si>
  <si>
    <t>https://sports.walla.co.il/item/3856675</t>
  </si>
  <si>
    <t>https://www.sport5.co.il/articles.aspx?FolderID=274&amp;docID=554480</t>
  </si>
  <si>
    <t>https://www.sport5.co.il/articles.aspx?FolderID=11840&amp;docID=554380</t>
  </si>
  <si>
    <t>Johnny Juzang</t>
  </si>
  <si>
    <t>https://x.com/Andrea__Calzoni/status/2081757714988888442</t>
  </si>
  <si>
    <t>Jahmi'us Ramsey</t>
  </si>
  <si>
    <t>https://www.pianetabasket.com/mercato/napoli-basket-ce-il-colpo-jahmius-ramsey</t>
  </si>
  <si>
    <t>Mamadi Diakite</t>
  </si>
  <si>
    <t>https://x.com/hizlihucum/status/2050547543122038981</t>
  </si>
  <si>
    <t>3.5/2y</t>
  </si>
  <si>
    <t>Gytis Nemeikša</t>
  </si>
  <si>
    <t>3y/200k</t>
  </si>
  <si>
    <t>Ismael Kamagate</t>
  </si>
  <si>
    <t>https://sportando.basketball/ismael-kamagate-varese-contratto-2-1-500mila-euro/</t>
  </si>
  <si>
    <t>Dyshawn Pierre</t>
  </si>
  <si>
    <t>https://x.com/DorukGolbasi/status/2081771697204584559</t>
  </si>
  <si>
    <t>https://www.pianetabasket.com/mercato/varese-i-retroscena-del-colpo-kamagate-affare-da-mezzo-milione</t>
  </si>
  <si>
    <t>Keaton Wallace</t>
  </si>
  <si>
    <t>https://www.israelhayom.co.il/sport/israeli-basketball/article/21164146</t>
  </si>
  <si>
    <t>https://www.sport5.co.il/articles.aspx?FolderID=274&amp;docID=555568</t>
  </si>
  <si>
    <t>https://www.sport5.co.il/articles.aspx?FolderID=274&amp;docID=555290</t>
  </si>
  <si>
    <t>John DiBartolomeo</t>
  </si>
  <si>
    <t>https://www.sport5.co.il/articles.aspx?FolderID=274&amp;docID=555156</t>
  </si>
  <si>
    <t>Ish Wainright</t>
  </si>
  <si>
    <t>Eugene German</t>
  </si>
  <si>
    <t>Devontae Cacok</t>
  </si>
  <si>
    <t>Jaleen Smith</t>
  </si>
  <si>
    <t>Dušan Miletič</t>
  </si>
  <si>
    <t>Eitan Borg</t>
  </si>
  <si>
    <t>Oded Kattash</t>
  </si>
  <si>
    <t>https://www.israelhayom.co.il/sport/israeli-basketball/article/21131631</t>
  </si>
  <si>
    <t>Mike Green</t>
  </si>
  <si>
    <t>Ebi Ere</t>
  </si>
  <si>
    <t>Venezuela</t>
  </si>
  <si>
    <t>Guaros de Lara</t>
  </si>
  <si>
    <t>https://assets.fiba.basketball/image/upload/v1784723704/oqmqaz0qzimw6fjs9ban.pdf</t>
  </si>
  <si>
    <t>https://x.com/EskiAcikOnline/status/2085414764638085549</t>
  </si>
  <si>
    <t>https://assets.fiba.basketball/image/upload/v1784017170/lwvxlwa6uq7ckxgddeos.pdf</t>
  </si>
  <si>
    <t>https://assets.fiba.basketball/image/upload/v1784030104/axs5kki9uotohrbzvoqs.pdf</t>
  </si>
  <si>
    <t>https://assets.fiba.basketball/image/upload/v1784016448/gxcrfsjp7jw6sii93kwi.pdf</t>
  </si>
  <si>
    <t>https://assets.fiba.basketball/image/upload/v1784030179/ejrw7zt2q6az4zokylmt.pdf</t>
  </si>
  <si>
    <t>https://assets.fiba.basketball/image/upload/v1784029976/y6cssb4baumd8mjhyo8q.pdf</t>
  </si>
  <si>
    <t>Dimitrios Kaklamanakis</t>
  </si>
  <si>
    <t>https://assets.fiba.basketball/image/upload/v1726053571/Corporate%20Images/HQ%20Departments/Legal/BAT%20Awards/1667-21.pdf</t>
  </si>
  <si>
    <t>Vince Hunter</t>
  </si>
  <si>
    <t>https://assets.fiba.basketball/image/upload/v1726050344/Corporate%20Images/HQ%20Departments/Legal/BAT%20Awards/1573-20.pdf</t>
  </si>
  <si>
    <t>https://assets.fiba.basketball/image/upload/v1726050757/Corporate%20Images/HQ%20Departments/Legal/BAT%20Awards/1576-20.pdf</t>
  </si>
  <si>
    <t>Luca Banchi</t>
  </si>
  <si>
    <t>https://assets.fiba.basketball/image/upload/v1726051525/Corporate%20Images/HQ%20Departments/Legal/BAT%20Awards/1532-20.pdf</t>
  </si>
  <si>
    <t>Roko Leni Ukič</t>
  </si>
  <si>
    <t>https://assets.fiba.basketball/image/upload/v1726053297/Corporate%20Images/HQ%20Departments/Legal/BAT%20Awards/1147-18.pdf</t>
  </si>
  <si>
    <t>Jehyve Floyd</t>
  </si>
  <si>
    <t>https://assets.fiba.basketball/image/upload/v1784029822/vea0cnmlheotkzcqky7j.pdf</t>
  </si>
  <si>
    <t>Shahar Amir</t>
  </si>
  <si>
    <t xml:space="preserve"> Brandon Johns</t>
  </si>
  <si>
    <t>Claudell Harris</t>
  </si>
  <si>
    <t>Rivaldo Soares</t>
  </si>
  <si>
    <t>Andrew Thelwell</t>
  </si>
  <si>
    <t>https://www.athletiko.gr/poso-tha-stoichisei-synolika-i-metagrafi-toy-entiai-ston-olympiako-oi-oroi-tis-symfonias-95033</t>
  </si>
  <si>
    <t>https://x.com/AlessandroMagg4/status/2082563440049054004</t>
  </si>
  <si>
    <t>Nick Weiler - Babb</t>
  </si>
  <si>
    <t>https://www.sport5.co.il/articles.aspx?FolderID=405&amp;docID=554814</t>
  </si>
  <si>
    <t>Timothe Luwawu - Cabarrot</t>
  </si>
  <si>
    <t>Youssoupha Fall</t>
  </si>
  <si>
    <t>Mike Scott</t>
  </si>
  <si>
    <t>John Egbunu</t>
  </si>
  <si>
    <t>Rion Brown</t>
  </si>
  <si>
    <t>Tobin Carberry</t>
  </si>
  <si>
    <t>Rashard Kelly</t>
  </si>
  <si>
    <t>Robert Woodard II</t>
  </si>
  <si>
    <t>Josh Hawley</t>
  </si>
  <si>
    <t>Timothe Vergiat</t>
  </si>
  <si>
    <t>Thomas Hieu - Courtois</t>
  </si>
  <si>
    <t>Maxime Sconard</t>
  </si>
  <si>
    <t>Alen Omič</t>
  </si>
  <si>
    <t>Jordan Theodore</t>
  </si>
  <si>
    <t>Amar Gegič</t>
  </si>
  <si>
    <t>Josh Carlton</t>
  </si>
  <si>
    <t>Grant Sherfield</t>
  </si>
  <si>
    <t>Fabian White</t>
  </si>
  <si>
    <t>Tevin Brown</t>
  </si>
  <si>
    <t>Paulius Sorokas</t>
  </si>
  <si>
    <t>Abdoulaye Loum</t>
  </si>
  <si>
    <t>Ylan Esso - Essis</t>
  </si>
  <si>
    <t>Zaccharie Risacher</t>
  </si>
  <si>
    <t>Bryce Brown</t>
  </si>
  <si>
    <t>JeQuan Lewis</t>
  </si>
  <si>
    <t>Godwin Omenaka</t>
  </si>
  <si>
    <t>E. J. Rowland</t>
  </si>
  <si>
    <t>Aleksej Nikolič</t>
  </si>
  <si>
    <t>Demonte Harper</t>
  </si>
  <si>
    <t>Ryan Mikesell</t>
  </si>
  <si>
    <t>Jermaine Love</t>
  </si>
  <si>
    <t>Dirk Williams</t>
  </si>
  <si>
    <t>Mattias Markusson</t>
  </si>
  <si>
    <t>Fos Provence</t>
  </si>
  <si>
    <t>Einaras Tubutis</t>
  </si>
  <si>
    <t>Matthieu Missonnier</t>
  </si>
  <si>
    <t>Craig Randall II</t>
  </si>
  <si>
    <t>Tidjane Salaun</t>
  </si>
  <si>
    <t>Gerry Blakes</t>
  </si>
  <si>
    <t>Vojtech Hruban</t>
  </si>
  <si>
    <t>Emmanuel Nzekwesi</t>
  </si>
  <si>
    <t>Jalen Jones</t>
  </si>
  <si>
    <t>Kim Tillie</t>
  </si>
  <si>
    <t>Cameron Hunt</t>
  </si>
  <si>
    <t>Leyton Hammonds</t>
  </si>
  <si>
    <t>Aleksandar Lazič</t>
  </si>
  <si>
    <t>Jacques Alingue</t>
  </si>
  <si>
    <t>Dylan Affo Mama</t>
  </si>
  <si>
    <t>Jonathan Rousselle</t>
  </si>
  <si>
    <t>Mathys Kangudia</t>
  </si>
  <si>
    <t>Loren Jackson</t>
  </si>
  <si>
    <t>Landry Nnoko</t>
  </si>
  <si>
    <t>Kris Clyburn</t>
  </si>
  <si>
    <t>Hans Vanwijn</t>
  </si>
  <si>
    <t>DeVante' Jones</t>
  </si>
  <si>
    <t>Nate Mason</t>
  </si>
  <si>
    <t>Tyran de Lattibeaudiere</t>
  </si>
  <si>
    <t>Tours</t>
  </si>
  <si>
    <t>D'Shawn Schwartz</t>
  </si>
  <si>
    <t>Matt Lewis</t>
  </si>
  <si>
    <t>Selom Mawugbe</t>
  </si>
  <si>
    <t>Raphael Djasrambaye</t>
  </si>
  <si>
    <t>Anthony Roberts</t>
  </si>
  <si>
    <t>Desi Washington</t>
  </si>
  <si>
    <t>Robert Turner</t>
  </si>
  <si>
    <t>Benoit Mangin</t>
  </si>
  <si>
    <t>Brison Gresham</t>
  </si>
  <si>
    <t>Charles - Noe Abouo</t>
  </si>
  <si>
    <t>Cameron Valcy</t>
  </si>
  <si>
    <t>Danilo Nikolič</t>
  </si>
  <si>
    <t>Tyree Appleby</t>
  </si>
  <si>
    <t>Kameron McGusty</t>
  </si>
  <si>
    <t>Ike Udanoh</t>
  </si>
  <si>
    <t>Simisola Shittu</t>
  </si>
  <si>
    <t>Lucas Ugolin</t>
  </si>
  <si>
    <t>Kenny Goins</t>
  </si>
  <si>
    <t>Mathieu Wojciechowski</t>
  </si>
  <si>
    <t>Kemba Walker</t>
  </si>
  <si>
    <t>Tyren Johnson</t>
  </si>
  <si>
    <t>Jordan Bowden</t>
  </si>
  <si>
    <t>Meredis Houmounou</t>
  </si>
  <si>
    <t>Ike Nwamu</t>
  </si>
  <si>
    <t>Matt Mobley</t>
  </si>
  <si>
    <t>Luka Cerovina</t>
  </si>
  <si>
    <t>Guillaume Grotzinger</t>
  </si>
  <si>
    <t>Ibrahima Fall Faye</t>
  </si>
  <si>
    <t>Bastien Pinault</t>
  </si>
  <si>
    <t>Hamady Ndiaye</t>
  </si>
  <si>
    <t>Justin Simon</t>
  </si>
  <si>
    <t>Yannis Morin</t>
  </si>
  <si>
    <t>Tavian Dunn - Martin</t>
  </si>
  <si>
    <t>D.J. Cooper</t>
  </si>
  <si>
    <t>Lewis Sullivan</t>
  </si>
  <si>
    <t>Nuni Omot</t>
  </si>
  <si>
    <t>Kellan Grady</t>
  </si>
  <si>
    <t>Antoine Diot</t>
  </si>
  <si>
    <t>Kadri Moendadze</t>
  </si>
  <si>
    <t>Cyril Langevine</t>
  </si>
  <si>
    <t>E.J. Anosike</t>
  </si>
  <si>
    <t>Theo Pierre - Justin</t>
  </si>
  <si>
    <t>Nate Johnson</t>
  </si>
  <si>
    <t>Tyger Campbell</t>
  </si>
  <si>
    <t>M.J. Walker</t>
  </si>
  <si>
    <t>Tyrus McGee</t>
  </si>
  <si>
    <t>Quinton Hooker</t>
  </si>
  <si>
    <t>Chaundee Brown</t>
  </si>
  <si>
    <t>Dan Akin</t>
  </si>
  <si>
    <t>Junior Etou</t>
  </si>
  <si>
    <t>Nakye Sanders</t>
  </si>
  <si>
    <t>Romuald Morency</t>
  </si>
  <si>
    <t>Sofiane Briki</t>
  </si>
  <si>
    <t>Georgios Tsalmpouris</t>
  </si>
  <si>
    <t>https://www.athletiko.gr/to-deal-tis-aek-me-ton-tsalmpoyri-kai-i-katastasi-toy-ellina-senter-97503</t>
  </si>
  <si>
    <t>https://www.athletiko.gr/ayto-einai-to-deal-tis-aek-me-ton-nterik-oyiliams-95850</t>
  </si>
  <si>
    <t>1+1/ 1.35 M</t>
  </si>
  <si>
    <t>https://www.athletiko.gr/ayto-einai-to-deal-tis-aek-me-ton-lekavitsioys-95703</t>
  </si>
  <si>
    <t>550k / 2 y</t>
  </si>
  <si>
    <t>https://www.athletiko.gr/ayto-einai-to-deal-tis-aek-me-ton-nolei-88888</t>
  </si>
  <si>
    <t>https://www.athletiko.gr/ayto-einai-to-deal-tis-aek-me-ton-neli-tzoynior-tzozef-ypervasi-me-ypografi-aggelopoyloy-86593</t>
  </si>
  <si>
    <t>1+1/ 1.2 M</t>
  </si>
  <si>
    <t>Frank Bartley</t>
  </si>
  <si>
    <t>https://www.gazzetta.gr/basketball/basket-league/2563857/aek-proponithike-o-mpartlei-ta-dedomena-me-symbolaio-toy</t>
  </si>
  <si>
    <t>Offer  to renew 350 +500</t>
  </si>
  <si>
    <t>Vassilis Charalampopoulos</t>
  </si>
  <si>
    <t>https://www.athletiko.gr/ayto-einai-to-deal-tis-aek-me-ton-charalampopoylo-22397</t>
  </si>
  <si>
    <t>https://realolimpiamilano.com/2026/08/26/top-10-stipendi-olimpia-milano-era-ettore-messina/2/</t>
  </si>
  <si>
    <t>https://www.eurohoops.net/en/eurocup/1743400/hapoel-tel-aviv-brings-itoudis-with-record-46m-deal/</t>
  </si>
  <si>
    <t>https://x.com/baekpd1983/status/2091790898107736397</t>
  </si>
  <si>
    <t>https://x.com/YehudaSob/status/2090037653685117263</t>
  </si>
  <si>
    <t>Ethan Thompson</t>
  </si>
  <si>
    <t>https://telesport.rs/2026/08/16/tompson-je-crno-beli-poznata-plata/</t>
  </si>
  <si>
    <t>800+950</t>
  </si>
  <si>
    <t>Henri Drell</t>
  </si>
  <si>
    <t>Markel Brown</t>
  </si>
  <si>
    <t>https://www.pianetabasket.com/mercato/markel-brown-ci-prova-napoli-da-trieste-richiesta-di-200mila-di-buyout</t>
  </si>
  <si>
    <t xml:space="preserve"> David Lighty</t>
  </si>
  <si>
    <t>Yves Pons</t>
  </si>
  <si>
    <t>Anthony Polite</t>
  </si>
  <si>
    <t>Adrien Moerman</t>
  </si>
  <si>
    <t>Aamir Simms</t>
  </si>
  <si>
    <t>Jeremy Evans</t>
  </si>
  <si>
    <t>Alfonso Plummer</t>
  </si>
  <si>
    <t>Jaime Smith</t>
  </si>
  <si>
    <t>Keandre Cook</t>
  </si>
  <si>
    <t>Paul Rigot</t>
  </si>
  <si>
    <t>Robert Johnson</t>
  </si>
  <si>
    <t>Victor Wembanyama</t>
  </si>
  <si>
    <t>Tremont Waters</t>
  </si>
  <si>
    <t>Justin James</t>
  </si>
  <si>
    <t>Bilal Coulibaly</t>
  </si>
  <si>
    <t>Aaron Henry</t>
  </si>
  <si>
    <t>Anžejs Pasečniks</t>
  </si>
  <si>
    <t>Steeve Ho You Fat</t>
  </si>
  <si>
    <t>Bourg - en  - Bresse</t>
  </si>
  <si>
    <t>https://x.com/karusito83/status/2100181727054283203</t>
  </si>
  <si>
    <t>https://www.athletiko.gr/i-aek-pire-ton-larentzaki-me-to-megalytero-deal-epi-epochis-aggelopoyloy-100530</t>
  </si>
  <si>
    <t>2.5 M/3y with bonuses</t>
  </si>
  <si>
    <t>Advisor</t>
  </si>
  <si>
    <t>Francesco Totti</t>
  </si>
  <si>
    <t>Maxima Roma</t>
  </si>
  <si>
    <t>https://www.pianetabasket.com/legabasket-serie-a/francesco-totti-alla-maxima-roma-i-dettagli-dellaccordo-oltre-1-milione-a-stagione</t>
  </si>
  <si>
    <t>https://www.athletiko.gr/ayto-einai-to-deal-tis-aek-me-ton-toma-ertel-102548</t>
  </si>
  <si>
    <t>https://www.gazzetta.gr/basketball/basket-league/2570262/aek-ayto-einai-symbolaio-toy-ertel</t>
  </si>
  <si>
    <t>https://www.sport5.co.il/articles.aspx?FolderID=274&amp;docID=560480</t>
  </si>
  <si>
    <t>https://www.athletiko.gr/oi-leptomereies-tis-symfonias-toy-paok-me-ton-motiegioynas-106018</t>
  </si>
  <si>
    <t>https://www.gazzetta.gr/basketball/basket-league/2556627/astronaytis-me-mistho-logisti</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</si>
</sst>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 [$€-427]"/>
    <numFmt numFmtId="165" formatCode="m/d"/>
    <numFmt numFmtId="166" formatCode="mm/dd"/>
  </numFmts>
  <fonts count="65">
    <font>
      <sz val="12.0"/>
      <color theme="1"/>
      <name val="Times New Roman"/>
      <scheme val="minor"/>
    </font>
    <font>
      <sz val="12.0"/>
      <color theme="1"/>
      <name val="Times New Roman"/>
    </font>
    <font/>
    <font>
      <color theme="1"/>
      <name val="Times New Roman"/>
      <scheme val="minor"/>
    </font>
    <font>
      <sz val="12.0"/>
      <color rgb="FF000000"/>
      <name val="&quot;Times New Roman&quot;"/>
    </font>
    <font>
      <b/>
      <sz val="15.0"/>
      <color rgb="FF000000"/>
      <name val="&quot;Times New Roman&quot;"/>
    </font>
    <font>
      <sz val="12.0"/>
      <color rgb="FFFF0000"/>
      <name val="Times New Roman"/>
    </font>
    <font>
      <sz val="12.0"/>
      <color rgb="FF000000"/>
      <name val="Times New Roman"/>
    </font>
    <font>
      <b/>
      <sz val="12.0"/>
      <color theme="1"/>
      <name val="Inherit"/>
    </font>
    <font>
      <u/>
      <sz val="12.0"/>
      <color rgb="FF0000FF"/>
      <name val="&quot;Times New Roman&quot;"/>
    </font>
    <font>
      <u/>
      <sz val="12.0"/>
      <color theme="10"/>
      <name val="Times New Roman"/>
    </font>
    <font>
      <sz val="12.0"/>
      <color theme="10"/>
      <name val="Times New Roman"/>
    </font>
    <font>
      <u/>
      <sz val="12.0"/>
      <color theme="10"/>
      <name val="Times New Roman"/>
    </font>
    <font>
      <u/>
      <sz val="12.0"/>
      <color theme="10"/>
      <name val="Times New Roman"/>
    </font>
    <font>
      <u/>
      <sz val="12.0"/>
      <color theme="10"/>
      <name val="Times New Roman"/>
    </font>
    <font>
      <u/>
      <sz val="12.0"/>
      <color theme="10"/>
      <name val="Times New Roman"/>
    </font>
    <font>
      <u/>
      <sz val="12.0"/>
      <color rgb="FF0000FF"/>
      <name val="&quot;Times New Roman&quot;"/>
    </font>
    <font>
      <u/>
      <sz val="12.0"/>
      <color theme="1"/>
      <name val="Times New Roman"/>
    </font>
    <font>
      <u/>
      <sz val="12.0"/>
      <color rgb="FF000000"/>
      <name val="Times New Roman"/>
    </font>
    <font>
      <sz val="12.0"/>
      <color rgb="FF7F7F7F"/>
      <name val="Times New Roman"/>
    </font>
    <font>
      <sz val="12.0"/>
      <color rgb="FFFF0000"/>
      <name val="&quot;Times New Roman&quot;"/>
    </font>
    <font>
      <u/>
      <sz val="12.0"/>
      <color theme="10"/>
      <name val="Times New Roman"/>
    </font>
    <font>
      <u/>
      <sz val="12.0"/>
      <color rgb="FF0563C1"/>
      <name val="Times New Roman"/>
    </font>
    <font>
      <u/>
      <sz val="12.0"/>
      <color rgb="FF0000FF"/>
      <name val="&quot;Times New Roman&quot;"/>
    </font>
    <font>
      <u/>
      <sz val="12.0"/>
      <color theme="10"/>
      <name val="Times New Roman"/>
    </font>
    <font>
      <sz val="14.0"/>
      <color rgb="FF000000"/>
      <name val="&quot;Times New Roman&quot;"/>
    </font>
    <font>
      <sz val="12.0"/>
      <color theme="1"/>
      <name val="&quot;Times New Roman&quot;"/>
    </font>
    <font>
      <u/>
      <sz val="12.0"/>
      <color rgb="FF0000FF"/>
      <name val="Arial"/>
    </font>
    <font>
      <u/>
      <sz val="12.0"/>
      <color rgb="FF000000"/>
      <name val="&quot;Times New Roman&quot;"/>
    </font>
    <font>
      <sz val="12.0"/>
      <color theme="1"/>
      <name val="Arial"/>
    </font>
    <font>
      <u/>
      <sz val="12.0"/>
      <color rgb="FF0563C1"/>
      <name val="Times New Roman"/>
    </font>
    <font>
      <u/>
      <sz val="12.0"/>
      <color rgb="FF0563C1"/>
      <name val="Times New Roman"/>
    </font>
    <font>
      <sz val="12.0"/>
      <color rgb="FF0563C1"/>
      <name val="Times New Roman"/>
    </font>
    <font>
      <u/>
      <sz val="12.0"/>
      <color theme="10"/>
      <name val="Times New Roman"/>
    </font>
    <font>
      <b/>
      <color theme="1"/>
      <name val="Times New Roman"/>
      <scheme val="minor"/>
    </font>
    <font>
      <u/>
      <sz val="12.0"/>
      <color rgb="FF0000FF"/>
      <name val="Times New Roman"/>
    </font>
    <font>
      <u/>
      <sz val="12.0"/>
      <color rgb="FF000000"/>
      <name val="Times New Roman"/>
    </font>
    <font>
      <sz val="12.0"/>
      <color rgb="FF1F1F1F"/>
      <name val="Times New Roman"/>
    </font>
    <font>
      <b/>
      <sz val="12.0"/>
      <color theme="1"/>
      <name val="Times New Roman"/>
    </font>
    <font>
      <u/>
      <color rgb="FF0000FF"/>
    </font>
    <font>
      <u/>
      <sz val="12.0"/>
      <color rgb="FF000000"/>
      <name val="&quot;Times New Roman&quot;"/>
    </font>
    <font>
      <u/>
      <color rgb="FF0000FF"/>
    </font>
    <font>
      <color rgb="FF1F1F1F"/>
      <name val="Times New Roman"/>
      <scheme val="minor"/>
    </font>
    <font>
      <u/>
      <sz val="12.0"/>
      <color rgb="FF0000FF"/>
      <name val="&quot;Times New Roman&quot;"/>
    </font>
    <font>
      <u/>
      <color rgb="FF0000FF"/>
    </font>
    <font>
      <u/>
      <color rgb="FF0000FF"/>
    </font>
    <font>
      <u/>
      <sz val="12.0"/>
      <color rgb="FF0000FF"/>
      <name val="Arial"/>
    </font>
    <font>
      <u/>
      <color rgb="FF0000FF"/>
    </font>
    <font>
      <u/>
      <sz val="12.0"/>
      <color theme="1"/>
      <name val="Times New Roman"/>
    </font>
    <font>
      <u/>
      <color rgb="FF0000FF"/>
    </font>
    <font>
      <u/>
      <sz val="12.0"/>
      <color rgb="FF0000FF"/>
      <name val="Times New Roman"/>
    </font>
    <font>
      <u/>
      <sz val="12.0"/>
      <color rgb="FF0563C1"/>
      <name val="Times New Roman"/>
    </font>
    <font>
      <u/>
      <sz val="12.0"/>
      <color rgb="FF0000FF"/>
      <name val="&quot;Times New Roman&quot;"/>
    </font>
    <font>
      <u/>
      <sz val="12.0"/>
      <color rgb="FF0563C1"/>
      <name val="&quot;Times New Roman&quot;"/>
    </font>
    <font>
      <u/>
      <color rgb="FF0000FF"/>
    </font>
    <font>
      <u/>
      <color rgb="FF0000FF"/>
    </font>
    <font>
      <u/>
      <sz val="12.0"/>
      <color rgb="FF0000FF"/>
      <name val="Times New Roman"/>
    </font>
    <font>
      <u/>
      <sz val="12.0"/>
      <color rgb="FF0000FF"/>
      <name val="Times New Roman"/>
    </font>
    <font>
      <color rgb="FF1F1F1F"/>
    </font>
    <font>
      <u/>
      <color rgb="FF0563C1"/>
    </font>
    <font>
      <u/>
      <sz val="12.0"/>
      <color rgb="FF0563C1"/>
      <name val="Times New Roman"/>
    </font>
    <font>
      <u/>
      <sz val="12.0"/>
      <color rgb="FF0563C1"/>
      <name val="Times New Roman"/>
    </font>
    <font>
      <u/>
      <sz val="12.0"/>
      <color rgb="FF0000FF"/>
      <name val="Times New Roman"/>
    </font>
    <font>
      <u/>
      <sz val="12.0"/>
      <color rgb="FF0000FF"/>
      <name val="Times New Roman"/>
    </font>
    <font>
      <u/>
      <sz val="12.0"/>
      <color rgb="FF0000FF"/>
      <name val="Times New Roman"/>
    </font>
  </fonts>
  <fills count="2">
    <fill>
      <patternFill patternType="none"/>
    </fill>
    <fill>
      <patternFill patternType="lightGray"/>
    </fill>
  </fills>
  <borders count="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right style="thin">
        <color rgb="FF000000"/>
      </right>
    </border>
    <border>
      <left style="thin">
        <color rgb="FF000000"/>
      </left>
      <right style="thin">
        <color rgb="FF000000"/>
      </right>
      <top style="thin">
        <color rgb="FF000000"/>
      </top>
    </border>
  </borders>
  <cellStyleXfs count="1">
    <xf borderId="0" fillId="0" fontId="0" numFmtId="0" applyAlignment="1" applyFont="1"/>
  </cellStyleXfs>
  <cellXfs count="158">
    <xf borderId="0" fillId="0" fontId="0" numFmtId="0" xfId="0" applyAlignment="1" applyFont="1">
      <alignment readingOrder="0" shrinkToFit="0" vertical="bottom" wrapText="0"/>
    </xf>
    <xf borderId="1" fillId="0" fontId="1" numFmtId="0" xfId="0" applyAlignment="1" applyBorder="1" applyFont="1">
      <alignment horizontal="center" readingOrder="0" vertical="center"/>
    </xf>
    <xf borderId="2" fillId="0" fontId="2" numFmtId="0" xfId="0" applyBorder="1" applyFont="1"/>
    <xf borderId="0" fillId="0" fontId="3" numFmtId="0" xfId="0" applyAlignment="1" applyFont="1">
      <alignment shrinkToFit="0" wrapText="0"/>
    </xf>
    <xf borderId="3" fillId="0" fontId="2" numFmtId="0" xfId="0" applyBorder="1" applyFont="1"/>
    <xf borderId="4" fillId="0" fontId="1" numFmtId="0" xfId="0" applyAlignment="1" applyBorder="1" applyFont="1">
      <alignment horizontal="center" readingOrder="0" vertical="center"/>
    </xf>
    <xf borderId="4" fillId="0" fontId="1" numFmtId="0" xfId="0" applyAlignment="1" applyBorder="1" applyFont="1">
      <alignment horizontal="center" readingOrder="0" shrinkToFit="0" vertical="center" wrapText="1"/>
    </xf>
    <xf borderId="4" fillId="0" fontId="4" numFmtId="0" xfId="0" applyAlignment="1" applyBorder="1" applyFont="1">
      <alignment horizontal="center" readingOrder="0" shrinkToFit="0" wrapText="0"/>
    </xf>
    <xf borderId="0" fillId="0" fontId="4" numFmtId="0" xfId="0" applyAlignment="1" applyFont="1">
      <alignment shrinkToFit="0" vertical="bottom" wrapText="0"/>
    </xf>
    <xf borderId="4" fillId="0" fontId="1" numFmtId="164" xfId="0" applyAlignment="1" applyBorder="1" applyFont="1" applyNumberFormat="1">
      <alignment horizontal="center" readingOrder="0" vertical="center"/>
    </xf>
    <xf borderId="0" fillId="0" fontId="5" numFmtId="0" xfId="0" applyAlignment="1" applyFont="1">
      <alignment horizontal="center" readingOrder="0" shrinkToFit="0" vertical="bottom" wrapText="0"/>
    </xf>
    <xf borderId="4" fillId="0" fontId="6" numFmtId="164" xfId="0" applyAlignment="1" applyBorder="1" applyFont="1" applyNumberFormat="1">
      <alignment horizontal="center" readingOrder="0" vertical="center"/>
    </xf>
    <xf borderId="4" fillId="0" fontId="1" numFmtId="0" xfId="0" applyAlignment="1" applyBorder="1" applyFont="1">
      <alignment horizontal="center" vertical="center"/>
    </xf>
    <xf borderId="4" fillId="0" fontId="1" numFmtId="164" xfId="0" applyAlignment="1" applyBorder="1" applyFont="1" applyNumberFormat="1">
      <alignment horizontal="center" vertical="center"/>
    </xf>
    <xf borderId="1" fillId="0" fontId="4" numFmtId="0" xfId="0" applyAlignment="1" applyBorder="1" applyFont="1">
      <alignment horizontal="center" readingOrder="0" shrinkToFit="0" vertical="bottom" wrapText="0"/>
    </xf>
    <xf borderId="0" fillId="0" fontId="4" numFmtId="0" xfId="0" applyAlignment="1" applyFont="1">
      <alignment readingOrder="0" shrinkToFit="0" vertical="bottom" wrapText="0"/>
    </xf>
    <xf borderId="4" fillId="0" fontId="1" numFmtId="9" xfId="0" applyAlignment="1" applyBorder="1" applyFont="1" applyNumberFormat="1">
      <alignment horizontal="center" vertical="center"/>
    </xf>
    <xf borderId="4" fillId="0" fontId="4" numFmtId="0" xfId="0" applyAlignment="1" applyBorder="1" applyFont="1">
      <alignment horizontal="center" readingOrder="0" shrinkToFit="0" vertical="center" wrapText="1"/>
    </xf>
    <xf borderId="4" fillId="0" fontId="4" numFmtId="9" xfId="0" applyAlignment="1" applyBorder="1" applyFont="1" applyNumberFormat="1">
      <alignment horizontal="center" readingOrder="0" shrinkToFit="0" wrapText="0"/>
    </xf>
    <xf borderId="0" fillId="0" fontId="3" numFmtId="0" xfId="0" applyAlignment="1" applyFont="1">
      <alignment vertical="center"/>
    </xf>
    <xf borderId="4" fillId="0" fontId="7" numFmtId="164" xfId="0" applyAlignment="1" applyBorder="1" applyFont="1" applyNumberFormat="1">
      <alignment horizontal="center" readingOrder="0" vertical="center"/>
    </xf>
    <xf borderId="4" fillId="0" fontId="3" numFmtId="0" xfId="0" applyAlignment="1" applyBorder="1" applyFont="1">
      <alignment horizontal="center" readingOrder="0" vertical="center"/>
    </xf>
    <xf borderId="4" fillId="0" fontId="3" numFmtId="0" xfId="0" applyAlignment="1" applyBorder="1" applyFont="1">
      <alignment horizontal="center" vertical="center"/>
    </xf>
    <xf borderId="4" fillId="0" fontId="3" numFmtId="9" xfId="0" applyAlignment="1" applyBorder="1" applyFont="1" applyNumberFormat="1">
      <alignment horizontal="center" vertical="center"/>
    </xf>
    <xf borderId="1" fillId="0" fontId="1" numFmtId="0" xfId="0" applyAlignment="1" applyBorder="1" applyFont="1">
      <alignment horizontal="center" readingOrder="0"/>
    </xf>
    <xf borderId="4" fillId="0" fontId="6" numFmtId="164" xfId="0" applyAlignment="1" applyBorder="1" applyFont="1" applyNumberFormat="1">
      <alignment horizontal="center" vertical="center"/>
    </xf>
    <xf borderId="4" fillId="0" fontId="4" numFmtId="1" xfId="0" applyAlignment="1" applyBorder="1" applyFont="1" applyNumberFormat="1">
      <alignment horizontal="center" readingOrder="0" shrinkToFit="0" wrapText="0"/>
    </xf>
    <xf borderId="0" fillId="0" fontId="8" numFmtId="0" xfId="0" applyAlignment="1" applyFont="1">
      <alignment vertical="center"/>
    </xf>
    <xf borderId="0" fillId="0" fontId="1" numFmtId="0" xfId="0" applyAlignment="1" applyFont="1">
      <alignment shrinkToFit="0" wrapText="0"/>
    </xf>
    <xf borderId="4" fillId="0" fontId="1" numFmtId="0" xfId="0" applyAlignment="1" applyBorder="1" applyFont="1">
      <alignment horizontal="center" shrinkToFit="0" vertical="center" wrapText="0"/>
    </xf>
    <xf borderId="0" fillId="0" fontId="3" numFmtId="0" xfId="0" applyFont="1"/>
    <xf borderId="5" fillId="0" fontId="9" numFmtId="0" xfId="0" applyAlignment="1" applyBorder="1" applyFont="1">
      <alignment horizontal="center" readingOrder="0"/>
    </xf>
    <xf borderId="4" fillId="0" fontId="1" numFmtId="9" xfId="0" applyAlignment="1" applyBorder="1" applyFont="1" applyNumberFormat="1">
      <alignment horizontal="center" readingOrder="0" vertical="center"/>
    </xf>
    <xf borderId="4" fillId="0" fontId="10" numFmtId="0" xfId="0" applyAlignment="1" applyBorder="1" applyFont="1">
      <alignment horizontal="right" readingOrder="0" shrinkToFit="0" wrapText="0"/>
    </xf>
    <xf borderId="4" fillId="0" fontId="11" numFmtId="0" xfId="0" applyAlignment="1" applyBorder="1" applyFont="1">
      <alignment horizontal="right"/>
    </xf>
    <xf borderId="0" fillId="0" fontId="1" numFmtId="0" xfId="0" applyAlignment="1" applyFont="1">
      <alignment horizontal="center"/>
    </xf>
    <xf borderId="4" fillId="0" fontId="12" numFmtId="0" xfId="0" applyAlignment="1" applyBorder="1" applyFont="1">
      <alignment horizontal="right" shrinkToFit="0" wrapText="0"/>
    </xf>
    <xf borderId="4" fillId="0" fontId="13" numFmtId="0" xfId="0" applyAlignment="1" applyBorder="1" applyFont="1">
      <alignment horizontal="right"/>
    </xf>
    <xf borderId="4" fillId="0" fontId="14" numFmtId="0" xfId="0" applyAlignment="1" applyBorder="1" applyFont="1">
      <alignment horizontal="right" readingOrder="0" vertical="center"/>
    </xf>
    <xf borderId="4" fillId="0" fontId="11" numFmtId="0" xfId="0" applyAlignment="1" applyBorder="1" applyFont="1">
      <alignment horizontal="right" vertical="center"/>
    </xf>
    <xf borderId="4" fillId="0" fontId="11" numFmtId="0" xfId="0" applyAlignment="1" applyBorder="1" applyFont="1">
      <alignment horizontal="right" shrinkToFit="0" wrapText="0"/>
    </xf>
    <xf borderId="4" fillId="0" fontId="15" numFmtId="0" xfId="0" applyAlignment="1" applyBorder="1" applyFont="1">
      <alignment horizontal="right" vertical="center"/>
    </xf>
    <xf borderId="4" fillId="0" fontId="16" numFmtId="0" xfId="0" applyAlignment="1" applyBorder="1" applyFont="1">
      <alignment horizontal="right" readingOrder="0" shrinkToFit="0" wrapText="0"/>
    </xf>
    <xf borderId="4" fillId="0" fontId="17" numFmtId="0" xfId="0" applyAlignment="1" applyBorder="1" applyFont="1">
      <alignment horizontal="right" readingOrder="0" vertical="center"/>
    </xf>
    <xf borderId="0" fillId="0" fontId="4" numFmtId="0" xfId="0" applyAlignment="1" applyFont="1">
      <alignment vertical="bottom"/>
    </xf>
    <xf borderId="4" fillId="0" fontId="4" numFmtId="164" xfId="0" applyAlignment="1" applyBorder="1" applyFont="1" applyNumberFormat="1">
      <alignment horizontal="center" readingOrder="0" shrinkToFit="0" wrapText="0"/>
    </xf>
    <xf borderId="4" fillId="0" fontId="18" numFmtId="0" xfId="0" applyAlignment="1" applyBorder="1" applyFont="1">
      <alignment horizontal="right" readingOrder="0" vertical="center"/>
    </xf>
    <xf borderId="4" fillId="0" fontId="1" numFmtId="0" xfId="0" applyAlignment="1" applyBorder="1" applyFont="1">
      <alignment horizontal="right" vertical="center"/>
    </xf>
    <xf borderId="0" fillId="0" fontId="11" numFmtId="0" xfId="0" applyAlignment="1" applyFont="1">
      <alignment horizontal="right" shrinkToFit="0" wrapText="0"/>
    </xf>
    <xf borderId="4" fillId="0" fontId="1" numFmtId="0" xfId="0" applyAlignment="1" applyBorder="1" applyFont="1">
      <alignment horizontal="right" shrinkToFit="0" wrapText="0"/>
    </xf>
    <xf borderId="0" fillId="0" fontId="19" numFmtId="0" xfId="0" applyFont="1"/>
    <xf borderId="0" fillId="0" fontId="19" numFmtId="0" xfId="0" applyAlignment="1" applyFont="1">
      <alignment readingOrder="0"/>
    </xf>
    <xf borderId="4" fillId="0" fontId="3" numFmtId="9" xfId="0" applyAlignment="1" applyBorder="1" applyFont="1" applyNumberFormat="1">
      <alignment horizontal="center" readingOrder="0" vertical="center"/>
    </xf>
    <xf borderId="4" fillId="0" fontId="20" numFmtId="164" xfId="0" applyAlignment="1" applyBorder="1" applyFont="1" applyNumberFormat="1">
      <alignment horizontal="center" readingOrder="0" shrinkToFit="0" wrapText="0"/>
    </xf>
    <xf borderId="4" fillId="0" fontId="4" numFmtId="0" xfId="0" applyAlignment="1" applyBorder="1" applyFont="1">
      <alignment horizontal="center" readingOrder="0" shrinkToFit="0" wrapText="1"/>
    </xf>
    <xf borderId="0" fillId="0" fontId="1" numFmtId="0" xfId="0" applyFont="1"/>
    <xf borderId="4" fillId="0" fontId="21" numFmtId="0" xfId="0" applyAlignment="1" applyBorder="1" applyFont="1">
      <alignment horizontal="right" readingOrder="0"/>
    </xf>
    <xf borderId="4" fillId="0" fontId="22" numFmtId="0" xfId="0" applyAlignment="1" applyBorder="1" applyFont="1">
      <alignment horizontal="right" readingOrder="0" shrinkToFit="0" wrapText="0"/>
    </xf>
    <xf borderId="5" fillId="0" fontId="23" numFmtId="0" xfId="0" applyAlignment="1" applyBorder="1" applyFont="1">
      <alignment horizontal="center" readingOrder="0" shrinkToFit="0" wrapText="0"/>
    </xf>
    <xf borderId="1" fillId="0" fontId="11" numFmtId="0" xfId="0" applyAlignment="1" applyBorder="1" applyFont="1">
      <alignment horizontal="right" shrinkToFit="0" wrapText="0"/>
    </xf>
    <xf borderId="0" fillId="0" fontId="24" numFmtId="0" xfId="0" applyAlignment="1" applyFont="1">
      <alignment horizontal="right" shrinkToFit="0" wrapText="0"/>
    </xf>
    <xf borderId="1" fillId="0" fontId="25" numFmtId="0" xfId="0" applyAlignment="1" applyBorder="1" applyFont="1">
      <alignment horizontal="center" readingOrder="0" shrinkToFit="0" vertical="bottom" wrapText="0"/>
    </xf>
    <xf borderId="4" fillId="0" fontId="26" numFmtId="0" xfId="0" applyAlignment="1" applyBorder="1" applyFont="1">
      <alignment horizontal="right" readingOrder="0" shrinkToFit="0" wrapText="0"/>
    </xf>
    <xf borderId="0" fillId="0" fontId="4" numFmtId="0" xfId="0" applyAlignment="1" applyFont="1">
      <alignment horizontal="right" readingOrder="0" shrinkToFit="0" vertical="bottom" wrapText="0"/>
    </xf>
    <xf borderId="0" fillId="0" fontId="3" numFmtId="0" xfId="0" applyAlignment="1" applyFont="1">
      <alignment horizontal="right" readingOrder="0"/>
    </xf>
    <xf borderId="0" fillId="0" fontId="3" numFmtId="0" xfId="0" applyAlignment="1" applyFont="1">
      <alignment horizontal="right"/>
    </xf>
    <xf borderId="4" fillId="0" fontId="27" numFmtId="0" xfId="0" applyAlignment="1" applyBorder="1" applyFont="1">
      <alignment horizontal="right" readingOrder="0" shrinkToFit="0" wrapText="0"/>
    </xf>
    <xf borderId="6" fillId="0" fontId="26" numFmtId="0" xfId="0" applyAlignment="1" applyBorder="1" applyFont="1">
      <alignment horizontal="right" readingOrder="0" shrinkToFit="0" wrapText="0"/>
    </xf>
    <xf borderId="0" fillId="0" fontId="28" numFmtId="0" xfId="0" applyAlignment="1" applyFont="1">
      <alignment horizontal="right" readingOrder="0" shrinkToFit="0" vertical="bottom" wrapText="0"/>
    </xf>
    <xf borderId="0" fillId="0" fontId="3" numFmtId="0" xfId="0" applyAlignment="1" applyFont="1">
      <alignment horizontal="right" readingOrder="0"/>
    </xf>
    <xf borderId="6" fillId="0" fontId="29" numFmtId="0" xfId="0" applyAlignment="1" applyBorder="1" applyFont="1">
      <alignment horizontal="right" readingOrder="0" shrinkToFit="0" wrapText="0"/>
    </xf>
    <xf borderId="4" fillId="0" fontId="30" numFmtId="0" xfId="0" applyAlignment="1" applyBorder="1" applyFont="1">
      <alignment horizontal="right" readingOrder="0" shrinkToFit="0" wrapText="0"/>
    </xf>
    <xf borderId="4" fillId="0" fontId="31" numFmtId="0" xfId="0" applyAlignment="1" applyBorder="1" applyFont="1">
      <alignment horizontal="right" readingOrder="0"/>
    </xf>
    <xf borderId="4" fillId="0" fontId="32" numFmtId="0" xfId="0" applyAlignment="1" applyBorder="1" applyFont="1">
      <alignment horizontal="right" readingOrder="0"/>
    </xf>
    <xf borderId="4" fillId="0" fontId="1" numFmtId="0" xfId="0" applyAlignment="1" applyBorder="1" applyFont="1">
      <alignment horizontal="right" readingOrder="0" shrinkToFit="0" wrapText="0"/>
    </xf>
    <xf borderId="4" fillId="0" fontId="32" numFmtId="0" xfId="0" applyAlignment="1" applyBorder="1" applyFont="1">
      <alignment horizontal="right" readingOrder="0"/>
    </xf>
    <xf borderId="4" fillId="0" fontId="32" numFmtId="0" xfId="0" applyAlignment="1" applyBorder="1" applyFont="1">
      <alignment horizontal="right" readingOrder="0" shrinkToFit="0" wrapText="0"/>
    </xf>
    <xf borderId="1" fillId="0" fontId="33" numFmtId="0" xfId="0" applyAlignment="1" applyBorder="1" applyFont="1">
      <alignment horizontal="right" shrinkToFit="0" wrapText="0"/>
    </xf>
    <xf borderId="4" fillId="0" fontId="1" numFmtId="0" xfId="0" applyAlignment="1" applyBorder="1" applyFont="1">
      <alignment horizontal="right" readingOrder="0"/>
    </xf>
    <xf borderId="0" fillId="0" fontId="3" numFmtId="0" xfId="0" applyAlignment="1" applyFont="1">
      <alignment horizontal="center" shrinkToFit="0" wrapText="0"/>
    </xf>
    <xf borderId="0" fillId="0" fontId="3" numFmtId="0" xfId="0" applyAlignment="1" applyFont="1">
      <alignment horizontal="center"/>
    </xf>
    <xf borderId="0" fillId="0" fontId="34" numFmtId="0" xfId="0" applyAlignment="1" applyFont="1">
      <alignment horizontal="center" readingOrder="0" vertical="center"/>
    </xf>
    <xf borderId="1" fillId="0" fontId="34" numFmtId="0" xfId="0" applyAlignment="1" applyBorder="1" applyFont="1">
      <alignment horizontal="center" readingOrder="0" vertical="center"/>
    </xf>
    <xf borderId="0" fillId="0" fontId="1" numFmtId="0" xfId="0" applyAlignment="1" applyFont="1">
      <alignment horizontal="center" readingOrder="0" vertical="center"/>
    </xf>
    <xf borderId="0" fillId="0" fontId="3" numFmtId="0" xfId="0" applyAlignment="1" applyFont="1">
      <alignment readingOrder="0"/>
    </xf>
    <xf borderId="0" fillId="0" fontId="1" numFmtId="0" xfId="0" applyAlignment="1" applyFont="1">
      <alignment horizontal="right" readingOrder="0" vertical="center"/>
    </xf>
    <xf borderId="0" fillId="0" fontId="3" numFmtId="0" xfId="0" applyAlignment="1" applyFont="1">
      <alignment horizontal="center" readingOrder="0" vertical="center"/>
    </xf>
    <xf borderId="4" fillId="0" fontId="35" numFmtId="0" xfId="0" applyAlignment="1" applyBorder="1" applyFont="1">
      <alignment horizontal="right" readingOrder="0" shrinkToFit="0" wrapText="0"/>
    </xf>
    <xf borderId="0" fillId="0" fontId="36" numFmtId="0" xfId="0" applyAlignment="1" applyFont="1">
      <alignment horizontal="center" readingOrder="0" vertical="center"/>
    </xf>
    <xf borderId="0" fillId="0" fontId="1" numFmtId="0" xfId="0" applyAlignment="1" applyFont="1">
      <alignment horizontal="left" readingOrder="0" vertical="center"/>
    </xf>
    <xf borderId="0" fillId="0" fontId="1" numFmtId="0" xfId="0" applyAlignment="1" applyFont="1">
      <alignment horizontal="center" readingOrder="0" vertical="center"/>
    </xf>
    <xf borderId="0" fillId="0" fontId="37" numFmtId="0" xfId="0" applyAlignment="1" applyFont="1">
      <alignment horizontal="center" readingOrder="0" vertical="center"/>
    </xf>
    <xf borderId="4" fillId="0" fontId="32" numFmtId="0" xfId="0" applyAlignment="1" applyBorder="1" applyFont="1">
      <alignment horizontal="right" readingOrder="0"/>
    </xf>
    <xf borderId="0" fillId="0" fontId="3" numFmtId="0" xfId="0" applyAlignment="1" applyFont="1">
      <alignment horizontal="left" readingOrder="0"/>
    </xf>
    <xf borderId="4" fillId="0" fontId="38" numFmtId="0" xfId="0" applyAlignment="1" applyBorder="1" applyFont="1">
      <alignment horizontal="center" readingOrder="0" vertical="center"/>
    </xf>
    <xf borderId="4" fillId="0" fontId="3" numFmtId="0" xfId="0" applyAlignment="1" applyBorder="1" applyFont="1">
      <alignment horizontal="center" readingOrder="0"/>
    </xf>
    <xf borderId="4" fillId="0" fontId="32" numFmtId="0" xfId="0" applyAlignment="1" applyBorder="1" applyFont="1">
      <alignment horizontal="right" readingOrder="0" shrinkToFit="0" wrapText="0"/>
    </xf>
    <xf borderId="4" fillId="0" fontId="39" numFmtId="0" xfId="0" applyAlignment="1" applyBorder="1" applyFont="1">
      <alignment horizontal="right" readingOrder="0"/>
    </xf>
    <xf borderId="4" fillId="0" fontId="3" numFmtId="0" xfId="0" applyAlignment="1" applyBorder="1" applyFont="1">
      <alignment horizontal="right" readingOrder="0"/>
    </xf>
    <xf borderId="0" fillId="0" fontId="40" numFmtId="0" xfId="0" applyAlignment="1" applyFont="1">
      <alignment horizontal="right" readingOrder="0" shrinkToFit="0" vertical="bottom" wrapText="0"/>
    </xf>
    <xf borderId="2" fillId="0" fontId="1" numFmtId="0" xfId="0" applyAlignment="1" applyBorder="1" applyFont="1">
      <alignment horizontal="center" readingOrder="0" shrinkToFit="0" wrapText="0"/>
    </xf>
    <xf borderId="0" fillId="0" fontId="41" numFmtId="0" xfId="0" applyAlignment="1" applyFont="1">
      <alignment horizontal="right" readingOrder="0"/>
    </xf>
    <xf borderId="3" fillId="0" fontId="1" numFmtId="0" xfId="0" applyAlignment="1" applyBorder="1" applyFont="1">
      <alignment horizontal="center" readingOrder="0"/>
    </xf>
    <xf borderId="0" fillId="0" fontId="3" numFmtId="0" xfId="0" applyAlignment="1" applyFont="1">
      <alignment horizontal="center" readingOrder="0"/>
    </xf>
    <xf borderId="4" fillId="0" fontId="3" numFmtId="0" xfId="0" applyAlignment="1" applyBorder="1" applyFont="1">
      <alignment horizontal="right" readingOrder="0" shrinkToFit="0" wrapText="0"/>
    </xf>
    <xf borderId="4" fillId="0" fontId="42" numFmtId="0" xfId="0" applyAlignment="1" applyBorder="1" applyFont="1">
      <alignment horizontal="right" readingOrder="0"/>
    </xf>
    <xf borderId="6" fillId="0" fontId="43" numFmtId="0" xfId="0" applyAlignment="1" applyBorder="1" applyFont="1">
      <alignment horizontal="right" readingOrder="0" shrinkToFit="0" wrapText="0"/>
    </xf>
    <xf borderId="0" fillId="0" fontId="44" numFmtId="0" xfId="0" applyAlignment="1" applyFont="1">
      <alignment horizontal="right" readingOrder="0"/>
    </xf>
    <xf borderId="6" fillId="0" fontId="1" numFmtId="0" xfId="0" applyAlignment="1" applyBorder="1" applyFont="1">
      <alignment horizontal="center" readingOrder="0" shrinkToFit="0" wrapText="0"/>
    </xf>
    <xf borderId="4" fillId="0" fontId="1" numFmtId="0" xfId="0" applyAlignment="1" applyBorder="1" applyFont="1">
      <alignment horizontal="center" readingOrder="0"/>
    </xf>
    <xf borderId="0" fillId="0" fontId="45" numFmtId="0" xfId="0" applyAlignment="1" applyFont="1">
      <alignment readingOrder="0"/>
    </xf>
    <xf borderId="6" fillId="0" fontId="46" numFmtId="0" xfId="0" applyAlignment="1" applyBorder="1" applyFont="1">
      <alignment horizontal="right" readingOrder="0" shrinkToFit="0" wrapText="0"/>
    </xf>
    <xf borderId="0" fillId="0" fontId="3" numFmtId="0" xfId="0" applyAlignment="1" applyFont="1">
      <alignment horizontal="left"/>
    </xf>
    <xf borderId="0" fillId="0" fontId="25" numFmtId="0" xfId="0" applyAlignment="1" applyFont="1">
      <alignment horizontal="center" readingOrder="0" shrinkToFit="0" vertical="bottom" wrapText="0"/>
    </xf>
    <xf borderId="0" fillId="0" fontId="47" numFmtId="0" xfId="0" applyAlignment="1" applyFont="1">
      <alignment horizontal="left" readingOrder="0"/>
    </xf>
    <xf borderId="4" fillId="0" fontId="1" numFmtId="0" xfId="0" applyAlignment="1" applyBorder="1" applyFont="1">
      <alignment horizontal="center" readingOrder="0" shrinkToFit="0" vertical="center" wrapText="0"/>
    </xf>
    <xf borderId="0" fillId="0" fontId="48" numFmtId="0" xfId="0" applyAlignment="1" applyFont="1">
      <alignment horizontal="left" readingOrder="0" vertical="center"/>
    </xf>
    <xf borderId="4" fillId="0" fontId="26" numFmtId="0" xfId="0" applyAlignment="1" applyBorder="1" applyFont="1">
      <alignment horizontal="right" readingOrder="0" shrinkToFit="0" wrapText="0"/>
    </xf>
    <xf borderId="4" fillId="0" fontId="49" numFmtId="0" xfId="0" applyAlignment="1" applyBorder="1" applyFont="1">
      <alignment horizontal="right" readingOrder="0"/>
    </xf>
    <xf borderId="4" fillId="0" fontId="50" numFmtId="0" xfId="0" applyAlignment="1" applyBorder="1" applyFont="1">
      <alignment horizontal="right" readingOrder="0"/>
    </xf>
    <xf borderId="4" fillId="0" fontId="51" numFmtId="0" xfId="0" applyAlignment="1" applyBorder="1" applyFont="1">
      <alignment horizontal="right" readingOrder="0"/>
    </xf>
    <xf borderId="4" fillId="0" fontId="52" numFmtId="0" xfId="0" applyAlignment="1" applyBorder="1" applyFont="1">
      <alignment horizontal="right" readingOrder="0" shrinkToFit="0" wrapText="0"/>
    </xf>
    <xf borderId="4" fillId="0" fontId="53" numFmtId="0" xfId="0" applyAlignment="1" applyBorder="1" applyFont="1">
      <alignment horizontal="right" readingOrder="0" shrinkToFit="0" wrapText="0"/>
    </xf>
    <xf borderId="4" fillId="0" fontId="6" numFmtId="164" xfId="0" applyAlignment="1" applyBorder="1" applyFont="1" applyNumberFormat="1">
      <alignment horizontal="center"/>
    </xf>
    <xf borderId="4" fillId="0" fontId="1" numFmtId="164" xfId="0" applyAlignment="1" applyBorder="1" applyFont="1" applyNumberFormat="1">
      <alignment horizontal="center"/>
    </xf>
    <xf borderId="0" fillId="0" fontId="1" numFmtId="0" xfId="0" applyAlignment="1" applyFont="1">
      <alignment horizontal="center" vertical="center"/>
    </xf>
    <xf borderId="4" fillId="0" fontId="1" numFmtId="0" xfId="0" applyAlignment="1" applyBorder="1" applyFont="1">
      <alignment horizontal="center" shrinkToFit="0" vertical="center" wrapText="1"/>
    </xf>
    <xf borderId="0" fillId="0" fontId="4" numFmtId="0" xfId="0" applyAlignment="1" applyFont="1">
      <alignment horizontal="center" readingOrder="0" shrinkToFit="0" wrapText="0"/>
    </xf>
    <xf borderId="0" fillId="0" fontId="3" numFmtId="0" xfId="0" applyAlignment="1" applyFont="1">
      <alignment readingOrder="0" shrinkToFit="0" wrapText="0"/>
    </xf>
    <xf borderId="0" fillId="0" fontId="54" numFmtId="0" xfId="0" applyAlignment="1" applyFont="1">
      <alignment readingOrder="0" shrinkToFit="0" wrapText="0"/>
    </xf>
    <xf borderId="4" fillId="0" fontId="55" numFmtId="0" xfId="0" applyAlignment="1" applyBorder="1" applyFont="1">
      <alignment horizontal="right" readingOrder="0" shrinkToFit="0" wrapText="0"/>
    </xf>
    <xf borderId="0" fillId="0" fontId="3" numFmtId="0" xfId="0" applyAlignment="1" applyFont="1">
      <alignment readingOrder="0"/>
    </xf>
    <xf borderId="6" fillId="0" fontId="56" numFmtId="0" xfId="0" applyAlignment="1" applyBorder="1" applyFont="1">
      <alignment horizontal="center" readingOrder="0" shrinkToFit="0" wrapText="0"/>
    </xf>
    <xf borderId="4" fillId="0" fontId="57" numFmtId="0" xfId="0" applyAlignment="1" applyBorder="1" applyFont="1">
      <alignment horizontal="center" readingOrder="0" shrinkToFit="0" vertical="center" wrapText="0"/>
    </xf>
    <xf borderId="4" fillId="0" fontId="3" numFmtId="165" xfId="0" applyAlignment="1" applyBorder="1" applyFont="1" applyNumberFormat="1">
      <alignment horizontal="center" readingOrder="0"/>
    </xf>
    <xf borderId="4" fillId="0" fontId="3" numFmtId="166" xfId="0" applyAlignment="1" applyBorder="1" applyFont="1" applyNumberFormat="1">
      <alignment horizontal="center" readingOrder="0"/>
    </xf>
    <xf borderId="4" fillId="0" fontId="58" numFmtId="0" xfId="0" applyAlignment="1" applyBorder="1" applyFont="1">
      <alignment horizontal="right" readingOrder="0"/>
    </xf>
    <xf borderId="4" fillId="0" fontId="3" numFmtId="0" xfId="0" applyAlignment="1" applyBorder="1" applyFont="1">
      <alignment horizontal="right"/>
    </xf>
    <xf borderId="4" fillId="0" fontId="1" numFmtId="0" xfId="0" applyAlignment="1" applyBorder="1" applyFont="1">
      <alignment horizontal="center" readingOrder="0" vertical="bottom"/>
    </xf>
    <xf borderId="4" fillId="0" fontId="1" numFmtId="0" xfId="0" applyAlignment="1" applyBorder="1" applyFont="1">
      <alignment horizontal="center" vertical="bottom"/>
    </xf>
    <xf borderId="4" fillId="0" fontId="1" numFmtId="164" xfId="0" applyAlignment="1" applyBorder="1" applyFont="1" applyNumberFormat="1">
      <alignment horizontal="center" readingOrder="0"/>
    </xf>
    <xf borderId="4" fillId="0" fontId="1" numFmtId="0" xfId="0" applyAlignment="1" applyBorder="1" applyFont="1">
      <alignment horizontal="right" vertical="bottom"/>
    </xf>
    <xf borderId="4" fillId="0" fontId="1" numFmtId="0" xfId="0" applyAlignment="1" applyBorder="1" applyFont="1">
      <alignment vertical="bottom"/>
    </xf>
    <xf borderId="4" fillId="0" fontId="59" numFmtId="0" xfId="0" applyAlignment="1" applyBorder="1" applyFont="1">
      <alignment horizontal="right" readingOrder="0"/>
    </xf>
    <xf borderId="4" fillId="0" fontId="1" numFmtId="0" xfId="0" applyAlignment="1" applyBorder="1" applyFont="1">
      <alignment horizontal="center" vertical="bottom"/>
    </xf>
    <xf borderId="4" fillId="0" fontId="60" numFmtId="0" xfId="0" applyAlignment="1" applyBorder="1" applyFont="1">
      <alignment horizontal="right" readingOrder="0" vertical="bottom"/>
    </xf>
    <xf borderId="4" fillId="0" fontId="1" numFmtId="0" xfId="0" applyAlignment="1" applyBorder="1" applyFont="1">
      <alignment vertical="bottom"/>
    </xf>
    <xf borderId="4" fillId="0" fontId="3" numFmtId="0" xfId="0" applyAlignment="1" applyBorder="1" applyFont="1">
      <alignment horizontal="right" readingOrder="0"/>
    </xf>
    <xf quotePrefix="1" borderId="4" fillId="0" fontId="3" numFmtId="0" xfId="0" applyAlignment="1" applyBorder="1" applyFont="1">
      <alignment horizontal="center" readingOrder="0"/>
    </xf>
    <xf borderId="4" fillId="0" fontId="61" numFmtId="0" xfId="0" applyAlignment="1" applyBorder="1" applyFont="1">
      <alignment horizontal="right" vertical="bottom"/>
    </xf>
    <xf borderId="4" fillId="0" fontId="1" numFmtId="0" xfId="0" applyAlignment="1" applyBorder="1" applyFont="1">
      <alignment readingOrder="0" vertical="bottom"/>
    </xf>
    <xf borderId="4" fillId="0" fontId="62" numFmtId="0" xfId="0" applyAlignment="1" applyBorder="1" applyFont="1">
      <alignment readingOrder="0" vertical="bottom"/>
    </xf>
    <xf borderId="4" fillId="0" fontId="1" numFmtId="164" xfId="0" applyAlignment="1" applyBorder="1" applyFont="1" applyNumberFormat="1">
      <alignment horizontal="center" vertical="bottom"/>
    </xf>
    <xf borderId="4" fillId="0" fontId="63" numFmtId="0" xfId="0" applyAlignment="1" applyBorder="1" applyFont="1">
      <alignment horizontal="right" readingOrder="0" vertical="bottom"/>
    </xf>
    <xf borderId="4" fillId="0" fontId="1" numFmtId="0" xfId="0" applyAlignment="1" applyBorder="1" applyFont="1">
      <alignment horizontal="right" readingOrder="0" vertical="bottom"/>
    </xf>
    <xf borderId="4" fillId="0" fontId="64" numFmtId="0" xfId="0" applyAlignment="1" applyBorder="1" applyFont="1">
      <alignment horizontal="right" readingOrder="0" vertical="bottom"/>
    </xf>
    <xf borderId="4" fillId="0" fontId="1" numFmtId="166" xfId="0" applyAlignment="1" applyBorder="1" applyFont="1" applyNumberFormat="1">
      <alignment horizontal="center" readingOrder="0" vertical="bottom"/>
    </xf>
    <xf borderId="4" fillId="0" fontId="58" numFmtId="0" xfId="0" applyAlignment="1" applyBorder="1" applyFont="1">
      <alignment horizontal="right" readingOrder="0"/>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customschemas.google.com/relationships/workbookmetadata" Target="metadata"/><Relationship Id="rId10" Type="http://schemas.openxmlformats.org/officeDocument/2006/relationships/worksheet" Target="worksheets/sheet7.xml"/></Relationships>
</file>

<file path=xl/drawings/_rels/drawing1.xml.rels><?xml version="1.0" encoding="UTF-8" standalone="yes"?><Relationships xmlns="http://schemas.openxmlformats.org/package/2006/relationships"><Relationship Id="rId1" Type="http://schemas.openxmlformats.org/officeDocument/2006/relationships/image" Target="../media/image8.png"/></Relationships>
</file>

<file path=xl/drawings/_rels/drawing2.xml.rels><?xml version="1.0" encoding="UTF-8" standalone="yes"?><Relationships xmlns="http://schemas.openxmlformats.org/package/2006/relationships"><Relationship Id="rId1" Type="http://schemas.openxmlformats.org/officeDocument/2006/relationships/image" Target="../media/image8.png"/><Relationship Id="rId2" Type="http://schemas.openxmlformats.org/officeDocument/2006/relationships/image" Target="../media/image5.png"/><Relationship Id="rId3"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4.png"/><Relationship Id="rId3" Type="http://schemas.openxmlformats.org/officeDocument/2006/relationships/image" Target="../media/image2.png"/><Relationship Id="rId4" Type="http://schemas.openxmlformats.org/officeDocument/2006/relationships/image" Target="../media/image3.png"/><Relationship Id="rId5" Type="http://schemas.openxmlformats.org/officeDocument/2006/relationships/image" Target="../media/image7.png"/><Relationship Id="rId6" Type="http://schemas.openxmlformats.org/officeDocument/2006/relationships/image" Target="../media/image9.png"/><Relationship Id="rId7"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22</xdr:col>
      <xdr:colOff>342900</xdr:colOff>
      <xdr:row>0</xdr:row>
      <xdr:rowOff>57150</xdr:rowOff>
    </xdr:from>
    <xdr:ext cx="9258300" cy="3781425"/>
    <xdr:pic>
      <xdr:nvPicPr>
        <xdr:cNvPr descr="https://wp.bebasket.fr/images/2025/10/Capture-decran-2025-10-06-192934.png" id="0" name="image8.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21</xdr:col>
      <xdr:colOff>342900</xdr:colOff>
      <xdr:row>0</xdr:row>
      <xdr:rowOff>57150</xdr:rowOff>
    </xdr:from>
    <xdr:ext cx="9258300" cy="3781425"/>
    <xdr:pic>
      <xdr:nvPicPr>
        <xdr:cNvPr descr="https://wp.bebasket.fr/images/2025/10/Capture-decran-2025-10-06-192934.png" id="0" name="image8.pn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504825</xdr:colOff>
      <xdr:row>0</xdr:row>
      <xdr:rowOff>57150</xdr:rowOff>
    </xdr:from>
    <xdr:ext cx="8763000" cy="3638550"/>
    <xdr:pic>
      <xdr:nvPicPr>
        <xdr:cNvPr id="0" name="image5.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504825</xdr:colOff>
      <xdr:row>19</xdr:row>
      <xdr:rowOff>57150</xdr:rowOff>
    </xdr:from>
    <xdr:ext cx="7210425" cy="4829175"/>
    <xdr:pic>
      <xdr:nvPicPr>
        <xdr:cNvPr descr="https://cms.easycredit-bbl.de/wp-content/uploads/2025/12/Club-Budgets-V2-fu%CC%88r-Website-1024x796.jpg" id="0" name="image1.jp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762000</xdr:colOff>
      <xdr:row>47</xdr:row>
      <xdr:rowOff>28575</xdr:rowOff>
    </xdr:from>
    <xdr:ext cx="4876800" cy="3505200"/>
    <xdr:pic>
      <xdr:nvPicPr>
        <xdr:cNvPr id="0" name="image6.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0</xdr:colOff>
      <xdr:row>71</xdr:row>
      <xdr:rowOff>0</xdr:rowOff>
    </xdr:from>
    <xdr:ext cx="4876800" cy="3524250"/>
    <xdr:pic>
      <xdr:nvPicPr>
        <xdr:cNvPr id="0" name="image4.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16</xdr:col>
      <xdr:colOff>0</xdr:colOff>
      <xdr:row>71</xdr:row>
      <xdr:rowOff>0</xdr:rowOff>
    </xdr:from>
    <xdr:ext cx="4876800" cy="3429000"/>
    <xdr:pic>
      <xdr:nvPicPr>
        <xdr:cNvPr id="0" name="image2.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11</xdr:col>
      <xdr:colOff>0</xdr:colOff>
      <xdr:row>89</xdr:row>
      <xdr:rowOff>0</xdr:rowOff>
    </xdr:from>
    <xdr:ext cx="4876800" cy="5867400"/>
    <xdr:pic>
      <xdr:nvPicPr>
        <xdr:cNvPr id="0" name="image3.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16</xdr:col>
      <xdr:colOff>0</xdr:colOff>
      <xdr:row>89</xdr:row>
      <xdr:rowOff>0</xdr:rowOff>
    </xdr:from>
    <xdr:ext cx="4876800" cy="4752975"/>
    <xdr:pic>
      <xdr:nvPicPr>
        <xdr:cNvPr id="0" name="image7.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209550</xdr:colOff>
      <xdr:row>2</xdr:row>
      <xdr:rowOff>9525</xdr:rowOff>
    </xdr:from>
    <xdr:ext cx="7077075" cy="3971925"/>
    <xdr:pic>
      <xdr:nvPicPr>
        <xdr:cNvPr id="0" name="image9.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13</xdr:col>
      <xdr:colOff>552450</xdr:colOff>
      <xdr:row>2</xdr:row>
      <xdr:rowOff>152400</xdr:rowOff>
    </xdr:from>
    <xdr:ext cx="4876800" cy="2733675"/>
    <xdr:pic>
      <xdr:nvPicPr>
        <xdr:cNvPr id="0" name="image10.png" title="Image"/>
        <xdr:cNvPicPr preferRelativeResize="0"/>
      </xdr:nvPicPr>
      <xdr:blipFill>
        <a:blip cstate="print" r:embed="rId7"/>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Times New Roman"/>
        <a:ea typeface="Times New Roman"/>
        <a:cs typeface="Times New Roman"/>
      </a:majorFont>
      <a:minorFont>
        <a:latin typeface="Times New Roman"/>
        <a:ea typeface="Times New Roman"/>
        <a:cs typeface="Times New Roma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basketnews.com/news-252703-fenerbahce-offseason-expected-budget-full-roster.html" TargetMode="External"/><Relationship Id="rId42" Type="http://schemas.openxmlformats.org/officeDocument/2006/relationships/hyperlink" Target="https://www.sdna.gr/mpasket/1443738_mpatzet-tis-mpesiktas-den-tha-einai-kato-apo-12-ekat-eyro" TargetMode="External"/><Relationship Id="rId41" Type="http://schemas.openxmlformats.org/officeDocument/2006/relationships/hyperlink" Target="https://x.com/Andrea__Calzoni/status/2070513497809514614" TargetMode="External"/><Relationship Id="rId44" Type="http://schemas.openxmlformats.org/officeDocument/2006/relationships/hyperlink" Target="https://www.glassrpske.com/cir/sport/kosarka/mijalovic-ostaje-na-celu-partizana/651925" TargetMode="External"/><Relationship Id="rId43" Type="http://schemas.openxmlformats.org/officeDocument/2006/relationships/hyperlink" Target="https://nova.rs/sport/kosarka/skupstina-kk-partizan-septembar-2026-detalji" TargetMode="External"/><Relationship Id="rId46" Type="http://schemas.openxmlformats.org/officeDocument/2006/relationships/hyperlink" Target="https://ekipa.svet24.si/sport/kosarka/liga-aba/zvezdan-mitrovic-cedevita-olimpija-proracun-1924093" TargetMode="External"/><Relationship Id="rId45" Type="http://schemas.openxmlformats.org/officeDocument/2006/relationships/hyperlink" Target="https://zurnal.politika.rs/scc/clanak/252853/kosarka/zvezda/drcelic-teodosic-tomic-i-navaro-za-novu-dimenziju" TargetMode="External"/><Relationship Id="rId1" Type="http://schemas.openxmlformats.org/officeDocument/2006/relationships/hyperlink" Target="https://cronicavasca.elespanol.com/deportes/20260910/baskonia-contara-cuarto-presupuesto-acb-millones-euros/1003742791603_0.html" TargetMode="External"/><Relationship Id="rId2" Type="http://schemas.openxmlformats.org/officeDocument/2006/relationships/hyperlink" Target="https://www.diariosur.es/unicaja/competencia-nunca-unicaja-20260628120526-nt.html" TargetMode="External"/><Relationship Id="rId3" Type="http://schemas.openxmlformats.org/officeDocument/2006/relationships/hyperlink" Target="https://www.merchanendirecto.es/presupuesto-de-record-para-unicaja/" TargetMode="External"/><Relationship Id="rId4" Type="http://schemas.openxmlformats.org/officeDocument/2006/relationships/hyperlink" Target="https://cronicavasca.elespanol.com/deportes/20260910/baskonia-contara-cuarto-presupuesto-acb-millones-euros/1003742791603_0.html" TargetMode="External"/><Relationship Id="rId9" Type="http://schemas.openxmlformats.org/officeDocument/2006/relationships/hyperlink" Target="https://www.sport.es/es/noticias/barca/baloncesto/salto-dara-barca-basket-nivel-130299412" TargetMode="External"/><Relationship Id="rId48" Type="http://schemas.openxmlformats.org/officeDocument/2006/relationships/hyperlink" Target="https://sportacentrs.com/basketbols/eirokausi/23072026-rigas_zelli_merke_uz_2_5_miljonu_budzetu_" TargetMode="External"/><Relationship Id="rId47" Type="http://schemas.openxmlformats.org/officeDocument/2006/relationships/hyperlink" Target="https://www.sport5.co.il/articles.aspx?FolderID=11840&amp;docID=559870" TargetMode="External"/><Relationship Id="rId49" Type="http://schemas.openxmlformats.org/officeDocument/2006/relationships/hyperlink" Target="https://jauns.lv/raksts/sports/728150-vef-riga-atklaj-sis-sezonas-ambiciozos-merkus-un-verienigo-budzetu" TargetMode="External"/><Relationship Id="rId5" Type="http://schemas.openxmlformats.org/officeDocument/2006/relationships/hyperlink" Target="https://www.merchanendirecto.es/presupuesto-de-record-para-unicaja/" TargetMode="External"/><Relationship Id="rId6" Type="http://schemas.openxmlformats.org/officeDocument/2006/relationships/hyperlink" Target="https://cronicavasca.elespanol.com/deportes/20260910/baskonia-contara-cuarto-presupuesto-acb-millones-euros/1003742791603_0.html" TargetMode="External"/><Relationship Id="rId7" Type="http://schemas.openxmlformats.org/officeDocument/2006/relationships/hyperlink" Target="https://www.lesportiudecatalunya.cat/basquet/article/2659368-aposta-forta-6-5-milions-d-euros-mes.html" TargetMode="External"/><Relationship Id="rId8" Type="http://schemas.openxmlformats.org/officeDocument/2006/relationships/hyperlink" Target="https://cronicaglobal.elespanol.com/culemania/palco/20260321/laporta-subira-presupuesto-barca-basket-millones-temporada/1003742743992_0.html" TargetMode="External"/><Relationship Id="rId73" Type="http://schemas.openxmlformats.org/officeDocument/2006/relationships/hyperlink" Target="https://basketballsphere.com/en/hapoel-tel-aviv-planning-budget-increase/" TargetMode="External"/><Relationship Id="rId72" Type="http://schemas.openxmlformats.org/officeDocument/2006/relationships/hyperlink" Target="https://basketballsphere.com/en/asvel-budget-cut-59-million-24-million-tony-parker/" TargetMode="External"/><Relationship Id="rId31" Type="http://schemas.openxmlformats.org/officeDocument/2006/relationships/hyperlink" Target="https://www.15min.lt/24sek/naujiena/europa/lkl-klubai-prie-starto-linijos-i-dalis-biudzetai-zvaigzdes-klaustukai-ir-prognozes-874-2527376" TargetMode="External"/><Relationship Id="rId75" Type="http://schemas.openxmlformats.org/officeDocument/2006/relationships/hyperlink" Target="https://basketballsphere.com/en/possible-increase-in-barcelona-budget-for-next-season/" TargetMode="External"/><Relationship Id="rId30" Type="http://schemas.openxmlformats.org/officeDocument/2006/relationships/hyperlink" Target="https://www.15min.lt/24sek/naujiena/lietuva/lkl-klubai-prie-starto-linijos-ii-dalis-rekordinis-ryto-biudzetas-ir-neptuno-potencialas-875-2525574" TargetMode="External"/><Relationship Id="rId74" Type="http://schemas.openxmlformats.org/officeDocument/2006/relationships/hyperlink" Target="https://basketballsphere.com/en/high-ambitions-paoks-budget-to-increase-by-12-million-euros-next-season/" TargetMode="External"/><Relationship Id="rId33" Type="http://schemas.openxmlformats.org/officeDocument/2006/relationships/hyperlink" Target="https://www.15min.lt/24sek/naujiena/europa/lkl-klubai-prie-starto-linijos-i-dalis-biudzetai-zvaigzdes-klaustukai-ir-prognozes-874-2527376" TargetMode="External"/><Relationship Id="rId77" Type="http://schemas.openxmlformats.org/officeDocument/2006/relationships/hyperlink" Target="https://basketballsphere.com/en/nedim-yucel-besiktas-dusan-alimpijevic/" TargetMode="External"/><Relationship Id="rId32" Type="http://schemas.openxmlformats.org/officeDocument/2006/relationships/hyperlink" Target="https://www.15min.lt/24sek/naujiena/lietuva/lkl-klubai-prie-starto-linijos-ii-dalis-rekordinis-ryto-biudzetas-ir-neptuno-potencialas-875-2525574" TargetMode="External"/><Relationship Id="rId76" Type="http://schemas.openxmlformats.org/officeDocument/2006/relationships/hyperlink" Target="https://basketballsphere.com/en/possible-increase-in-barcelona-budget-for-next-season/" TargetMode="External"/><Relationship Id="rId35" Type="http://schemas.openxmlformats.org/officeDocument/2006/relationships/hyperlink" Target="https://www.15min.lt/24sek/naujiena/europa/lkl-klubai-prie-starto-linijos-i-dalis-biudzetai-zvaigzdes-klaustukai-ir-prognozes-874-2527376" TargetMode="External"/><Relationship Id="rId34" Type="http://schemas.openxmlformats.org/officeDocument/2006/relationships/hyperlink" Target="https://www.15min.lt/24sek/naujiena/lietuva/lkl-klubai-prie-starto-linijos-ii-dalis-rekordinis-ryto-biudzetas-ir-neptuno-potencialas-875-2525574" TargetMode="External"/><Relationship Id="rId78" Type="http://schemas.openxmlformats.org/officeDocument/2006/relationships/drawing" Target="../drawings/drawing1.xml"/><Relationship Id="rId71" Type="http://schemas.openxmlformats.org/officeDocument/2006/relationships/hyperlink" Target="https://basketballsphere.com/en/asvel-preparing-major-budget-leap-next-season/" TargetMode="External"/><Relationship Id="rId70" Type="http://schemas.openxmlformats.org/officeDocument/2006/relationships/hyperlink" Target="https://basketballsphere.com/en/crvena-zvezda-president-zeljko-drcelic-budget-nikola-vucevic-talks/" TargetMode="External"/><Relationship Id="rId37" Type="http://schemas.openxmlformats.org/officeDocument/2006/relationships/hyperlink" Target="https://www.gazzetta.gr/basketball/euroleague/2552984/panathinaikos-giampoysele-o-3os-me-4-ekatommyria-symbolaio-prokalei" TargetMode="External"/><Relationship Id="rId36" Type="http://schemas.openxmlformats.org/officeDocument/2006/relationships/hyperlink" Target="https://www.15min.lt/24sek/naujiena/lietuva/lkl-klubai-prie-starto-linijos-ii-dalis-rekordinis-ryto-biudzetas-ir-neptuno-potencialas-875-2525574" TargetMode="External"/><Relationship Id="rId39" Type="http://schemas.openxmlformats.org/officeDocument/2006/relationships/hyperlink" Target="https://www.fanatik.com.tr/fenerbahce/basketbol/fenerbahce-basketbolda-aziz-yildirim-ek-butceye-onay-verdi-ama-tek-bir-sartla-2632209" TargetMode="External"/><Relationship Id="rId38" Type="http://schemas.openxmlformats.org/officeDocument/2006/relationships/hyperlink" Target="https://basketfaul.com.tr/turkiye/bsl/basketnews-fenerbahcenin-oyuncu-butcesi-gecen-sezonki-gibi-17-milyon-euro/" TargetMode="External"/><Relationship Id="rId62" Type="http://schemas.openxmlformats.org/officeDocument/2006/relationships/hyperlink" Target="https://x.com/sercanhamzaolu/status/2081041163759329452" TargetMode="External"/><Relationship Id="rId61" Type="http://schemas.openxmlformats.org/officeDocument/2006/relationships/hyperlink" Target="https://basketnews.com/news-252703-fenerbahce-offseason-expected-budget-full-roster.html" TargetMode="External"/><Relationship Id="rId20" Type="http://schemas.openxmlformats.org/officeDocument/2006/relationships/hyperlink" Target="https://www.15min.lt/24sek/naujiena/lietuva/lkl-klubai-prie-starto-linijos-ii-dalis-rekordinis-ryto-biudzetas-ir-neptuno-potencialas-875-2525574" TargetMode="External"/><Relationship Id="rId64" Type="http://schemas.openxmlformats.org/officeDocument/2006/relationships/hyperlink" Target="https://www.diariosur.es/unicaja/presupuesto-record-unicaja-baloncesto-2026-2027-20260611183146-nt.html" TargetMode="External"/><Relationship Id="rId63" Type="http://schemas.openxmlformats.org/officeDocument/2006/relationships/hyperlink" Target="https://www.israelhayom.co.il/sport/israeli-basketball/article/21159863" TargetMode="External"/><Relationship Id="rId22" Type="http://schemas.openxmlformats.org/officeDocument/2006/relationships/hyperlink" Target="https://www.15min.lt/24sek/naujiena/lietuva/lkl-klubai-prie-starto-linijos-ii-dalis-rekordinis-ryto-biudzetas-ir-neptuno-potencialas-875-2525574" TargetMode="External"/><Relationship Id="rId66" Type="http://schemas.openxmlformats.org/officeDocument/2006/relationships/hyperlink" Target="https://telesport.rs/2026/08/16/kamenjasevic-partizan-je-rekao-zvanicno-da-ima-najveci-budzet-u-istoriji-a-zvezda-zvanicno-ili-nezvanicno-oko-26-do-27-miliona/" TargetMode="External"/><Relationship Id="rId21" Type="http://schemas.openxmlformats.org/officeDocument/2006/relationships/hyperlink" Target="https://www.15min.lt/24sek/naujiena/europa/lkl-klubai-prie-starto-linijos-i-dalis-biudzetai-zvaigzdes-klaustukai-ir-prognozes-874-2527376" TargetMode="External"/><Relationship Id="rId65" Type="http://schemas.openxmlformats.org/officeDocument/2006/relationships/hyperlink" Target="https://www.pianetabasket.com/legabasket-serie-a/budget-triplicato-in-quattro-anni-cosi-varese-puo-diventare-grande" TargetMode="External"/><Relationship Id="rId24" Type="http://schemas.openxmlformats.org/officeDocument/2006/relationships/hyperlink" Target="https://www.15min.lt/24sek/naujiena/lietuva/lkl-klubai-prie-starto-linijos-ii-dalis-rekordinis-ryto-biudzetas-ir-neptuno-potencialas-875-2525574" TargetMode="External"/><Relationship Id="rId68" Type="http://schemas.openxmlformats.org/officeDocument/2006/relationships/hyperlink" Target="https://www.pianetabasket.com/legabasket-serie-a/maxima-roma-il-budget-per-il-mercato-supera-i-5-milioni-di-euro-netti" TargetMode="External"/><Relationship Id="rId23" Type="http://schemas.openxmlformats.org/officeDocument/2006/relationships/hyperlink" Target="https://www.15min.lt/24sek/naujiena/europa/lkl-klubai-prie-starto-linijos-i-dalis-biudzetai-zvaigzdes-klaustukai-ir-prognozes-874-2527376" TargetMode="External"/><Relationship Id="rId67" Type="http://schemas.openxmlformats.org/officeDocument/2006/relationships/hyperlink" Target="https://x.com/XaviCasals_/status/2090010343707750486" TargetMode="External"/><Relationship Id="rId60" Type="http://schemas.openxmlformats.org/officeDocument/2006/relationships/hyperlink" Target="https://x.com/Eurohoopsnet/status/2053479537191653467" TargetMode="External"/><Relationship Id="rId26" Type="http://schemas.openxmlformats.org/officeDocument/2006/relationships/hyperlink" Target="https://www.15min.lt/24sek/naujiena/lietuva/lkl-klubai-prie-starto-linijos-ii-dalis-rekordinis-ryto-biudzetas-ir-neptuno-potencialas-875-2525574" TargetMode="External"/><Relationship Id="rId25" Type="http://schemas.openxmlformats.org/officeDocument/2006/relationships/hyperlink" Target="https://www.15min.lt/24sek/naujiena/europa/lkl-klubai-prie-starto-linijos-i-dalis-biudzetai-zvaigzdes-klaustukai-ir-prognozes-874-2527376" TargetMode="External"/><Relationship Id="rId69" Type="http://schemas.openxmlformats.org/officeDocument/2006/relationships/hyperlink" Target="https://basketballsphere.com/en/eurocup-rejections-bosna-new-budget/" TargetMode="External"/><Relationship Id="rId28" Type="http://schemas.openxmlformats.org/officeDocument/2006/relationships/hyperlink" Target="https://www.15min.lt/24sek/naujiena/lietuva/lkl-klubai-prie-starto-linijos-ii-dalis-rekordinis-ryto-biudzetas-ir-neptuno-potencialas-875-2525574" TargetMode="External"/><Relationship Id="rId27" Type="http://schemas.openxmlformats.org/officeDocument/2006/relationships/hyperlink" Target="https://www.15min.lt/24sek/naujiena/europa/lkl-klubai-prie-starto-linijos-i-dalis-biudzetai-zvaigzdes-klaustukai-ir-prognozes-874-2527376" TargetMode="External"/><Relationship Id="rId29" Type="http://schemas.openxmlformats.org/officeDocument/2006/relationships/hyperlink" Target="https://www.15min.lt/24sek/naujiena/europa/lkl-klubai-prie-starto-linijos-i-dalis-biudzetai-zvaigzdes-klaustukai-ir-prognozes-874-2527376" TargetMode="External"/><Relationship Id="rId51" Type="http://schemas.openxmlformats.org/officeDocument/2006/relationships/hyperlink" Target="https://zkrainynba.com/michal-szolc-ujawnia-mamy-juz-9-z-11-kontraktow/?fbclid=IwY2xjawTECbBleHRuA2FlbQIxMABicmlkETB5WGRNWXE3bnoxT0ZkdlBMc3J0YwZhcHBfaWQQMjIyMDM5MTc4ODIwMDg5MgABHlNAjiL-w6cuuFoNP6F1doBaSwMgtyFxY1RZcueGYQyiw7MeX3oltHmyYuct_aem_KnbhgEOH2a5M11rMUpac0A" TargetMode="External"/><Relationship Id="rId50" Type="http://schemas.openxmlformats.org/officeDocument/2006/relationships/hyperlink" Target="https://sportacentrs.com/basketbols/lbl/22052026-jaunups_ieskice_vef_riga_nakamas_sezonas_" TargetMode="External"/><Relationship Id="rId53" Type="http://schemas.openxmlformats.org/officeDocument/2006/relationships/hyperlink" Target="https://www.eurohoops.net/en/eurocup/1975801/vassilis-spanoulis-reaches-deal-with-aris-eurocup/" TargetMode="External"/><Relationship Id="rId52" Type="http://schemas.openxmlformats.org/officeDocument/2006/relationships/hyperlink" Target="https://www.sportime.gr/basket/aek-basket-to-plano-angelopoulou-gia-na-paramini-ischiri-stin-ellada/" TargetMode="External"/><Relationship Id="rId11" Type="http://schemas.openxmlformats.org/officeDocument/2006/relationships/hyperlink" Target="https://www.merchanendirecto.es/presupuesto-de-record-para-unicaja/" TargetMode="External"/><Relationship Id="rId55" Type="http://schemas.openxmlformats.org/officeDocument/2006/relationships/hyperlink" Target="https://sport.interia.pl/koszykowka/liga-mezczyzn/news-prezes-astorii-odslania-karty-po-awansie-cel-milion-dolarow,nId,23490005" TargetMode="External"/><Relationship Id="rId10" Type="http://schemas.openxmlformats.org/officeDocument/2006/relationships/hyperlink" Target="https://www.diariosur.es/unicaja/presupuesto-record-unicaja-baloncesto-2026-2027-20260611183146-nt.html" TargetMode="External"/><Relationship Id="rId54" Type="http://schemas.openxmlformats.org/officeDocument/2006/relationships/hyperlink" Target="https://sportando.basketball/en/paok-approves-e12m-capital-increase-for-the-clubs-basketball-company/" TargetMode="External"/><Relationship Id="rId13" Type="http://schemas.openxmlformats.org/officeDocument/2006/relationships/hyperlink" Target="https://www.segre.com/es/deportes/260820/empieza-reto_1308642.html" TargetMode="External"/><Relationship Id="rId57" Type="http://schemas.openxmlformats.org/officeDocument/2006/relationships/hyperlink" Target="https://x.com/hizlihucum/status/2070424325295890624" TargetMode="External"/><Relationship Id="rId12" Type="http://schemas.openxmlformats.org/officeDocument/2006/relationships/hyperlink" Target="https://cronicavasca.elespanol.com/deportes/20260910/baskonia-contara-cuarto-presupuesto-acb-millones-euros/1003742791603_0.html" TargetMode="External"/><Relationship Id="rId56" Type="http://schemas.openxmlformats.org/officeDocument/2006/relationships/hyperlink" Target="https://x.com/hizlihucum/status/2074955667945787879" TargetMode="External"/><Relationship Id="rId15" Type="http://schemas.openxmlformats.org/officeDocument/2006/relationships/hyperlink" Target="https://www.elcorreogallego.es/deportes/2026/09/02/obradoiro-desnuda-regreso-acb-monbus-liga-endesa-diego-epifanio-epi-hector-galan-mercado-fichajes-133867789.html" TargetMode="External"/><Relationship Id="rId59" Type="http://schemas.openxmlformats.org/officeDocument/2006/relationships/hyperlink" Target="https://www.youtube.com/watch?v=-r-2jUPjnEI" TargetMode="External"/><Relationship Id="rId14" Type="http://schemas.openxmlformats.org/officeDocument/2006/relationships/hyperlink" Target="https://www.lavozdegalicia.es/noticia/basquetcoruna/2026/06/10/leyma-basquet-coruna-contara-presupuesto-5-6-millones/00031781113228571297171.htm" TargetMode="External"/><Relationship Id="rId58" Type="http://schemas.openxmlformats.org/officeDocument/2006/relationships/hyperlink" Target="https://x.com/K_Wasiek/status/2077038127659585664" TargetMode="External"/><Relationship Id="rId17" Type="http://schemas.openxmlformats.org/officeDocument/2006/relationships/hyperlink" Target="https://www.15min.lt/24sek/naujiena/europa/lkl-klubai-prie-starto-linijos-i-dalis-biudzetai-zvaigzdes-klaustukai-ir-prognozes-874-2527376" TargetMode="External"/><Relationship Id="rId16" Type="http://schemas.openxmlformats.org/officeDocument/2006/relationships/hyperlink" Target="https://x.com/hizlihucum/status/2070424325295890624" TargetMode="External"/><Relationship Id="rId19" Type="http://schemas.openxmlformats.org/officeDocument/2006/relationships/hyperlink" Target="https://www.15min.lt/24sek/naujiena/europa/lkl-klubai-prie-starto-linijos-i-dalis-biudzetai-zvaigzdes-klaustukai-ir-prognozes-874-2527376" TargetMode="External"/><Relationship Id="rId18" Type="http://schemas.openxmlformats.org/officeDocument/2006/relationships/hyperlink" Target="https://www.15min.lt/24sek/naujiena/lietuva/lkl-klubai-prie-starto-linijos-ii-dalis-rekordinis-ryto-biudzetas-ir-neptuno-potencialas-875-2525574"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obiettivolavoro.it/stipendi-basket-serie-a-quanto-guadagnano-i-giocatori-cestisti/" TargetMode="External"/><Relationship Id="rId190" Type="http://schemas.openxmlformats.org/officeDocument/2006/relationships/hyperlink" Target="https://www.bleague.jp/files/user/about/pdf/financial_settlement_2024.pdf" TargetMode="External"/><Relationship Id="rId42" Type="http://schemas.openxmlformats.org/officeDocument/2006/relationships/hyperlink" Target="https://basketnews.com/news-233398-euroleague-budgets-payrolls-2026-biggest-spenders.html" TargetMode="External"/><Relationship Id="rId41" Type="http://schemas.openxmlformats.org/officeDocument/2006/relationships/hyperlink" Target="https://realolimpiamilano.com/2025/06/10/bilancio-olimpia-milano-2024-22-3-milioni-in-salari-e-stipendi/?utm_source=chatgpt.com" TargetMode="External"/><Relationship Id="rId44" Type="http://schemas.openxmlformats.org/officeDocument/2006/relationships/hyperlink" Target="https://www.reportaziende.it/pallacanestro_olimpia_milano_societa_sportiva_a_responsabilita_limitata_o_pallacanestro_ol_mi_01852920154" TargetMode="External"/><Relationship Id="rId194" Type="http://schemas.openxmlformats.org/officeDocument/2006/relationships/hyperlink" Target="https://www.bleague.jp/files/user/about/pdf/financial_settlement_2024.pdf" TargetMode="External"/><Relationship Id="rId43" Type="http://schemas.openxmlformats.org/officeDocument/2006/relationships/hyperlink" Target="https://basketnews.com/news-204932-euroleague-teams-clubs-budgets.html" TargetMode="External"/><Relationship Id="rId193" Type="http://schemas.openxmlformats.org/officeDocument/2006/relationships/hyperlink" Target="https://www.bleague.jp/files/user/about/pdf/financial_settlement_2024.pdf" TargetMode="External"/><Relationship Id="rId46" Type="http://schemas.openxmlformats.org/officeDocument/2006/relationships/hyperlink" Target="https://www.reportaziende.it/societa_sportiva_professionistica_reyer_venezia_mestre_srl_in_sigla_ssp_reyer_venezi_ve_03849670272" TargetMode="External"/><Relationship Id="rId192" Type="http://schemas.openxmlformats.org/officeDocument/2006/relationships/hyperlink" Target="https://www.bleague.jp/files/user/about/pdf/financial_settlement_2024.pdf" TargetMode="External"/><Relationship Id="rId45" Type="http://schemas.openxmlformats.org/officeDocument/2006/relationships/hyperlink" Target="https://sport.888casino.it/blog/stipendi-venezia-basket" TargetMode="External"/><Relationship Id="rId191" Type="http://schemas.openxmlformats.org/officeDocument/2006/relationships/hyperlink" Target="https://www.bleague.jp/files/user/about/pdf/financial_settlement_2024.pdf" TargetMode="External"/><Relationship Id="rId48" Type="http://schemas.openxmlformats.org/officeDocument/2006/relationships/hyperlink" Target="https://www.gazzetta.it/Basket/SerieA/16-01-2026/basket-tortona-e-il-report-semestrale-il-palasport-i-partner-la-visione-il-territorio.shtml" TargetMode="External"/><Relationship Id="rId187" Type="http://schemas.openxmlformats.org/officeDocument/2006/relationships/hyperlink" Target="https://www.bleague.jp/files/user/about/pdf/financial_settlement_2024.pdf" TargetMode="External"/><Relationship Id="rId47" Type="http://schemas.openxmlformats.org/officeDocument/2006/relationships/hyperlink" Target="https://www.pianetabasket.com/olimpia-milano/lera-armani-vale-253-milioni-i-conti-di-olimpia-milano-nellanno-del-triplete" TargetMode="External"/><Relationship Id="rId186" Type="http://schemas.openxmlformats.org/officeDocument/2006/relationships/hyperlink" Target="https://www.bleague.jp/files/user/about/pdf/financial_settlement_2024.pdf" TargetMode="External"/><Relationship Id="rId185" Type="http://schemas.openxmlformats.org/officeDocument/2006/relationships/hyperlink" Target="https://www.bleague.jp/files/user/about/pdf/financial_settlement_2024.pdf" TargetMode="External"/><Relationship Id="rId49" Type="http://schemas.openxmlformats.org/officeDocument/2006/relationships/hyperlink" Target="https://www.reportaziende.it/derthona_basket_societa_sportiva_a_responsabilita_limitata_al_02224170064" TargetMode="External"/><Relationship Id="rId184" Type="http://schemas.openxmlformats.org/officeDocument/2006/relationships/hyperlink" Target="https://www.bleague.jp/files/user/about/pdf/financial_settlement_2024.pdf" TargetMode="External"/><Relationship Id="rId189" Type="http://schemas.openxmlformats.org/officeDocument/2006/relationships/hyperlink" Target="https://www.bleague.jp/files/user/about/pdf/financial_settlement_2024.pdf" TargetMode="External"/><Relationship Id="rId188" Type="http://schemas.openxmlformats.org/officeDocument/2006/relationships/hyperlink" Target="https://www.bleague.jp/files/user/about/pdf/financial_settlement_2024.pdf" TargetMode="External"/><Relationship Id="rId31" Type="http://schemas.openxmlformats.org/officeDocument/2006/relationships/hyperlink" Target="https://foros.acb.com/forum/index.php?thread/521107-casademont-zaragoza-2025-2026-confiamos-en-plaza-si-se-puede/&amp;postID=33965944" TargetMode="External"/><Relationship Id="rId30" Type="http://schemas.openxmlformats.org/officeDocument/2006/relationships/hyperlink" Target="https://www.segre.com/es/opinion/editorial/250802/el-gran-coste-de-competir-en-la-elite-deportiva_913619.html" TargetMode="External"/><Relationship Id="rId33" Type="http://schemas.openxmlformats.org/officeDocument/2006/relationships/hyperlink" Target="https://www.atlanticohoy.com/deportes-sa/cb-gran-canaria-aprueba-presupuesto-103-millones-mitad-procede-erario-publico_1538123_102.html" TargetMode="External"/><Relationship Id="rId183" Type="http://schemas.openxmlformats.org/officeDocument/2006/relationships/hyperlink" Target="https://www.bleague.jp/files/user/about/pdf/financial_settlement_2024.pdf" TargetMode="External"/><Relationship Id="rId32" Type="http://schemas.openxmlformats.org/officeDocument/2006/relationships/hyperlink" Target="https://www.bca.ad/es/el-bc-morabanc-andorra-reafirma-su-solidez-economica-y-su-compromiso-con-la-transparencia/" TargetMode="External"/><Relationship Id="rId182" Type="http://schemas.openxmlformats.org/officeDocument/2006/relationships/hyperlink" Target="https://www.bleague.jp/files/user/about/pdf/financial_settlement_2024.pdf" TargetMode="External"/><Relationship Id="rId35" Type="http://schemas.openxmlformats.org/officeDocument/2006/relationships/hyperlink" Target="https://www.basketnews.lt/news-180219-brangiausiu-eurolygos-zaideju-penkioliktukas.html" TargetMode="External"/><Relationship Id="rId181" Type="http://schemas.openxmlformats.org/officeDocument/2006/relationships/hyperlink" Target="https://www.bleague.jp/files/user/about/pdf/financial_settlement_2024.pdf" TargetMode="External"/><Relationship Id="rId34" Type="http://schemas.openxmlformats.org/officeDocument/2006/relationships/hyperlink" Target="https://www.ideal.es/deportes/fundacioncbgranada/coviran-invierte-poco-dos-millones-euros-jugadores-20251022095748-nt.html?ref=https%3A%2F%2Fwww.ideal.es%2Fdeportes%2Ffundacioncbgranada%2Fcoviran-invierte-poco-dos-millones-euros-jugadores-20251022095748-nt.html" TargetMode="External"/><Relationship Id="rId180" Type="http://schemas.openxmlformats.org/officeDocument/2006/relationships/hyperlink" Target="https://www.bleague.jp/files/user/about/pdf/financial_settlement_2024.pdf" TargetMode="External"/><Relationship Id="rId37" Type="http://schemas.openxmlformats.org/officeDocument/2006/relationships/hyperlink" Target="https://www.reportaziende.it/virtus_pallacanestro_bologna_societa_per_azioni_bo_00584700371" TargetMode="External"/><Relationship Id="rId176" Type="http://schemas.openxmlformats.org/officeDocument/2006/relationships/hyperlink" Target="https://www.bleague.jp/files/user/about/pdf/financial_settlement_2024.pdf" TargetMode="External"/><Relationship Id="rId36" Type="http://schemas.openxmlformats.org/officeDocument/2006/relationships/hyperlink" Target="https://basketnews.com/news-233398-euroleague-budgets-payrolls-2026-biggest-spenders.html" TargetMode="External"/><Relationship Id="rId175" Type="http://schemas.openxmlformats.org/officeDocument/2006/relationships/hyperlink" Target="https://www.espn.com.au/nbl/story/_/id/49150036/how-much-nbl-team-spent-2025-26" TargetMode="External"/><Relationship Id="rId39" Type="http://schemas.openxmlformats.org/officeDocument/2006/relationships/hyperlink" Target="https://www.reportaziende.it/pallacanestro_brescia_srl_bs_02800370989" TargetMode="External"/><Relationship Id="rId174" Type="http://schemas.openxmlformats.org/officeDocument/2006/relationships/hyperlink" Target="https://www.espn.com.au/nbl/story/_/id/49150036/how-much-nbl-team-spent-2025-26" TargetMode="External"/><Relationship Id="rId38" Type="http://schemas.openxmlformats.org/officeDocument/2006/relationships/hyperlink" Target="https://www.ufficiocamerale.it/3138/pallacanestro-brescia-srl" TargetMode="External"/><Relationship Id="rId173" Type="http://schemas.openxmlformats.org/officeDocument/2006/relationships/hyperlink" Target="https://www.espn.com.au/nbl/story/_/id/49150036/how-much-nbl-team-spent-2025-26" TargetMode="External"/><Relationship Id="rId179" Type="http://schemas.openxmlformats.org/officeDocument/2006/relationships/hyperlink" Target="https://www.bleague.jp/files/user/about/pdf/financial_settlement_2024.pdf" TargetMode="External"/><Relationship Id="rId178" Type="http://schemas.openxmlformats.org/officeDocument/2006/relationships/hyperlink" Target="https://www.bleague.jp/files/user/about/pdf/financial_settlement_2024.pdf" TargetMode="External"/><Relationship Id="rId177" Type="http://schemas.openxmlformats.org/officeDocument/2006/relationships/hyperlink" Target="https://www.bleague.jp/files/user/about/pdf/financial_settlement_2024.pdf" TargetMode="External"/><Relationship Id="rId20" Type="http://schemas.openxmlformats.org/officeDocument/2006/relationships/hyperlink" Target="https://www.eldia.es/deportes/cb-canarias/2026/01/19/canarias-cierra-pasado-ejercicio-200-125859060.html" TargetMode="External"/><Relationship Id="rId22" Type="http://schemas.openxmlformats.org/officeDocument/2006/relationships/hyperlink" Target="https://www.malagahoy.es/unicaja/presupuestos-euroliga-24-25-estaria-unicaja_0_2003407564.html" TargetMode="External"/><Relationship Id="rId21" Type="http://schemas.openxmlformats.org/officeDocument/2006/relationships/hyperlink" Target="https://www.2playbook.com/clubes/laguna-tenerife-cierra-en-beneficios-factura-114-millones-euros-en-2024-2025_21196_102.html" TargetMode="External"/><Relationship Id="rId24" Type="http://schemas.openxmlformats.org/officeDocument/2006/relationships/hyperlink" Target="https://palco23.mundodeportivo.com/clubes/baxi-manresa-busca-la-permanencia-con-41-millones-de-presupuesto-en-2025-2026" TargetMode="External"/><Relationship Id="rId23" Type="http://schemas.openxmlformats.org/officeDocument/2006/relationships/hyperlink" Target="https://www.malagahoy.es/unicaja/estaria-unicaja-ranking-gasto-neto_0_2005999254.html" TargetMode="External"/><Relationship Id="rId26" Type="http://schemas.openxmlformats.org/officeDocument/2006/relationships/hyperlink" Target="https://www.2playbook.com/clubes/rio-breogan-cierra-2023-2024-con-beneficio-600000-euros-presupuesta-417-millones_17233_102.html" TargetMode="External"/><Relationship Id="rId25" Type="http://schemas.openxmlformats.org/officeDocument/2006/relationships/hyperlink" Target="https://www.cbbreogan.com/jgo/INFORME_DE_GESTION_24_25.pdf" TargetMode="External"/><Relationship Id="rId28" Type="http://schemas.openxmlformats.org/officeDocument/2006/relationships/hyperlink" Target="https://palco23.mundodeportivo.com/clubes/basquet-girona-objetivo-cumplido-en-2022-2023-con-hasta-cuatro-millones-de-presupuesto" TargetMode="External"/><Relationship Id="rId27" Type="http://schemas.openxmlformats.org/officeDocument/2006/relationships/hyperlink" Target="https://www.2playbook.com/clubes/marc-gasol-inyectara-24-millones-en-basquet-girona-convertir-club-en-sad_14882_102.html" TargetMode="External"/><Relationship Id="rId29" Type="http://schemas.openxmlformats.org/officeDocument/2006/relationships/hyperlink" Target="https://diaricatalunya.cat/es/segria/lleida/el-forca-lleida-roza-los-seis-millones-de-euros-de-presupuesto-cifra-record" TargetMode="External"/><Relationship Id="rId11" Type="http://schemas.openxmlformats.org/officeDocument/2006/relationships/hyperlink" Target="https://cadenaser.com/murcia/2025/05/14/alejandro-gomez-presupuesto-de-ucam-murcia-y-planificacion-de-la-proxima-temporada-radio-murcia/" TargetMode="External"/><Relationship Id="rId10" Type="http://schemas.openxmlformats.org/officeDocument/2006/relationships/hyperlink" Target="https://www.marca.com/baloncesto/acb/playoffs/2024/06/06/665de632268e3e39178b4602.html" TargetMode="External"/><Relationship Id="rId13" Type="http://schemas.openxmlformats.org/officeDocument/2006/relationships/hyperlink" Target="https://www.eurohoops.net/en/euroleague/1941681/joan-laporta-talks-budget-barcelona-euroleague/" TargetMode="External"/><Relationship Id="rId12" Type="http://schemas.openxmlformats.org/officeDocument/2006/relationships/hyperlink" Target="https://palco23.mundodeportivo.com/clubes/ucam-murcia-refuerza-su-estructura-con-una-ampliacion-de-capital-de-970000-euros" TargetMode="External"/><Relationship Id="rId15" Type="http://schemas.openxmlformats.org/officeDocument/2006/relationships/hyperlink" Target="https://palco23.mundodeportivo.com/clubes/joventut-de-badalona-perdio-46-millones-en-un-complicado-2023-2024" TargetMode="External"/><Relationship Id="rId198" Type="http://schemas.openxmlformats.org/officeDocument/2006/relationships/hyperlink" Target="https://www.bleague.jp/files/user/about/pdf/financial_settlement_2024.pdf" TargetMode="External"/><Relationship Id="rId14" Type="http://schemas.openxmlformats.org/officeDocument/2006/relationships/hyperlink" Target="https://www.2playbook.com/clubes/joventut-badalona-formaliza-ampliacion-capital-717685-euros_17599_102.html" TargetMode="External"/><Relationship Id="rId197" Type="http://schemas.openxmlformats.org/officeDocument/2006/relationships/hyperlink" Target="https://www.bleague.jp/files/user/about/pdf/financial_settlement_2024.pdf" TargetMode="External"/><Relationship Id="rId17" Type="http://schemas.openxmlformats.org/officeDocument/2006/relationships/hyperlink" Target="https://www.naiz.eus/info/noticia/20251230/bilbao-basket-aprueba-un-presupuesto-de-5-4-millones-de-euros-para-cerrar-un-curso-historico" TargetMode="External"/><Relationship Id="rId196" Type="http://schemas.openxmlformats.org/officeDocument/2006/relationships/hyperlink" Target="https://www.bleague.jp/files/user/about/pdf/financial_settlement_2024.pdf" TargetMode="External"/><Relationship Id="rId16" Type="http://schemas.openxmlformats.org/officeDocument/2006/relationships/hyperlink" Target="https://palco23.mundodeportivo.com/clubes/joventut-de-badalona-engorda-su-agujero-pese-a-recortar-casi-un-30-sus-perdidas-en-2024-2025" TargetMode="External"/><Relationship Id="rId195" Type="http://schemas.openxmlformats.org/officeDocument/2006/relationships/hyperlink" Target="https://www.bleague.jp/files/user/about/pdf/financial_settlement_2024.pdf" TargetMode="External"/><Relationship Id="rId19" Type="http://schemas.openxmlformats.org/officeDocument/2006/relationships/hyperlink" Target="https://www.elcorreo.com/bilbaobasket/surne-bilbao-fija-presupuesto-millones-destina-brutos-20251229212548-nt.html?ref=https%3A%2F%2Fwww.elcorreo.com%2Fbilbaobasket%2Fsurne-bilbao-fija-presupuesto-millones-destina-brutos-20251229212548-nt.html" TargetMode="External"/><Relationship Id="rId18" Type="http://schemas.openxmlformats.org/officeDocument/2006/relationships/hyperlink" Target="https://radiopopular.com/2025/12/el-bilbao-basket-pasa-de-resistir-a-construir-futuro" TargetMode="External"/><Relationship Id="rId199" Type="http://schemas.openxmlformats.org/officeDocument/2006/relationships/hyperlink" Target="https://www.bleague.jp/files/user/about/pdf/financial_settlement_2024.pdf" TargetMode="External"/><Relationship Id="rId84" Type="http://schemas.openxmlformats.org/officeDocument/2006/relationships/hyperlink" Target="https://www.superbasket.gr/basket-league/115461-angelopoulos-prin-tria-chronia-me-eiche-plesiasei-fund-gia-na-agorasei-tis-metoches-tes-aek.html" TargetMode="External"/><Relationship Id="rId83" Type="http://schemas.openxmlformats.org/officeDocument/2006/relationships/hyperlink" Target="https://www.foxbet.gr/315873/mpatzet-omadon-mpasket-a1" TargetMode="External"/><Relationship Id="rId86" Type="http://schemas.openxmlformats.org/officeDocument/2006/relationships/hyperlink" Target="https://www.foxbet.gr/315873/mpatzet-omadon-mpasket-a1" TargetMode="External"/><Relationship Id="rId85" Type="http://schemas.openxmlformats.org/officeDocument/2006/relationships/hyperlink" Target="https://www.gazzetta.gr/basketball/basket-league/2454961/aris-me-ena-smparo-dyo-trygonia-se-protathlima-kai-euroleague" TargetMode="External"/><Relationship Id="rId88" Type="http://schemas.openxmlformats.org/officeDocument/2006/relationships/hyperlink" Target="https://www.gazzetta.gr/basketball/basket-league/2454961/aris-me-ena-smparo-dyo-trygonia-se-protathlima-kai-euroleague" TargetMode="External"/><Relationship Id="rId150" Type="http://schemas.openxmlformats.org/officeDocument/2006/relationships/hyperlink" Target="https://www.one.co.il/Article/506791.html" TargetMode="External"/><Relationship Id="rId271" Type="http://schemas.openxmlformats.org/officeDocument/2006/relationships/hyperlink" Target="https://www.youtube.com/watch?v=-r-2jUPjnEI" TargetMode="External"/><Relationship Id="rId87" Type="http://schemas.openxmlformats.org/officeDocument/2006/relationships/hyperlink" Target="https://www.gazzetta.gr/basketball/eurocup/2454951/aris-sta-25-ekatommyria-eyro-o-proypologismos-tis-neas-sezon" TargetMode="External"/><Relationship Id="rId270" Type="http://schemas.openxmlformats.org/officeDocument/2006/relationships/hyperlink" Target="https://x.com/K_Wasiek/status/2077038127659585664" TargetMode="External"/><Relationship Id="rId89" Type="http://schemas.openxmlformats.org/officeDocument/2006/relationships/hyperlink" Target="https://www.foxbet.gr/315873/mpatzet-omadon-mpasket-a1" TargetMode="External"/><Relationship Id="rId80" Type="http://schemas.openxmlformats.org/officeDocument/2006/relationships/hyperlink" Target="https://www.gazzetta.gr/basketball/basket-league/2454961/aris-me-ena-smparo-dyo-trygonia-se-protathlima-kai-euroleague" TargetMode="External"/><Relationship Id="rId82" Type="http://schemas.openxmlformats.org/officeDocument/2006/relationships/hyperlink" Target="https://www.gazzetta.gr/basketball/basket-league/2454961/aris-me-ena-smparo-dyo-trygonia-se-protathlima-kai-euroleague" TargetMode="External"/><Relationship Id="rId81" Type="http://schemas.openxmlformats.org/officeDocument/2006/relationships/hyperlink" Target="https://www.foxbet.gr/315873/mpatzet-omadon-mpasket-a1" TargetMode="External"/><Relationship Id="rId1" Type="http://schemas.openxmlformats.org/officeDocument/2006/relationships/hyperlink" Target="https://www.2playbook.com/clubes/real-madrid-perdera-38-millones-con-baloncesto-en-2025-2026-como-paso-previo-su-apuesta-nba_20577_102.html" TargetMode="External"/><Relationship Id="rId2" Type="http://schemas.openxmlformats.org/officeDocument/2006/relationships/hyperlink" Target="https://encestando.es/el-real-madrid-facturo-25-millones-la-pasada-temporada-y-perdio-195-este-ano-preve-38" TargetMode="External"/><Relationship Id="rId3" Type="http://schemas.openxmlformats.org/officeDocument/2006/relationships/hyperlink" Target="https://cronicaglobal.elespanol.com/culemania/palco/20251115/barca-basket-millones-real-madrid-jugadores-laporta/1003742707818_0.html" TargetMode="External"/><Relationship Id="rId149" Type="http://schemas.openxmlformats.org/officeDocument/2006/relationships/hyperlink" Target="https://www.sport5.co.il/articles.aspx?FolderID=11840&amp;docID=518857" TargetMode="External"/><Relationship Id="rId4" Type="http://schemas.openxmlformats.org/officeDocument/2006/relationships/hyperlink" Target="https://as.com/baloncesto/el-bilbao-basket-empieza-a-crecer-f202512-n/" TargetMode="External"/><Relationship Id="rId148" Type="http://schemas.openxmlformats.org/officeDocument/2006/relationships/hyperlink" Target="https://infobiz.fina.hr/tvrtka/kosarkaski-klub-split-sportsko-dionicko-drustvo-za-obavljanje-sportskih-djelatnos/OIB-93265708320" TargetMode="External"/><Relationship Id="rId269" Type="http://schemas.openxmlformats.org/officeDocument/2006/relationships/hyperlink" Target="https://x.com/hizlihucum/status/2070424325295890624" TargetMode="External"/><Relationship Id="rId9" Type="http://schemas.openxmlformats.org/officeDocument/2006/relationships/hyperlink" Target="https://cronicavasca.elespanol.com/deportes/20260227/baskonia-cuarto-presupuesto-salarial-euroliga-millones-euros/1003742736078_0.html" TargetMode="External"/><Relationship Id="rId143" Type="http://schemas.openxmlformats.org/officeDocument/2006/relationships/hyperlink" Target="https://www.companywall.rs/firma/kk-fmp/MMePuGWR" TargetMode="External"/><Relationship Id="rId264" Type="http://schemas.openxmlformats.org/officeDocument/2006/relationships/hyperlink" Target="https://www.diariosur.es/unicaja/competencia-nunca-unicaja-20260628120526-nt.html" TargetMode="External"/><Relationship Id="rId142" Type="http://schemas.openxmlformats.org/officeDocument/2006/relationships/hyperlink" Target="https://www.antenazadar.hr/clanak/2025/08/nema-rasipanja-novca-davor-karlovic-budzet-kk-zadar-se-nece-probijati-moramo-paziti-na-financijsku-stabilnost/" TargetMode="External"/><Relationship Id="rId263" Type="http://schemas.openxmlformats.org/officeDocument/2006/relationships/hyperlink" Target="https://x.com/hizlihucum/status/2070424325295890624" TargetMode="External"/><Relationship Id="rId141" Type="http://schemas.openxmlformats.org/officeDocument/2006/relationships/hyperlink" Target="https://www.companywall.hr/tvrtka/kk-zadar-sdd/MMEt9uTY" TargetMode="External"/><Relationship Id="rId262" Type="http://schemas.openxmlformats.org/officeDocument/2006/relationships/hyperlink" Target="https://zkrainynba.com/michal-szolc-ujawnia-mamy-juz-9-z-11-kontraktow/?fbclid=IwY2xjawTECbBleHRuA2FlbQIxMABicmlkETB5WGRNWXE3bnoxT0ZkdlBMc3J0YwZhcHBfaWQQMjIyMDM5MTc4ODIwMDg5MgABHlNAjiL-w6cuuFoNP6F1doBaSwMgtyFxY1RZcueGYQyiw7MeX3oltHmyYuct_aem_KnbhgEOH2a5M11rMUpac0A" TargetMode="External"/><Relationship Id="rId140" Type="http://schemas.openxmlformats.org/officeDocument/2006/relationships/hyperlink" Target="https://infobiz.fina.hr/tvrtka/kk-zadar-s-d-d/OIB-69533397083" TargetMode="External"/><Relationship Id="rId261" Type="http://schemas.openxmlformats.org/officeDocument/2006/relationships/hyperlink" Target="https://www.bebasket.fr/tony-parker-coach-vincent-collet-dans-le-staff-sylvain-francisco-a-la-mene-quatre-autres-recrues-19-noms-confirmes-a-lasvel" TargetMode="External"/><Relationship Id="rId5" Type="http://schemas.openxmlformats.org/officeDocument/2006/relationships/hyperlink" Target="https://www.basketeurope.com/euroleague-valence-booste-son-budget-a-35-millions-deuros/" TargetMode="External"/><Relationship Id="rId147" Type="http://schemas.openxmlformats.org/officeDocument/2006/relationships/hyperlink" Target="https://www.companywall.rs/firma/kk-borac/MMrNkZ60" TargetMode="External"/><Relationship Id="rId268" Type="http://schemas.openxmlformats.org/officeDocument/2006/relationships/hyperlink" Target="https://x.com/hizlihucum/status/2074955667945787879" TargetMode="External"/><Relationship Id="rId6" Type="http://schemas.openxmlformats.org/officeDocument/2006/relationships/hyperlink" Target="https://www.lasprovincias.es/deportes/valencia-bc/valencia-basket-aprueba-presupuesto-record-millones-temporada-20251211191149-nt.html" TargetMode="External"/><Relationship Id="rId146" Type="http://schemas.openxmlformats.org/officeDocument/2006/relationships/hyperlink" Target="https://www.ozonpress.net/sport/todorovic-ove-godine-nije-dao-ni-dinara-za-kk-borac-pantovic-napusta-klub/" TargetMode="External"/><Relationship Id="rId267" Type="http://schemas.openxmlformats.org/officeDocument/2006/relationships/hyperlink" Target="https://x.com/7Vercost/status/2076274169449242966" TargetMode="External"/><Relationship Id="rId7" Type="http://schemas.openxmlformats.org/officeDocument/2006/relationships/hyperlink" Target="https://cronicavasca.elespanol.com/deportes/20250727/baskonia-seguira-potente-acb-contara-millones-presupuesto/1003742675823_0.html" TargetMode="External"/><Relationship Id="rId145" Type="http://schemas.openxmlformats.org/officeDocument/2006/relationships/hyperlink" Target="https://www.derstandard.at/story/2000135718833/der-hoehenflug-des-bc-vienna-wien-ist-wieder-wer" TargetMode="External"/><Relationship Id="rId266" Type="http://schemas.openxmlformats.org/officeDocument/2006/relationships/hyperlink" Target="https://www.lesportiudecatalunya.cat/basquet/article/2659368-aposta-forta-6-5-milions-d-euros-mes.html" TargetMode="External"/><Relationship Id="rId8" Type="http://schemas.openxmlformats.org/officeDocument/2006/relationships/hyperlink" Target="https://www.elcorreo.com/baskonia/baskonia-pablo-laso-costo-113-millones-euros-20251130000753-nt.html" TargetMode="External"/><Relationship Id="rId144" Type="http://schemas.openxmlformats.org/officeDocument/2006/relationships/hyperlink" Target="https://www.companywall.si/podjetje/kosarkarski-klub-ilirija/MMxD7CWD" TargetMode="External"/><Relationship Id="rId265" Type="http://schemas.openxmlformats.org/officeDocument/2006/relationships/hyperlink" Target="https://encestando.es/el-barcelona-anuncia-a-nebo-y-tiene-cinco-millones-para-los-dos-refuerzos-que-faltan-en-la-pintura/" TargetMode="External"/><Relationship Id="rId73" Type="http://schemas.openxmlformats.org/officeDocument/2006/relationships/hyperlink" Target="https://basketnews.com/news-233398-euroleague-budgets-payrolls-2026-biggest-spenders.html" TargetMode="External"/><Relationship Id="rId72" Type="http://schemas.openxmlformats.org/officeDocument/2006/relationships/hyperlink" Target="https://www.15min.lt/24sek/naujiena/europa/lkl-klubai-prie-starto-linijos-i-dalis-biudzetai-zvaigzdes-klaustukai-ir-prognozes-874-2527376" TargetMode="External"/><Relationship Id="rId75" Type="http://schemas.openxmlformats.org/officeDocument/2006/relationships/hyperlink" Target="https://www.sport24.gr/basket/euroleague-basketball/olimpiakos-i-pio-akrivi-omada-olon-ton-epoxon-afta-einai-ta-xrisa-simvolaia-ton-erithrolefkon/" TargetMode="External"/><Relationship Id="rId74" Type="http://schemas.openxmlformats.org/officeDocument/2006/relationships/hyperlink" Target="https://www.foxbet.gr/315873/mpatzet-omadon-mpasket-a1" TargetMode="External"/><Relationship Id="rId77" Type="http://schemas.openxmlformats.org/officeDocument/2006/relationships/hyperlink" Target="https://www.foxbet.gr/315873/mpatzet-omadon-mpasket-a1" TargetMode="External"/><Relationship Id="rId260" Type="http://schemas.openxmlformats.org/officeDocument/2006/relationships/hyperlink" Target="https://www.sdna.gr/mpasket/1443738_mpatzet-tis-mpesiktas-den-tha-einai-kato-apo-12-ekat-eyro" TargetMode="External"/><Relationship Id="rId76" Type="http://schemas.openxmlformats.org/officeDocument/2006/relationships/hyperlink" Target="https://as.com/baloncesto/euroliga/el-panathinaikos-el-que-mas-gasta-en-la-euroliga-f202602-n/?utm_source=chatgpt.com" TargetMode="External"/><Relationship Id="rId79" Type="http://schemas.openxmlformats.org/officeDocument/2006/relationships/hyperlink" Target="https://www.protothema.gr/sports/article/1772720/panathinaikos-to-muthiko-sumvolaio-pou-tha-parei-heiz-devis-stin-ellada-den-xepernaei-to-kase-tou-nan/" TargetMode="External"/><Relationship Id="rId78" Type="http://schemas.openxmlformats.org/officeDocument/2006/relationships/hyperlink" Target="https://www.sport24.gr/basket/euroleague-basketball/panathinaikos-aktor-i-axia-ton-prasinon-simvolaion-apogeiothike-kai-angizei-ta-25-ekatommiria/" TargetMode="External"/><Relationship Id="rId71" Type="http://schemas.openxmlformats.org/officeDocument/2006/relationships/hyperlink" Target="https://www.15min.lt/24sek/naujiena/europa/lkl-klubai-prie-starto-linijos-i-dalis-biudzetai-zvaigzdes-klaustukai-ir-prognozes-874-2527376" TargetMode="External"/><Relationship Id="rId70" Type="http://schemas.openxmlformats.org/officeDocument/2006/relationships/hyperlink" Target="https://www.15min.lt/24sek/naujiena/europa/lkl-klubai-prie-starto-linijos-i-dalis-biudzetai-zvaigzdes-klaustukai-ir-prognozes-874-2527376" TargetMode="External"/><Relationship Id="rId139" Type="http://schemas.openxmlformats.org/officeDocument/2006/relationships/hyperlink" Target="https://slobodnadalmacija.hr/dalmacija/zadar/kalelarga/dio-novca-iz-proracuna-za-kk-zadar-ide-visnjiku-gradonacelnik-pojasnio-raspodjelu-sredstava-i-otplatu-dugova-1500927" TargetMode="External"/><Relationship Id="rId138" Type="http://schemas.openxmlformats.org/officeDocument/2006/relationships/hyperlink" Target="https://www.companywall.rs/firma/kosarkaski-klub-spartak/MMDENuVD?utm_source=chatgpt.com" TargetMode="External"/><Relationship Id="rId259" Type="http://schemas.openxmlformats.org/officeDocument/2006/relationships/hyperlink" Target="https://x.com/Andrea__Calzoni/status/2070513497809514614" TargetMode="External"/><Relationship Id="rId137" Type="http://schemas.openxmlformats.org/officeDocument/2006/relationships/hyperlink" Target="https://www.dnevnik.rs/sport/kosarka/ove-sezone-budzet-oko-2-2-miliona-evra-predsednik-kosarkaskog-kluba-spartak-slobodan-jaramazovic-obelodanio-2025-04-23" TargetMode="External"/><Relationship Id="rId258" Type="http://schemas.openxmlformats.org/officeDocument/2006/relationships/hyperlink" Target="https://x.com/intars91/status/2064439747976523858https://x.com/intars91/status/2064439747976523858" TargetMode="External"/><Relationship Id="rId132" Type="http://schemas.openxmlformats.org/officeDocument/2006/relationships/hyperlink" Target="https://baschet.ro/liga-nationala-de-baschet-masculin/stiri/ce-salariu-i-a-oferit-u-bt-cluj-napoca-lui-sasu-salin-in-sezonul-2024-2025" TargetMode="External"/><Relationship Id="rId253" Type="http://schemas.openxmlformats.org/officeDocument/2006/relationships/hyperlink" Target="https://www.sportime.gr/basket/aek-basket-to-plano-angelopoulou-gia-na-paramini-ischiri-stin-ellada/" TargetMode="External"/><Relationship Id="rId131" Type="http://schemas.openxmlformats.org/officeDocument/2006/relationships/hyperlink" Target="https://www.gsp.ro/sporturi/baschet/nimic-fara-bani-publici-noua-forta-din-sportul-romanesc-793363.html" TargetMode="External"/><Relationship Id="rId252" Type="http://schemas.openxmlformats.org/officeDocument/2006/relationships/hyperlink" Target="https://bcneptunas.lt/2026/06/23/neptunas-uzbaige-viena-sekmingiausiu-sezonu-per-desimtmeti-lkl-bronza-ilgalaike-eurocup-licencija-finansinis-stabilumas-ir-rekordinis-sirgaliu-palaikymas/" TargetMode="External"/><Relationship Id="rId130" Type="http://schemas.openxmlformats.org/officeDocument/2006/relationships/hyperlink" Target="https://en.vijesti.me/sports-e/basketball/771237/Dragan-Bokan--the-future-has-no-problems-with-business-because-it-has-serious-management--the-European-Cup-is-the-most-important-competition" TargetMode="External"/><Relationship Id="rId251" Type="http://schemas.openxmlformats.org/officeDocument/2006/relationships/hyperlink" Target="https://www.thelondonlions.com/news/london-lions-complete-first-phase-in-plan-for-new-london-arena" TargetMode="External"/><Relationship Id="rId250" Type="http://schemas.openxmlformats.org/officeDocument/2006/relationships/hyperlink" Target="https://sportnet.sme.sk/spravy/basketbal-rozhovor-nemecky-novinar-patrioti-levice-wurzburg-liga-majstrov-2026/" TargetMode="External"/><Relationship Id="rId136" Type="http://schemas.openxmlformats.org/officeDocument/2006/relationships/hyperlink" Target="https://www.bhbasket.ba/dubravko-barbaric-da-bismo-igrali-aba-ligu-potrebno-nam-je-4-5-miliona-eura/" TargetMode="External"/><Relationship Id="rId257" Type="http://schemas.openxmlformats.org/officeDocument/2006/relationships/hyperlink" Target="https://sport.interia.pl/koszykowka/liga-mezczyzn/news-prezes-astorii-odslania-karty-po-awansie-cel-milion-dolarow,nId,23490005" TargetMode="External"/><Relationship Id="rId135" Type="http://schemas.openxmlformats.org/officeDocument/2006/relationships/hyperlink" Target="https://x.com/Kemp40S/status/1935283038860231093" TargetMode="External"/><Relationship Id="rId256" Type="http://schemas.openxmlformats.org/officeDocument/2006/relationships/hyperlink" Target="https://x.com/vozdeportes/status/2064965605351162237" TargetMode="External"/><Relationship Id="rId134" Type="http://schemas.openxmlformats.org/officeDocument/2006/relationships/hyperlink" Target="https://ekipa.svet24.si/sport/kosarka/mednarodna-kosarka/cedevita-olimpija-denar-proracun-evroliga-2025-1798233" TargetMode="External"/><Relationship Id="rId255" Type="http://schemas.openxmlformats.org/officeDocument/2006/relationships/hyperlink" Target="https://sportando.basketball/en/paok-approves-e12m-capital-increase-for-the-clubs-basketball-company/" TargetMode="External"/><Relationship Id="rId133" Type="http://schemas.openxmlformats.org/officeDocument/2006/relationships/hyperlink" Target="https://www.dnevnik.si/sport/kosarka/bruto-proracun-visji-od-buducnosti-neto-pa-2796508/" TargetMode="External"/><Relationship Id="rId254" Type="http://schemas.openxmlformats.org/officeDocument/2006/relationships/hyperlink" Target="https://www.eurohoops.net/en/eurocup/1975801/vassilis-spanoulis-reaches-deal-with-aris-eurocup/" TargetMode="External"/><Relationship Id="rId62" Type="http://schemas.openxmlformats.org/officeDocument/2006/relationships/hyperlink" Target="https://www.reportaziende.it/polisportiva_dinamo_srl_ss_01166920908" TargetMode="External"/><Relationship Id="rId61" Type="http://schemas.openxmlformats.org/officeDocument/2006/relationships/hyperlink" Target="https://www.reportaziende.it/pallacanestro_cantu_spa_societa_sportiva_dilettantistica_co_00254400138" TargetMode="External"/><Relationship Id="rId64" Type="http://schemas.openxmlformats.org/officeDocument/2006/relationships/hyperlink" Target="https://www.lrt.lt/naujienos/sportas/10/2700152/kauno-zalgiris-pristate-rekordini-2025-2026-m-sezono-biudzeta?srsltid=AfmBOopGXyxC169tMhv2TU5SXOKXuuENL1itZs6SqKyjpXQEabWp8QfG" TargetMode="External"/><Relationship Id="rId63" Type="http://schemas.openxmlformats.org/officeDocument/2006/relationships/hyperlink" Target="https://www.reportaziende.it/trapani_shark_ssd_a_rl_tp_02539490819" TargetMode="External"/><Relationship Id="rId66" Type="http://schemas.openxmlformats.org/officeDocument/2006/relationships/hyperlink" Target="https://www.basketnews.lt/news-230665-neptunas-pristate-padidejusi-biudzeta-ir-skiriama-suma-krepsininkams.html" TargetMode="External"/><Relationship Id="rId172" Type="http://schemas.openxmlformats.org/officeDocument/2006/relationships/hyperlink" Target="https://www.espn.com.au/nbl/story/_/id/49150036/how-much-nbl-team-spent-2025-26" TargetMode="External"/><Relationship Id="rId65" Type="http://schemas.openxmlformats.org/officeDocument/2006/relationships/hyperlink" Target="https://www.delfi.lt/krepsinis/naujienos/rytas-pristate-rekordini-biudzeta-sieks-beveik-7-milijonus-euru-120178053" TargetMode="External"/><Relationship Id="rId171" Type="http://schemas.openxmlformats.org/officeDocument/2006/relationships/hyperlink" Target="https://www.espn.com.au/nbl/story/_/id/49150036/how-much-nbl-team-spent-2025-26" TargetMode="External"/><Relationship Id="rId68" Type="http://schemas.openxmlformats.org/officeDocument/2006/relationships/hyperlink" Target="https://www.15min.lt/24sek/naujiena/lietuva/po-kosmarisko-siauliu-starto-direktoriaus-zinute-pazadas-ir-atskleistas-biudzetas-875-2142054" TargetMode="External"/><Relationship Id="rId170" Type="http://schemas.openxmlformats.org/officeDocument/2006/relationships/hyperlink" Target="https://www.espn.com.au/nbl/story/_/id/49150036/how-much-nbl-team-spent-2025-26" TargetMode="External"/><Relationship Id="rId67" Type="http://schemas.openxmlformats.org/officeDocument/2006/relationships/hyperlink" Target="https://www.15min.lt/24sek/naujiena/europa/lkl-klubai-prie-starto-linijos-i-dalis-biudzetai-zvaigzdes-klaustukai-ir-prognozes-874-2527376" TargetMode="External"/><Relationship Id="rId60" Type="http://schemas.openxmlformats.org/officeDocument/2006/relationships/hyperlink" Target="https://www.messaggeroveneto.it/sport/ap-la-forza-sono-le-idee-in-serie-a-con-un-budget-di-fascia-medio-bassa-prlv26jt" TargetMode="External"/><Relationship Id="rId165" Type="http://schemas.openxmlformats.org/officeDocument/2006/relationships/hyperlink" Target="https://www.one.co.il/Article/506791.html" TargetMode="External"/><Relationship Id="rId69" Type="http://schemas.openxmlformats.org/officeDocument/2006/relationships/hyperlink" Target="https://www.basketnews.lt/news-243778-panevezys-9-tukst-euru-padidino-lietkabelio-finansavima.html" TargetMode="External"/><Relationship Id="rId164" Type="http://schemas.openxmlformats.org/officeDocument/2006/relationships/hyperlink" Target="https://www.one.co.il/Article/506791.html" TargetMode="External"/><Relationship Id="rId163" Type="http://schemas.openxmlformats.org/officeDocument/2006/relationships/hyperlink" Target="https://www.one.co.il/Article/506791.html" TargetMode="External"/><Relationship Id="rId162" Type="http://schemas.openxmlformats.org/officeDocument/2006/relationships/hyperlink" Target="https://www.one.co.il/Article/506791.html" TargetMode="External"/><Relationship Id="rId169" Type="http://schemas.openxmlformats.org/officeDocument/2006/relationships/hyperlink" Target="https://www.espn.com.au/nbl/story/_/id/49150036/how-much-nbl-team-spent-2025-26" TargetMode="External"/><Relationship Id="rId168" Type="http://schemas.openxmlformats.org/officeDocument/2006/relationships/hyperlink" Target="https://www.espn.com.au/nbl/story/_/id/49150036/how-much-nbl-team-spent-2025-26" TargetMode="External"/><Relationship Id="rId167" Type="http://schemas.openxmlformats.org/officeDocument/2006/relationships/hyperlink" Target="https://www.espn.com.au/nbl/story/_/id/49150036/how-much-nbl-team-spent-2025-26" TargetMode="External"/><Relationship Id="rId166" Type="http://schemas.openxmlformats.org/officeDocument/2006/relationships/hyperlink" Target="https://www.espn.com.au/nbl/story/_/id/49150036/how-much-nbl-team-spent-2025-26" TargetMode="External"/><Relationship Id="rId51" Type="http://schemas.openxmlformats.org/officeDocument/2006/relationships/hyperlink" Target="https://www.reportaziende.it/pallacanestro_trieste_2004_societa_sportiva_dilettantistica_srl_ts_01072900325" TargetMode="External"/><Relationship Id="rId50" Type="http://schemas.openxmlformats.org/officeDocument/2006/relationships/hyperlink" Target="https://www.reportaziende.it/pallacanestro_reggiana_srl_re_00532610359" TargetMode="External"/><Relationship Id="rId53" Type="http://schemas.openxmlformats.org/officeDocument/2006/relationships/hyperlink" Target="https://www.reportaziende.it/aquila_basket_trento_2013_srl_tn_02125690228" TargetMode="External"/><Relationship Id="rId52" Type="http://schemas.openxmlformats.org/officeDocument/2006/relationships/hyperlink" Target="https://www.backdoorpodcast.com/virtus-rosso-da-euroleague-trento-e-venezia-bilanci-lba/" TargetMode="External"/><Relationship Id="rId55" Type="http://schemas.openxmlformats.org/officeDocument/2006/relationships/hyperlink" Target="https://www.reportaziende.it/pallacanestro_varese_srl_va_00338980121" TargetMode="External"/><Relationship Id="rId161" Type="http://schemas.openxmlformats.org/officeDocument/2006/relationships/hyperlink" Target="https://www.one.co.il/Article/506791.html" TargetMode="External"/><Relationship Id="rId54" Type="http://schemas.openxmlformats.org/officeDocument/2006/relationships/hyperlink" Target="https://sportando.basketball/openjobmetis-varese-redbird-budget-25-milioni/" TargetMode="External"/><Relationship Id="rId160" Type="http://schemas.openxmlformats.org/officeDocument/2006/relationships/hyperlink" Target="https://www.one.co.il/Article/506791.html" TargetMode="External"/><Relationship Id="rId281" Type="http://schemas.openxmlformats.org/officeDocument/2006/relationships/drawing" Target="../drawings/drawing2.xml"/><Relationship Id="rId57" Type="http://schemas.openxmlformats.org/officeDocument/2006/relationships/hyperlink" Target="https://www.reportaziende.it/guerino_vanoli_basket_societa_a_responsabilita_limitata_cr_01192650198" TargetMode="External"/><Relationship Id="rId280" Type="http://schemas.openxmlformats.org/officeDocument/2006/relationships/hyperlink" Target="https://www.pianetabasket.com/legabasket-serie-a/maxima-roma-il-budget-per-il-mercato-supera-i-5-milioni-di-euro-netti" TargetMode="External"/><Relationship Id="rId56" Type="http://schemas.openxmlformats.org/officeDocument/2006/relationships/hyperlink" Target="https://www.reportaziende.it/ss_napolibasket_srl_na_07000361217" TargetMode="External"/><Relationship Id="rId159" Type="http://schemas.openxmlformats.org/officeDocument/2006/relationships/hyperlink" Target="https://www.one.co.il/Article/506791.html" TargetMode="External"/><Relationship Id="rId59" Type="http://schemas.openxmlformats.org/officeDocument/2006/relationships/hyperlink" Target="https://www.reportaziende.it/amici_pallacanestro_udinese_societa_sportiva_dilettantistica_a_responsabilita_limitata_ud_02665760308" TargetMode="External"/><Relationship Id="rId154" Type="http://schemas.openxmlformats.org/officeDocument/2006/relationships/hyperlink" Target="https://www.one.co.il/Article/506791.html" TargetMode="External"/><Relationship Id="rId275" Type="http://schemas.openxmlformats.org/officeDocument/2006/relationships/hyperlink" Target="https://www.israelhayom.co.il/sport/israeli-basketball/article/21159863" TargetMode="External"/><Relationship Id="rId58" Type="http://schemas.openxmlformats.org/officeDocument/2006/relationships/hyperlink" Target="https://www.reportaziende.it/universo_treviso_basket_srl_tv_07362590726" TargetMode="External"/><Relationship Id="rId153" Type="http://schemas.openxmlformats.org/officeDocument/2006/relationships/hyperlink" Target="https://www.sport5.co.il/articles.aspx?FolderID=274&amp;docID=547545" TargetMode="External"/><Relationship Id="rId274" Type="http://schemas.openxmlformats.org/officeDocument/2006/relationships/hyperlink" Target="https://x.com/sercanhamzaolu/status/2081041163759329452" TargetMode="External"/><Relationship Id="rId152" Type="http://schemas.openxmlformats.org/officeDocument/2006/relationships/hyperlink" Target="https://www.sport5.co.il/articles.aspx?FolderID=11840&amp;docID=518857" TargetMode="External"/><Relationship Id="rId273" Type="http://schemas.openxmlformats.org/officeDocument/2006/relationships/hyperlink" Target="https://basketnews.com/news-252703-fenerbahce-offseason-expected-budget-full-roster.html" TargetMode="External"/><Relationship Id="rId151" Type="http://schemas.openxmlformats.org/officeDocument/2006/relationships/hyperlink" Target="https://www.one.co.il/Article/506791.html" TargetMode="External"/><Relationship Id="rId272" Type="http://schemas.openxmlformats.org/officeDocument/2006/relationships/hyperlink" Target="https://x.com/Eurohoopsnet/status/2053479537191653467" TargetMode="External"/><Relationship Id="rId158" Type="http://schemas.openxmlformats.org/officeDocument/2006/relationships/hyperlink" Target="https://www.one.co.il/Article/506791.html" TargetMode="External"/><Relationship Id="rId279" Type="http://schemas.openxmlformats.org/officeDocument/2006/relationships/hyperlink" Target="https://x.com/XaviCasals_/status/2090010343707750486" TargetMode="External"/><Relationship Id="rId157" Type="http://schemas.openxmlformats.org/officeDocument/2006/relationships/hyperlink" Target="https://www.israelhayom.co.il/sport/israeli-basketball/article/18109241" TargetMode="External"/><Relationship Id="rId278" Type="http://schemas.openxmlformats.org/officeDocument/2006/relationships/hyperlink" Target="https://telesport.rs/2026/08/16/kamenjasevic-partizan-je-rekao-zvanicno-da-ima-najveci-budzet-u-istoriji-a-zvezda-zvanicno-ili-nezvanicno-oko-26-do-27-miliona/" TargetMode="External"/><Relationship Id="rId156" Type="http://schemas.openxmlformats.org/officeDocument/2006/relationships/hyperlink" Target="https://www.israelhayom.co.il/sport/israeli-basketball/article/18274420" TargetMode="External"/><Relationship Id="rId277" Type="http://schemas.openxmlformats.org/officeDocument/2006/relationships/hyperlink" Target="https://www.pianetabasket.com/legabasket-serie-a/budget-triplicato-in-quattro-anni-cosi-varese-puo-diventare-grande" TargetMode="External"/><Relationship Id="rId155" Type="http://schemas.openxmlformats.org/officeDocument/2006/relationships/hyperlink" Target="https://www.israelhayom.co.il/sport/israeli-basketball/article/18930694" TargetMode="External"/><Relationship Id="rId276" Type="http://schemas.openxmlformats.org/officeDocument/2006/relationships/hyperlink" Target="https://www.diariosur.es/unicaja/presupuesto-record-unicaja-baloncesto-2026-2027-20260611183146-nt.html" TargetMode="External"/><Relationship Id="rId107" Type="http://schemas.openxmlformats.org/officeDocument/2006/relationships/hyperlink" Target="https://www.enwsi.gr/1682640/aek/aek-basket/ta-mpatzet-toy-antagonismoy-tha-anevoyn-simantika-kai-i-aek-tha-prepei-na-einai-etoimi.html" TargetMode="External"/><Relationship Id="rId228" Type="http://schemas.openxmlformats.org/officeDocument/2006/relationships/hyperlink" Target="https://sportacentrs.com/basketbols/lbl/05052026-pa_punktiem_jauna_lbl_kluba_minimalais_bu" TargetMode="External"/><Relationship Id="rId106" Type="http://schemas.openxmlformats.org/officeDocument/2006/relationships/hyperlink" Target="https://www.foxbet.gr/315873/mpatzet-omadon-mpasket-a1" TargetMode="External"/><Relationship Id="rId227" Type="http://schemas.openxmlformats.org/officeDocument/2006/relationships/hyperlink" Target="https://sportacentrs.com/basketbols/lbl/05052026-pa_punktiem_jauna_lbl_kluba_minimalais_bu" TargetMode="External"/><Relationship Id="rId105" Type="http://schemas.openxmlformats.org/officeDocument/2006/relationships/hyperlink" Target="https://www.gazzetta.gr/basketball/basket-league/2454961/aris-me-ena-smparo-dyo-trygonia-se-protathlima-kai-euroleague" TargetMode="External"/><Relationship Id="rId226" Type="http://schemas.openxmlformats.org/officeDocument/2006/relationships/hyperlink" Target="https://sportacentrs.com/basketbols/lbl/05052026-pa_punktiem_jauna_lbl_kluba_minimalais_bu" TargetMode="External"/><Relationship Id="rId104" Type="http://schemas.openxmlformats.org/officeDocument/2006/relationships/hyperlink" Target="https://www.foxbet.gr/315873/mpatzet-omadon-mpasket-a1" TargetMode="External"/><Relationship Id="rId225" Type="http://schemas.openxmlformats.org/officeDocument/2006/relationships/hyperlink" Target="https://sportacentrs.com/(bez)maksas_sports/21042026-vef_riga_speletaju_algu_budzets_bija_plan" TargetMode="External"/><Relationship Id="rId109" Type="http://schemas.openxmlformats.org/officeDocument/2006/relationships/hyperlink" Target="https://basketnews.com/news-233398-euroleague-budgets-payrolls-2026-biggest-spenders.html" TargetMode="External"/><Relationship Id="rId108" Type="http://schemas.openxmlformats.org/officeDocument/2006/relationships/hyperlink" Target="https://x.com/sercanhamzaolu/status/2081041163759329452" TargetMode="External"/><Relationship Id="rId229" Type="http://schemas.openxmlformats.org/officeDocument/2006/relationships/hyperlink" Target="https://sportacentrs.com/basketbols/lbl/05052026-pa_punktiem_jauna_lbl_kluba_minimalais_bu" TargetMode="External"/><Relationship Id="rId220" Type="http://schemas.openxmlformats.org/officeDocument/2006/relationships/hyperlink" Target="https://www.companywall.hu/v%C3%A1llalat/ase-kosar-kft/MM9sa4DC" TargetMode="External"/><Relationship Id="rId103" Type="http://schemas.openxmlformats.org/officeDocument/2006/relationships/hyperlink" Target="https://www.gazzetta.gr/basketball/basket-league/2454961/aris-me-ena-smparo-dyo-trygonia-se-protathlima-kai-euroleague" TargetMode="External"/><Relationship Id="rId224" Type="http://schemas.openxmlformats.org/officeDocument/2006/relationships/hyperlink" Target="https://www.diena.lv/raksts/sports/basketbols/_vef-riga_-budzets-gaidamaja-sezona-bus-aptuveni-pusotrs-miljons-eiro-14341957" TargetMode="External"/><Relationship Id="rId102" Type="http://schemas.openxmlformats.org/officeDocument/2006/relationships/hyperlink" Target="https://www.foxbet.gr/315873/mpatzet-omadon-mpasket-a1" TargetMode="External"/><Relationship Id="rId223" Type="http://schemas.openxmlformats.org/officeDocument/2006/relationships/hyperlink" Target="https://sportnet.sme.sk/spravy/basketbal-riga-levice-preview-skupina-f-liga-majstrov-2025-2026/" TargetMode="External"/><Relationship Id="rId101" Type="http://schemas.openxmlformats.org/officeDocument/2006/relationships/hyperlink" Target="https://www.gazzetta.gr/basketball/basket-league/2454961/aris-me-ena-smparo-dyo-trygonia-se-protathlima-kai-euroleague" TargetMode="External"/><Relationship Id="rId222" Type="http://schemas.openxmlformats.org/officeDocument/2006/relationships/hyperlink" Target="https://www.delfi.lv/sports/17012608/basketbols/120088762/rigas-zellu-budzets-jaunaja-sezona-bus-lielakais-kluba-pastavesanas-vesture" TargetMode="External"/><Relationship Id="rId100" Type="http://schemas.openxmlformats.org/officeDocument/2006/relationships/hyperlink" Target="https://www.sdna.gr/mpasket/976562_o-promitheas-dilose-proypologismo-800000-ston-esake-eno-eurocup-apaitei-25" TargetMode="External"/><Relationship Id="rId221" Type="http://schemas.openxmlformats.org/officeDocument/2006/relationships/hyperlink" Target="https://x.com/intars91/status/2064439747976523858https://x.com/intars91/status/2064439747976523858" TargetMode="External"/><Relationship Id="rId217" Type="http://schemas.openxmlformats.org/officeDocument/2006/relationships/hyperlink" Target="https://basket.fi/site/assets/files/33531/pahkina2024.pdf" TargetMode="External"/><Relationship Id="rId216" Type="http://schemas.openxmlformats.org/officeDocument/2006/relationships/hyperlink" Target="https://basket.fi/site/assets/files/33531/pahkina2024.pdf" TargetMode="External"/><Relationship Id="rId215" Type="http://schemas.openxmlformats.org/officeDocument/2006/relationships/hyperlink" Target="https://basket.fi/site/assets/files/33531/pahkina2024.pdf" TargetMode="External"/><Relationship Id="rId214" Type="http://schemas.openxmlformats.org/officeDocument/2006/relationships/hyperlink" Target="https://basket.fi/site/assets/files/33531/pahkina2024.pdf" TargetMode="External"/><Relationship Id="rId219" Type="http://schemas.openxmlformats.org/officeDocument/2006/relationships/hyperlink" Target="https://www.companywall.hu/v%C3%A1llalat/alba-fehervar-kosarlabda-kft/MM986hAC" TargetMode="External"/><Relationship Id="rId218" Type="http://schemas.openxmlformats.org/officeDocument/2006/relationships/hyperlink" Target="https://www.companywall.hu/v%C3%A1llalat/falco-kc-szombathely-kft/MMFLZkdD" TargetMode="External"/><Relationship Id="rId213" Type="http://schemas.openxmlformats.org/officeDocument/2006/relationships/hyperlink" Target="https://basket.fi/site/assets/files/33531/pahkina2024.pdf" TargetMode="External"/><Relationship Id="rId212" Type="http://schemas.openxmlformats.org/officeDocument/2006/relationships/hyperlink" Target="https://basket.fi/site/assets/files/33531/pahkina2024.pdf" TargetMode="External"/><Relationship Id="rId211" Type="http://schemas.openxmlformats.org/officeDocument/2006/relationships/hyperlink" Target="https://basket.fi/site/assets/files/33531/pahkina2024.pdf" TargetMode="External"/><Relationship Id="rId210" Type="http://schemas.openxmlformats.org/officeDocument/2006/relationships/hyperlink" Target="https://basket.fi/site/assets/files/33531/pahkina2024.pdf" TargetMode="External"/><Relationship Id="rId129" Type="http://schemas.openxmlformats.org/officeDocument/2006/relationships/hyperlink" Target="https://www.eurohoops.net/en/euroleague/1873724/zeljko-drcelic-talks-crvena-zvezda-budget-euroleague/" TargetMode="External"/><Relationship Id="rId128" Type="http://schemas.openxmlformats.org/officeDocument/2006/relationships/hyperlink" Target="https://basketnews.com/news-233398-euroleague-budgets-payrolls-2026-biggest-spenders.html" TargetMode="External"/><Relationship Id="rId249" Type="http://schemas.openxmlformats.org/officeDocument/2006/relationships/hyperlink" Target="https://sportnet.sme.sk/spravy/basketbal-patrioti-levice-aek-ateny-rozhovor-grecky-novinar-liga-majstrov-2025-2026/" TargetMode="External"/><Relationship Id="rId127" Type="http://schemas.openxmlformats.org/officeDocument/2006/relationships/hyperlink" Target="https://basketnews.com/news-231943-partizan-budget-for-2025-26-season-revealed.html" TargetMode="External"/><Relationship Id="rId248" Type="http://schemas.openxmlformats.org/officeDocument/2006/relationships/hyperlink" Target="https://www.15min.lt/24sek/naujiena/europa/urbonas-apie-staigmenas-rumunijoje-ateiti-ir-patarima-sunui-nekovok-mano-karu-874-2636466" TargetMode="External"/><Relationship Id="rId126" Type="http://schemas.openxmlformats.org/officeDocument/2006/relationships/hyperlink" Target="https://basketnews.com/news-233398-euroleague-budgets-payrolls-2026-biggest-spenders.html" TargetMode="External"/><Relationship Id="rId247" Type="http://schemas.openxmlformats.org/officeDocument/2006/relationships/hyperlink" Target="https://baschet.ro/liga-nationala-de-baschet-masculin/stiri/cum-arata-tabloul-playoff-ului-in-liga-nationala-de-baschet-masculin" TargetMode="External"/><Relationship Id="rId121" Type="http://schemas.openxmlformats.org/officeDocument/2006/relationships/hyperlink" Target="https://www.eurohoops.net/tr/tbl-tr/1708689/manisanin-eski-baskani-konustu-bir-kurus-borc-yokken-takimi-bedavaya-ozel-sirkete-sattilar/" TargetMode="External"/><Relationship Id="rId242" Type="http://schemas.openxmlformats.org/officeDocument/2006/relationships/hyperlink" Target="https://www.record.pt/futebol/futebol-nacional/liga-betclic/benfica/detalhe/saiba-quanto-e-que-o-benfica-gastou-em-cada-modalidade-na-epoca-passada" TargetMode="External"/><Relationship Id="rId120" Type="http://schemas.openxmlformats.org/officeDocument/2006/relationships/hyperlink" Target="https://www.manisa.bel.tr/Haberler/42692_baskan-hasgor-basketbol-bransinin-butcesinde-artik.aspx" TargetMode="External"/><Relationship Id="rId241" Type="http://schemas.openxmlformats.org/officeDocument/2006/relationships/hyperlink" Target="https://www.youtube.com/watch?v=-r-2jUPjnEI" TargetMode="External"/><Relationship Id="rId240" Type="http://schemas.openxmlformats.org/officeDocument/2006/relationships/hyperlink" Target="https://dziendobrypomorze.pl/pl/13_sport/76688_ekstraklasa-koszykarzy-amw-arka-postawilismy-na-doswiadczonych-polskich.html" TargetMode="External"/><Relationship Id="rId125" Type="http://schemas.openxmlformats.org/officeDocument/2006/relationships/hyperlink" Target="https://basketnews.com/news-228333-dubai-basketball-budget-revealed.html" TargetMode="External"/><Relationship Id="rId246" Type="http://schemas.openxmlformats.org/officeDocument/2006/relationships/hyperlink" Target="https://valceainfo.ro/2025/12/05/documente-intoxicarile-unor-paraziti-penali-despre-bugetul-cs-valcea-1924-pulverizate-de-probe-aflate-mereu-in-transparenta-publica/" TargetMode="External"/><Relationship Id="rId124" Type="http://schemas.openxmlformats.org/officeDocument/2006/relationships/hyperlink" Target="https://trendbasket.net/pinar-karsiyakanin-onumuzdeki-sezon-butcesi-belli-oldu/" TargetMode="External"/><Relationship Id="rId245" Type="http://schemas.openxmlformats.org/officeDocument/2006/relationships/hyperlink" Target="https://baschet.ro/liga-nationala-de-baschet-masculin/stiri/bugetul-echipei-de-baschet-cs-valcea-1924-subiect-de-scandal-politic-local" TargetMode="External"/><Relationship Id="rId123" Type="http://schemas.openxmlformats.org/officeDocument/2006/relationships/hyperlink" Target="https://basketdergisi.com/alimpijevic-agresif-ve-sert-savunma-yaptik.html" TargetMode="External"/><Relationship Id="rId244" Type="http://schemas.openxmlformats.org/officeDocument/2006/relationships/hyperlink" Target="https://www.gsp.ro/sporturi/baschet/nimic-fara-bani-publici-noua-forta-din-sportul-romanesc-793363.html" TargetMode="External"/><Relationship Id="rId122" Type="http://schemas.openxmlformats.org/officeDocument/2006/relationships/hyperlink" Target="https://www.bursahakimiyet.com.tr/yazarlar/suha-gursoy-35/butce-dusuk-emek-buyuk-27597" TargetMode="External"/><Relationship Id="rId243" Type="http://schemas.openxmlformats.org/officeDocument/2006/relationships/hyperlink" Target="https://www.ojogo.pt/futebol/artigo/orcamento-das-modalidades-do-fc-porto-cresce-193-mil-euros/17919633" TargetMode="External"/><Relationship Id="rId95" Type="http://schemas.openxmlformats.org/officeDocument/2006/relationships/hyperlink" Target="https://www.gazzetta.gr/basketball/basket-league/2454961/aris-me-ena-smparo-dyo-trygonia-se-protathlima-kai-euroleague" TargetMode="External"/><Relationship Id="rId94" Type="http://schemas.openxmlformats.org/officeDocument/2006/relationships/hyperlink" Target="https://www.foxbet.gr/315873/mpatzet-omadon-mpasket-a1" TargetMode="External"/><Relationship Id="rId97" Type="http://schemas.openxmlformats.org/officeDocument/2006/relationships/hyperlink" Target="https://www.gazzetta.gr/basketball/basket-league/2454961/aris-me-ena-smparo-dyo-trygonia-se-protathlima-kai-euroleague" TargetMode="External"/><Relationship Id="rId96" Type="http://schemas.openxmlformats.org/officeDocument/2006/relationships/hyperlink" Target="https://www.foxbet.gr/315873/mpatzet-omadon-mpasket-a1" TargetMode="External"/><Relationship Id="rId99" Type="http://schemas.openxmlformats.org/officeDocument/2006/relationships/hyperlink" Target="https://www.sdna.gr/mpasket/1425204_promitheas-i-heiroteri-hronia-tis-istorias-toy-bathmologika-agonistika-dioikitika" TargetMode="External"/><Relationship Id="rId98" Type="http://schemas.openxmlformats.org/officeDocument/2006/relationships/hyperlink" Target="https://www.foxbet.gr/315873/mpatzet-omadon-mpasket-a1" TargetMode="External"/><Relationship Id="rId91" Type="http://schemas.openxmlformats.org/officeDocument/2006/relationships/hyperlink" Target="https://www.gazzetta.gr/basketball/basket-league/2454961/aris-me-ena-smparo-dyo-trygonia-se-protathlima-kai-euroleague" TargetMode="External"/><Relationship Id="rId90" Type="http://schemas.openxmlformats.org/officeDocument/2006/relationships/hyperlink" Target="https://www.sport24.gr/basket/oloi-oi-anthropoi-tou-spanouli-sto-peristeri-to-batzet-to-simvolaio-kai-oi-metagrafes/" TargetMode="External"/><Relationship Id="rId93" Type="http://schemas.openxmlformats.org/officeDocument/2006/relationships/hyperlink" Target="https://www.gazzetta.gr/basketball/basket-league/2454961/aris-me-ena-smparo-dyo-trygonia-se-protathlima-kai-euroleague" TargetMode="External"/><Relationship Id="rId92" Type="http://schemas.openxmlformats.org/officeDocument/2006/relationships/hyperlink" Target="https://www.foxbet.gr/315873/mpatzet-omadon-mpasket-a1" TargetMode="External"/><Relationship Id="rId118" Type="http://schemas.openxmlformats.org/officeDocument/2006/relationships/hyperlink" Target="https://x.com/EskiAcikOnline/status/2048008401834127503" TargetMode="External"/><Relationship Id="rId239" Type="http://schemas.openxmlformats.org/officeDocument/2006/relationships/hyperlink" Target="https://gs24.pl/szczecin-podzielil-pieniadze-dla-klubow-miliony-dla-pogoni-i-wilkow-morskich/ar/c2p2-28713671" TargetMode="External"/><Relationship Id="rId117" Type="http://schemas.openxmlformats.org/officeDocument/2006/relationships/hyperlink" Target="https://x.com/GsYanBranslar/status/1916097564161483115?lang=en" TargetMode="External"/><Relationship Id="rId238" Type="http://schemas.openxmlformats.org/officeDocument/2006/relationships/hyperlink" Target="https://www.youtube.com/watch?v=glsspD6e0gs" TargetMode="External"/><Relationship Id="rId116" Type="http://schemas.openxmlformats.org/officeDocument/2006/relationships/hyperlink" Target="https://www.kuzeyekspres.com.tr/haber/24719791/trabzonsporda-son-dakika-yuksek-butce-icin-harekete-gecildi" TargetMode="External"/><Relationship Id="rId237" Type="http://schemas.openxmlformats.org/officeDocument/2006/relationships/hyperlink" Target="https://zkrainynba.com/michal-baran-celujemy-w-budzet-na-poziomie-4-mln-zl/" TargetMode="External"/><Relationship Id="rId115" Type="http://schemas.openxmlformats.org/officeDocument/2006/relationships/hyperlink" Target="https://www.eurohoops.net/tr/tbl-tr/1838799/ertugrul-dogan-trabzonun-basketbol-butcesi-5-milyon-euro/" TargetMode="External"/><Relationship Id="rId236" Type="http://schemas.openxmlformats.org/officeDocument/2006/relationships/hyperlink" Target="https://zkrainynba.com/michal-szolc-ujawnia-mamy-juz-9-z-11-kontraktow/?fbclid=IwY2xjawTECbBleHRuA2FlbQIxMABicmlkETB5WGRNWXE3bnoxT0ZkdlBMc3J0YwZhcHBfaWQQMjIyMDM5MTc4ODIwMDg5MgABHlNAjiL-w6cuuFoNP6F1doBaSwMgtyFxY1RZcueGYQyiw7MeX3oltHmyYuct_aem_KnbhgEOH2a5M11rMUpac0A" TargetMode="External"/><Relationship Id="rId119" Type="http://schemas.openxmlformats.org/officeDocument/2006/relationships/hyperlink" Target="https://basketfaul.com.tr/turkiye/bsl/deveciler-merkeszefendi-kadrodaki-yerliler-ve-1-2-yabanciyla-devam-edecek/" TargetMode="External"/><Relationship Id="rId110" Type="http://schemas.openxmlformats.org/officeDocument/2006/relationships/hyperlink" Target="https://www.bebasket.fr/le-president-du-besiktas-en-est-sur-son-club-va-remporter-leurocup-et-selon-lui-ca-montrera-que-largent-ne-fait-pas-tout" TargetMode="External"/><Relationship Id="rId231" Type="http://schemas.openxmlformats.org/officeDocument/2006/relationships/hyperlink" Target="https://www.companywall.com.mk/kompanija/%D0%BA%D0%BE%D1%88%D0%B0%D1%80%D0%BA%D0%B0%D1%80%D1%81%D0%BA%D0%B8-%D0%BA%D0%BB%D1%83%D0%B1-%D0%BF%D0%B5%D0%BB%D0%B8%D1%81%D1%82%D0%B5%D1%80-%D0%B0%D0%B4-%D0%B1%D0%B8%D1%82%D0%BE%D0%BB%D0%B0/MM1zPdJC" TargetMode="External"/><Relationship Id="rId230" Type="http://schemas.openxmlformats.org/officeDocument/2006/relationships/hyperlink" Target="https://sportacentrs.com/basketbols/lbl/05052026-pa_punktiem_jauna_lbl_kluba_minimalais_bu" TargetMode="External"/><Relationship Id="rId114" Type="http://schemas.openxmlformats.org/officeDocument/2006/relationships/hyperlink" Target="https://www.bursahakimiyet.com.tr/yazarlar/suha-gursoy-35/butce-dusuk-emek-buyuk-27597" TargetMode="External"/><Relationship Id="rId235" Type="http://schemas.openxmlformats.org/officeDocument/2006/relationships/hyperlink" Target="https://xyz.pl/klub-sportowy-jest-jak-startup-dziki-warszawa-na-drodze-do-euroligi-inba/" TargetMode="External"/><Relationship Id="rId113" Type="http://schemas.openxmlformats.org/officeDocument/2006/relationships/hyperlink" Target="https://x.com/ErayOzer/status/1933976353847558266" TargetMode="External"/><Relationship Id="rId234" Type="http://schemas.openxmlformats.org/officeDocument/2006/relationships/hyperlink" Target="https://sport.interia.pl/koszykowka/mistrzostwa-swiata/news-szef-legii-ujawnia-budzet-zapowiada-tez-walke-o-polakow,nId,23325911" TargetMode="External"/><Relationship Id="rId112" Type="http://schemas.openxmlformats.org/officeDocument/2006/relationships/hyperlink" Target="https://www.eurohoops.net/tr/eurocup-tr/1892517/igor-milicic-bahcesehirin-butcesi-cok-yuksek-ama-sahada-para-oynamiyor/" TargetMode="External"/><Relationship Id="rId233" Type="http://schemas.openxmlformats.org/officeDocument/2006/relationships/hyperlink" Target="https://zkrainynba.com/prezes-anwilu-wloclawek-ujawnil-kwote-budzetu/" TargetMode="External"/><Relationship Id="rId111" Type="http://schemas.openxmlformats.org/officeDocument/2006/relationships/hyperlink" Target="https://medyasiyahbeyaz.com/besiktas-fibabankanin-takim-butcesi-ne-kadar" TargetMode="External"/><Relationship Id="rId232" Type="http://schemas.openxmlformats.org/officeDocument/2006/relationships/hyperlink" Target="https://sport.interia.pl/koszykowka/liga-mezczyzn/news-prezes-astorii-odslania-karty-po-awansie-cel-milion-dolarow,nId,23490005" TargetMode="External"/><Relationship Id="rId206" Type="http://schemas.openxmlformats.org/officeDocument/2006/relationships/hyperlink" Target="https://basket.fi/site/assets/files/33531/pahkina2024.pdf" TargetMode="External"/><Relationship Id="rId205" Type="http://schemas.openxmlformats.org/officeDocument/2006/relationships/hyperlink" Target="https://sport.err.ee/1609475339/kalev-cramo-manedzer-me-ei-suuda-eelarvet-tosta-muu-maailm-laheb-eest-ara" TargetMode="External"/><Relationship Id="rId204" Type="http://schemas.openxmlformats.org/officeDocument/2006/relationships/hyperlink" Target="https://datacvr.virk.dk/gateway/dokument/downloadDokumentForVirksomhed?dokumentId=amNsb3VkczovLzAzLzNjL2NiLzgyLzJjL2ZjMjgtNGQ3OC04ZGVmLTAxNTczMDgyMDhlNQ&amp;cvrNummer=28716958" TargetMode="External"/><Relationship Id="rId203" Type="http://schemas.openxmlformats.org/officeDocument/2006/relationships/hyperlink" Target="https://www.idnes.cz/sport/basket/pumpa-basket-brno-sezona-kvalifikace-eurocup-pulpan-farsky.A250923_123013_sport-basket_coch" TargetMode="External"/><Relationship Id="rId209" Type="http://schemas.openxmlformats.org/officeDocument/2006/relationships/hyperlink" Target="https://basket.fi/site/assets/files/33531/pahkina2024.pdf" TargetMode="External"/><Relationship Id="rId208" Type="http://schemas.openxmlformats.org/officeDocument/2006/relationships/hyperlink" Target="https://basket.fi/site/assets/files/33531/pahkina2024.pdf" TargetMode="External"/><Relationship Id="rId207" Type="http://schemas.openxmlformats.org/officeDocument/2006/relationships/hyperlink" Target="https://basket.fi/site/assets/files/33531/pahkina2024.pdf" TargetMode="External"/><Relationship Id="rId202" Type="http://schemas.openxmlformats.org/officeDocument/2006/relationships/hyperlink" Target="https://forbes.cz/atak-na-olymp-slavia-a-nymburk-se-spojuji-novy-klub-chce-do-evropske-nba/" TargetMode="External"/><Relationship Id="rId201" Type="http://schemas.openxmlformats.org/officeDocument/2006/relationships/hyperlink" Target="https://consult.cbso.nbb.be/consult-enterprise/0455284247" TargetMode="External"/><Relationship Id="rId200" Type="http://schemas.openxmlformats.org/officeDocument/2006/relationships/hyperlink" Target="https://consult.cbso.nbb.be/consult-enterprise/0455284247"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easycredit-bbl.de/statistiken/zuschauer" TargetMode="External"/><Relationship Id="rId2" Type="http://schemas.openxmlformats.org/officeDocument/2006/relationships/hyperlink" Target="https://www.legabasket.it/news/138712/pubblico-regular-season-2025-26" TargetMode="External"/><Relationship Id="rId3"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92" Type="http://schemas.openxmlformats.org/officeDocument/2006/relationships/hyperlink" Target="https://www.15min.lt/naujiena/prenumerata/ivykiai/top-30-geriausiai-apmokamu-lkl-zaideju-zalgirieciu-dominavimas-ir-svarbios-detales-1226-1370624" TargetMode="External"/><Relationship Id="rId391" Type="http://schemas.openxmlformats.org/officeDocument/2006/relationships/hyperlink" Target="https://www.krepsinis.net/naujiena/brangiausiu-lkl-zaideju-top-20-1-10-pozicijos/278868" TargetMode="External"/><Relationship Id="rId390" Type="http://schemas.openxmlformats.org/officeDocument/2006/relationships/hyperlink" Target="https://www.krepsinis.net/naujiena/brangiausiu-lkl-zaideju-top-20-1-10-pozicijos/278868" TargetMode="External"/><Relationship Id="rId1" Type="http://schemas.openxmlformats.org/officeDocument/2006/relationships/comments" Target="../comments1.xml"/><Relationship Id="rId2" Type="http://schemas.openxmlformats.org/officeDocument/2006/relationships/hyperlink" Target="https://assets.fiba.basketball/image/upload/v1726052961/Corporate%20Images/HQ%20Departments/Legal/BAT%20Awards/1752-21.pdf" TargetMode="External"/><Relationship Id="rId3" Type="http://schemas.openxmlformats.org/officeDocument/2006/relationships/hyperlink" Target="https://www.sport5.co.il/articles.aspx?FolderID=407&amp;docID=293704" TargetMode="External"/><Relationship Id="rId4" Type="http://schemas.openxmlformats.org/officeDocument/2006/relationships/hyperlink" Target="https://www.15min.lt/naujiena/prenumerata/ivykiai/top-30-geriausiai-apmokamu-lkl-zaideju-zalgirieciu-dominavimas-ir-svarbios-detales-1226-1370624" TargetMode="External"/><Relationship Id="rId2180" Type="http://schemas.openxmlformats.org/officeDocument/2006/relationships/hyperlink" Target="https://www.pianetabasket.com/legabasket-serie-a/repubblica-virtus-bologna-trent-frazier-in-dirittura-darrivo" TargetMode="External"/><Relationship Id="rId2181" Type="http://schemas.openxmlformats.org/officeDocument/2006/relationships/hyperlink" Target="https://www.pianetabasket.com/euroleague/alessandro-pajola-quasi-1mln-a-stagione-al-partizan-belgrado" TargetMode="External"/><Relationship Id="rId2182" Type="http://schemas.openxmlformats.org/officeDocument/2006/relationships/hyperlink" Target="https://telesport.rs/2026/07/21/saznajemo-pajola-u-humskoj-ovo-su-detalji-i-dalji-planovi/" TargetMode="External"/><Relationship Id="rId2183" Type="http://schemas.openxmlformats.org/officeDocument/2006/relationships/hyperlink" Target="https://www.israelhayom.co.il/sport/israeli-basketball/article/21008495" TargetMode="External"/><Relationship Id="rId9" Type="http://schemas.openxmlformats.org/officeDocument/2006/relationships/hyperlink" Target="https://www.15min.lt/naujiena/prenumerata/ivykiai/top-30-geriausiai-apmokamu-lkl-zaideju-zalgirieciu-dominavimas-ir-svarbios-detales-1226-1370624" TargetMode="External"/><Relationship Id="rId385" Type="http://schemas.openxmlformats.org/officeDocument/2006/relationships/hyperlink" Target="https://www.basketnews.lt/news-112706-lietuvos-rinktines-biudzetas-beveik-13-mln-euru.html" TargetMode="External"/><Relationship Id="rId2184" Type="http://schemas.openxmlformats.org/officeDocument/2006/relationships/hyperlink" Target="https://www.israelhayom.co.il/sport/israeli-basketball/article/21008495" TargetMode="External"/><Relationship Id="rId384" Type="http://schemas.openxmlformats.org/officeDocument/2006/relationships/hyperlink" Target="https://www.krepsinis.net/naujiena/brangiausiu-lkl-zaideju-top-20-1-10-pozicijos/278868" TargetMode="External"/><Relationship Id="rId2185" Type="http://schemas.openxmlformats.org/officeDocument/2006/relationships/hyperlink" Target="https://www.pianetabasket.com/euroleague/futuro-gabriele-procida-il-real-madrid-cerca-un-prestito-le-ultime" TargetMode="External"/><Relationship Id="rId383" Type="http://schemas.openxmlformats.org/officeDocument/2006/relationships/hyperlink" Target="https://www.krepsinis.net/naujiena/brangiausiu-lkl-zaideju-top-20-1-10-pozicijos/278868" TargetMode="External"/><Relationship Id="rId2186" Type="http://schemas.openxmlformats.org/officeDocument/2006/relationships/hyperlink" Target="https://www.israelhayom.co.il/sport/israeli-basketball/article/21008495" TargetMode="External"/><Relationship Id="rId382" Type="http://schemas.openxmlformats.org/officeDocument/2006/relationships/hyperlink" Target="https://www.krepsinis.net/naujiena/brangiausiu-lkl-zaideju-top-20-1-10-pozicijos/278868" TargetMode="External"/><Relationship Id="rId2187" Type="http://schemas.openxmlformats.org/officeDocument/2006/relationships/hyperlink" Target="https://www.israelhayom.co.il/sport/israeli-basketball/article/21008495" TargetMode="External"/><Relationship Id="rId5" Type="http://schemas.openxmlformats.org/officeDocument/2006/relationships/hyperlink" Target="https://www.15min.lt/naujiena/prenumerata/ivykiai/top-30-geriausiai-apmokamu-lkl-zaideju-zalgirieciu-dominavimas-ir-svarbios-detales-1226-1370624" TargetMode="External"/><Relationship Id="rId389" Type="http://schemas.openxmlformats.org/officeDocument/2006/relationships/hyperlink" Target="https://www.krepsinis.net/naujiena/brangiausiu-lkl-zaideju-top-20-1-10-pozicijos/278868" TargetMode="External"/><Relationship Id="rId2188" Type="http://schemas.openxmlformats.org/officeDocument/2006/relationships/hyperlink" Target="https://x.com/TelesportRS/status/2080276565292650938" TargetMode="External"/><Relationship Id="rId6" Type="http://schemas.openxmlformats.org/officeDocument/2006/relationships/hyperlink" Target="https://www.15min.lt/naujiena/prenumerata/ivykiai/top-30-geriausiai-apmokamu-lkl-zaideju-zalgirieciu-dominavimas-ir-svarbios-detales-1226-1370624" TargetMode="External"/><Relationship Id="rId388" Type="http://schemas.openxmlformats.org/officeDocument/2006/relationships/hyperlink" Target="https://www.krepsinis.net/naujiena/brangiausiu-lkl-zaideju-top-20-1-10-pozicijos/278868" TargetMode="External"/><Relationship Id="rId2189" Type="http://schemas.openxmlformats.org/officeDocument/2006/relationships/hyperlink" Target="https://www.sport5.co.il/articles.aspx?FolderID=274&amp;docID=553970" TargetMode="External"/><Relationship Id="rId7" Type="http://schemas.openxmlformats.org/officeDocument/2006/relationships/hyperlink" Target="https://www.15min.lt/naujiena/prenumerata/ivykiai/top-30-geriausiai-apmokamu-lkl-zaideju-zalgirieciu-dominavimas-ir-svarbios-detales-1226-1370624" TargetMode="External"/><Relationship Id="rId387" Type="http://schemas.openxmlformats.org/officeDocument/2006/relationships/hyperlink" Target="https://www.15min.lt/24sek/naujiena/europa/ispirka-uz-deivida-sirvydi-didziausia-jeruzales-klubo-istorijoje-874-1324278" TargetMode="External"/><Relationship Id="rId8" Type="http://schemas.openxmlformats.org/officeDocument/2006/relationships/hyperlink" Target="https://www.15min.lt/naujiena/prenumerata/ivykiai/top-30-geriausiai-apmokamu-lkl-zaideju-zalgirieciu-dominavimas-ir-svarbios-detales-1226-1370624" TargetMode="External"/><Relationship Id="rId386" Type="http://schemas.openxmlformats.org/officeDocument/2006/relationships/hyperlink" Target="https://www.basketnews.lt/news-133679-geriausiai-apmokami-lkl-zaidejai-desimt-brangiausiuju-zalgiryje.html" TargetMode="External"/><Relationship Id="rId381" Type="http://schemas.openxmlformats.org/officeDocument/2006/relationships/hyperlink" Target="https://www.krepsinis.net/naujiena/brangiausiu-lkl-zaideju-top-20-1-10-pozicijos/278868" TargetMode="External"/><Relationship Id="rId380" Type="http://schemas.openxmlformats.org/officeDocument/2006/relationships/hyperlink" Target="https://www.krepsinis.net/naujiena/brangiausiu-lkl-zaideju-top-20-1-10-pozicijos/278868" TargetMode="External"/><Relationship Id="rId379" Type="http://schemas.openxmlformats.org/officeDocument/2006/relationships/hyperlink" Target="https://www.krepsinis.net/naujiena/brangiausiu-lkl-zaideju-top-20-20-11-pozicijos/278738" TargetMode="External"/><Relationship Id="rId2170" Type="http://schemas.openxmlformats.org/officeDocument/2006/relationships/hyperlink" Target="https://www.sport5.co.il/articles.aspx?FolderID=274&amp;docID=552256" TargetMode="External"/><Relationship Id="rId2171" Type="http://schemas.openxmlformats.org/officeDocument/2006/relationships/hyperlink" Target="https://mozzartsport.com/kosarka/vesti/zvezda-sprema-preko-1500000-dolara-za-dzonatana-motlija/548967" TargetMode="External"/><Relationship Id="rId2172" Type="http://schemas.openxmlformats.org/officeDocument/2006/relationships/hyperlink" Target="https://www.sport5.co.il/articles.aspx?FolderID=274&amp;docID=552420" TargetMode="External"/><Relationship Id="rId374" Type="http://schemas.openxmlformats.org/officeDocument/2006/relationships/hyperlink" Target="https://www.krepsinis.net/naujiena/lietuvos-rinktines-zaideju-atlyginimai-kiek-kita-sezona-uzdirbs-dvyliktuko-nariai/276896" TargetMode="External"/><Relationship Id="rId2173" Type="http://schemas.openxmlformats.org/officeDocument/2006/relationships/hyperlink" Target="https://www.pianetabasket.com/legabasket-serie-a/varese-i-retroscena-delloperazione-roby-contratto-da-250mila-dollari" TargetMode="External"/><Relationship Id="rId373" Type="http://schemas.openxmlformats.org/officeDocument/2006/relationships/hyperlink" Target="https://www.15min.lt/24sek/naujiena/lietuva/lietuvos-rinktines-verte-kiek-uzdirba-nacionalines-komandos-zaidejai-875-844744" TargetMode="External"/><Relationship Id="rId2174" Type="http://schemas.openxmlformats.org/officeDocument/2006/relationships/hyperlink" Target="https://www.abendblatt.de/sport/hamburg-towers/article412486224/basketball-bundesliga-transfermarkt-syntainics-mbc-weissenfels-neuer-center-deutscher.html" TargetMode="External"/><Relationship Id="rId372" Type="http://schemas.openxmlformats.org/officeDocument/2006/relationships/hyperlink" Target="https://www.basketnews.lt/news-112706-lietuvos-rinktines-biudzetas-beveik-13-mln-euru.html" TargetMode="External"/><Relationship Id="rId2175" Type="http://schemas.openxmlformats.org/officeDocument/2006/relationships/hyperlink" Target="https://www.sport5.co.il/articles.aspx?FolderID=274&amp;docID=553851" TargetMode="External"/><Relationship Id="rId371" Type="http://schemas.openxmlformats.org/officeDocument/2006/relationships/hyperlink" Target="https://www.krepsinis.net/naujiena/lietuvos-rinktines-zaideju-atlyginimai-kiek-kita-sezona-uzdirbs-dvyliktuko-nariai/276896" TargetMode="External"/><Relationship Id="rId2176" Type="http://schemas.openxmlformats.org/officeDocument/2006/relationships/hyperlink" Target="https://www.israelhayom.co.il/sport/israeli-basketball/article/21025541" TargetMode="External"/><Relationship Id="rId378" Type="http://schemas.openxmlformats.org/officeDocument/2006/relationships/hyperlink" Target="https://www.basketnews.lt/news-112706-lietuvos-rinktines-biudzetas-beveik-13-mln-euru.html" TargetMode="External"/><Relationship Id="rId2177" Type="http://schemas.openxmlformats.org/officeDocument/2006/relationships/hyperlink" Target="https://sports.walla.co.il/item/3855583" TargetMode="External"/><Relationship Id="rId377" Type="http://schemas.openxmlformats.org/officeDocument/2006/relationships/hyperlink" Target="https://www.basketnews.lt/news-112706-lietuvos-rinktines-biudzetas-beveik-13-mln-euru.html" TargetMode="External"/><Relationship Id="rId2178" Type="http://schemas.openxmlformats.org/officeDocument/2006/relationships/hyperlink" Target="https://sports.walla.co.il/item/3855583" TargetMode="External"/><Relationship Id="rId376" Type="http://schemas.openxmlformats.org/officeDocument/2006/relationships/hyperlink" Target="https://www.krepsinis.net/naujiena/d-motiejunas-brangiausiai-apmokamas-kinijos-lygos-uzsienietis/278050" TargetMode="External"/><Relationship Id="rId2179" Type="http://schemas.openxmlformats.org/officeDocument/2006/relationships/hyperlink" Target="https://www.pianetabasket.com/legabasket-serie-a/virtus-bologna-in-chiusura-per-trent-frazier-dettagli-e-retroscena-delloperazione" TargetMode="External"/><Relationship Id="rId375" Type="http://schemas.openxmlformats.org/officeDocument/2006/relationships/hyperlink" Target="https://www.basketnews.lt/news-112706-lietuvos-rinktines-biudzetas-beveik-13-mln-euru.html" TargetMode="External"/><Relationship Id="rId2190" Type="http://schemas.openxmlformats.org/officeDocument/2006/relationships/hyperlink" Target="https://www.israelhayom.co.il/sport/israeli-basketball/article/21157555" TargetMode="External"/><Relationship Id="rId2191" Type="http://schemas.openxmlformats.org/officeDocument/2006/relationships/hyperlink" Target="https://www.sport5.co.il/articles.aspx?FolderID=274&amp;docID=554667" TargetMode="External"/><Relationship Id="rId2192" Type="http://schemas.openxmlformats.org/officeDocument/2006/relationships/hyperlink" Target="https://x.com/yonann/status/2082446038590472481" TargetMode="External"/><Relationship Id="rId2193" Type="http://schemas.openxmlformats.org/officeDocument/2006/relationships/hyperlink" Target="https://sports.walla.co.il/item/3856675" TargetMode="External"/><Relationship Id="rId2194" Type="http://schemas.openxmlformats.org/officeDocument/2006/relationships/hyperlink" Target="https://www.sport5.co.il/articles.aspx?FolderID=274&amp;docID=554480" TargetMode="External"/><Relationship Id="rId396" Type="http://schemas.openxmlformats.org/officeDocument/2006/relationships/hyperlink" Target="https://www.basketnews.lt/news-133679-geriausiai-apmokami-lkl-zaidejai-desimt-brangiausiuju-zalgiryje.html" TargetMode="External"/><Relationship Id="rId2195" Type="http://schemas.openxmlformats.org/officeDocument/2006/relationships/hyperlink" Target="https://www.sport5.co.il/articles.aspx?FolderID=274&amp;docID=554667" TargetMode="External"/><Relationship Id="rId395" Type="http://schemas.openxmlformats.org/officeDocument/2006/relationships/hyperlink" Target="https://www.basketnews.lt/news-133679-geriausiai-apmokami-lkl-zaidejai-desimt-brangiausiuju-zalgiryje.html" TargetMode="External"/><Relationship Id="rId2196" Type="http://schemas.openxmlformats.org/officeDocument/2006/relationships/hyperlink" Target="https://www.sport5.co.il/articles.aspx?FolderID=11840&amp;docID=554380" TargetMode="External"/><Relationship Id="rId394" Type="http://schemas.openxmlformats.org/officeDocument/2006/relationships/hyperlink" Target="https://www.15min.lt/24sek/naujiena/lietuva/top-30-atlyginimu-lietuvoje-daugiausiai-uzdirbanciuju-desimtuke-burys-zalgirieciu-875-1036762" TargetMode="External"/><Relationship Id="rId2197" Type="http://schemas.openxmlformats.org/officeDocument/2006/relationships/hyperlink" Target="https://x.com/Andrea__Calzoni/status/2081757714988888442" TargetMode="External"/><Relationship Id="rId393" Type="http://schemas.openxmlformats.org/officeDocument/2006/relationships/hyperlink" Target="https://www.basketnews.lt/news-133679-geriausiai-apmokami-lkl-zaidejai-desimt-brangiausiuju-zalgiryje.html" TargetMode="External"/><Relationship Id="rId2198" Type="http://schemas.openxmlformats.org/officeDocument/2006/relationships/hyperlink" Target="https://www.pianetabasket.com/mercato/napoli-basket-ce-il-colpo-jahmius-ramsey" TargetMode="External"/><Relationship Id="rId2199" Type="http://schemas.openxmlformats.org/officeDocument/2006/relationships/hyperlink" Target="https://x.com/hizlihucum/status/2050547543122038981" TargetMode="External"/><Relationship Id="rId399" Type="http://schemas.openxmlformats.org/officeDocument/2006/relationships/hyperlink" Target="https://www.basketnews.lt/news-129649-labiausiai-savo-verte-pakele-eurolygos-krepsininkai-sarase-du-zalgirieciai.html" TargetMode="External"/><Relationship Id="rId398" Type="http://schemas.openxmlformats.org/officeDocument/2006/relationships/hyperlink" Target="https://www.tv3.lt/naujiena/sportas/krepsinio-zvaigzdziu-milijonai-kiek-uzdirba-lietuvos-rinktines-nariai-n1010742" TargetMode="External"/><Relationship Id="rId397" Type="http://schemas.openxmlformats.org/officeDocument/2006/relationships/hyperlink" Target="https://www.tv3.lt/naujiena/sportas/krepsinio-zvaigzdziu-milijonai-kiek-uzdirba-lietuvos-rinktines-nariai-n1010742" TargetMode="External"/><Relationship Id="rId1730" Type="http://schemas.openxmlformats.org/officeDocument/2006/relationships/hyperlink" Target="https://www.krepsinis.net/naujiena/l-woodsas-efes-pilsen-klube-uzdirbs-beveik-2-milijonus-euru/133045" TargetMode="External"/><Relationship Id="rId1731" Type="http://schemas.openxmlformats.org/officeDocument/2006/relationships/hyperlink" Target="https://www.krepsinis.net/naujiena/l-woodsas-efes-pilsen-klube-uzdirbs-beveik-2-milijonus-euru/133045" TargetMode="External"/><Relationship Id="rId1732" Type="http://schemas.openxmlformats.org/officeDocument/2006/relationships/hyperlink" Target="https://www.krepsinis.net/naujiena/s-weemsas-zalgiryje-uzdirbs-apie-1-mln-euru/11338" TargetMode="External"/><Relationship Id="rId1733" Type="http://schemas.openxmlformats.org/officeDocument/2006/relationships/hyperlink" Target="https://x.com/Andrea__Calzoni/status/1938905384359694812" TargetMode="External"/><Relationship Id="rId1734" Type="http://schemas.openxmlformats.org/officeDocument/2006/relationships/hyperlink" Target="https://www.krepsinis.net/naujiena/10-uzsienyje-zaidzianciu-lietuviu-kurie-uzdirba-daugiausiai/249859" TargetMode="External"/><Relationship Id="rId1735" Type="http://schemas.openxmlformats.org/officeDocument/2006/relationships/hyperlink" Target="https://www.krepsinis.net/naujiena/10-uzsienyje-zaidzianciu-lietuviu-kurie-uzdirba-daugiausiai/249859" TargetMode="External"/><Relationship Id="rId1736" Type="http://schemas.openxmlformats.org/officeDocument/2006/relationships/hyperlink" Target="https://www.krepsinis.net/naujiena/10-uzsienyje-zaidzianciu-lietuviu-kurie-uzdirba-daugiausiai/249859" TargetMode="External"/><Relationship Id="rId1737" Type="http://schemas.openxmlformats.org/officeDocument/2006/relationships/hyperlink" Target="https://www.krepsinis.net/naujiena/10-uzsienyje-zaidzianciu-lietuviu-kurie-uzdirba-daugiausiai/249859" TargetMode="External"/><Relationship Id="rId1738" Type="http://schemas.openxmlformats.org/officeDocument/2006/relationships/hyperlink" Target="https://www.krepsinis.net/naujiena/10-uzsienyje-zaidzianciu-lietuviu-kurie-uzdirba-daugiausiai/249859" TargetMode="External"/><Relationship Id="rId1739" Type="http://schemas.openxmlformats.org/officeDocument/2006/relationships/hyperlink" Target="https://www.krepsinis.net/naujiena/10-uzsienyje-zaidzianciu-lietuviu-kurie-uzdirba-daugiausiai/249859" TargetMode="External"/><Relationship Id="rId1720" Type="http://schemas.openxmlformats.org/officeDocument/2006/relationships/hyperlink" Target="https://www.basketnews.lt/news-121617-kaune-likti-nusprendusiam-sarui-rekordinis-atlyginimas.html" TargetMode="External"/><Relationship Id="rId1721" Type="http://schemas.openxmlformats.org/officeDocument/2006/relationships/hyperlink" Target="https://www.basketnews.lt/news-121617-kaune-likti-nusprendusiam-sarui-rekordinis-atlyginimas.html" TargetMode="External"/><Relationship Id="rId1722" Type="http://schemas.openxmlformats.org/officeDocument/2006/relationships/hyperlink" Target="https://www.basketnews.lt/news-130673-10-geriausiu-lkl-laisvuju-agentu-virsuneje-veteranai.html" TargetMode="External"/><Relationship Id="rId1723" Type="http://schemas.openxmlformats.org/officeDocument/2006/relationships/hyperlink" Target="https://dev.basketnews.lt/news-75046-italijoje-kleizos-alga-bus-5-kartus-mazesne-nei-turkijoje.html" TargetMode="External"/><Relationship Id="rId1724" Type="http://schemas.openxmlformats.org/officeDocument/2006/relationships/hyperlink" Target="https://dev.basketnews.lt/news-75046-italijoje-kleizos-alga-bus-5-kartus-mazesne-nei-turkijoje.html" TargetMode="External"/><Relationship Id="rId1725" Type="http://schemas.openxmlformats.org/officeDocument/2006/relationships/hyperlink" Target="https://www.sport.lt/naujienos/krepsinis/atskleista-neitiketinai-maza-g-zibeno-alga-ryte/" TargetMode="External"/><Relationship Id="rId1726" Type="http://schemas.openxmlformats.org/officeDocument/2006/relationships/hyperlink" Target="https://www.sport.lt/naujienos/krepsinis/atskleista-neitiketinai-maza-g-zibeno-alga-ryte/" TargetMode="External"/><Relationship Id="rId1727" Type="http://schemas.openxmlformats.org/officeDocument/2006/relationships/hyperlink" Target="https://www.tv3.lt/naujiena/sportas/suskaiciavome-stai-kiek-per-menesi-uzdirba-kiekvienas-lietuvos-rinktines-narys-n1349237" TargetMode="External"/><Relationship Id="rId1728" Type="http://schemas.openxmlformats.org/officeDocument/2006/relationships/hyperlink" Target="https://www.tv3.lt/naujiena/sportas/suskaiciavome-stai-kiek-per-menesi-uzdirba-kiekvienas-lietuvos-rinktines-narys-n1349237" TargetMode="External"/><Relationship Id="rId1729" Type="http://schemas.openxmlformats.org/officeDocument/2006/relationships/hyperlink" Target="https://www.krepsinis.net/naujiena/j-nunnally-tapo-lietuviu-bendraklubiu-ir-uzdirbs-didele-pinigu-suma/347314" TargetMode="External"/><Relationship Id="rId1752" Type="http://schemas.openxmlformats.org/officeDocument/2006/relationships/hyperlink" Target="https://www.basketnews.lt/news-28087-tarp-lietuviu-europoje-daugiausiai-uzdirba-siskauskas-ir-kleiza.html" TargetMode="External"/><Relationship Id="rId1753" Type="http://schemas.openxmlformats.org/officeDocument/2006/relationships/hyperlink" Target="https://www.basketnews.lt/news-63321-per-dvejus-metus-krasnodare-hendrixas-uzdirbs-daugiau-nei-13-mln-litu.html" TargetMode="External"/><Relationship Id="rId1754" Type="http://schemas.openxmlformats.org/officeDocument/2006/relationships/hyperlink" Target="https://www.basketnews.lt/news-158062-geriausiai-apmokamu-eurolygos-zaideju-desimtukas-kieno-pinigine-sustorejo-labiausiai.html" TargetMode="External"/><Relationship Id="rId1755" Type="http://schemas.openxmlformats.org/officeDocument/2006/relationships/hyperlink" Target="https://www.basketnews.lt/news-63321-per-dvejus-metus-krasnodare-hendrixas-uzdirbs-daugiau-nei-13-mln-litu.html" TargetMode="External"/><Relationship Id="rId1756" Type="http://schemas.openxmlformats.org/officeDocument/2006/relationships/hyperlink" Target="https://www.lrytas.lt/sportas/krepsinis/2018/07/02/news/sara-pykdes-lkl-blogiukas-isvyksta-i-uzsieni-naujoje-lygoje-etiketes-nera--6826596?utm_source=lrExtraLinks&amp;utm_campaign=Copy&amp;utm_medium=Copy&amp;fbclid=IwY2xjawSn7MdleHRuA2FlbQIxMQBicmlkETBRa2FRZjNJbGxOWWRyTHNzc3J0YwZhcHBfaWQQMjIyMDM5MTc4ODIwMDg5MgABHhs1WpkFecSPhrGGTHxcpZry4OpGYqnyGASgof0IFpKJ-NLoeRT66V99VaoF_aem_6ehU6PcCJBIPGUPQ459HLA" TargetMode="External"/><Relationship Id="rId1757" Type="http://schemas.openxmlformats.org/officeDocument/2006/relationships/hyperlink" Target="https://www.lrytas.lt/sportas/krepsinis/2018/07/02/news/sara-pykdes-lkl-blogiukas-isvyksta-i-uzsieni-naujoje-lygoje-etiketes-nera--6826596?utm_source=lrExtraLinks&amp;utm_campaign=Copy&amp;utm_medium=Copy&amp;fbclid=IwY2xjawSn7MdleHRuA2FlbQIxMQBicmlkETBRa2FRZjNJbGxOWWRyTHNzc3J0YwZhcHBfaWQQMjIyMDM5MTc4ODIwMDg5MgABHhs1WpkFecSPhrGGTHxcpZry4OpGYqnyGASgof0IFpKJ-NLoeRT66V99VaoF_aem_6ehU6PcCJBIPGUPQ459HLA" TargetMode="External"/><Relationship Id="rId1758" Type="http://schemas.openxmlformats.org/officeDocument/2006/relationships/hyperlink" Target="https://www.15min.lt/24sek/naujiena/lietuva/top-12-kiek-uzdirba-lietuvos-krepsinio-rinktines-dvyliktukas-875-664025" TargetMode="External"/><Relationship Id="rId1759" Type="http://schemas.openxmlformats.org/officeDocument/2006/relationships/hyperlink" Target="https://www.15min.lt/24sek/naujiena/lietuva/top-12-kiek-uzdirba-lietuvos-krepsinio-rinktines-dvyliktukas-875-664025" TargetMode="External"/><Relationship Id="rId808" Type="http://schemas.openxmlformats.org/officeDocument/2006/relationships/hyperlink" Target="https://www.israelhayom.co.il/sport/israeli-basketball/article/18880746" TargetMode="External"/><Relationship Id="rId807" Type="http://schemas.openxmlformats.org/officeDocument/2006/relationships/hyperlink" Target="https://www.sport5.co.il/articles.aspx?FolderID=11840&amp;docID=518857" TargetMode="External"/><Relationship Id="rId806" Type="http://schemas.openxmlformats.org/officeDocument/2006/relationships/hyperlink" Target="https://www.israelhayom.co.il/sport/israeli-basketball/article/18880746" TargetMode="External"/><Relationship Id="rId805" Type="http://schemas.openxmlformats.org/officeDocument/2006/relationships/hyperlink" Target="https://www.sport5.co.il/articles.aspx?FolderID=11840&amp;docID=518857" TargetMode="External"/><Relationship Id="rId809" Type="http://schemas.openxmlformats.org/officeDocument/2006/relationships/hyperlink" Target="https://www.sport5.co.il/articles.aspx?FolderID=11840&amp;docID=518857" TargetMode="External"/><Relationship Id="rId800" Type="http://schemas.openxmlformats.org/officeDocument/2006/relationships/hyperlink" Target="https://sport1.maariv.co.il/israeli-basketball/winner-basketball-league/article/1835333/" TargetMode="External"/><Relationship Id="rId804" Type="http://schemas.openxmlformats.org/officeDocument/2006/relationships/hyperlink" Target="https://www.israelhayom.co.il/sport/israeli-basketball/article/18880746" TargetMode="External"/><Relationship Id="rId803" Type="http://schemas.openxmlformats.org/officeDocument/2006/relationships/hyperlink" Target="https://www.sport5.co.il/articles.aspx?FolderID=11840&amp;docID=518857" TargetMode="External"/><Relationship Id="rId802" Type="http://schemas.openxmlformats.org/officeDocument/2006/relationships/hyperlink" Target="https://www.israelhayom.co.il/sport/israeli-basketball/article/18880746" TargetMode="External"/><Relationship Id="rId801" Type="http://schemas.openxmlformats.org/officeDocument/2006/relationships/hyperlink" Target="https://www.sport5.co.il/articles.aspx?FolderID=11840&amp;docID=518857" TargetMode="External"/><Relationship Id="rId1750" Type="http://schemas.openxmlformats.org/officeDocument/2006/relationships/hyperlink" Target="https://www.basketnews.lt/news-28087-tarp-lietuviu-europoje-daugiausiai-uzdirba-siskauskas-ir-kleiza.html" TargetMode="External"/><Relationship Id="rId1751" Type="http://schemas.openxmlformats.org/officeDocument/2006/relationships/hyperlink" Target="https://www.basketnews.lt/news-28087-tarp-lietuviu-europoje-daugiausiai-uzdirba-siskauskas-ir-kleiza.html" TargetMode="External"/><Relationship Id="rId1741" Type="http://schemas.openxmlformats.org/officeDocument/2006/relationships/hyperlink" Target="https://www.krepsinis.net/naujiena/10-uzsienyje-zaidzianciu-lietuviu-kurie-uzdirba-daugiausiai/259841" TargetMode="External"/><Relationship Id="rId1742" Type="http://schemas.openxmlformats.org/officeDocument/2006/relationships/hyperlink" Target="https://www.krepsinis.net/naujiena/10-uzsienyje-zaidzianciu-lietuviu-kurie-uzdirba-daugiausiai/259841" TargetMode="External"/><Relationship Id="rId1743" Type="http://schemas.openxmlformats.org/officeDocument/2006/relationships/hyperlink" Target="https://www.krepsinis.net/naujiena/10-uzsienyje-zaidzianciu-lietuviu-kurie-uzdirba-daugiausiai/259841" TargetMode="External"/><Relationship Id="rId1744" Type="http://schemas.openxmlformats.org/officeDocument/2006/relationships/hyperlink" Target="https://www.krepsinis.net/naujiena/10-uzsienyje-zaidzianciu-lietuviu-kurie-uzdirba-daugiausiai/259841" TargetMode="External"/><Relationship Id="rId1745" Type="http://schemas.openxmlformats.org/officeDocument/2006/relationships/hyperlink" Target="https://www.krepsinis.net/naujiena/10-uzsienyje-zaidzianciu-lietuviu-kurie-uzdirba-daugiausiai/259841" TargetMode="External"/><Relationship Id="rId1746" Type="http://schemas.openxmlformats.org/officeDocument/2006/relationships/hyperlink" Target="https://www.krepsinis.net/naujiena/10-uzsienyje-zaidzianciu-lietuviu-kurie-uzdirba-daugiausiai/259841" TargetMode="External"/><Relationship Id="rId1747" Type="http://schemas.openxmlformats.org/officeDocument/2006/relationships/hyperlink" Target="https://www.basketnews.lt/news-28087-tarp-lietuviu-europoje-daugiausiai-uzdirba-siskauskas-ir-kleiza.html" TargetMode="External"/><Relationship Id="rId1748" Type="http://schemas.openxmlformats.org/officeDocument/2006/relationships/hyperlink" Target="https://www.basketnews.lt/news-28087-tarp-lietuviu-europoje-daugiausiai-uzdirba-siskauskas-ir-kleiza.html" TargetMode="External"/><Relationship Id="rId1749" Type="http://schemas.openxmlformats.org/officeDocument/2006/relationships/hyperlink" Target="https://www.basketnews.lt/news-28087-tarp-lietuviu-europoje-daugiausiai-uzdirba-siskauskas-ir-kleiza.html" TargetMode="External"/><Relationship Id="rId1740" Type="http://schemas.openxmlformats.org/officeDocument/2006/relationships/hyperlink" Target="https://x.com/Andrea__Calzoni/status/2065365098730860876" TargetMode="External"/><Relationship Id="rId1710" Type="http://schemas.openxmlformats.org/officeDocument/2006/relationships/hyperlink" Target="https://www.ballineurope.com/top-salaries-european-basketball-3298/" TargetMode="External"/><Relationship Id="rId1711" Type="http://schemas.openxmlformats.org/officeDocument/2006/relationships/hyperlink" Target="https://www.ballineurope.com/top-salaries-european-basketball-3298/" TargetMode="External"/><Relationship Id="rId1712" Type="http://schemas.openxmlformats.org/officeDocument/2006/relationships/hyperlink" Target="https://www.ballineurope.com/top-salaries-european-basketball-3298/" TargetMode="External"/><Relationship Id="rId1713" Type="http://schemas.openxmlformats.org/officeDocument/2006/relationships/hyperlink" Target="https://www.ballineurope.com/top-salaries-european-basketball-3298/" TargetMode="External"/><Relationship Id="rId1714" Type="http://schemas.openxmlformats.org/officeDocument/2006/relationships/hyperlink" Target="https://www.ballineurope.com/top-salaries-european-basketball-3298/" TargetMode="External"/><Relationship Id="rId1715" Type="http://schemas.openxmlformats.org/officeDocument/2006/relationships/hyperlink" Target="https://www.ballineurope.com/top-salaries-european-basketball-3298/" TargetMode="External"/><Relationship Id="rId1716" Type="http://schemas.openxmlformats.org/officeDocument/2006/relationships/hyperlink" Target="https://www.basketnews.lt/news-131314-dideles-vertes-kontrakta-pasirasysiantis-weemsas-lieka-rungtyniauti-kinijoje.html" TargetMode="External"/><Relationship Id="rId1717" Type="http://schemas.openxmlformats.org/officeDocument/2006/relationships/hyperlink" Target="https://www.basketnews.lt/news-202210-atskleistas-sfairopoulo-atlyginimas-crvena-zvezda.html" TargetMode="External"/><Relationship Id="rId1718" Type="http://schemas.openxmlformats.org/officeDocument/2006/relationships/hyperlink" Target="https://www.basketnews.lt/news-202210-atskleistas-sfairopoulo-atlyginimas-crvena-zvezda.html" TargetMode="External"/><Relationship Id="rId1719" Type="http://schemas.openxmlformats.org/officeDocument/2006/relationships/hyperlink" Target="https://www.basketnews.lt/news-120819-7-kartus-alga-pasikeles-kupsas-isvyksta-i-kinija.html" TargetMode="External"/><Relationship Id="rId1700" Type="http://schemas.openxmlformats.org/officeDocument/2006/relationships/hyperlink" Target="https://www.20minutos.es/lainformacion/economia-y-finanzas/rudy-fernandez-se-retira-dinero-que-ha-ganado-sus-inversiones-sus-mansiones-5265573/" TargetMode="External"/><Relationship Id="rId1701" Type="http://schemas.openxmlformats.org/officeDocument/2006/relationships/hyperlink" Target="https://www.20minutos.es/lainformacion/economia-y-finanzas/rudy-fernandez-se-retira-dinero-que-ha-ganado-sus-inversiones-sus-mansiones-5265573/" TargetMode="External"/><Relationship Id="rId1702" Type="http://schemas.openxmlformats.org/officeDocument/2006/relationships/hyperlink" Target="https://www.20minutos.es/lainformacion/economia-y-finanzas/rudy-fernandez-se-retira-dinero-que-ha-ganado-sus-inversiones-sus-mansiones-5265573/" TargetMode="External"/><Relationship Id="rId1703" Type="http://schemas.openxmlformats.org/officeDocument/2006/relationships/hyperlink" Target="https://www.20minutos.es/lainformacion/economia-y-finanzas/rudy-fernandez-se-retira-dinero-que-ha-ganado-sus-inversiones-sus-mansiones-5265573/" TargetMode="External"/><Relationship Id="rId1704" Type="http://schemas.openxmlformats.org/officeDocument/2006/relationships/hyperlink" Target="https://www.tv3.lt/naujiena/sportas/turtingiausi-krepsininkai-lietuvoje-ir-europoje-n214656" TargetMode="External"/><Relationship Id="rId1705" Type="http://schemas.openxmlformats.org/officeDocument/2006/relationships/hyperlink" Target="https://www.ballineurope.com/top-salaries-european-basketball-3298/" TargetMode="External"/><Relationship Id="rId1706" Type="http://schemas.openxmlformats.org/officeDocument/2006/relationships/hyperlink" Target="https://www.ballineurope.com/top-salaries-european-basketball-3298/" TargetMode="External"/><Relationship Id="rId1707" Type="http://schemas.openxmlformats.org/officeDocument/2006/relationships/hyperlink" Target="https://www.ballineurope.com/top-salaries-european-basketball-3298/" TargetMode="External"/><Relationship Id="rId1708" Type="http://schemas.openxmlformats.org/officeDocument/2006/relationships/hyperlink" Target="https://www.ballineurope.com/top-salaries-european-basketball-3298/" TargetMode="External"/><Relationship Id="rId1709" Type="http://schemas.openxmlformats.org/officeDocument/2006/relationships/hyperlink" Target="https://www.ballineurope.com/top-salaries-european-basketball-3298/" TargetMode="External"/><Relationship Id="rId40" Type="http://schemas.openxmlformats.org/officeDocument/2006/relationships/hyperlink" Target="https://www.basketnews.lt/news-215342-atskleistos-grigonio-ir-kitu-pao-zaideju-algos.html" TargetMode="External"/><Relationship Id="rId1334" Type="http://schemas.openxmlformats.org/officeDocument/2006/relationships/hyperlink" Target="https://www.sportal.gr/basket/article/aek-to-paraskinio-tis-paramonis-toy-midaoygas-koyzminskas-2024071512093613180" TargetMode="External"/><Relationship Id="rId1335" Type="http://schemas.openxmlformats.org/officeDocument/2006/relationships/hyperlink" Target="https://www.eurohoops.net/en/euroleague/287945/russ-smith-signed-with-galatasaray/" TargetMode="External"/><Relationship Id="rId42" Type="http://schemas.openxmlformats.org/officeDocument/2006/relationships/hyperlink" Target="https://www.basketnews.lt/news-215342-atskleistos-grigonio-ir-kitu-pao-zaideju-algos.html" TargetMode="External"/><Relationship Id="rId1336" Type="http://schemas.openxmlformats.org/officeDocument/2006/relationships/hyperlink" Target="https://assets.fiba.basketball/image/upload/v1726050103/Corporate%20Images/HQ%20Departments/Legal/BAT%20Awards/1666-21.pdf" TargetMode="External"/><Relationship Id="rId41" Type="http://schemas.openxmlformats.org/officeDocument/2006/relationships/hyperlink" Target="https://www.eurohoops.net/en/trademarks/1747585/panathinaikos-olympiacos-player-contracts-euroleague/" TargetMode="External"/><Relationship Id="rId1337" Type="http://schemas.openxmlformats.org/officeDocument/2006/relationships/hyperlink" Target="https://assets.fiba.basketball/image/upload/v1726050421/Corporate%20Images/HQ%20Departments/Legal/BAT%20Awards/1509-20.pdf" TargetMode="External"/><Relationship Id="rId44" Type="http://schemas.openxmlformats.org/officeDocument/2006/relationships/hyperlink" Target="https://www.basketnews.lt/news-215342-atskleistos-grigonio-ir-kitu-pao-zaideju-algos.html" TargetMode="External"/><Relationship Id="rId1338" Type="http://schemas.openxmlformats.org/officeDocument/2006/relationships/hyperlink" Target="https://assets.fiba.basketball/image/upload/v1779181565/laxunp8eqhj8py1wlcyp.pdf" TargetMode="External"/><Relationship Id="rId43" Type="http://schemas.openxmlformats.org/officeDocument/2006/relationships/hyperlink" Target="https://www.eurohoops.net/en/trademarks/1747585/panathinaikos-olympiacos-player-contracts-euroleague/" TargetMode="External"/><Relationship Id="rId1339" Type="http://schemas.openxmlformats.org/officeDocument/2006/relationships/hyperlink" Target="https://x.com/Andrea__Calzoni/status/2068099916346327464" TargetMode="External"/><Relationship Id="rId46" Type="http://schemas.openxmlformats.org/officeDocument/2006/relationships/hyperlink" Target="https://www.eurohoops.net/el/trademarks-el/1747652/panathinaikos-olimpiakos-afta-ine-ta-simvolea-ton-dio-megaliteron-budget-stin-evroligka/" TargetMode="External"/><Relationship Id="rId45" Type="http://schemas.openxmlformats.org/officeDocument/2006/relationships/hyperlink" Target="https://www.eurohoops.net/el/trademarks-el/1747652/panathinaikos-olimpiakos-afta-ine-ta-simvolea-ton-dio-megaliteron-budget-stin-evroligka/" TargetMode="External"/><Relationship Id="rId745" Type="http://schemas.openxmlformats.org/officeDocument/2006/relationships/hyperlink" Target="https://www.sport5.co.il/articles.aspx?FolderID=274&amp;docID=482119" TargetMode="External"/><Relationship Id="rId744" Type="http://schemas.openxmlformats.org/officeDocument/2006/relationships/hyperlink" Target="https://www.israelhayom.co.il/sport/israeli-basketball/article/16266613" TargetMode="External"/><Relationship Id="rId743" Type="http://schemas.openxmlformats.org/officeDocument/2006/relationships/hyperlink" Target="https://www.sport5.co.il/articles.aspx?FolderID=274&amp;docID=482119" TargetMode="External"/><Relationship Id="rId742" Type="http://schemas.openxmlformats.org/officeDocument/2006/relationships/hyperlink" Target="https://www.israelhayom.co.il/sport/israeli-basketball/article/16266688" TargetMode="External"/><Relationship Id="rId749" Type="http://schemas.openxmlformats.org/officeDocument/2006/relationships/hyperlink" Target="https://www.israelhayom.co.il/sport/israeli-basketball/article/16266613" TargetMode="External"/><Relationship Id="rId748" Type="http://schemas.openxmlformats.org/officeDocument/2006/relationships/hyperlink" Target="https://www.israelhayom.co.il/sport/israeli-basketball/article/21055509" TargetMode="External"/><Relationship Id="rId747" Type="http://schemas.openxmlformats.org/officeDocument/2006/relationships/hyperlink" Target="https://www.sport5.co.il/articles.aspx?FolderID=274&amp;docID=482119" TargetMode="External"/><Relationship Id="rId746" Type="http://schemas.openxmlformats.org/officeDocument/2006/relationships/hyperlink" Target="https://www.israelhayom.co.il/sport/israeli-basketball/article/16266613" TargetMode="External"/><Relationship Id="rId48" Type="http://schemas.openxmlformats.org/officeDocument/2006/relationships/hyperlink" Target="https://www.basketnews.lt/news-215342-atskleistos-grigonio-ir-kitu-pao-zaideju-algos.html" TargetMode="External"/><Relationship Id="rId47" Type="http://schemas.openxmlformats.org/officeDocument/2006/relationships/hyperlink" Target="https://www.eurohoops.net/en/trademarks/1747585/panathinaikos-olympiacos-player-contracts-euroleague/" TargetMode="External"/><Relationship Id="rId49" Type="http://schemas.openxmlformats.org/officeDocument/2006/relationships/hyperlink" Target="https://www.eurohoops.net/en/trademarks/1747585/panathinaikos-olympiacos-player-contracts-euroleague/" TargetMode="External"/><Relationship Id="rId741" Type="http://schemas.openxmlformats.org/officeDocument/2006/relationships/hyperlink" Target="https://www.sport5.co.il/articles.aspx?FolderID=274&amp;docID=482119" TargetMode="External"/><Relationship Id="rId1330" Type="http://schemas.openxmlformats.org/officeDocument/2006/relationships/hyperlink" Target="https://www.basketnews.lt/news-252506-kuzminskui-priteistas-neismoketas-atlyginimas-turkijoje.html" TargetMode="External"/><Relationship Id="rId740" Type="http://schemas.openxmlformats.org/officeDocument/2006/relationships/hyperlink" Target="https://www.israelhayom.co.il/sport/israeli-basketball/article/16266688" TargetMode="External"/><Relationship Id="rId1331" Type="http://schemas.openxmlformats.org/officeDocument/2006/relationships/hyperlink" Target="https://assets.fiba.basketball/image/upload/v1726050552/Corporate%20Images/HQ%20Departments/Legal/BAT%20Awards/1813-22.pdf" TargetMode="External"/><Relationship Id="rId1332" Type="http://schemas.openxmlformats.org/officeDocument/2006/relationships/hyperlink" Target="https://x.com/Andrea__Calzoni/status/2062106110815866897" TargetMode="External"/><Relationship Id="rId1333" Type="http://schemas.openxmlformats.org/officeDocument/2006/relationships/hyperlink" Target="https://sportnet.sme.sk/spravy/basketbal-patrioti-levice-aek-ateny-rozhovor-grecky-novinar-liga-majstrov-2025-2026/" TargetMode="External"/><Relationship Id="rId1323" Type="http://schemas.openxmlformats.org/officeDocument/2006/relationships/hyperlink" Target="https://assets.fiba.basketball/image/upload/v1726052682/Corporate%20Images/HQ%20Departments/Legal/BAT%20Awards/0890-16.pdf" TargetMode="External"/><Relationship Id="rId1324" Type="http://schemas.openxmlformats.org/officeDocument/2006/relationships/hyperlink" Target="https://assets.fiba.basketball/image/upload/v1726053553/Corporate%20Images/HQ%20Departments/Legal/BAT%20Awards/2006-23.pdf" TargetMode="External"/><Relationship Id="rId31" Type="http://schemas.openxmlformats.org/officeDocument/2006/relationships/hyperlink" Target="https://www.eurohoops.net/en/trademarks/1747585/panathinaikos-olympiacos-player-contracts-euroleague/" TargetMode="External"/><Relationship Id="rId1325" Type="http://schemas.openxmlformats.org/officeDocument/2006/relationships/hyperlink" Target="https://assets.fiba.basketball/image/upload/v1726050091/Corporate%20Images/HQ%20Departments/Legal/BAT%20Awards/1741-21.pdf" TargetMode="External"/><Relationship Id="rId30" Type="http://schemas.openxmlformats.org/officeDocument/2006/relationships/hyperlink" Target="https://www.basketnews.lt/news-215342-atskleistos-grigonio-ir-kitu-pao-zaideju-algos.html" TargetMode="External"/><Relationship Id="rId1326" Type="http://schemas.openxmlformats.org/officeDocument/2006/relationships/hyperlink" Target="https://assets.fiba.basketball/image/upload/v1726050091/Corporate%20Images/HQ%20Departments/Legal/BAT%20Awards/1741-21.pdf" TargetMode="External"/><Relationship Id="rId33" Type="http://schemas.openxmlformats.org/officeDocument/2006/relationships/hyperlink" Target="https://www.eurohoops.net/en/trademarks/1747585/panathinaikos-olympiacos-player-contracts-euroleague/" TargetMode="External"/><Relationship Id="rId1327" Type="http://schemas.openxmlformats.org/officeDocument/2006/relationships/hyperlink" Target="https://assets.fiba.basketball/image/upload/v1726050091/Corporate%20Images/HQ%20Departments/Legal/BAT%20Awards/1741-21.pdf" TargetMode="External"/><Relationship Id="rId32" Type="http://schemas.openxmlformats.org/officeDocument/2006/relationships/hyperlink" Target="https://www.basketnews.lt/news-215342-atskleistos-grigonio-ir-kitu-pao-zaideju-algos.html" TargetMode="External"/><Relationship Id="rId1328" Type="http://schemas.openxmlformats.org/officeDocument/2006/relationships/hyperlink" Target="https://assets.fiba.basketball/image/upload/v1726050912/Corporate%20Images/HQ%20Departments/Legal/BAT%20Awards/1693-21.pdf" TargetMode="External"/><Relationship Id="rId35" Type="http://schemas.openxmlformats.org/officeDocument/2006/relationships/hyperlink" Target="https://www.eurohoops.net/en/trademarks/1747585/panathinaikos-olympiacos-player-contracts-euroleague/" TargetMode="External"/><Relationship Id="rId1329" Type="http://schemas.openxmlformats.org/officeDocument/2006/relationships/hyperlink" Target="https://assets.fiba.basketball/image/upload/v1726050912/Corporate%20Images/HQ%20Departments/Legal/BAT%20Awards/1693-21.pdf" TargetMode="External"/><Relationship Id="rId34" Type="http://schemas.openxmlformats.org/officeDocument/2006/relationships/hyperlink" Target="https://www.basketnews.lt/news-215342-atskleistos-grigonio-ir-kitu-pao-zaideju-algos.html" TargetMode="External"/><Relationship Id="rId739" Type="http://schemas.openxmlformats.org/officeDocument/2006/relationships/hyperlink" Target="https://www.sport5.co.il/articles.aspx?FolderID=274&amp;docID=482119" TargetMode="External"/><Relationship Id="rId734" Type="http://schemas.openxmlformats.org/officeDocument/2006/relationships/hyperlink" Target="https://www.sport5.co.il/articles.aspx?FolderID=274&amp;docID=482119" TargetMode="External"/><Relationship Id="rId733" Type="http://schemas.openxmlformats.org/officeDocument/2006/relationships/hyperlink" Target="https://www.israelhayom.co.il/sport/israeli-basketball/article/16266688" TargetMode="External"/><Relationship Id="rId732" Type="http://schemas.openxmlformats.org/officeDocument/2006/relationships/hyperlink" Target="https://www.sport5.co.il/articles.aspx?FolderID=274&amp;docID=482119" TargetMode="External"/><Relationship Id="rId731" Type="http://schemas.openxmlformats.org/officeDocument/2006/relationships/hyperlink" Target="https://www.israelhayom.co.il/sport/israeli-basketball/article/16266688" TargetMode="External"/><Relationship Id="rId738" Type="http://schemas.openxmlformats.org/officeDocument/2006/relationships/hyperlink" Target="https://www.israelhayom.co.il/sport/israeli-basketball/article/16266688" TargetMode="External"/><Relationship Id="rId737" Type="http://schemas.openxmlformats.org/officeDocument/2006/relationships/hyperlink" Target="https://www.sport5.co.il/articles.aspx?FolderID=274&amp;docID=482119" TargetMode="External"/><Relationship Id="rId736" Type="http://schemas.openxmlformats.org/officeDocument/2006/relationships/hyperlink" Target="https://www.israelhayom.co.il/sport/israeli-basketball/article/16266688" TargetMode="External"/><Relationship Id="rId735" Type="http://schemas.openxmlformats.org/officeDocument/2006/relationships/hyperlink" Target="https://www.sport5.co.il/articles.aspx?FolderID=274&amp;docID=482119" TargetMode="External"/><Relationship Id="rId37" Type="http://schemas.openxmlformats.org/officeDocument/2006/relationships/hyperlink" Target="https://www.eurohoops.net/en/trademarks/1747585/panathinaikos-olympiacos-player-contracts-euroleague/" TargetMode="External"/><Relationship Id="rId36" Type="http://schemas.openxmlformats.org/officeDocument/2006/relationships/hyperlink" Target="https://www.basketnews.lt/news-215342-atskleistos-grigonio-ir-kitu-pao-zaideju-algos.html" TargetMode="External"/><Relationship Id="rId39" Type="http://schemas.openxmlformats.org/officeDocument/2006/relationships/hyperlink" Target="https://www.eurohoops.net/en/trademarks/1747585/panathinaikos-olympiacos-player-contracts-euroleague/" TargetMode="External"/><Relationship Id="rId38" Type="http://schemas.openxmlformats.org/officeDocument/2006/relationships/hyperlink" Target="https://www.basketnews.lt/news-215342-atskleistos-grigonio-ir-kitu-pao-zaideju-algos.html" TargetMode="External"/><Relationship Id="rId730" Type="http://schemas.openxmlformats.org/officeDocument/2006/relationships/hyperlink" Target="https://www.sport5.co.il/articles.aspx?FolderID=274&amp;docID=482119" TargetMode="External"/><Relationship Id="rId1320" Type="http://schemas.openxmlformats.org/officeDocument/2006/relationships/hyperlink" Target="https://assets.fiba.basketball/image/upload/v1726052690/Corporate%20Images/HQ%20Departments/Legal/BAT%20Awards/1710-21.pdf" TargetMode="External"/><Relationship Id="rId1321" Type="http://schemas.openxmlformats.org/officeDocument/2006/relationships/hyperlink" Target="https://assets.fiba.basketball/image/upload/v1733838896/s6efuyfv9agnpc04qonr.pdf" TargetMode="External"/><Relationship Id="rId1322" Type="http://schemas.openxmlformats.org/officeDocument/2006/relationships/hyperlink" Target="https://assets.fiba.basketball/image/upload/v1779182548/p9vi5ermxe0nv7ebggeo.pdf" TargetMode="External"/><Relationship Id="rId1356" Type="http://schemas.openxmlformats.org/officeDocument/2006/relationships/hyperlink" Target="https://www.kurir.rs/sport/kosarka/9655754/otkrivamo-kolike-su-plate-kosarkasa-zvezde-i-partizana" TargetMode="External"/><Relationship Id="rId2203" Type="http://schemas.openxmlformats.org/officeDocument/2006/relationships/hyperlink" Target="https://www.pianetabasket.com/mercato/varese-i-retroscena-del-colpo-kamagate-affare-da-mezzo-milione" TargetMode="External"/><Relationship Id="rId1357" Type="http://schemas.openxmlformats.org/officeDocument/2006/relationships/hyperlink" Target="https://www.kurir.rs/sport/kosarka/9655754/otkrivamo-kolike-su-plate-kosarkasa-zvezde-i-partizana" TargetMode="External"/><Relationship Id="rId2204" Type="http://schemas.openxmlformats.org/officeDocument/2006/relationships/hyperlink" Target="https://www.israelhayom.co.il/sport/israeli-basketball/article/21164146" TargetMode="External"/><Relationship Id="rId20" Type="http://schemas.openxmlformats.org/officeDocument/2006/relationships/hyperlink" Target="https://www.eurohoops.net/en/trademarks/1747585/panathinaikos-olympiacos-player-contracts-euroleague/" TargetMode="External"/><Relationship Id="rId1358" Type="http://schemas.openxmlformats.org/officeDocument/2006/relationships/hyperlink" Target="https://www.kurir.rs/sport/kosarka/9655754/otkrivamo-kolike-su-plate-kosarkasa-zvezde-i-partizana" TargetMode="External"/><Relationship Id="rId2205" Type="http://schemas.openxmlformats.org/officeDocument/2006/relationships/hyperlink" Target="https://www.sport5.co.il/articles.aspx?FolderID=274&amp;docID=555568" TargetMode="External"/><Relationship Id="rId1359" Type="http://schemas.openxmlformats.org/officeDocument/2006/relationships/hyperlink" Target="https://www.kurir.rs/sport/kosarka/9655754/otkrivamo-kolike-su-plate-kosarkasa-zvezde-i-partizana" TargetMode="External"/><Relationship Id="rId2206" Type="http://schemas.openxmlformats.org/officeDocument/2006/relationships/hyperlink" Target="https://www.israelhayom.co.il/sport/israeli-basketball/article/21164146" TargetMode="External"/><Relationship Id="rId22" Type="http://schemas.openxmlformats.org/officeDocument/2006/relationships/hyperlink" Target="https://www.eurohoops.net/en/trademarks/1747585/panathinaikos-olympiacos-player-contracts-euroleague/" TargetMode="External"/><Relationship Id="rId2207" Type="http://schemas.openxmlformats.org/officeDocument/2006/relationships/hyperlink" Target="https://www.sport5.co.il/articles.aspx?FolderID=274&amp;docID=555290" TargetMode="External"/><Relationship Id="rId21" Type="http://schemas.openxmlformats.org/officeDocument/2006/relationships/hyperlink" Target="https://www.basketnews.lt/news-215342-atskleistos-grigonio-ir-kitu-pao-zaideju-algos.html" TargetMode="External"/><Relationship Id="rId2208" Type="http://schemas.openxmlformats.org/officeDocument/2006/relationships/hyperlink" Target="https://www.israelhayom.co.il/sport/israeli-basketball/article/21164146" TargetMode="External"/><Relationship Id="rId24" Type="http://schemas.openxmlformats.org/officeDocument/2006/relationships/hyperlink" Target="https://www.eurohoops.net/en/trademarks/1747585/panathinaikos-olympiacos-player-contracts-euroleague/" TargetMode="External"/><Relationship Id="rId2209" Type="http://schemas.openxmlformats.org/officeDocument/2006/relationships/hyperlink" Target="https://www.sport5.co.il/articles.aspx?FolderID=274&amp;docID=555290" TargetMode="External"/><Relationship Id="rId23" Type="http://schemas.openxmlformats.org/officeDocument/2006/relationships/hyperlink" Target="https://www.basketnews.lt/news-215342-atskleistos-grigonio-ir-kitu-pao-zaideju-algos.html" TargetMode="External"/><Relationship Id="rId767" Type="http://schemas.openxmlformats.org/officeDocument/2006/relationships/hyperlink" Target="https://www.israelhayom.co.il/sport/israeli-basketball/article/16266613" TargetMode="External"/><Relationship Id="rId766" Type="http://schemas.openxmlformats.org/officeDocument/2006/relationships/hyperlink" Target="https://www.sport5.co.il/articles.aspx?FolderID=274&amp;docID=482119" TargetMode="External"/><Relationship Id="rId765" Type="http://schemas.openxmlformats.org/officeDocument/2006/relationships/hyperlink" Target="https://www.israelhayom.co.il/sport/israeli-basketball/article/16266613" TargetMode="External"/><Relationship Id="rId764" Type="http://schemas.openxmlformats.org/officeDocument/2006/relationships/hyperlink" Target="https://www.sport5.co.il/articles.aspx?FolderID=274&amp;docID=482119" TargetMode="External"/><Relationship Id="rId769" Type="http://schemas.openxmlformats.org/officeDocument/2006/relationships/hyperlink" Target="https://www.sport5.co.il/articles.aspx?FolderID=405&amp;docID=486728" TargetMode="External"/><Relationship Id="rId768" Type="http://schemas.openxmlformats.org/officeDocument/2006/relationships/hyperlink" Target="https://www.sport5.co.il/articles.aspx?FolderID=274&amp;docID=482119" TargetMode="External"/><Relationship Id="rId26" Type="http://schemas.openxmlformats.org/officeDocument/2006/relationships/hyperlink" Target="https://www.basketnews.lt/news-215342-atskleistos-grigonio-ir-kitu-pao-zaideju-algos.html" TargetMode="External"/><Relationship Id="rId25" Type="http://schemas.openxmlformats.org/officeDocument/2006/relationships/hyperlink" Target="https://x.com/hizlihucum/status/1803455514354876516" TargetMode="External"/><Relationship Id="rId28" Type="http://schemas.openxmlformats.org/officeDocument/2006/relationships/hyperlink" Target="https://www.basketnews.lt/news-215342-atskleistos-grigonio-ir-kitu-pao-zaideju-algos.html" TargetMode="External"/><Relationship Id="rId1350" Type="http://schemas.openxmlformats.org/officeDocument/2006/relationships/hyperlink" Target="https://www.tv3.lt/naujiena/sportas/20-eurolygos-komandu-zaidejai-kuriu-kainos-kokybes-santykis-prasciausias-n1493354" TargetMode="External"/><Relationship Id="rId27" Type="http://schemas.openxmlformats.org/officeDocument/2006/relationships/hyperlink" Target="https://www.eurohoops.net/en/trademarks/1747585/panathinaikos-olympiacos-player-contracts-euroleague/" TargetMode="External"/><Relationship Id="rId1351" Type="http://schemas.openxmlformats.org/officeDocument/2006/relationships/hyperlink" Target="https://www.stern.de/sport/sportwelt/basketball-em--so-viel-geld-verdienen-die-deutschen-top-spieler-36008024.html" TargetMode="External"/><Relationship Id="rId763" Type="http://schemas.openxmlformats.org/officeDocument/2006/relationships/hyperlink" Target="https://www.israelhayom.co.il/sport/israeli-basketball/article/16266613" TargetMode="External"/><Relationship Id="rId1352" Type="http://schemas.openxmlformats.org/officeDocument/2006/relationships/hyperlink" Target="https://www.krepsinis.net/naujiena/atskleista-ispudinga-d-bookerio-alga-chimki-a-trinchieri-prisiteise-solidzia-suma-is-partizan-ekipos/320105" TargetMode="External"/><Relationship Id="rId29" Type="http://schemas.openxmlformats.org/officeDocument/2006/relationships/hyperlink" Target="https://www.eurohoops.net/en/trademarks/1747585/panathinaikos-olympiacos-player-contracts-euroleague/" TargetMode="External"/><Relationship Id="rId762" Type="http://schemas.openxmlformats.org/officeDocument/2006/relationships/hyperlink" Target="https://www.sport5.co.il/articles.aspx?FolderID=274&amp;docID=482119" TargetMode="External"/><Relationship Id="rId1353" Type="http://schemas.openxmlformats.org/officeDocument/2006/relationships/hyperlink" Target="https://www.krepsinis.net/naujiena/atskleista-ispudinga-d-bookerio-alga-chimki-a-trinchieri-prisiteise-solidzia-suma-is-partizan-ekipos/320105" TargetMode="External"/><Relationship Id="rId2200" Type="http://schemas.openxmlformats.org/officeDocument/2006/relationships/hyperlink" Target="https://sportando.basketball/ismael-kamagate-varese-contratto-2-1-500mila-euro/" TargetMode="External"/><Relationship Id="rId761" Type="http://schemas.openxmlformats.org/officeDocument/2006/relationships/hyperlink" Target="https://www.israelhayom.co.il/sport/israeli-basketball/article/16266613" TargetMode="External"/><Relationship Id="rId1354" Type="http://schemas.openxmlformats.org/officeDocument/2006/relationships/hyperlink" Target="https://www.kurir.rs/sport/kosarka/9655754/otkrivamo-kolike-su-plate-kosarkasa-zvezde-i-partizana" TargetMode="External"/><Relationship Id="rId2201" Type="http://schemas.openxmlformats.org/officeDocument/2006/relationships/hyperlink" Target="https://x.com/DorukGolbasi/status/2081771697204584559" TargetMode="External"/><Relationship Id="rId760" Type="http://schemas.openxmlformats.org/officeDocument/2006/relationships/hyperlink" Target="https://www.sport5.co.il/articles.aspx?FolderID=274&amp;docID=482119" TargetMode="External"/><Relationship Id="rId1355" Type="http://schemas.openxmlformats.org/officeDocument/2006/relationships/hyperlink" Target="https://www.kurir.rs/sport/kosarka/9655754/otkrivamo-kolike-su-plate-kosarkasa-zvezde-i-partizana" TargetMode="External"/><Relationship Id="rId2202" Type="http://schemas.openxmlformats.org/officeDocument/2006/relationships/hyperlink" Target="https://www.israelhayom.co.il/sport/israeli-basketball/article/21055509" TargetMode="External"/><Relationship Id="rId1345" Type="http://schemas.openxmlformats.org/officeDocument/2006/relationships/hyperlink" Target="https://www.eurohoops.net/en/tracdemarks/2008414/the-top-10-euroleague-salaries-of-2026-27-the-32m-line-is-official/" TargetMode="External"/><Relationship Id="rId1346" Type="http://schemas.openxmlformats.org/officeDocument/2006/relationships/hyperlink" Target="https://x.com/BuzzSport_de/status/1927469569754398932" TargetMode="External"/><Relationship Id="rId1347" Type="http://schemas.openxmlformats.org/officeDocument/2006/relationships/hyperlink" Target="https://www.15min.lt/24sek/naujiena/lietuva/jankunas-paaiskino-trinchieri-ismokos-situacija-tikimes-kad-jis-ras-darba-875-2536840?utm_source=Facebook&amp;utm_medium=social" TargetMode="External"/><Relationship Id="rId1348" Type="http://schemas.openxmlformats.org/officeDocument/2006/relationships/hyperlink" Target="https://www.krepsinis.net/naujiena/zalgirio-vaira-perimantis-italas-priestaringa-asmenybe-ir-platus-taktinis-bagazas/332431" TargetMode="External"/><Relationship Id="rId11" Type="http://schemas.openxmlformats.org/officeDocument/2006/relationships/hyperlink" Target="https://www.krepsinis.net/naujiena/10-lkl-zaidzianciu-lietuviu-kurie-uzdirba-daugiausiai/248876" TargetMode="External"/><Relationship Id="rId1349" Type="http://schemas.openxmlformats.org/officeDocument/2006/relationships/hyperlink" Target="https://www.bild.de/sport/mehr-sport/wuerzburg-star-zac-seljaas-mehr-geld-fuer-den-vokuhila-mann-661fc8ba56b4320eb37664e0" TargetMode="External"/><Relationship Id="rId10" Type="http://schemas.openxmlformats.org/officeDocument/2006/relationships/hyperlink" Target="https://www.15min.lt/naujiena/prenumerata/ivykiai/top-30-geriausiai-apmokamu-lkl-zaideju-zalgirieciu-dominavimas-ir-svarbios-detales-1226-1370624" TargetMode="External"/><Relationship Id="rId13" Type="http://schemas.openxmlformats.org/officeDocument/2006/relationships/hyperlink" Target="https://www.basketnews.lt/news-83614-kiek-uzdirba-didziuju-lkl-klubu-krepsininkai.html" TargetMode="External"/><Relationship Id="rId12" Type="http://schemas.openxmlformats.org/officeDocument/2006/relationships/hyperlink" Target="https://www.basketnews.lt/news-83614-kiek-uzdirba-didziuju-lkl-klubu-krepsininkai.html" TargetMode="External"/><Relationship Id="rId756" Type="http://schemas.openxmlformats.org/officeDocument/2006/relationships/hyperlink" Target="https://www.sport5.co.il/articles.aspx?FolderID=274&amp;docID=482119" TargetMode="External"/><Relationship Id="rId755" Type="http://schemas.openxmlformats.org/officeDocument/2006/relationships/hyperlink" Target="https://www.israelhayom.co.il/sport/israeli-basketball/article/16266613" TargetMode="External"/><Relationship Id="rId754" Type="http://schemas.openxmlformats.org/officeDocument/2006/relationships/hyperlink" Target="https://www.sport5.co.il/articles.aspx?FolderID=274&amp;docID=482119" TargetMode="External"/><Relationship Id="rId753" Type="http://schemas.openxmlformats.org/officeDocument/2006/relationships/hyperlink" Target="https://www.israelhayom.co.il/sport/israeli-basketball/article/16266613" TargetMode="External"/><Relationship Id="rId759" Type="http://schemas.openxmlformats.org/officeDocument/2006/relationships/hyperlink" Target="https://www.israelhayom.co.il/sport/israeli-basketball/article/16266613" TargetMode="External"/><Relationship Id="rId758" Type="http://schemas.openxmlformats.org/officeDocument/2006/relationships/hyperlink" Target="https://www.sport5.co.il/articles.aspx?FolderID=274&amp;docID=482119" TargetMode="External"/><Relationship Id="rId757" Type="http://schemas.openxmlformats.org/officeDocument/2006/relationships/hyperlink" Target="https://www.israelhayom.co.il/sport/israeli-basketball/article/16266613" TargetMode="External"/><Relationship Id="rId15" Type="http://schemas.openxmlformats.org/officeDocument/2006/relationships/hyperlink" Target="https://www.basketnews.lt/news-83614-kiek-uzdirba-didziuju-lkl-klubu-krepsininkai.html" TargetMode="External"/><Relationship Id="rId14" Type="http://schemas.openxmlformats.org/officeDocument/2006/relationships/hyperlink" Target="https://www.15min.lt/naujiena/prenumerata/ivykiai/top-30-geriausiai-apmokamu-lkl-zaideju-zalgirieciu-dominavimas-ir-svarbios-detales-1226-1370624" TargetMode="External"/><Relationship Id="rId17" Type="http://schemas.openxmlformats.org/officeDocument/2006/relationships/hyperlink" Target="https://www.basketnews.lt/news-215342-atskleistos-grigonio-ir-kitu-pao-zaideju-algos.html" TargetMode="External"/><Relationship Id="rId16" Type="http://schemas.openxmlformats.org/officeDocument/2006/relationships/hyperlink" Target="https://www.15min.lt/naujiena/prenumerata/ivykiai/top-30-geriausiai-apmokamu-lkl-zaideju-zalgirieciu-dominavimas-ir-svarbios-detales-1226-1370624" TargetMode="External"/><Relationship Id="rId1340" Type="http://schemas.openxmlformats.org/officeDocument/2006/relationships/hyperlink" Target="https://x.com/Andrea__Calzoni/status/2068650378158125089" TargetMode="External"/><Relationship Id="rId19" Type="http://schemas.openxmlformats.org/officeDocument/2006/relationships/hyperlink" Target="https://www.basketnews.lt/news-215342-atskleistos-grigonio-ir-kitu-pao-zaideju-algos.html" TargetMode="External"/><Relationship Id="rId752" Type="http://schemas.openxmlformats.org/officeDocument/2006/relationships/hyperlink" Target="https://www.sport5.co.il/articles.aspx?FolderID=274&amp;docID=482119" TargetMode="External"/><Relationship Id="rId1341" Type="http://schemas.openxmlformats.org/officeDocument/2006/relationships/hyperlink" Target="https://www.pianetabasket.com/olimpia-milano/darius-thompson-e-olimpia-milano-la-cronistoria-di-un-matrimonio-che-finalmente-si-fa" TargetMode="External"/><Relationship Id="rId18" Type="http://schemas.openxmlformats.org/officeDocument/2006/relationships/hyperlink" Target="https://www.eurohoops.net/en/trademarks/1747585/panathinaikos-olympiacos-player-contracts-euroleague/" TargetMode="External"/><Relationship Id="rId751" Type="http://schemas.openxmlformats.org/officeDocument/2006/relationships/hyperlink" Target="https://www.israelhayom.co.il/sport/israeli-basketball/article/16266613" TargetMode="External"/><Relationship Id="rId1342" Type="http://schemas.openxmlformats.org/officeDocument/2006/relationships/hyperlink" Target="https://x.com/AlessandroMagg4/status/2068727715243426059" TargetMode="External"/><Relationship Id="rId750" Type="http://schemas.openxmlformats.org/officeDocument/2006/relationships/hyperlink" Target="https://www.sport5.co.il/articles.aspx?FolderID=274&amp;docID=482119" TargetMode="External"/><Relationship Id="rId1343" Type="http://schemas.openxmlformats.org/officeDocument/2006/relationships/hyperlink" Target="https://www.sport24.gr/basket/euroleague-basketball/panathinaikos-aktor-i-axia-ton-prasinon-simvolaion-apogeiothike-kai-angizei-ta-25-ekatommiria/" TargetMode="External"/><Relationship Id="rId1344" Type="http://schemas.openxmlformats.org/officeDocument/2006/relationships/hyperlink" Target="https://basketnews.com/news-222625-dimitris-giannakopoulos-announced-extensions-for-nunn-and-osman.html" TargetMode="External"/><Relationship Id="rId84" Type="http://schemas.openxmlformats.org/officeDocument/2006/relationships/hyperlink" Target="https://www.sport24.gr/basket/euroleague-basketball/olimpiakos-i-pio-akrivi-omada-olon-ton-epoxon-afta-einai-ta-xrisa-simvolaia-ton-erithrolefkon/" TargetMode="External"/><Relationship Id="rId1774" Type="http://schemas.openxmlformats.org/officeDocument/2006/relationships/hyperlink" Target="https://www.tv3.lt/naujiena/sportas/turtingiausi-krepsininkai-lietuvoje-ir-europoje-n214656" TargetMode="External"/><Relationship Id="rId83" Type="http://schemas.openxmlformats.org/officeDocument/2006/relationships/hyperlink" Target="https://x.com/hizlihucum/status/1946533554898264078" TargetMode="External"/><Relationship Id="rId1775" Type="http://schemas.openxmlformats.org/officeDocument/2006/relationships/hyperlink" Target="https://www.tv3.lt/naujiena/sportas/turtingiausi-krepsininkai-lietuvoje-ir-europoje-n214656" TargetMode="External"/><Relationship Id="rId86" Type="http://schemas.openxmlformats.org/officeDocument/2006/relationships/hyperlink" Target="https://www.sport24.gr/basket/euroleague-basketball/olimpiakos-i-pio-akrivi-omada-olon-ton-epoxon-afta-einai-ta-xrisa-simvolaia-ton-erithrolefkon/" TargetMode="External"/><Relationship Id="rId1776" Type="http://schemas.openxmlformats.org/officeDocument/2006/relationships/hyperlink" Target="https://www.tv3.lt/naujiena/sportas/turtingiausi-krepsininkai-lietuvoje-ir-europoje-n214656" TargetMode="External"/><Relationship Id="rId85" Type="http://schemas.openxmlformats.org/officeDocument/2006/relationships/hyperlink" Target="https://x.com/hizlihucum/status/1928812864757747719" TargetMode="External"/><Relationship Id="rId1777" Type="http://schemas.openxmlformats.org/officeDocument/2006/relationships/hyperlink" Target="https://www.tv3.lt/naujiena/sportas/turtingiausi-krepsininkai-lietuvoje-ir-europoje-n214656" TargetMode="External"/><Relationship Id="rId88" Type="http://schemas.openxmlformats.org/officeDocument/2006/relationships/hyperlink" Target="https://www.sport24.gr/basket/euroleague-basketball/olimpiakos-i-pio-akrivi-omada-olon-ton-epoxon-afta-einai-ta-xrisa-simvolaia-ton-erithrolefkon/" TargetMode="External"/><Relationship Id="rId1778" Type="http://schemas.openxmlformats.org/officeDocument/2006/relationships/hyperlink" Target="https://www.tv3.lt/naujiena/sportas/turtingiausi-krepsininkai-lietuvoje-ir-europoje-n214656" TargetMode="External"/><Relationship Id="rId87" Type="http://schemas.openxmlformats.org/officeDocument/2006/relationships/hyperlink" Target="https://www.sport24.gr/basket/euroleague-basketball/olimpiakos-i-pio-akrivi-omada-olon-ton-epoxon-afta-einai-ta-xrisa-simvolaia-ton-erithrolefkon/" TargetMode="External"/><Relationship Id="rId1779" Type="http://schemas.openxmlformats.org/officeDocument/2006/relationships/hyperlink" Target="https://www.tv3.lt/naujiena/sportas/turtingiausi-krepsininkai-lietuvoje-ir-europoje-n214656" TargetMode="External"/><Relationship Id="rId89" Type="http://schemas.openxmlformats.org/officeDocument/2006/relationships/hyperlink" Target="https://www.sport24.gr/basket/euroleague-basketball/olimpiakos-i-pio-akrivi-omada-olon-ton-epoxon-afta-einai-ta-xrisa-simvolaia-ton-erithrolefkon/" TargetMode="External"/><Relationship Id="rId709" Type="http://schemas.openxmlformats.org/officeDocument/2006/relationships/hyperlink" Target="https://www.israelhayom.co.il/sport/israeli-basketball/article/16202752" TargetMode="External"/><Relationship Id="rId708" Type="http://schemas.openxmlformats.org/officeDocument/2006/relationships/hyperlink" Target="https://www.israelhayom.co.il/sport/israeli-basketball/article/16202752" TargetMode="External"/><Relationship Id="rId707" Type="http://schemas.openxmlformats.org/officeDocument/2006/relationships/hyperlink" Target="https://www.israelhayom.co.il/sport/israeli-basketball/article/16202752" TargetMode="External"/><Relationship Id="rId706" Type="http://schemas.openxmlformats.org/officeDocument/2006/relationships/hyperlink" Target="https://www.israelhayom.co.il/sport/israeli-basketball/article/16202752" TargetMode="External"/><Relationship Id="rId80" Type="http://schemas.openxmlformats.org/officeDocument/2006/relationships/hyperlink" Target="https://www.sport24.gr/basket/euroleague-basketball/olimpiakos-i-pio-akrivi-omada-olon-ton-epoxon-afta-einai-ta-xrisa-simvolaia-ton-erithrolefkon/" TargetMode="External"/><Relationship Id="rId82" Type="http://schemas.openxmlformats.org/officeDocument/2006/relationships/hyperlink" Target="https://www.sport24.gr/basket/euroleague-basketball/olimpiakos-i-pio-akrivi-omada-olon-ton-epoxon-afta-einai-ta-xrisa-simvolaia-ton-erithrolefkon/" TargetMode="External"/><Relationship Id="rId81" Type="http://schemas.openxmlformats.org/officeDocument/2006/relationships/hyperlink" Target="https://www.sport24.gr/basket/euroleague-basketball/olimpiakos-i-pio-akrivi-omada-olon-ton-epoxon-afta-einai-ta-xrisa-simvolaia-ton-erithrolefkon/" TargetMode="External"/><Relationship Id="rId701" Type="http://schemas.openxmlformats.org/officeDocument/2006/relationships/hyperlink" Target="https://www.sport5.co.il/articles.aspx?FolderID=274&amp;docID=482119" TargetMode="External"/><Relationship Id="rId700" Type="http://schemas.openxmlformats.org/officeDocument/2006/relationships/hyperlink" Target="https://www.israelhayom.co.il/sport/israeli-basketball/article/16266850" TargetMode="External"/><Relationship Id="rId705" Type="http://schemas.openxmlformats.org/officeDocument/2006/relationships/hyperlink" Target="https://www.sport5.co.il/articles.aspx?FolderID=274&amp;docID=482119" TargetMode="External"/><Relationship Id="rId704" Type="http://schemas.openxmlformats.org/officeDocument/2006/relationships/hyperlink" Target="https://www.israelhayom.co.il/sport/israeli-basketball/article/16266850" TargetMode="External"/><Relationship Id="rId703" Type="http://schemas.openxmlformats.org/officeDocument/2006/relationships/hyperlink" Target="https://www.sport5.co.il/articles.aspx?FolderID=274&amp;docID=482119" TargetMode="External"/><Relationship Id="rId702" Type="http://schemas.openxmlformats.org/officeDocument/2006/relationships/hyperlink" Target="https://www.israelhayom.co.il/sport/israeli-basketball/article/16266850" TargetMode="External"/><Relationship Id="rId1770" Type="http://schemas.openxmlformats.org/officeDocument/2006/relationships/hyperlink" Target="https://www.tv3.lt/naujiena/sportas/turtingiausi-krepsininkai-lietuvoje-ir-europoje-n214656" TargetMode="External"/><Relationship Id="rId1771" Type="http://schemas.openxmlformats.org/officeDocument/2006/relationships/hyperlink" Target="https://www.tv3.lt/naujiena/sportas/turtingiausi-krepsininkai-lietuvoje-ir-europoje-n214656" TargetMode="External"/><Relationship Id="rId1772" Type="http://schemas.openxmlformats.org/officeDocument/2006/relationships/hyperlink" Target="https://www.tv3.lt/naujiena/sportas/turtingiausi-krepsininkai-lietuvoje-ir-europoje-n214656" TargetMode="External"/><Relationship Id="rId1773" Type="http://schemas.openxmlformats.org/officeDocument/2006/relationships/hyperlink" Target="https://www.tv3.lt/naujiena/sportas/turtingiausi-krepsininkai-lietuvoje-ir-europoje-n214656" TargetMode="External"/><Relationship Id="rId73" Type="http://schemas.openxmlformats.org/officeDocument/2006/relationships/hyperlink" Target="https://www.protothema.gr/sports/article/1772720/panathinaikos-to-muthiko-sumvolaio-pou-tha-parei-heiz-devis-stin-ellada-den-xepernaei-to-kase-tou-nan/" TargetMode="External"/><Relationship Id="rId1763" Type="http://schemas.openxmlformats.org/officeDocument/2006/relationships/hyperlink" Target="https://www.krepsinis.net/naujiena/paaiskejo-kiek-m-pocius-uzdirbdavo-zalgirio-ir-real-komandose/248203" TargetMode="External"/><Relationship Id="rId72" Type="http://schemas.openxmlformats.org/officeDocument/2006/relationships/hyperlink" Target="https://www.sport24.gr/basket/euroleague-basketball/panathinaikos-aktor-i-axia-ton-prasinon-simvolaion-apogeiothike-kai-angizei-ta-25-ekatommiria/" TargetMode="External"/><Relationship Id="rId1764" Type="http://schemas.openxmlformats.org/officeDocument/2006/relationships/hyperlink" Target="https://www.krepsinis.net/naujiena/paaiskejo-kiek-m-pocius-uzdirbdavo-zalgirio-ir-real-komandose/248203" TargetMode="External"/><Relationship Id="rId75" Type="http://schemas.openxmlformats.org/officeDocument/2006/relationships/hyperlink" Target="https://www.sport24.gr/basket/euroleague-basketball/olimpiakos-i-pio-akrivi-omada-olon-ton-epoxon-afta-einai-ta-xrisa-simvolaia-ton-erithrolefkon/" TargetMode="External"/><Relationship Id="rId1765" Type="http://schemas.openxmlformats.org/officeDocument/2006/relationships/hyperlink" Target="https://www.krepsinis.net/naujiena/atskleisti-prancuzijos-antroje-lygoje-zaidzianciu-lietuviu-atlyginimai/319099" TargetMode="External"/><Relationship Id="rId74" Type="http://schemas.openxmlformats.org/officeDocument/2006/relationships/hyperlink" Target="https://www.sport24.gr/basket/euroleague-basketball/olimpiakos-i-pio-akrivi-omada-olon-ton-epoxon-afta-einai-ta-xrisa-simvolaia-ton-erithrolefkon/" TargetMode="External"/><Relationship Id="rId1766" Type="http://schemas.openxmlformats.org/officeDocument/2006/relationships/hyperlink" Target="https://www.krepsinis.net/naujiena/atskleisti-prancuzijos-antroje-lygoje-zaidzianciu-lietuviu-atlyginimai/319099" TargetMode="External"/><Relationship Id="rId77" Type="http://schemas.openxmlformats.org/officeDocument/2006/relationships/hyperlink" Target="https://x.com/Andrea__Calzoni/status/1932710543149724138" TargetMode="External"/><Relationship Id="rId1767" Type="http://schemas.openxmlformats.org/officeDocument/2006/relationships/hyperlink" Target="https://www.krepsinis.net/naujiena/atskleisti-prancuzijos-antroje-lygoje-zaidzianciu-lietuviu-atlyginimai/319099" TargetMode="External"/><Relationship Id="rId76" Type="http://schemas.openxmlformats.org/officeDocument/2006/relationships/hyperlink" Target="https://www.sport24.gr/basket/euroleague-basketball/olimpiakos-i-pio-akrivi-omada-olon-ton-epoxon-afta-einai-ta-xrisa-simvolaia-ton-erithrolefkon/" TargetMode="External"/><Relationship Id="rId1768" Type="http://schemas.openxmlformats.org/officeDocument/2006/relationships/hyperlink" Target="https://www.tv3.lt/naujiena/sportas/turtingiausi-krepsininkai-lietuvoje-ir-europoje-n214656" TargetMode="External"/><Relationship Id="rId79" Type="http://schemas.openxmlformats.org/officeDocument/2006/relationships/hyperlink" Target="https://www.sport24.gr/basket/euroleague-basketball/olimpiakos-i-pio-akrivi-omada-olon-ton-epoxon-afta-einai-ta-xrisa-simvolaia-ton-erithrolefkon/" TargetMode="External"/><Relationship Id="rId1769" Type="http://schemas.openxmlformats.org/officeDocument/2006/relationships/hyperlink" Target="https://www.basketnews.lt/news-16984-geriausiai-apmokami-lietuvos-ir-europos-krepsininkai.html" TargetMode="External"/><Relationship Id="rId78" Type="http://schemas.openxmlformats.org/officeDocument/2006/relationships/hyperlink" Target="https://www.sport24.gr/basket/euroleague-basketball/olimpiakos-i-pio-akrivi-omada-olon-ton-epoxon-afta-einai-ta-xrisa-simvolaia-ton-erithrolefkon/" TargetMode="External"/><Relationship Id="rId71" Type="http://schemas.openxmlformats.org/officeDocument/2006/relationships/hyperlink" Target="https://www.sport24.gr/basket/euroleague-basketball/panathinaikos-aktor-i-axia-ton-prasinon-simvolaion-apogeiothike-kai-angizei-ta-25-ekatommiria/" TargetMode="External"/><Relationship Id="rId70" Type="http://schemas.openxmlformats.org/officeDocument/2006/relationships/hyperlink" Target="https://www.sport24.gr/basket/euroleague-basketball/panathinaikos-aktor-i-axia-ton-prasinon-simvolaion-apogeiothike-kai-angizei-ta-25-ekatommiria/" TargetMode="External"/><Relationship Id="rId1760" Type="http://schemas.openxmlformats.org/officeDocument/2006/relationships/hyperlink" Target="https://www.15min.lt/24sek/naujiena/lietuva/top-12-kiek-uzdirba-lietuvos-krepsinio-rinktines-dvyliktukas-875-664025" TargetMode="External"/><Relationship Id="rId1761" Type="http://schemas.openxmlformats.org/officeDocument/2006/relationships/hyperlink" Target="https://www.krepsinis.net/naujiena/10-uzsienyje-zaidzianciu-lietuviu-kurie-uzdirba-daugiausiai/308899" TargetMode="External"/><Relationship Id="rId1762" Type="http://schemas.openxmlformats.org/officeDocument/2006/relationships/hyperlink" Target="https://www.krepsinis.net/naujiena/paaiskejo-kiek-m-pocius-uzdirbdavo-zalgirio-ir-real-komandose/248203" TargetMode="External"/><Relationship Id="rId62" Type="http://schemas.openxmlformats.org/officeDocument/2006/relationships/hyperlink" Target="https://www.sport24.gr/basket/euroleague-basketball/panathinaikos-aktor-i-axia-ton-prasinon-simvolaion-apogeiothike-kai-angizei-ta-25-ekatommiria/" TargetMode="External"/><Relationship Id="rId1312" Type="http://schemas.openxmlformats.org/officeDocument/2006/relationships/hyperlink" Target="https://www.israelhayom.co.il/sport/israeli-basketball/article/12084549" TargetMode="External"/><Relationship Id="rId1796" Type="http://schemas.openxmlformats.org/officeDocument/2006/relationships/hyperlink" Target="https://www.15min.lt/24sek/naujiena/eurolyga/daugiausia-uzdirbanciu-eurolygos-krepsininku-top-50-be-lietuviu-1362-529764" TargetMode="External"/><Relationship Id="rId61" Type="http://schemas.openxmlformats.org/officeDocument/2006/relationships/hyperlink" Target="https://www.sport24.gr/basket/euroleague-basketball/panathinaikos-aktor-i-axia-ton-prasinon-simvolaion-apogeiothike-kai-angizei-ta-25-ekatommiria/" TargetMode="External"/><Relationship Id="rId1313" Type="http://schemas.openxmlformats.org/officeDocument/2006/relationships/hyperlink" Target="https://www.israelhayom.co.il/sport/israeli-basketball/article/12084549" TargetMode="External"/><Relationship Id="rId1797" Type="http://schemas.openxmlformats.org/officeDocument/2006/relationships/hyperlink" Target="https://www.15min.lt/24sek/naujiena/eurolyga/daugiausia-uzdirbanciu-eurolygos-krepsininku-top-50-be-lietuviu-1362-529764" TargetMode="External"/><Relationship Id="rId64" Type="http://schemas.openxmlformats.org/officeDocument/2006/relationships/hyperlink" Target="https://www.sport24.gr/basket/euroleague-basketball/panathinaikos-aktor-i-axia-ton-prasinon-simvolaion-apogeiothike-kai-angizei-ta-25-ekatommiria/" TargetMode="External"/><Relationship Id="rId1314" Type="http://schemas.openxmlformats.org/officeDocument/2006/relationships/hyperlink" Target="https://assets.fiba.basketball/image/upload/v1739955984/e7h86rni4iqxr2a4duny.pdf" TargetMode="External"/><Relationship Id="rId1798" Type="http://schemas.openxmlformats.org/officeDocument/2006/relationships/hyperlink" Target="https://www.15min.lt/24sek/naujiena/eurolyga/daugiausia-uzdirbanciu-eurolygos-krepsininku-top-50-be-lietuviu-1362-529764" TargetMode="External"/><Relationship Id="rId63" Type="http://schemas.openxmlformats.org/officeDocument/2006/relationships/hyperlink" Target="https://www.sport24.gr/basket/euroleague-basketball/panathinaikos-aktor-i-axia-ton-prasinon-simvolaion-apogeiothike-kai-angizei-ta-25-ekatommiria/" TargetMode="External"/><Relationship Id="rId1315" Type="http://schemas.openxmlformats.org/officeDocument/2006/relationships/hyperlink" Target="https://www.15min.lt/24sek/naujiena/europa/graikijos-ziniasklaida-skelbia-apie-luko-lekaviciaus-uzdarbi-atenu-klube-874-2506210" TargetMode="External"/><Relationship Id="rId1799" Type="http://schemas.openxmlformats.org/officeDocument/2006/relationships/hyperlink" Target="https://www.15min.lt/24sek/naujiena/eurolyga/daugiausia-uzdirbanciu-eurolygos-krepsininku-top-50-be-lietuviu-1362-529764" TargetMode="External"/><Relationship Id="rId66" Type="http://schemas.openxmlformats.org/officeDocument/2006/relationships/hyperlink" Target="https://www.sport24.gr/basket/euroleague-basketball/panathinaikos-aktor-i-axia-ton-prasinon-simvolaion-apogeiothike-kai-angizei-ta-25-ekatommiria/" TargetMode="External"/><Relationship Id="rId1316" Type="http://schemas.openxmlformats.org/officeDocument/2006/relationships/hyperlink" Target="https://www.athletiko.gr/ayto-einai-to-deal-tis-aek-me-ton-lekavitsioys-25596" TargetMode="External"/><Relationship Id="rId65" Type="http://schemas.openxmlformats.org/officeDocument/2006/relationships/hyperlink" Target="https://www.sport24.gr/basket/euroleague-basketball/panathinaikos-aktor-i-axia-ton-prasinon-simvolaion-apogeiothike-kai-angizei-ta-25-ekatommiria/" TargetMode="External"/><Relationship Id="rId1317" Type="http://schemas.openxmlformats.org/officeDocument/2006/relationships/hyperlink" Target="https://www.sdna.gr/mpasket/1324971_mia-anasa-apo-ton-mpartlei-i-aek" TargetMode="External"/><Relationship Id="rId68" Type="http://schemas.openxmlformats.org/officeDocument/2006/relationships/hyperlink" Target="https://www.sport24.gr/basket/euroleague-basketball/panathinaikos-aktor-i-axia-ton-prasinon-simvolaion-apogeiothike-kai-angizei-ta-25-ekatommiria/" TargetMode="External"/><Relationship Id="rId1318" Type="http://schemas.openxmlformats.org/officeDocument/2006/relationships/hyperlink" Target="https://www.sport24.gr/basket/aek-protasi-ston-silva-gia-neo-simvolaio/" TargetMode="External"/><Relationship Id="rId67" Type="http://schemas.openxmlformats.org/officeDocument/2006/relationships/hyperlink" Target="https://x.com/Andrea__Calzoni/status/1933796278523052364" TargetMode="External"/><Relationship Id="rId1319" Type="http://schemas.openxmlformats.org/officeDocument/2006/relationships/hyperlink" Target="https://www.athletiko.gr/sta-adyta-toy-deal-pos-eftase-i-aek-sti-megali-metagrafi-toy-kris-silva-22488" TargetMode="External"/><Relationship Id="rId729" Type="http://schemas.openxmlformats.org/officeDocument/2006/relationships/hyperlink" Target="https://www.israelhayom.co.il/sport/israeli-basketball/article/16266688" TargetMode="External"/><Relationship Id="rId728" Type="http://schemas.openxmlformats.org/officeDocument/2006/relationships/hyperlink" Target="https://www.sport5.co.il/articles.aspx?FolderID=274&amp;docID=482119" TargetMode="External"/><Relationship Id="rId60" Type="http://schemas.openxmlformats.org/officeDocument/2006/relationships/hyperlink" Target="https://x.com/Andrea__Calzoni/status/1875621273579245870" TargetMode="External"/><Relationship Id="rId723" Type="http://schemas.openxmlformats.org/officeDocument/2006/relationships/hyperlink" Target="https://www.sport5.co.il/articles.aspx?FolderID=274&amp;docID=482119" TargetMode="External"/><Relationship Id="rId722" Type="http://schemas.openxmlformats.org/officeDocument/2006/relationships/hyperlink" Target="https://www.israelhayom.co.il/sport/israeli-basketball/article/16266688" TargetMode="External"/><Relationship Id="rId721" Type="http://schemas.openxmlformats.org/officeDocument/2006/relationships/hyperlink" Target="https://www.sport5.co.il/articles.aspx?FolderID=274&amp;docID=489948" TargetMode="External"/><Relationship Id="rId720" Type="http://schemas.openxmlformats.org/officeDocument/2006/relationships/hyperlink" Target="https://www.sport5.co.il/articles.aspx?FolderID=274&amp;docID=482119" TargetMode="External"/><Relationship Id="rId727" Type="http://schemas.openxmlformats.org/officeDocument/2006/relationships/hyperlink" Target="https://www.israelhayom.co.il/sport/israeli-basketball/article/16266688" TargetMode="External"/><Relationship Id="rId726" Type="http://schemas.openxmlformats.org/officeDocument/2006/relationships/hyperlink" Target="https://www.sport5.co.il/articles.aspx?FolderID=274&amp;docID=482119" TargetMode="External"/><Relationship Id="rId725" Type="http://schemas.openxmlformats.org/officeDocument/2006/relationships/hyperlink" Target="https://www.israelhayom.co.il/sport/israeli-basketball/article/16266688" TargetMode="External"/><Relationship Id="rId724" Type="http://schemas.openxmlformats.org/officeDocument/2006/relationships/hyperlink" Target="https://www.sport5.co.il/articles.aspx?FolderID=274&amp;docID=482119" TargetMode="External"/><Relationship Id="rId69" Type="http://schemas.openxmlformats.org/officeDocument/2006/relationships/hyperlink" Target="https://www.sport24.gr/basket/euroleague-basketball/panathinaikos-aktor-i-axia-ton-prasinon-simvolaion-apogeiothike-kai-angizei-ta-25-ekatommiria/" TargetMode="External"/><Relationship Id="rId1790" Type="http://schemas.openxmlformats.org/officeDocument/2006/relationships/hyperlink" Target="https://www.15min.lt/24sek/naujiena/eurolyga/daugiausia-uzdirbanciu-eurolygos-krepsininku-top-50-be-lietuviu-1362-529764" TargetMode="External"/><Relationship Id="rId1791" Type="http://schemas.openxmlformats.org/officeDocument/2006/relationships/hyperlink" Target="https://www.15min.lt/24sek/naujiena/eurolyga/daugiausia-uzdirbanciu-eurolygos-krepsininku-top-50-be-lietuviu-1362-529764" TargetMode="External"/><Relationship Id="rId1792" Type="http://schemas.openxmlformats.org/officeDocument/2006/relationships/hyperlink" Target="https://www.15min.lt/24sek/naujiena/eurolyga/daugiausia-uzdirbanciu-eurolygos-krepsininku-top-50-be-lietuviu-1362-529764" TargetMode="External"/><Relationship Id="rId1793" Type="http://schemas.openxmlformats.org/officeDocument/2006/relationships/hyperlink" Target="https://www.15min.lt/24sek/naujiena/eurolyga/daugiausia-uzdirbanciu-eurolygos-krepsininku-top-50-be-lietuviu-1362-529764" TargetMode="External"/><Relationship Id="rId1310" Type="http://schemas.openxmlformats.org/officeDocument/2006/relationships/hyperlink" Target="https://www.israelhayom.co.il/sport/israeli-basketball/article/12084549" TargetMode="External"/><Relationship Id="rId1794" Type="http://schemas.openxmlformats.org/officeDocument/2006/relationships/hyperlink" Target="https://www.15min.lt/24sek/naujiena/eurolyga/daugiausia-uzdirbanciu-eurolygos-krepsininku-top-50-be-lietuviu-1362-529764" TargetMode="External"/><Relationship Id="rId1311" Type="http://schemas.openxmlformats.org/officeDocument/2006/relationships/hyperlink" Target="https://www.israelhayom.co.il/sport/israeli-basketball/article/12084549" TargetMode="External"/><Relationship Id="rId1795" Type="http://schemas.openxmlformats.org/officeDocument/2006/relationships/hyperlink" Target="https://www.15min.lt/24sek/naujiena/eurolyga/daugiausia-uzdirbanciu-eurolygos-krepsininku-top-50-be-lietuviu-1362-529764" TargetMode="External"/><Relationship Id="rId51" Type="http://schemas.openxmlformats.org/officeDocument/2006/relationships/hyperlink" Target="https://www.eurohoops.net/en/trademarks/1747585/panathinaikos-olympiacos-player-contracts-euroleague/" TargetMode="External"/><Relationship Id="rId1301" Type="http://schemas.openxmlformats.org/officeDocument/2006/relationships/hyperlink" Target="https://www.israelhayom.co.il/sport/israeli-basketball/article/12084549" TargetMode="External"/><Relationship Id="rId1785" Type="http://schemas.openxmlformats.org/officeDocument/2006/relationships/hyperlink" Target="https://www.tv3.lt/naujiena/sportas/turtingiausi-krepsininkai-lietuvoje-ir-europoje-n214656" TargetMode="External"/><Relationship Id="rId50" Type="http://schemas.openxmlformats.org/officeDocument/2006/relationships/hyperlink" Target="https://www.basketnews.lt/news-215342-atskleistos-grigonio-ir-kitu-pao-zaideju-algos.html" TargetMode="External"/><Relationship Id="rId1302" Type="http://schemas.openxmlformats.org/officeDocument/2006/relationships/hyperlink" Target="https://www.israelhayom.co.il/sport/israeli-basketball/article/12084549" TargetMode="External"/><Relationship Id="rId1786" Type="http://schemas.openxmlformats.org/officeDocument/2006/relationships/hyperlink" Target="https://www.tv3.lt/naujiena/sportas/turtingiausi-krepsininkai-lietuvoje-ir-europoje-n214656" TargetMode="External"/><Relationship Id="rId53" Type="http://schemas.openxmlformats.org/officeDocument/2006/relationships/hyperlink" Target="https://www.sport24.gr/basket/euroleague-basketball/panathinaikos-aktor-i-axia-ton-prasinon-simvolaion-apogeiothike-kai-angizei-ta-25-ekatommiria/" TargetMode="External"/><Relationship Id="rId1303" Type="http://schemas.openxmlformats.org/officeDocument/2006/relationships/hyperlink" Target="https://www.israelhayom.co.il/sport/israeli-basketball/article/12084549" TargetMode="External"/><Relationship Id="rId1787" Type="http://schemas.openxmlformats.org/officeDocument/2006/relationships/hyperlink" Target="https://www.15min.lt/24sek/naujiena/eurolyga/daugiausia-uzdirbanciu-eurolygos-krepsininku-top-50-be-lietuviu-1362-529764" TargetMode="External"/><Relationship Id="rId52" Type="http://schemas.openxmlformats.org/officeDocument/2006/relationships/hyperlink" Target="https://www.pianetabasket.com/euroleague/mercato-el-panathinaikos-un-nuovo-lungo-accordo-per-ergin-ataman-305865" TargetMode="External"/><Relationship Id="rId1304" Type="http://schemas.openxmlformats.org/officeDocument/2006/relationships/hyperlink" Target="https://www.israelhayom.co.il/sport/israeli-basketball/article/12084549" TargetMode="External"/><Relationship Id="rId1788" Type="http://schemas.openxmlformats.org/officeDocument/2006/relationships/hyperlink" Target="https://www.15min.lt/24sek/naujiena/eurolyga/daugiausia-uzdirbanciu-eurolygos-krepsininku-top-50-be-lietuviu-1362-529764" TargetMode="External"/><Relationship Id="rId55" Type="http://schemas.openxmlformats.org/officeDocument/2006/relationships/hyperlink" Target="https://www.sport24.gr/basket/euroleague-basketball/panathinaikos-aktor-i-axia-ton-prasinon-simvolaion-apogeiothike-kai-angizei-ta-25-ekatommiria/" TargetMode="External"/><Relationship Id="rId1305" Type="http://schemas.openxmlformats.org/officeDocument/2006/relationships/hyperlink" Target="https://www.israelhayom.co.il/sport/israeli-basketball/article/12084549" TargetMode="External"/><Relationship Id="rId1789" Type="http://schemas.openxmlformats.org/officeDocument/2006/relationships/hyperlink" Target="https://www.15min.lt/24sek/naujiena/eurolyga/daugiausia-uzdirbanciu-eurolygos-krepsininku-top-50-be-lietuviu-1362-529764" TargetMode="External"/><Relationship Id="rId54" Type="http://schemas.openxmlformats.org/officeDocument/2006/relationships/hyperlink" Target="https://basketnews.com/news-222625-dimitris-giannakopoulos-announced-extensions-for-nunn-and-osman.html" TargetMode="External"/><Relationship Id="rId1306" Type="http://schemas.openxmlformats.org/officeDocument/2006/relationships/hyperlink" Target="https://www.israelhayom.co.il/sport/israeli-basketball/article/12084549" TargetMode="External"/><Relationship Id="rId57" Type="http://schemas.openxmlformats.org/officeDocument/2006/relationships/hyperlink" Target="https://x.com/Andrea__Calzoni/status/1873296957445459991" TargetMode="External"/><Relationship Id="rId1307" Type="http://schemas.openxmlformats.org/officeDocument/2006/relationships/hyperlink" Target="https://www.israelhayom.co.il/sport/article/3514253" TargetMode="External"/><Relationship Id="rId56" Type="http://schemas.openxmlformats.org/officeDocument/2006/relationships/hyperlink" Target="https://www.sport24.gr/basket/euroleague-basketball/panathinaikos-aktor-i-axia-ton-prasinon-simvolaion-apogeiothike-kai-angizei-ta-25-ekatommiria/" TargetMode="External"/><Relationship Id="rId1308" Type="http://schemas.openxmlformats.org/officeDocument/2006/relationships/hyperlink" Target="https://www.israelhayom.co.il/sport/israeli-basketball/article/21055509" TargetMode="External"/><Relationship Id="rId1309" Type="http://schemas.openxmlformats.org/officeDocument/2006/relationships/hyperlink" Target="https://www.israelhayom.co.il/sport/israeli-basketball/article/12084549" TargetMode="External"/><Relationship Id="rId719" Type="http://schemas.openxmlformats.org/officeDocument/2006/relationships/hyperlink" Target="https://www.israelhayom.co.il/sport/israeli-basketball/article/16266688" TargetMode="External"/><Relationship Id="rId718" Type="http://schemas.openxmlformats.org/officeDocument/2006/relationships/hyperlink" Target="https://www.israelhayom.co.il/sport/israeli-basketball/article/16202752" TargetMode="External"/><Relationship Id="rId717" Type="http://schemas.openxmlformats.org/officeDocument/2006/relationships/hyperlink" Target="https://www.israelhayom.co.il/sport/israeli-basketball/article/16202752" TargetMode="External"/><Relationship Id="rId712" Type="http://schemas.openxmlformats.org/officeDocument/2006/relationships/hyperlink" Target="https://www.israelhayom.co.il/sport/israeli-basketball/article/16202752" TargetMode="External"/><Relationship Id="rId711" Type="http://schemas.openxmlformats.org/officeDocument/2006/relationships/hyperlink" Target="https://www.israelhayom.co.il/sport/israeli-basketball/article/16202752" TargetMode="External"/><Relationship Id="rId710" Type="http://schemas.openxmlformats.org/officeDocument/2006/relationships/hyperlink" Target="https://www.israelhayom.co.il/sport/israeli-basketball/article/16202752" TargetMode="External"/><Relationship Id="rId716" Type="http://schemas.openxmlformats.org/officeDocument/2006/relationships/hyperlink" Target="https://www.israelhayom.co.il/sport/israeli-basketball/article/16202752" TargetMode="External"/><Relationship Id="rId715" Type="http://schemas.openxmlformats.org/officeDocument/2006/relationships/hyperlink" Target="https://www.israelhayom.co.il/sport/israeli-basketball/article/16202752" TargetMode="External"/><Relationship Id="rId714" Type="http://schemas.openxmlformats.org/officeDocument/2006/relationships/hyperlink" Target="https://www.sport5.co.il/articles.aspx?FolderID=274&amp;docID=489809" TargetMode="External"/><Relationship Id="rId713" Type="http://schemas.openxmlformats.org/officeDocument/2006/relationships/hyperlink" Target="https://sports.walla.co.il/item/3707461" TargetMode="External"/><Relationship Id="rId59" Type="http://schemas.openxmlformats.org/officeDocument/2006/relationships/hyperlink" Target="https://www.sport24.gr/basket/euroleague-basketball/panathinaikos-aktor-i-axia-ton-prasinon-simvolaion-apogeiothike-kai-angizei-ta-25-ekatommiria/" TargetMode="External"/><Relationship Id="rId58" Type="http://schemas.openxmlformats.org/officeDocument/2006/relationships/hyperlink" Target="https://www.sport24.gr/basket/euroleague-basketball/panathinaikos-aktor-i-axia-ton-prasinon-simvolaion-apogeiothike-kai-angizei-ta-25-ekatommiria/" TargetMode="External"/><Relationship Id="rId1780" Type="http://schemas.openxmlformats.org/officeDocument/2006/relationships/hyperlink" Target="https://www.tv3.lt/naujiena/sportas/turtingiausi-krepsininkai-lietuvoje-ir-europoje-n214656" TargetMode="External"/><Relationship Id="rId1781" Type="http://schemas.openxmlformats.org/officeDocument/2006/relationships/hyperlink" Target="https://www.tv3.lt/naujiena/sportas/turtingiausi-krepsininkai-lietuvoje-ir-europoje-n214656" TargetMode="External"/><Relationship Id="rId1782" Type="http://schemas.openxmlformats.org/officeDocument/2006/relationships/hyperlink" Target="https://www.tv3.lt/naujiena/sportas/turtingiausi-krepsininkai-lietuvoje-ir-europoje-n214656" TargetMode="External"/><Relationship Id="rId1783" Type="http://schemas.openxmlformats.org/officeDocument/2006/relationships/hyperlink" Target="https://www.tv3.lt/naujiena/sportas/turtingiausi-krepsininkai-lietuvoje-ir-europoje-n214656" TargetMode="External"/><Relationship Id="rId1300" Type="http://schemas.openxmlformats.org/officeDocument/2006/relationships/hyperlink" Target="https://www.gazzetta.gr/basketball/basket-league/2226908/aris-diazygio-me-ton-netzipogloy-itan-dedomeno-apo-kairo-kai-den" TargetMode="External"/><Relationship Id="rId1784" Type="http://schemas.openxmlformats.org/officeDocument/2006/relationships/hyperlink" Target="https://www.tv3.lt/naujiena/sportas/turtingiausi-krepsininkai-lietuvoje-ir-europoje-n214656" TargetMode="External"/><Relationship Id="rId2269" Type="http://schemas.openxmlformats.org/officeDocument/2006/relationships/hyperlink" Target="https://www.israelhayom.co.il/sport/israeli-basketball/article/21183340" TargetMode="External"/><Relationship Id="rId349" Type="http://schemas.openxmlformats.org/officeDocument/2006/relationships/hyperlink" Target="https://www.basketnews.lt/news-133679-geriausiai-apmokami-lkl-zaidejai-desimt-brangiausiuju-zalgiryje.html" TargetMode="External"/><Relationship Id="rId348" Type="http://schemas.openxmlformats.org/officeDocument/2006/relationships/hyperlink" Target="https://www.basketnews.lt/news-133679-geriausiai-apmokami-lkl-zaidejai-desimt-brangiausiuju-zalgiryje.html" TargetMode="External"/><Relationship Id="rId347" Type="http://schemas.openxmlformats.org/officeDocument/2006/relationships/hyperlink" Target="https://www.basketnews.lt/news-83614-kiek-uzdirba-didziuju-lkl-klubu-krepsininkai.html" TargetMode="External"/><Relationship Id="rId346" Type="http://schemas.openxmlformats.org/officeDocument/2006/relationships/hyperlink" Target="https://www.krepsinis.net/naujiena/10-lkl-zaidzianciu-lietuviu-kurie-uzdirba-daugiausiai/248876" TargetMode="External"/><Relationship Id="rId2260" Type="http://schemas.openxmlformats.org/officeDocument/2006/relationships/hyperlink" Target="https://assets.fiba.basketball/image/upload/v1726053571/Corporate%20Images/HQ%20Departments/Legal/BAT%20Awards/1667-21.pdf" TargetMode="External"/><Relationship Id="rId341" Type="http://schemas.openxmlformats.org/officeDocument/2006/relationships/hyperlink" Target="https://www.basketnews.lt/news-83614-kiek-uzdirba-didziuju-lkl-klubu-krepsininkai.html" TargetMode="External"/><Relationship Id="rId2261" Type="http://schemas.openxmlformats.org/officeDocument/2006/relationships/hyperlink" Target="https://assets.fiba.basketball/image/upload/v1726050344/Corporate%20Images/HQ%20Departments/Legal/BAT%20Awards/1573-20.pdf" TargetMode="External"/><Relationship Id="rId340" Type="http://schemas.openxmlformats.org/officeDocument/2006/relationships/hyperlink" Target="https://www.basketnews.lt/news-83614-kiek-uzdirba-didziuju-lkl-klubu-krepsininkai.html" TargetMode="External"/><Relationship Id="rId2262" Type="http://schemas.openxmlformats.org/officeDocument/2006/relationships/hyperlink" Target="https://assets.fiba.basketball/image/upload/v1726050757/Corporate%20Images/HQ%20Departments/Legal/BAT%20Awards/1576-20.pdf" TargetMode="External"/><Relationship Id="rId2263" Type="http://schemas.openxmlformats.org/officeDocument/2006/relationships/hyperlink" Target="https://assets.fiba.basketball/image/upload/v1726051525/Corporate%20Images/HQ%20Departments/Legal/BAT%20Awards/1532-20.pdf" TargetMode="External"/><Relationship Id="rId2264" Type="http://schemas.openxmlformats.org/officeDocument/2006/relationships/hyperlink" Target="https://assets.fiba.basketball/image/upload/v1726053297/Corporate%20Images/HQ%20Departments/Legal/BAT%20Awards/1147-18.pdf" TargetMode="External"/><Relationship Id="rId345" Type="http://schemas.openxmlformats.org/officeDocument/2006/relationships/hyperlink" Target="https://www.15min.lt/24sek/naujiena/lietuva/top-30-atlyginimu-lietuvoje-antrajame-desimtuke-ryto-lietuviu-kompanija-875-1036584?c=24sek" TargetMode="External"/><Relationship Id="rId2265" Type="http://schemas.openxmlformats.org/officeDocument/2006/relationships/hyperlink" Target="https://assets.fiba.basketball/image/upload/v1784029822/vea0cnmlheotkzcqky7j.pdf" TargetMode="External"/><Relationship Id="rId344" Type="http://schemas.openxmlformats.org/officeDocument/2006/relationships/hyperlink" Target="https://www.15min.lt/24sek/naujiena/lietuva/top-30-atlyginimu-lietuvoje-antrajame-desimtuke-ryto-lietuviu-kompanija-875-1036584?c=24sek" TargetMode="External"/><Relationship Id="rId2266" Type="http://schemas.openxmlformats.org/officeDocument/2006/relationships/hyperlink" Target="https://www.israelhayom.co.il/sport/israeli-basketball/article/21183340" TargetMode="External"/><Relationship Id="rId343" Type="http://schemas.openxmlformats.org/officeDocument/2006/relationships/hyperlink" Target="https://www.basketnews.lt/news-83614-kiek-uzdirba-didziuju-lkl-klubu-krepsininkai.html" TargetMode="External"/><Relationship Id="rId2267" Type="http://schemas.openxmlformats.org/officeDocument/2006/relationships/hyperlink" Target="https://www.israelhayom.co.il/sport/israeli-basketball/article/21183340" TargetMode="External"/><Relationship Id="rId342" Type="http://schemas.openxmlformats.org/officeDocument/2006/relationships/hyperlink" Target="https://www.krepsinis.net/naujiena/10-lkl-zaidzianciu-lietuviu-kurie-uzdirba-daugiausiai/248876" TargetMode="External"/><Relationship Id="rId2268" Type="http://schemas.openxmlformats.org/officeDocument/2006/relationships/hyperlink" Target="https://www.israelhayom.co.il/sport/israeli-basketball/article/21183340" TargetMode="External"/><Relationship Id="rId2258" Type="http://schemas.openxmlformats.org/officeDocument/2006/relationships/hyperlink" Target="https://assets.fiba.basketball/image/upload/v1784030179/ejrw7zt2q6az4zokylmt.pdf" TargetMode="External"/><Relationship Id="rId2259" Type="http://schemas.openxmlformats.org/officeDocument/2006/relationships/hyperlink" Target="https://assets.fiba.basketball/image/upload/v1784029976/y6cssb4baumd8mjhyo8q.pdf" TargetMode="External"/><Relationship Id="rId338" Type="http://schemas.openxmlformats.org/officeDocument/2006/relationships/hyperlink" Target="https://www.basketnews.lt/news-83614-kiek-uzdirba-didziuju-lkl-klubu-krepsininkai.html" TargetMode="External"/><Relationship Id="rId337" Type="http://schemas.openxmlformats.org/officeDocument/2006/relationships/hyperlink" Target="https://www.basketnews.lt/news-83614-kiek-uzdirba-didziuju-lkl-klubu-krepsininkai.html" TargetMode="External"/><Relationship Id="rId336" Type="http://schemas.openxmlformats.org/officeDocument/2006/relationships/hyperlink" Target="https://www.basketnews.lt/news-83614-kiek-uzdirba-didziuju-lkl-klubu-krepsininkai.html" TargetMode="External"/><Relationship Id="rId335" Type="http://schemas.openxmlformats.org/officeDocument/2006/relationships/hyperlink" Target="https://www.basketnews.lt/news-83614-kiek-uzdirba-didziuju-lkl-klubu-krepsininkai.html" TargetMode="External"/><Relationship Id="rId339" Type="http://schemas.openxmlformats.org/officeDocument/2006/relationships/hyperlink" Target="https://www.basketnews.lt/news-83614-kiek-uzdirba-didziuju-lkl-klubu-krepsininkai.html" TargetMode="External"/><Relationship Id="rId330" Type="http://schemas.openxmlformats.org/officeDocument/2006/relationships/hyperlink" Target="https://www.basketnews.lt/news-83614-kiek-uzdirba-didziuju-lkl-klubu-krepsininkai.html" TargetMode="External"/><Relationship Id="rId2250" Type="http://schemas.openxmlformats.org/officeDocument/2006/relationships/hyperlink" Target="https://www.pianetabasket.com/legabasket-serie-a/budget-triplicato-in-quattro-anni-cosi-varese-puo-diventare-grande" TargetMode="External"/><Relationship Id="rId2251" Type="http://schemas.openxmlformats.org/officeDocument/2006/relationships/hyperlink" Target="https://www.pianetabasket.com/legabasket-serie-a/budget-triplicato-in-quattro-anni-cosi-varese-puo-diventare-grande" TargetMode="External"/><Relationship Id="rId2252" Type="http://schemas.openxmlformats.org/officeDocument/2006/relationships/hyperlink" Target="https://assets.fiba.basketball/image/upload/v1784723704/oqmqaz0qzimw6fjs9ban.pdf" TargetMode="External"/><Relationship Id="rId2253" Type="http://schemas.openxmlformats.org/officeDocument/2006/relationships/hyperlink" Target="https://x.com/EskiAcikOnline/status/2085414764638085549" TargetMode="External"/><Relationship Id="rId334" Type="http://schemas.openxmlformats.org/officeDocument/2006/relationships/hyperlink" Target="https://www.basketnews.lt/news-83614-kiek-uzdirba-didziuju-lkl-klubu-krepsininkai.html" TargetMode="External"/><Relationship Id="rId2254" Type="http://schemas.openxmlformats.org/officeDocument/2006/relationships/hyperlink" Target="https://assets.fiba.basketball/image/upload/v1784017170/lwvxlwa6uq7ckxgddeos.pdf" TargetMode="External"/><Relationship Id="rId333" Type="http://schemas.openxmlformats.org/officeDocument/2006/relationships/hyperlink" Target="https://www.basketnews.lt/news-83614-kiek-uzdirba-didziuju-lkl-klubu-krepsininkai.html" TargetMode="External"/><Relationship Id="rId2255" Type="http://schemas.openxmlformats.org/officeDocument/2006/relationships/hyperlink" Target="https://assets.fiba.basketball/image/upload/v1784017170/lwvxlwa6uq7ckxgddeos.pdf" TargetMode="External"/><Relationship Id="rId332" Type="http://schemas.openxmlformats.org/officeDocument/2006/relationships/hyperlink" Target="https://www.basketnews.lt/news-83614-kiek-uzdirba-didziuju-lkl-klubu-krepsininkai.html" TargetMode="External"/><Relationship Id="rId2256" Type="http://schemas.openxmlformats.org/officeDocument/2006/relationships/hyperlink" Target="https://assets.fiba.basketball/image/upload/v1784030104/axs5kki9uotohrbzvoqs.pdf" TargetMode="External"/><Relationship Id="rId331" Type="http://schemas.openxmlformats.org/officeDocument/2006/relationships/hyperlink" Target="https://www.basketnews.lt/news-83614-kiek-uzdirba-didziuju-lkl-klubu-krepsininkai.html" TargetMode="External"/><Relationship Id="rId2257" Type="http://schemas.openxmlformats.org/officeDocument/2006/relationships/hyperlink" Target="https://assets.fiba.basketball/image/upload/v1784016448/gxcrfsjp7jw6sii93kwi.pdf" TargetMode="External"/><Relationship Id="rId370" Type="http://schemas.openxmlformats.org/officeDocument/2006/relationships/hyperlink" Target="https://www.15min.lt/24sek/naujiena/lietuva/lietuvos-rinktines-verte-kiek-uzdirba-nacionalines-komandos-zaidejai-875-844744" TargetMode="External"/><Relationship Id="rId369" Type="http://schemas.openxmlformats.org/officeDocument/2006/relationships/hyperlink" Target="https://www.basketnews.lt/news-112706-lietuvos-rinktines-biudzetas-beveik-13-mln-euru.html" TargetMode="External"/><Relationship Id="rId368" Type="http://schemas.openxmlformats.org/officeDocument/2006/relationships/hyperlink" Target="https://dev.basketnews.lt/news-93606-mantas-kalnietis-milane-uzdirbs-pusantro-karto-daugiau-nei-kaune.html" TargetMode="External"/><Relationship Id="rId2280" Type="http://schemas.openxmlformats.org/officeDocument/2006/relationships/hyperlink" Target="https://www.athletiko.gr/ayto-einai-to-deal-tis-aek-me-ton-lekavitsioys-95703" TargetMode="External"/><Relationship Id="rId2281" Type="http://schemas.openxmlformats.org/officeDocument/2006/relationships/hyperlink" Target="https://www.athletiko.gr/ayto-einai-to-deal-tis-aek-me-ton-nolei-88888" TargetMode="External"/><Relationship Id="rId2282" Type="http://schemas.openxmlformats.org/officeDocument/2006/relationships/hyperlink" Target="https://www.athletiko.gr/ayto-einai-to-deal-tis-aek-me-ton-neli-tzoynior-tzozef-ypervasi-me-ypografi-aggelopoyloy-86593" TargetMode="External"/><Relationship Id="rId363" Type="http://schemas.openxmlformats.org/officeDocument/2006/relationships/hyperlink" Target="https://www.basketnews.lt/news-133679-geriausiai-apmokami-lkl-zaidejai-desimt-brangiausiuju-zalgiryje.html" TargetMode="External"/><Relationship Id="rId2283" Type="http://schemas.openxmlformats.org/officeDocument/2006/relationships/hyperlink" Target="https://www.gazzetta.gr/basketball/basket-league/2563857/aek-proponithike-o-mpartlei-ta-dedomena-me-symbolaio-toy" TargetMode="External"/><Relationship Id="rId362" Type="http://schemas.openxmlformats.org/officeDocument/2006/relationships/hyperlink" Target="https://www.tv3.lt/naujiena/sportas/krepsinio-zvaigzdziu-milijonai-kiek-uzdirba-lietuvos-rinktines-nariai-n1010742" TargetMode="External"/><Relationship Id="rId2284" Type="http://schemas.openxmlformats.org/officeDocument/2006/relationships/hyperlink" Target="https://www.athletiko.gr/ayto-einai-to-deal-tis-aek-me-ton-charalampopoylo-22397" TargetMode="External"/><Relationship Id="rId361" Type="http://schemas.openxmlformats.org/officeDocument/2006/relationships/hyperlink" Target="https://www.basketnews.lt/news-133679-geriausiai-apmokami-lkl-zaidejai-desimt-brangiausiuju-zalgiryje.html" TargetMode="External"/><Relationship Id="rId2285" Type="http://schemas.openxmlformats.org/officeDocument/2006/relationships/hyperlink" Target="https://realolimpiamilano.com/2026/08/26/top-10-stipendi-olimpia-milano-era-ettore-messina/2/" TargetMode="External"/><Relationship Id="rId360" Type="http://schemas.openxmlformats.org/officeDocument/2006/relationships/hyperlink" Target="https://www.basketnews.lt/news-133679-geriausiai-apmokami-lkl-zaidejai-desimt-brangiausiuju-zalgiryje.html" TargetMode="External"/><Relationship Id="rId2286" Type="http://schemas.openxmlformats.org/officeDocument/2006/relationships/hyperlink" Target="https://www.eurohoops.net/en/eurocup/1743400/hapoel-tel-aviv-brings-itoudis-with-record-46m-deal/" TargetMode="External"/><Relationship Id="rId367" Type="http://schemas.openxmlformats.org/officeDocument/2006/relationships/hyperlink" Target="https://kauno.diena.lt/naujienos/sportas/krepsinis/m-kalnietis-milane-uzdirbs-pusantro-karto-daugiau-nei-kaune-730542" TargetMode="External"/><Relationship Id="rId2287" Type="http://schemas.openxmlformats.org/officeDocument/2006/relationships/hyperlink" Target="https://www.eurohoops.net/en/eurocup/1743400/hapoel-tel-aviv-brings-itoudis-with-record-46m-deal/" TargetMode="External"/><Relationship Id="rId366" Type="http://schemas.openxmlformats.org/officeDocument/2006/relationships/hyperlink" Target="https://dev.basketnews.lt/news-93606-mantas-kalnietis-milane-uzdirbs-pusantro-karto-daugiau-nei-kaune.html" TargetMode="External"/><Relationship Id="rId2288" Type="http://schemas.openxmlformats.org/officeDocument/2006/relationships/hyperlink" Target="https://www.eurohoops.net/en/eurocup/1743400/hapoel-tel-aviv-brings-itoudis-with-record-46m-deal/" TargetMode="External"/><Relationship Id="rId365" Type="http://schemas.openxmlformats.org/officeDocument/2006/relationships/hyperlink" Target="https://kauno.diena.lt/naujienos/sportas/krepsinis/m-kalnietis-milane-uzdirbs-pusantro-karto-daugiau-nei-kaune-730542" TargetMode="External"/><Relationship Id="rId2289" Type="http://schemas.openxmlformats.org/officeDocument/2006/relationships/hyperlink" Target="https://x.com/baekpd1983/status/2091790898107736397" TargetMode="External"/><Relationship Id="rId364" Type="http://schemas.openxmlformats.org/officeDocument/2006/relationships/hyperlink" Target="https://www.basketnews.lt/news-133679-geriausiai-apmokami-lkl-zaidejai-desimt-brangiausiuju-zalgiryje.html" TargetMode="External"/><Relationship Id="rId95" Type="http://schemas.openxmlformats.org/officeDocument/2006/relationships/hyperlink" Target="https://www.athletiko.gr/ayto-einai-to-deal-olympiakoy-larentzaki-mechri-to-2028-23318" TargetMode="External"/><Relationship Id="rId94" Type="http://schemas.openxmlformats.org/officeDocument/2006/relationships/hyperlink" Target="https://www.sport24.gr/basket/euroleague-basketball/olimpiakos-i-pio-akrivi-omada-olon-ton-epoxon-afta-einai-ta-xrisa-simvolaia-ton-erithrolefkon/" TargetMode="External"/><Relationship Id="rId97" Type="http://schemas.openxmlformats.org/officeDocument/2006/relationships/hyperlink" Target="https://www.sport24.gr/basket/aek-metagrafes-telos-o-netzipoglou-apo-tin-enosi-anakoinonetai-apo-ton-olimpiako/" TargetMode="External"/><Relationship Id="rId96" Type="http://schemas.openxmlformats.org/officeDocument/2006/relationships/hyperlink" Target="https://www.sport24.gr/basket/euroleague-basketball/olimpiakos-i-pio-akrivi-omada-olon-ton-epoxon-afta-einai-ta-xrisa-simvolaia-ton-erithrolefkon/" TargetMode="External"/><Relationship Id="rId99" Type="http://schemas.openxmlformats.org/officeDocument/2006/relationships/hyperlink" Target="https://www.15min.lt/24sek/naujiena/lietuva/zalgirieciu-dominavimas-daugiausiai-uzdirbanciu-lkl-zaideju-top-40-875-1641660" TargetMode="External"/><Relationship Id="rId98" Type="http://schemas.openxmlformats.org/officeDocument/2006/relationships/hyperlink" Target="https://www.15min.lt/24sek/naujiena/lietuva/zalgirieciu-dominavimas-daugiausiai-uzdirbanciu-lkl-zaideju-top-40-875-1641660" TargetMode="External"/><Relationship Id="rId91" Type="http://schemas.openxmlformats.org/officeDocument/2006/relationships/hyperlink" Target="https://x.com/Andrea__Calzoni/status/2008140924724142477" TargetMode="External"/><Relationship Id="rId90" Type="http://schemas.openxmlformats.org/officeDocument/2006/relationships/hyperlink" Target="https://www.sport24.gr/basket/euroleague-basketball/olimpiakos-i-pio-akrivi-omada-olon-ton-epoxon-afta-einai-ta-xrisa-simvolaia-ton-erithrolefkon/" TargetMode="External"/><Relationship Id="rId93" Type="http://schemas.openxmlformats.org/officeDocument/2006/relationships/hyperlink" Target="https://www.sport24.gr/basket/euroleague-basketball/olimpiakos-i-pio-akrivi-omada-olon-ton-epoxon-afta-einai-ta-xrisa-simvolaia-ton-erithrolefkon/" TargetMode="External"/><Relationship Id="rId92" Type="http://schemas.openxmlformats.org/officeDocument/2006/relationships/hyperlink" Target="https://www.sport24.gr/basket/euroleague-basketball/olimpiakos-i-pio-akrivi-omada-olon-ton-epoxon-afta-einai-ta-xrisa-simvolaia-ton-erithrolefkon/" TargetMode="External"/><Relationship Id="rId359" Type="http://schemas.openxmlformats.org/officeDocument/2006/relationships/hyperlink" Target="https://www.krepsinis.net/naujiena/brangiausiu-lkl-zaideju-top-20-20-11-pozicijos/278738" TargetMode="External"/><Relationship Id="rId358" Type="http://schemas.openxmlformats.org/officeDocument/2006/relationships/hyperlink" Target="https://www.basketnews.lt/news-133679-geriausiai-apmokami-lkl-zaidejai-desimt-brangiausiuju-zalgiryje.html" TargetMode="External"/><Relationship Id="rId357" Type="http://schemas.openxmlformats.org/officeDocument/2006/relationships/hyperlink" Target="https://www.basketnews.lt/news-133679-geriausiai-apmokami-lkl-zaidejai-desimt-brangiausiuju-zalgiryje.html" TargetMode="External"/><Relationship Id="rId2270" Type="http://schemas.openxmlformats.org/officeDocument/2006/relationships/hyperlink" Target="https://www.israelhayom.co.il/sport/israeli-basketball/article/21183340" TargetMode="External"/><Relationship Id="rId2271" Type="http://schemas.openxmlformats.org/officeDocument/2006/relationships/hyperlink" Target="https://www.israelhayom.co.il/sport/israeli-basketball/article/21183340" TargetMode="External"/><Relationship Id="rId352" Type="http://schemas.openxmlformats.org/officeDocument/2006/relationships/hyperlink" Target="https://www.krepsinis.net/naujiena/brangiausiu-lkl-zaideju-top-20-20-11-pozicijos/278738" TargetMode="External"/><Relationship Id="rId2272" Type="http://schemas.openxmlformats.org/officeDocument/2006/relationships/hyperlink" Target="https://www.israelhayom.co.il/sport/israeli-basketball/article/21183340" TargetMode="External"/><Relationship Id="rId351" Type="http://schemas.openxmlformats.org/officeDocument/2006/relationships/hyperlink" Target="https://www.krepsinis.net/naujiena/10-lkl-zaidzianciu-lietuviu-kurie-uzdirba-daugiausiai/248876" TargetMode="External"/><Relationship Id="rId2273" Type="http://schemas.openxmlformats.org/officeDocument/2006/relationships/hyperlink" Target="https://www.israelhayom.co.il/sport/israeli-basketball/article/21183340" TargetMode="External"/><Relationship Id="rId350" Type="http://schemas.openxmlformats.org/officeDocument/2006/relationships/hyperlink" Target="https://www.krepsinis.net/naujiena/10-lkl-zaidzianciu-lietuviu-kurie-uzdirba-daugiausiai/248876" TargetMode="External"/><Relationship Id="rId2274" Type="http://schemas.openxmlformats.org/officeDocument/2006/relationships/hyperlink" Target="https://www.israelhayom.co.il/sport/israeli-basketball/article/21183340" TargetMode="External"/><Relationship Id="rId2275" Type="http://schemas.openxmlformats.org/officeDocument/2006/relationships/hyperlink" Target="https://www.athletiko.gr/poso-tha-stoichisei-synolika-i-metagrafi-toy-entiai-ston-olympiako-oi-oroi-tis-symfonias-95033" TargetMode="External"/><Relationship Id="rId356" Type="http://schemas.openxmlformats.org/officeDocument/2006/relationships/hyperlink" Target="https://kauno.diena.lt/naujienos/sportas/krepsinis/lkl-isvykeliai-skaudziausios-netektys-ir-vilciu-nepateisine-zaidejai-857802" TargetMode="External"/><Relationship Id="rId2276" Type="http://schemas.openxmlformats.org/officeDocument/2006/relationships/hyperlink" Target="https://x.com/AlessandroMagg4/status/2082563440049054004" TargetMode="External"/><Relationship Id="rId355" Type="http://schemas.openxmlformats.org/officeDocument/2006/relationships/hyperlink" Target="https://www.krepsinis.net/naujiena/brangiausiu-lkl-zaideju-top-20-20-11-pozicijos/278738" TargetMode="External"/><Relationship Id="rId2277" Type="http://schemas.openxmlformats.org/officeDocument/2006/relationships/hyperlink" Target="https://www.sport5.co.il/articles.aspx?FolderID=405&amp;docID=554814" TargetMode="External"/><Relationship Id="rId354" Type="http://schemas.openxmlformats.org/officeDocument/2006/relationships/hyperlink" Target="https://www.krepsinis.net/naujiena/brangiausiu-lkl-zaideju-top-20-20-11-pozicijos/278738" TargetMode="External"/><Relationship Id="rId2278" Type="http://schemas.openxmlformats.org/officeDocument/2006/relationships/hyperlink" Target="https://www.athletiko.gr/to-deal-tis-aek-me-ton-tsalmpoyri-kai-i-katastasi-toy-ellina-senter-97503" TargetMode="External"/><Relationship Id="rId353" Type="http://schemas.openxmlformats.org/officeDocument/2006/relationships/hyperlink" Target="https://www.basketnews.lt/news-112706-lietuvos-rinktines-biudzetas-beveik-13-mln-euru.html" TargetMode="External"/><Relationship Id="rId2279" Type="http://schemas.openxmlformats.org/officeDocument/2006/relationships/hyperlink" Target="https://www.athletiko.gr/ayto-einai-to-deal-tis-aek-me-ton-nterik-oyiliams-95850" TargetMode="External"/><Relationship Id="rId1378" Type="http://schemas.openxmlformats.org/officeDocument/2006/relationships/hyperlink" Target="https://x.com/matty_vanpersie/status/1798700694943469904" TargetMode="External"/><Relationship Id="rId2225" Type="http://schemas.openxmlformats.org/officeDocument/2006/relationships/hyperlink" Target="https://www.sport5.co.il/articles.aspx?FolderID=274&amp;docID=555290" TargetMode="External"/><Relationship Id="rId1379" Type="http://schemas.openxmlformats.org/officeDocument/2006/relationships/hyperlink" Target="https://www.reddit.com/r/Euroleague/comments/1lnc8pp/buzzsport_semi_ojeleye_is_undergoing_medical/?sort=top" TargetMode="External"/><Relationship Id="rId2226" Type="http://schemas.openxmlformats.org/officeDocument/2006/relationships/hyperlink" Target="https://www.israelhayom.co.il/sport/israeli-basketball/article/21157555" TargetMode="External"/><Relationship Id="rId2227" Type="http://schemas.openxmlformats.org/officeDocument/2006/relationships/hyperlink" Target="https://www.sport5.co.il/articles.aspx?FolderID=274&amp;docID=555290" TargetMode="External"/><Relationship Id="rId2228" Type="http://schemas.openxmlformats.org/officeDocument/2006/relationships/hyperlink" Target="https://www.israelhayom.co.il/sport/israeli-basketball/article/21157555" TargetMode="External"/><Relationship Id="rId2229" Type="http://schemas.openxmlformats.org/officeDocument/2006/relationships/hyperlink" Target="https://www.sport5.co.il/articles.aspx?FolderID=274&amp;docID=555290" TargetMode="External"/><Relationship Id="rId305" Type="http://schemas.openxmlformats.org/officeDocument/2006/relationships/hyperlink" Target="https://www.krepsinis.net/naujiena/lkl-finalininku-pinigines-kiek-uzdirba-stipriausiu-lietuvos-klubu-zaidejai/274137" TargetMode="External"/><Relationship Id="rId789" Type="http://schemas.openxmlformats.org/officeDocument/2006/relationships/hyperlink" Target="https://www.sport5.co.il/articles.aspx?FolderID=11840&amp;docID=518857" TargetMode="External"/><Relationship Id="rId304" Type="http://schemas.openxmlformats.org/officeDocument/2006/relationships/hyperlink" Target="https://www.krepsinis.net/naujiena/lkl-finalininku-pinigines-kiek-uzdirba-stipriausiu-lietuvos-klubu-zaidejai/274137" TargetMode="External"/><Relationship Id="rId788" Type="http://schemas.openxmlformats.org/officeDocument/2006/relationships/hyperlink" Target="https://www.sport5.co.il/articles.aspx?FolderID=11840&amp;docID=518857" TargetMode="External"/><Relationship Id="rId303" Type="http://schemas.openxmlformats.org/officeDocument/2006/relationships/hyperlink" Target="https://www.krepsinis.net/naujiena/lkl-finalininku-pinigines-kiek-uzdirba-stipriausiu-lietuvos-klubu-zaidejai/274137" TargetMode="External"/><Relationship Id="rId787" Type="http://schemas.openxmlformats.org/officeDocument/2006/relationships/hyperlink" Target="https://www.sport5.co.il/articles.aspx?FolderID=11840&amp;docID=518857" TargetMode="External"/><Relationship Id="rId302" Type="http://schemas.openxmlformats.org/officeDocument/2006/relationships/hyperlink" Target="https://www.krepsinis.net/naujiena/lkl-finalininku-pinigines-kiek-uzdirba-stipriausiu-lietuvos-klubu-zaidejai/274137" TargetMode="External"/><Relationship Id="rId786" Type="http://schemas.openxmlformats.org/officeDocument/2006/relationships/hyperlink" Target="https://www.sport5.co.il/articles.aspx?FolderID=11840&amp;docID=518857" TargetMode="External"/><Relationship Id="rId309" Type="http://schemas.openxmlformats.org/officeDocument/2006/relationships/hyperlink" Target="https://www.krepsinis.net/naujiena/lkl-finalininku-pinigines-kiek-uzdirba-stipriausiu-lietuvos-klubu-zaidejai/274137" TargetMode="External"/><Relationship Id="rId308" Type="http://schemas.openxmlformats.org/officeDocument/2006/relationships/hyperlink" Target="https://www.krepsinis.net/naujiena/lkl-finalininku-pinigines-kiek-uzdirba-stipriausiu-lietuvos-klubu-zaidejai/274137" TargetMode="External"/><Relationship Id="rId307" Type="http://schemas.openxmlformats.org/officeDocument/2006/relationships/hyperlink" Target="https://www.krepsinis.net/naujiena/lkl-finalininku-pinigines-kiek-uzdirba-stipriausiu-lietuvos-klubu-zaidejai/274137" TargetMode="External"/><Relationship Id="rId306" Type="http://schemas.openxmlformats.org/officeDocument/2006/relationships/hyperlink" Target="https://www.krepsinis.net/naujiena/lkl-finalininku-pinigines-kiek-uzdirba-stipriausiu-lietuvos-klubu-zaidejai/274137" TargetMode="External"/><Relationship Id="rId781" Type="http://schemas.openxmlformats.org/officeDocument/2006/relationships/hyperlink" Target="https://www.sport5.co.il/articles.aspx?FolderID=11840&amp;docID=518857" TargetMode="External"/><Relationship Id="rId1370" Type="http://schemas.openxmlformats.org/officeDocument/2006/relationships/hyperlink" Target="https://www.kurir.rs/sport/kosarka/9655754/otkrivamo-kolike-su-plate-kosarkasa-zvezde-i-partizana" TargetMode="External"/><Relationship Id="rId780" Type="http://schemas.openxmlformats.org/officeDocument/2006/relationships/hyperlink" Target="https://www.sport5.co.il/articles.aspx?FolderID=11840&amp;docID=518857" TargetMode="External"/><Relationship Id="rId1371" Type="http://schemas.openxmlformats.org/officeDocument/2006/relationships/hyperlink" Target="https://www.reddit.com/r/Euroleague/comments/1lnc8pp/buzzsport_semi_ojeleye_is_undergoing_medical/?sort=top" TargetMode="External"/><Relationship Id="rId1372" Type="http://schemas.openxmlformats.org/officeDocument/2006/relationships/hyperlink" Target="https://www.kurir.rs/sport/kosarka/9655754/otkrivamo-kolike-su-plate-kosarkasa-zvezde-i-partizana" TargetMode="External"/><Relationship Id="rId1373" Type="http://schemas.openxmlformats.org/officeDocument/2006/relationships/hyperlink" Target="https://www.reddit.com/r/Euroleague/comments/1lnc8pp/buzzsport_semi_ojeleye_is_undergoing_medical/?sort=top" TargetMode="External"/><Relationship Id="rId2220" Type="http://schemas.openxmlformats.org/officeDocument/2006/relationships/hyperlink" Target="https://www.israelhayom.co.il/sport/israeli-basketball/article/21157555" TargetMode="External"/><Relationship Id="rId301" Type="http://schemas.openxmlformats.org/officeDocument/2006/relationships/hyperlink" Target="https://www.krepsinis.net/naujiena/lkl-finalininku-pinigines-kiek-uzdirba-stipriausiu-lietuvos-klubu-zaidejai/274137" TargetMode="External"/><Relationship Id="rId785" Type="http://schemas.openxmlformats.org/officeDocument/2006/relationships/hyperlink" Target="https://www.sport5.co.il/articles.aspx?FolderID=11840&amp;docID=518857" TargetMode="External"/><Relationship Id="rId1374" Type="http://schemas.openxmlformats.org/officeDocument/2006/relationships/hyperlink" Target="https://www.kurir.rs/sport/kosarka/9655754/otkrivamo-kolike-su-plate-kosarkasa-zvezde-i-partizana" TargetMode="External"/><Relationship Id="rId2221" Type="http://schemas.openxmlformats.org/officeDocument/2006/relationships/hyperlink" Target="https://www.sport5.co.il/articles.aspx?FolderID=274&amp;docID=555290" TargetMode="External"/><Relationship Id="rId300" Type="http://schemas.openxmlformats.org/officeDocument/2006/relationships/hyperlink" Target="https://www.krepsinis.net/naujiena/lkl-finalininku-pinigines-kiek-uzdirba-stipriausiu-lietuvos-klubu-zaidejai/274137" TargetMode="External"/><Relationship Id="rId784" Type="http://schemas.openxmlformats.org/officeDocument/2006/relationships/hyperlink" Target="https://www.sport5.co.il/articles.aspx?FolderID=11840&amp;docID=518857" TargetMode="External"/><Relationship Id="rId1375" Type="http://schemas.openxmlformats.org/officeDocument/2006/relationships/hyperlink" Target="https://www.reddit.com/r/Euroleague/comments/1lnc8pp/buzzsport_semi_ojeleye_is_undergoing_medical/?sort=top" TargetMode="External"/><Relationship Id="rId2222" Type="http://schemas.openxmlformats.org/officeDocument/2006/relationships/hyperlink" Target="https://www.israelhayom.co.il/sport/israeli-basketball/article/21157555" TargetMode="External"/><Relationship Id="rId783" Type="http://schemas.openxmlformats.org/officeDocument/2006/relationships/hyperlink" Target="https://www.sport5.co.il/articles.aspx?FolderID=11840&amp;docID=518857" TargetMode="External"/><Relationship Id="rId1376" Type="http://schemas.openxmlformats.org/officeDocument/2006/relationships/hyperlink" Target="https://www.kurir.rs/sport/kosarka/9655754/otkrivamo-kolike-su-plate-kosarkasa-zvezde-i-partizana" TargetMode="External"/><Relationship Id="rId2223" Type="http://schemas.openxmlformats.org/officeDocument/2006/relationships/hyperlink" Target="https://www.sport5.co.il/articles.aspx?FolderID=274&amp;docID=555290" TargetMode="External"/><Relationship Id="rId782" Type="http://schemas.openxmlformats.org/officeDocument/2006/relationships/hyperlink" Target="https://www.sport5.co.il/articles.aspx?FolderID=11840&amp;docID=518857" TargetMode="External"/><Relationship Id="rId1377" Type="http://schemas.openxmlformats.org/officeDocument/2006/relationships/hyperlink" Target="https://www.kurir.rs/sport/kosarka/9655754/otkrivamo-kolike-su-plate-kosarkasa-zvezde-i-partizana" TargetMode="External"/><Relationship Id="rId2224" Type="http://schemas.openxmlformats.org/officeDocument/2006/relationships/hyperlink" Target="https://www.israelhayom.co.il/sport/israeli-basketball/article/21157555" TargetMode="External"/><Relationship Id="rId1367" Type="http://schemas.openxmlformats.org/officeDocument/2006/relationships/hyperlink" Target="https://www.kurir.rs/sport/kosarka/9655754/otkrivamo-kolike-su-plate-kosarkasa-zvezde-i-partizana" TargetMode="External"/><Relationship Id="rId2214" Type="http://schemas.openxmlformats.org/officeDocument/2006/relationships/hyperlink" Target="https://www.israelhayom.co.il/sport/israeli-basketball/article/21164146" TargetMode="External"/><Relationship Id="rId1368" Type="http://schemas.openxmlformats.org/officeDocument/2006/relationships/hyperlink" Target="https://www.kurir.rs/sport/kosarka/9655754/otkrivamo-kolike-su-plate-kosarkasa-zvezde-i-partizana" TargetMode="External"/><Relationship Id="rId2215" Type="http://schemas.openxmlformats.org/officeDocument/2006/relationships/hyperlink" Target="https://www.sport5.co.il/articles.aspx?FolderID=274&amp;docID=555156" TargetMode="External"/><Relationship Id="rId1369" Type="http://schemas.openxmlformats.org/officeDocument/2006/relationships/hyperlink" Target="https://www.reddit.com/r/Euroleague/comments/1lnc8pp/buzzsport_semi_ojeleye_is_undergoing_medical/?sort=top" TargetMode="External"/><Relationship Id="rId2216" Type="http://schemas.openxmlformats.org/officeDocument/2006/relationships/hyperlink" Target="https://www.israelhayom.co.il/sport/israeli-basketball/article/21164146" TargetMode="External"/><Relationship Id="rId2217" Type="http://schemas.openxmlformats.org/officeDocument/2006/relationships/hyperlink" Target="https://www.sport5.co.il/articles.aspx?FolderID=274&amp;docID=555290" TargetMode="External"/><Relationship Id="rId2218" Type="http://schemas.openxmlformats.org/officeDocument/2006/relationships/hyperlink" Target="https://www.israelhayom.co.il/sport/israeli-basketball/article/21164146" TargetMode="External"/><Relationship Id="rId2219" Type="http://schemas.openxmlformats.org/officeDocument/2006/relationships/hyperlink" Target="https://www.sport5.co.il/articles.aspx?FolderID=274&amp;docID=555290" TargetMode="External"/><Relationship Id="rId778" Type="http://schemas.openxmlformats.org/officeDocument/2006/relationships/hyperlink" Target="https://www.sport5.co.il/articles.aspx?FolderID=11840&amp;docID=518857" TargetMode="External"/><Relationship Id="rId777" Type="http://schemas.openxmlformats.org/officeDocument/2006/relationships/hyperlink" Target="https://www.sport5.co.il/articles.aspx?FolderID=11840&amp;docID=518857" TargetMode="External"/><Relationship Id="rId776" Type="http://schemas.openxmlformats.org/officeDocument/2006/relationships/hyperlink" Target="https://www.sport5.co.il/articles.aspx?FolderID=11840&amp;docID=518857" TargetMode="External"/><Relationship Id="rId775" Type="http://schemas.openxmlformats.org/officeDocument/2006/relationships/hyperlink" Target="https://www.one.co.il/Article/521430.html" TargetMode="External"/><Relationship Id="rId779" Type="http://schemas.openxmlformats.org/officeDocument/2006/relationships/hyperlink" Target="https://www.israelhayom.co.il/sport/israeli-basketball/article/21008495" TargetMode="External"/><Relationship Id="rId770" Type="http://schemas.openxmlformats.org/officeDocument/2006/relationships/hyperlink" Target="https://x.com/hizlihucum/status/2005519651279696328" TargetMode="External"/><Relationship Id="rId1360" Type="http://schemas.openxmlformats.org/officeDocument/2006/relationships/hyperlink" Target="https://www.kurir.rs/sport/kosarka/9655754/otkrivamo-kolike-su-plate-kosarkasa-zvezde-i-partizana" TargetMode="External"/><Relationship Id="rId1361" Type="http://schemas.openxmlformats.org/officeDocument/2006/relationships/hyperlink" Target="https://www.kurir.rs/sport/kosarka/9655754/otkrivamo-kolike-su-plate-kosarkasa-zvezde-i-partizana" TargetMode="External"/><Relationship Id="rId1362" Type="http://schemas.openxmlformats.org/officeDocument/2006/relationships/hyperlink" Target="https://www.kurir.rs/sport/kosarka/9655754/otkrivamo-kolike-su-plate-kosarkasa-zvezde-i-partizana" TargetMode="External"/><Relationship Id="rId774" Type="http://schemas.openxmlformats.org/officeDocument/2006/relationships/hyperlink" Target="https://www.sport5.co.il/articles.aspx?FolderID=11840&amp;docID=518857" TargetMode="External"/><Relationship Id="rId1363" Type="http://schemas.openxmlformats.org/officeDocument/2006/relationships/hyperlink" Target="https://www.kurir.rs/sport/kosarka/9655754/otkrivamo-kolike-su-plate-kosarkasa-zvezde-i-partizana" TargetMode="External"/><Relationship Id="rId2210" Type="http://schemas.openxmlformats.org/officeDocument/2006/relationships/hyperlink" Target="https://www.israelhayom.co.il/sport/israeli-basketball/article/21164146" TargetMode="External"/><Relationship Id="rId773" Type="http://schemas.openxmlformats.org/officeDocument/2006/relationships/hyperlink" Target="https://www.eurohoops.net/en/trademarks/1871980/the-top-10-euroleague-salaries-of-2025-26-higher-than-ever/" TargetMode="External"/><Relationship Id="rId1364" Type="http://schemas.openxmlformats.org/officeDocument/2006/relationships/hyperlink" Target="https://www.kurir.rs/sport/kosarka/9655754/otkrivamo-kolike-su-plate-kosarkasa-zvezde-i-partizana" TargetMode="External"/><Relationship Id="rId2211" Type="http://schemas.openxmlformats.org/officeDocument/2006/relationships/hyperlink" Target="https://www.sport5.co.il/articles.aspx?FolderID=274&amp;docID=555290" TargetMode="External"/><Relationship Id="rId772" Type="http://schemas.openxmlformats.org/officeDocument/2006/relationships/hyperlink" Target="https://www.sport5.co.il/articles.aspx?FolderID=11840&amp;docID=518857" TargetMode="External"/><Relationship Id="rId1365" Type="http://schemas.openxmlformats.org/officeDocument/2006/relationships/hyperlink" Target="https://www.kurir.rs/sport/kosarka/9655754/otkrivamo-kolike-su-plate-kosarkasa-zvezde-i-partizana" TargetMode="External"/><Relationship Id="rId2212" Type="http://schemas.openxmlformats.org/officeDocument/2006/relationships/hyperlink" Target="https://www.israelhayom.co.il/sport/israeli-basketball/article/21164146" TargetMode="External"/><Relationship Id="rId771" Type="http://schemas.openxmlformats.org/officeDocument/2006/relationships/hyperlink" Target="https://www.sport5.co.il/articles.aspx?FolderID=274&amp;docID=482119" TargetMode="External"/><Relationship Id="rId1366" Type="http://schemas.openxmlformats.org/officeDocument/2006/relationships/hyperlink" Target="https://www.kurir.rs/sport/kosarka/9655754/otkrivamo-kolike-su-plate-kosarkasa-zvezde-i-partizana" TargetMode="External"/><Relationship Id="rId2213" Type="http://schemas.openxmlformats.org/officeDocument/2006/relationships/hyperlink" Target="https://www.sport5.co.il/articles.aspx?FolderID=274&amp;docID=555290" TargetMode="External"/><Relationship Id="rId2247" Type="http://schemas.openxmlformats.org/officeDocument/2006/relationships/hyperlink" Target="https://www.israelhayom.co.il/sport/israeli-basketball/article/21131631" TargetMode="External"/><Relationship Id="rId2248" Type="http://schemas.openxmlformats.org/officeDocument/2006/relationships/hyperlink" Target="https://www.pianetabasket.com/legabasket-serie-a/budget-triplicato-in-quattro-anni-cosi-varese-puo-diventare-grande" TargetMode="External"/><Relationship Id="rId2249" Type="http://schemas.openxmlformats.org/officeDocument/2006/relationships/hyperlink" Target="https://www.pianetabasket.com/legabasket-serie-a/budget-triplicato-in-quattro-anni-cosi-varese-puo-diventare-grande" TargetMode="External"/><Relationship Id="rId327" Type="http://schemas.openxmlformats.org/officeDocument/2006/relationships/hyperlink" Target="https://www.basketnews.lt/news-83614-kiek-uzdirba-didziuju-lkl-klubu-krepsininkai.html" TargetMode="External"/><Relationship Id="rId326" Type="http://schemas.openxmlformats.org/officeDocument/2006/relationships/hyperlink" Target="https://www.basketnews.lt/news-83614-kiek-uzdirba-didziuju-lkl-klubu-krepsininkai.html" TargetMode="External"/><Relationship Id="rId325" Type="http://schemas.openxmlformats.org/officeDocument/2006/relationships/hyperlink" Target="https://www.basketnews.lt/news-83614-kiek-uzdirba-didziuju-lkl-klubu-krepsininkai.html" TargetMode="External"/><Relationship Id="rId324" Type="http://schemas.openxmlformats.org/officeDocument/2006/relationships/hyperlink" Target="https://www.basketnews.lt/news-83614-kiek-uzdirba-didziuju-lkl-klubu-krepsininkai.html" TargetMode="External"/><Relationship Id="rId329" Type="http://schemas.openxmlformats.org/officeDocument/2006/relationships/hyperlink" Target="https://www.basketnews.lt/news-83614-kiek-uzdirba-didziuju-lkl-klubu-krepsininkai.html" TargetMode="External"/><Relationship Id="rId1390" Type="http://schemas.openxmlformats.org/officeDocument/2006/relationships/hyperlink" Target="https://www.instagram.com/p/C8ZF696gGav/" TargetMode="External"/><Relationship Id="rId328" Type="http://schemas.openxmlformats.org/officeDocument/2006/relationships/hyperlink" Target="https://www.basketnews.lt/news-83614-kiek-uzdirba-didziuju-lkl-klubu-krepsininkai.html" TargetMode="External"/><Relationship Id="rId1391" Type="http://schemas.openxmlformats.org/officeDocument/2006/relationships/hyperlink" Target="https://x.com/Andrea__Calzoni/status/1801723838910042339" TargetMode="External"/><Relationship Id="rId1392" Type="http://schemas.openxmlformats.org/officeDocument/2006/relationships/hyperlink" Target="https://www.kurir.rs/sport/kosarka/9655754/otkrivamo-kolike-su-plate-kosarkasa-zvezde-i-partizana" TargetMode="External"/><Relationship Id="rId1393" Type="http://schemas.openxmlformats.org/officeDocument/2006/relationships/hyperlink" Target="https://www.instagram.com/p/C8ZF696gGav/" TargetMode="External"/><Relationship Id="rId2240" Type="http://schemas.openxmlformats.org/officeDocument/2006/relationships/hyperlink" Target="https://www.sport5.co.il/articles.aspx?FolderID=274&amp;docID=555290" TargetMode="External"/><Relationship Id="rId1394" Type="http://schemas.openxmlformats.org/officeDocument/2006/relationships/hyperlink" Target="https://x.com/Andrea__Calzoni/status/1801723838910042339" TargetMode="External"/><Relationship Id="rId2241" Type="http://schemas.openxmlformats.org/officeDocument/2006/relationships/hyperlink" Target="https://www.sport5.co.il/articles.aspx?FolderID=274&amp;docID=555290" TargetMode="External"/><Relationship Id="rId1395" Type="http://schemas.openxmlformats.org/officeDocument/2006/relationships/hyperlink" Target="https://x.com/Andrea__Calzoni/status/1947539342676685220" TargetMode="External"/><Relationship Id="rId2242" Type="http://schemas.openxmlformats.org/officeDocument/2006/relationships/hyperlink" Target="https://www.sport5.co.il/articles.aspx?FolderID=274&amp;docID=555290" TargetMode="External"/><Relationship Id="rId323" Type="http://schemas.openxmlformats.org/officeDocument/2006/relationships/hyperlink" Target="https://www.basketnews.lt/news-83614-kiek-uzdirba-didziuju-lkl-klubu-krepsininkai.html" TargetMode="External"/><Relationship Id="rId1396" Type="http://schemas.openxmlformats.org/officeDocument/2006/relationships/hyperlink" Target="https://x.com/Andrea__Calzoni/status/1946277043336872118" TargetMode="External"/><Relationship Id="rId2243" Type="http://schemas.openxmlformats.org/officeDocument/2006/relationships/hyperlink" Target="https://www.sport5.co.il/articles.aspx?FolderID=274&amp;docID=555290" TargetMode="External"/><Relationship Id="rId322" Type="http://schemas.openxmlformats.org/officeDocument/2006/relationships/hyperlink" Target="https://www.basketnews.lt/news-83614-kiek-uzdirba-didziuju-lkl-klubu-krepsininkai.html" TargetMode="External"/><Relationship Id="rId1397" Type="http://schemas.openxmlformats.org/officeDocument/2006/relationships/hyperlink" Target="https://x.com/Andrea__Calzoni/status/1942884008725017021" TargetMode="External"/><Relationship Id="rId2244" Type="http://schemas.openxmlformats.org/officeDocument/2006/relationships/hyperlink" Target="https://www.sport5.co.il/articles.aspx?FolderID=274&amp;docID=555290" TargetMode="External"/><Relationship Id="rId321" Type="http://schemas.openxmlformats.org/officeDocument/2006/relationships/hyperlink" Target="https://www.basketnews.lt/news-83614-kiek-uzdirba-didziuju-lkl-klubu-krepsininkai.html" TargetMode="External"/><Relationship Id="rId1398" Type="http://schemas.openxmlformats.org/officeDocument/2006/relationships/hyperlink" Target="https://kauno.diena.lt/naujienos/sportas/krepsinis/lkl-isvykeliai-skaudziausios-netektys-ir-vilciu-nepateisine-zaidejai-857802" TargetMode="External"/><Relationship Id="rId2245" Type="http://schemas.openxmlformats.org/officeDocument/2006/relationships/hyperlink" Target="https://www.sport5.co.il/articles.aspx?FolderID=274&amp;docID=555290" TargetMode="External"/><Relationship Id="rId320" Type="http://schemas.openxmlformats.org/officeDocument/2006/relationships/hyperlink" Target="https://www.15min.lt/24sek/naujiena/lietuva/top-30-atlyginimu-lietuvoje-antrajame-desimtuke-ryto-lietuviu-kompanija-875-1036584?c=24sek" TargetMode="External"/><Relationship Id="rId1399" Type="http://schemas.openxmlformats.org/officeDocument/2006/relationships/hyperlink" Target="https://www.krepsinis.net/naujiena/a-juskevicius-laimejo-byla-pries-galatasaray-atskleistas-lietuvio-uzdarbis-turkijos-klube/293365" TargetMode="External"/><Relationship Id="rId2246" Type="http://schemas.openxmlformats.org/officeDocument/2006/relationships/hyperlink" Target="https://www.israelhayom.co.il/sport/israeli-basketball/article/21131631" TargetMode="External"/><Relationship Id="rId1389" Type="http://schemas.openxmlformats.org/officeDocument/2006/relationships/hyperlink" Target="https://www.kurir.rs/sport/kosarka/9655754/otkrivamo-kolike-su-plate-kosarkasa-zvezde-i-partizana" TargetMode="External"/><Relationship Id="rId2236" Type="http://schemas.openxmlformats.org/officeDocument/2006/relationships/hyperlink" Target="https://www.israelhayom.co.il/sport/israeli-basketball/article/21157555" TargetMode="External"/><Relationship Id="rId2237" Type="http://schemas.openxmlformats.org/officeDocument/2006/relationships/hyperlink" Target="https://www.sport5.co.il/articles.aspx?FolderID=274&amp;docID=555290" TargetMode="External"/><Relationship Id="rId2238" Type="http://schemas.openxmlformats.org/officeDocument/2006/relationships/hyperlink" Target="https://www.sport5.co.il/articles.aspx?FolderID=274&amp;docID=555290" TargetMode="External"/><Relationship Id="rId2239" Type="http://schemas.openxmlformats.org/officeDocument/2006/relationships/hyperlink" Target="https://www.sport5.co.il/articles.aspx?FolderID=274&amp;docID=555290" TargetMode="External"/><Relationship Id="rId316" Type="http://schemas.openxmlformats.org/officeDocument/2006/relationships/hyperlink" Target="https://www.15min.lt/24sek/naujiena/lietuva/top-30-atlyginimu-lietuvoje-daugiausiai-uzdirbanciuju-desimtuke-burys-zalgirieciu-875-1036762" TargetMode="External"/><Relationship Id="rId315" Type="http://schemas.openxmlformats.org/officeDocument/2006/relationships/hyperlink" Target="https://www.15min.lt/24sek/naujiena/lietuva/top-30-atlyginimu-lietuvoje-antrajame-desimtuke-ryto-lietuviu-kompanija-875-1036584?c=24sek" TargetMode="External"/><Relationship Id="rId799" Type="http://schemas.openxmlformats.org/officeDocument/2006/relationships/hyperlink" Target="https://www.israelhayom.co.il/sport/israeli-basketball/article/21055509" TargetMode="External"/><Relationship Id="rId314" Type="http://schemas.openxmlformats.org/officeDocument/2006/relationships/hyperlink" Target="https://www.basketnews.lt/news-133679-geriausiai-apmokami-lkl-zaidejai-desimt-brangiausiuju-zalgiryje.html" TargetMode="External"/><Relationship Id="rId798" Type="http://schemas.openxmlformats.org/officeDocument/2006/relationships/hyperlink" Target="https://www.israelhayom.co.il/sport/israeli-basketball/article/18880746" TargetMode="External"/><Relationship Id="rId313" Type="http://schemas.openxmlformats.org/officeDocument/2006/relationships/hyperlink" Target="https://www.krepsinis.net/naujiena/brangiausiu-lkl-zaideju-top-20-1-10-pozicijos/278868" TargetMode="External"/><Relationship Id="rId797" Type="http://schemas.openxmlformats.org/officeDocument/2006/relationships/hyperlink" Target="https://www.sport5.co.il/articles.aspx?FolderID=11840&amp;docID=518857" TargetMode="External"/><Relationship Id="rId319" Type="http://schemas.openxmlformats.org/officeDocument/2006/relationships/hyperlink" Target="https://www.15min.lt/24sek/naujiena/lietuva/top-30-atlyginimu-lietuvoje-treciasis-daugiausiai-uzdirbanciu-zaideju-desimtukas-875-1034940" TargetMode="External"/><Relationship Id="rId318" Type="http://schemas.openxmlformats.org/officeDocument/2006/relationships/hyperlink" Target="https://www.15min.lt/24sek/naujiena/lietuva/top-30-atlyginimu-lietuvoje-daugiausiai-uzdirbanciuju-desimtuke-burys-zalgirieciu-875-1036762" TargetMode="External"/><Relationship Id="rId317" Type="http://schemas.openxmlformats.org/officeDocument/2006/relationships/hyperlink" Target="https://www.15min.lt/24sek/naujiena/lietuva/top-30-atlyginimu-lietuvoje-daugiausiai-uzdirbanciuju-desimtuke-burys-zalgirieciu-875-1036762" TargetMode="External"/><Relationship Id="rId1380" Type="http://schemas.openxmlformats.org/officeDocument/2006/relationships/hyperlink" Target="https://www.kurir.rs/sport/kosarka/9655754/otkrivamo-kolike-su-plate-kosarkasa-zvezde-i-partizana" TargetMode="External"/><Relationship Id="rId792" Type="http://schemas.openxmlformats.org/officeDocument/2006/relationships/hyperlink" Target="https://www.sport5.co.il/articles.aspx?FolderID=11840&amp;docID=518857" TargetMode="External"/><Relationship Id="rId1381" Type="http://schemas.openxmlformats.org/officeDocument/2006/relationships/hyperlink" Target="https://www.reddit.com/r/Euroleague/comments/1lnc8pp/buzzsport_semi_ojeleye_is_undergoing_medical/?sort=top" TargetMode="External"/><Relationship Id="rId791" Type="http://schemas.openxmlformats.org/officeDocument/2006/relationships/hyperlink" Target="https://www.sport5.co.il/articles.aspx?FolderID=11840&amp;docID=518857" TargetMode="External"/><Relationship Id="rId1382" Type="http://schemas.openxmlformats.org/officeDocument/2006/relationships/hyperlink" Target="https://www.reddit.com/r/Euroleague/comments/1lnc8pp/buzzsport_semi_ojeleye_is_undergoing_medical/?sort=top" TargetMode="External"/><Relationship Id="rId790" Type="http://schemas.openxmlformats.org/officeDocument/2006/relationships/hyperlink" Target="https://www.sport5.co.il/articles.aspx?FolderID=11840&amp;docID=518857" TargetMode="External"/><Relationship Id="rId1383" Type="http://schemas.openxmlformats.org/officeDocument/2006/relationships/hyperlink" Target="https://www.kurir.rs/sport/kosarka/9655754/otkrivamo-kolike-su-plate-kosarkasa-zvezde-i-partizana" TargetMode="External"/><Relationship Id="rId2230" Type="http://schemas.openxmlformats.org/officeDocument/2006/relationships/hyperlink" Target="https://www.israelhayom.co.il/sport/israeli-basketball/article/21157555" TargetMode="External"/><Relationship Id="rId1384" Type="http://schemas.openxmlformats.org/officeDocument/2006/relationships/hyperlink" Target="https://www.kurir.rs/sport/kosarka/9655754/otkrivamo-kolike-su-plate-kosarkasa-zvezde-i-partizana" TargetMode="External"/><Relationship Id="rId2231" Type="http://schemas.openxmlformats.org/officeDocument/2006/relationships/hyperlink" Target="https://www.sport5.co.il/articles.aspx?FolderID=274&amp;docID=555290" TargetMode="External"/><Relationship Id="rId312" Type="http://schemas.openxmlformats.org/officeDocument/2006/relationships/hyperlink" Target="https://www.basketnews.lt/news-83614-kiek-uzdirba-didziuju-lkl-klubu-krepsininkai.html" TargetMode="External"/><Relationship Id="rId796" Type="http://schemas.openxmlformats.org/officeDocument/2006/relationships/hyperlink" Target="https://www.israelhayom.co.il/sport/israeli-basketball/article/18880746" TargetMode="External"/><Relationship Id="rId1385" Type="http://schemas.openxmlformats.org/officeDocument/2006/relationships/hyperlink" Target="https://www.kurir.rs/sport/kosarka/9655754/otkrivamo-kolike-su-plate-kosarkasa-zvezde-i-partizana" TargetMode="External"/><Relationship Id="rId2232" Type="http://schemas.openxmlformats.org/officeDocument/2006/relationships/hyperlink" Target="https://www.israelhayom.co.il/sport/israeli-basketball/article/21157555" TargetMode="External"/><Relationship Id="rId311" Type="http://schemas.openxmlformats.org/officeDocument/2006/relationships/hyperlink" Target="https://www.krepsinis.net/naujiena/10-lkl-zaidzianciu-lietuviu-kurie-uzdirba-daugiausiai/248876" TargetMode="External"/><Relationship Id="rId795" Type="http://schemas.openxmlformats.org/officeDocument/2006/relationships/hyperlink" Target="https://www.one.co.il/Article/498884.html" TargetMode="External"/><Relationship Id="rId1386" Type="http://schemas.openxmlformats.org/officeDocument/2006/relationships/hyperlink" Target="https://www.kurir.rs/sport/kosarka/9655754/otkrivamo-kolike-su-plate-kosarkasa-zvezde-i-partizana" TargetMode="External"/><Relationship Id="rId2233" Type="http://schemas.openxmlformats.org/officeDocument/2006/relationships/hyperlink" Target="https://www.sport5.co.il/articles.aspx?FolderID=274&amp;docID=555290" TargetMode="External"/><Relationship Id="rId310" Type="http://schemas.openxmlformats.org/officeDocument/2006/relationships/hyperlink" Target="https://www.krepsinis.net/naujiena/brangiausiu-lkl-zaideju-top-20-20-11-pozicijos/278738" TargetMode="External"/><Relationship Id="rId794" Type="http://schemas.openxmlformats.org/officeDocument/2006/relationships/hyperlink" Target="https://www.one.co.il/Article/498884.html" TargetMode="External"/><Relationship Id="rId1387" Type="http://schemas.openxmlformats.org/officeDocument/2006/relationships/hyperlink" Target="https://www.kurir.rs/sport/kosarka/9655754/otkrivamo-kolike-su-plate-kosarkasa-zvezde-i-partizana" TargetMode="External"/><Relationship Id="rId2234" Type="http://schemas.openxmlformats.org/officeDocument/2006/relationships/hyperlink" Target="https://www.israelhayom.co.il/sport/israeli-basketball/article/21157555" TargetMode="External"/><Relationship Id="rId793" Type="http://schemas.openxmlformats.org/officeDocument/2006/relationships/hyperlink" Target="https://www.sport5.co.il/articles.aspx?FolderID=11840&amp;docID=518857" TargetMode="External"/><Relationship Id="rId1388" Type="http://schemas.openxmlformats.org/officeDocument/2006/relationships/hyperlink" Target="https://www.kurir.rs/sport/kosarka/9655754/otkrivamo-kolike-su-plate-kosarkasa-zvezde-i-partizana" TargetMode="External"/><Relationship Id="rId2235" Type="http://schemas.openxmlformats.org/officeDocument/2006/relationships/hyperlink" Target="https://www.sport5.co.il/articles.aspx?FolderID=274&amp;docID=555290" TargetMode="External"/><Relationship Id="rId297" Type="http://schemas.openxmlformats.org/officeDocument/2006/relationships/hyperlink" Target="https://www.15min.lt/24sek/naujiena/lietuva/daugiausiai-lietuvoje-uzdirbanciu-zaideju-top-15-desertas-pirmasis-brangiausiuju-penketas-875-696319" TargetMode="External"/><Relationship Id="rId296" Type="http://schemas.openxmlformats.org/officeDocument/2006/relationships/hyperlink" Target="https://rc.krepsinis.net/naujiena/brangiausiu-lkl-zaideju-top-16-1-5-pozicijos/266539" TargetMode="External"/><Relationship Id="rId295" Type="http://schemas.openxmlformats.org/officeDocument/2006/relationships/hyperlink" Target="https://www.15min.lt/24sek/naujiena/lietuva/daugiausiai-lietuvoje-uzdirbanciu-zaideju-top-15-desertas-pirmasis-brangiausiuju-penketas-875-696319" TargetMode="External"/><Relationship Id="rId294" Type="http://schemas.openxmlformats.org/officeDocument/2006/relationships/hyperlink" Target="https://rc.krepsinis.net/naujiena/brangiausiu-lkl-zaideju-top-16-1-5-pozicijos/266539" TargetMode="External"/><Relationship Id="rId299" Type="http://schemas.openxmlformats.org/officeDocument/2006/relationships/hyperlink" Target="https://www.krepsinis.net/naujiena/lkl-finalininku-pinigines-kiek-uzdirba-stipriausiu-lietuvos-klubu-zaidejai/274137" TargetMode="External"/><Relationship Id="rId298" Type="http://schemas.openxmlformats.org/officeDocument/2006/relationships/hyperlink" Target="https://www.krepsinis.net/naujiena/lkl-finalininku-pinigines-kiek-uzdirba-stipriausiu-lietuvos-klubu-zaidejai/274137" TargetMode="External"/><Relationship Id="rId271" Type="http://schemas.openxmlformats.org/officeDocument/2006/relationships/hyperlink" Target="https://www.krepsinis.net/naujiena/brangiausiu-lkl-zaideju-top-16-6-11-pozicijos/266513" TargetMode="External"/><Relationship Id="rId270" Type="http://schemas.openxmlformats.org/officeDocument/2006/relationships/hyperlink" Target="https://www.krepsinis.net/naujiena/penki-lkl-zaidejai-kurie-uzdirba-solidziai-bet-dideles-naudos-klubui-kol-kas-neatnese/282845" TargetMode="External"/><Relationship Id="rId269" Type="http://schemas.openxmlformats.org/officeDocument/2006/relationships/hyperlink" Target="https://www.15min.lt/24sek/naujiena/lietuva/daugiausiai-lietuvoje-uzdirbanciu-zaideju-top-15-lietuvos-ryto-dziaugsmas-ir-zalgirio-viltis-875-695937" TargetMode="External"/><Relationship Id="rId264" Type="http://schemas.openxmlformats.org/officeDocument/2006/relationships/hyperlink" Target="https://www.krepsinis.net/naujiena/penki-lkl-zaidejai-kurie-uzdirba-solidziai-bet-dideles-naudos-klubui-kol-kas-neatnese/282845" TargetMode="External"/><Relationship Id="rId263" Type="http://schemas.openxmlformats.org/officeDocument/2006/relationships/hyperlink" Target="https://www.krepsinis.net/naujiena/brangiausiu-lkl-zaideju-top-20-20-11-pozicijos/278738" TargetMode="External"/><Relationship Id="rId262" Type="http://schemas.openxmlformats.org/officeDocument/2006/relationships/hyperlink" Target="https://www.basketnews.lt/news-90755-geriausiai-apmokamu-krepsininku-lietuvoje-virsuneje-zalgirieciai.html" TargetMode="External"/><Relationship Id="rId261" Type="http://schemas.openxmlformats.org/officeDocument/2006/relationships/hyperlink" Target="https://www.15min.lt/24sek/naujiena/lietuva/daugiausia-lietuvoje-uzdirbanciu-zaideju-top-15-desertas-penki-brangiausi-lietuviai-875-538606" TargetMode="External"/><Relationship Id="rId268" Type="http://schemas.openxmlformats.org/officeDocument/2006/relationships/hyperlink" Target="https://www.krepsinis.net/naujiena/brangiausiu-lkl-zaideju-top-16-6-11-pozicijos/266513" TargetMode="External"/><Relationship Id="rId267" Type="http://schemas.openxmlformats.org/officeDocument/2006/relationships/hyperlink" Target="https://www.basketnews.lt/news-90755-geriausiai-apmokamu-krepsininku-lietuvoje-virsuneje-zalgirieciai.html" TargetMode="External"/><Relationship Id="rId266" Type="http://schemas.openxmlformats.org/officeDocument/2006/relationships/hyperlink" Target="https://www.krepsinis.net/naujiena/brangiausiu-lkl-zaideju-top-16-6-11-pozicijos/266513" TargetMode="External"/><Relationship Id="rId265" Type="http://schemas.openxmlformats.org/officeDocument/2006/relationships/hyperlink" Target="https://www.15min.lt/24sek/naujiena/lietuva/daugiausiai-lietuvoje-uzdirbanciu-krepsininku-top-15-nauji-veidai-ir-r-javtoko-pokytis-875-695483" TargetMode="External"/><Relationship Id="rId260" Type="http://schemas.openxmlformats.org/officeDocument/2006/relationships/hyperlink" Target="https://www.15min.lt/24sek/naujiena/lietuva/penki-daugiausiai-uzdirbantys-zaidejai-lkl-finale-875-633191" TargetMode="External"/><Relationship Id="rId259" Type="http://schemas.openxmlformats.org/officeDocument/2006/relationships/hyperlink" Target="https://www.basketnews.lt/news-90755-geriausiai-apmokamu-krepsininku-lietuvoje-virsuneje-zalgirieciai.html" TargetMode="External"/><Relationship Id="rId258" Type="http://schemas.openxmlformats.org/officeDocument/2006/relationships/hyperlink" Target="https://www.15min.lt/24sek/naujiena/lietuva/daugiausia-lietuvoje-uzdirbanciu-zaideju-top-15-desertas-penki-brangiausi-lietuviai-875-538606" TargetMode="External"/><Relationship Id="rId2290" Type="http://schemas.openxmlformats.org/officeDocument/2006/relationships/hyperlink" Target="https://x.com/YehudaSob/status/2090037653685117263" TargetMode="External"/><Relationship Id="rId2291" Type="http://schemas.openxmlformats.org/officeDocument/2006/relationships/hyperlink" Target="https://telesport.rs/2026/08/16/tompson-je-crno-beli-poznata-plata/" TargetMode="External"/><Relationship Id="rId2292" Type="http://schemas.openxmlformats.org/officeDocument/2006/relationships/hyperlink" Target="https://www.pianetabasket.com/mercato/markel-brown-ci-prova-napoli-da-trieste-richiesta-di-200mila-di-buyout" TargetMode="External"/><Relationship Id="rId2293" Type="http://schemas.openxmlformats.org/officeDocument/2006/relationships/hyperlink" Target="https://www.eurohoops.net/en/trademarks/2008414/the-top-10-euroleague-salaries-of-2026-27-the-32m-line-is-official/" TargetMode="External"/><Relationship Id="rId253" Type="http://schemas.openxmlformats.org/officeDocument/2006/relationships/hyperlink" Target="https://rc.krepsinis.net/naujiena/brangiausiu-lkl-zaideju-top-16-1-5-pozicijos/266539" TargetMode="External"/><Relationship Id="rId2294" Type="http://schemas.openxmlformats.org/officeDocument/2006/relationships/hyperlink" Target="https://basketnews.com/news-255434-top-10-highest-paid-euroleague-players-2026-27-season.html" TargetMode="External"/><Relationship Id="rId252" Type="http://schemas.openxmlformats.org/officeDocument/2006/relationships/hyperlink" Target="https://www.basketnews.lt/news-90755-geriausiai-apmokamu-krepsininku-lietuvoje-virsuneje-zalgirieciai.html" TargetMode="External"/><Relationship Id="rId2295" Type="http://schemas.openxmlformats.org/officeDocument/2006/relationships/hyperlink" Target="https://x.com/karusito83/status/2100181727054283203" TargetMode="External"/><Relationship Id="rId251" Type="http://schemas.openxmlformats.org/officeDocument/2006/relationships/hyperlink" Target="https://www.15min.lt/24sek/naujiena/lietuva/daugiausia-lietuvoje-uzdirbanciu-zaideju-top-15-a-gudaicio-alga-ir-brangiausio-legionieriaus-kaina-875-538401" TargetMode="External"/><Relationship Id="rId2296" Type="http://schemas.openxmlformats.org/officeDocument/2006/relationships/hyperlink" Target="https://basketnews.com/news-255434-top-10-highest-paid-euroleague-players-2026-27-season.html" TargetMode="External"/><Relationship Id="rId250" Type="http://schemas.openxmlformats.org/officeDocument/2006/relationships/hyperlink" Target="https://www.krepsinis.net/naujiena/brangiausiu-lkl-zaideju-top-16-16-12-pozicijos/266483" TargetMode="External"/><Relationship Id="rId2297" Type="http://schemas.openxmlformats.org/officeDocument/2006/relationships/hyperlink" Target="https://realolimpiamilano.com/2026/08/26/top-10-stipendi-olimpia-milano-era-ettore-messina/11/" TargetMode="External"/><Relationship Id="rId257" Type="http://schemas.openxmlformats.org/officeDocument/2006/relationships/hyperlink" Target="https://www.krepsinis.net/naujiena/brangiausiu-lkl-zaideju-top-20-20-11-pozicijos/278738" TargetMode="External"/><Relationship Id="rId2298" Type="http://schemas.openxmlformats.org/officeDocument/2006/relationships/hyperlink" Target="https://www.athletiko.gr/i-aek-pire-ton-larentzaki-me-to-megalytero-deal-epi-epochis-aggelopoyloy-100530" TargetMode="External"/><Relationship Id="rId256" Type="http://schemas.openxmlformats.org/officeDocument/2006/relationships/hyperlink" Target="https://www.basketnews.lt/news-90755-geriausiai-apmokamu-krepsininku-lietuvoje-virsuneje-zalgirieciai.html" TargetMode="External"/><Relationship Id="rId2299" Type="http://schemas.openxmlformats.org/officeDocument/2006/relationships/hyperlink" Target="https://www.pianetabasket.com/legabasket-serie-a/francesco-totti-alla-maxima-roma-i-dettagli-dellaccordo-oltre-1-milione-a-stagione" TargetMode="External"/><Relationship Id="rId255" Type="http://schemas.openxmlformats.org/officeDocument/2006/relationships/hyperlink" Target="https://www.15min.lt/24sek/naujiena/lietuva/daugiausia-lietuvoje-uzdirbanciu-zaideju-top-15-a-gudaicio-alga-ir-brangiausio-legionieriaus-kaina-875-538401" TargetMode="External"/><Relationship Id="rId254" Type="http://schemas.openxmlformats.org/officeDocument/2006/relationships/hyperlink" Target="https://www.15min.lt/24sek/naujiena/lietuva/daugiausiai-lietuvoje-uzdirbanciu-zaideju-top-15-desertas-pirmasis-brangiausiuju-penketas-875-696319" TargetMode="External"/><Relationship Id="rId293" Type="http://schemas.openxmlformats.org/officeDocument/2006/relationships/hyperlink" Target="https://www.15min.lt/24sek/naujiena/lietuva/daugiausiai-lietuvoje-uzdirbanciu-zaideju-top-15-lietuvos-ryto-dziaugsmas-ir-zalgirio-viltis-875-695937" TargetMode="External"/><Relationship Id="rId292" Type="http://schemas.openxmlformats.org/officeDocument/2006/relationships/hyperlink" Target="https://rc.krepsinis.net/naujiena/brangiausiu-lkl-zaideju-top-16-1-5-pozicijos/266539" TargetMode="External"/><Relationship Id="rId291" Type="http://schemas.openxmlformats.org/officeDocument/2006/relationships/hyperlink" Target="https://www.krepsinis.net/naujiena/brangiausiu-lkl-zaideju-top-20-20-11-pozicijos/278738" TargetMode="External"/><Relationship Id="rId290" Type="http://schemas.openxmlformats.org/officeDocument/2006/relationships/hyperlink" Target="https://www.15min.lt/24sek/naujiena/lietuva/daugiausiai-lietuvoje-uzdirbanciu-zaideju-top-15-desertas-pirmasis-brangiausiuju-penketas-875-696319" TargetMode="External"/><Relationship Id="rId286" Type="http://schemas.openxmlformats.org/officeDocument/2006/relationships/hyperlink" Target="https://www.krepsinis.net/naujiena/brangiausiu-lkl-zaideju-top-16-16-12-pozicijos/266483" TargetMode="External"/><Relationship Id="rId285" Type="http://schemas.openxmlformats.org/officeDocument/2006/relationships/hyperlink" Target="https://www.15min.lt/24sek/naujiena/lietuva/daugiausiai-lietuvoje-uzdirbanciu-krepsininku-top-15-nauji-veidai-ir-r-javtoko-pokytis-875-695483" TargetMode="External"/><Relationship Id="rId284" Type="http://schemas.openxmlformats.org/officeDocument/2006/relationships/hyperlink" Target="https://www.krepsinis.net/naujiena/brangiausiu-lkl-zaideju-top-16-16-12-pozicijos/266483" TargetMode="External"/><Relationship Id="rId283" Type="http://schemas.openxmlformats.org/officeDocument/2006/relationships/hyperlink" Target="https://www.krepsinis.net/naujiena/brangiausiu-lkl-zaideju-top-20-20-11-pozicijos/278738" TargetMode="External"/><Relationship Id="rId289" Type="http://schemas.openxmlformats.org/officeDocument/2006/relationships/hyperlink" Target="https://rc.krepsinis.net/naujiena/brangiausiu-lkl-zaideju-top-16-1-5-pozicijos/266539" TargetMode="External"/><Relationship Id="rId288" Type="http://schemas.openxmlformats.org/officeDocument/2006/relationships/hyperlink" Target="https://www.krepsinis.net/naujiena/brangiausiu-lkl-zaideju-top-16-16-12-pozicijos/266483" TargetMode="External"/><Relationship Id="rId287" Type="http://schemas.openxmlformats.org/officeDocument/2006/relationships/hyperlink" Target="https://www.15min.lt/24sek/naujiena/lietuva/daugiausia-lietuvoje-uzdirbanciu-zaideju-top-15-desertas-penki-brangiausi-lietuviai-875-538606" TargetMode="External"/><Relationship Id="rId282" Type="http://schemas.openxmlformats.org/officeDocument/2006/relationships/hyperlink" Target="https://www.krepsinis.net/naujiena/brangiausiu-lkl-zaideju-top-16-16-12-pozicijos/266483" TargetMode="External"/><Relationship Id="rId281" Type="http://schemas.openxmlformats.org/officeDocument/2006/relationships/hyperlink" Target="https://www.15min.lt/24sek/naujiena/lietuva/daugiausiai-lietuvoje-uzdirbanciu-krepsininku-top-15-nauji-veidai-ir-r-javtoko-pokytis-875-695483" TargetMode="External"/><Relationship Id="rId280" Type="http://schemas.openxmlformats.org/officeDocument/2006/relationships/hyperlink" Target="https://www.krepsinis.net/naujiena/brangiausiu-lkl-zaideju-top-16-16-12-pozicijos/266483" TargetMode="External"/><Relationship Id="rId275" Type="http://schemas.openxmlformats.org/officeDocument/2006/relationships/hyperlink" Target="https://www.krepsinis.net/naujiena/brangiausiu-lkl-zaideju-top-16-6-11-pozicijos/266513" TargetMode="External"/><Relationship Id="rId274" Type="http://schemas.openxmlformats.org/officeDocument/2006/relationships/hyperlink" Target="https://www.15min.lt/24sek/naujiena/lietuva/daugiausiai-lietuvoje-uzdirbanciu-zaideju-top-15-lietuvos-ryto-dziaugsmas-ir-zalgirio-viltis-875-695937" TargetMode="External"/><Relationship Id="rId273" Type="http://schemas.openxmlformats.org/officeDocument/2006/relationships/hyperlink" Target="https://www.krepsinis.net/naujiena/brangiausiu-lkl-zaideju-top-16-6-11-pozicijos/266513" TargetMode="External"/><Relationship Id="rId272" Type="http://schemas.openxmlformats.org/officeDocument/2006/relationships/hyperlink" Target="https://www.15min.lt/24sek/naujiena/lietuva/daugiausia-lietuvoje-uzdirbanciu-zaideju-top-15-desertas-penki-brangiausi-lietuviai-875-538606" TargetMode="External"/><Relationship Id="rId279" Type="http://schemas.openxmlformats.org/officeDocument/2006/relationships/hyperlink" Target="https://www.krepsinis.net/naujiena/brangiausiu-lkl-zaideju-top-20-20-11-pozicijos/278738" TargetMode="External"/><Relationship Id="rId278" Type="http://schemas.openxmlformats.org/officeDocument/2006/relationships/hyperlink" Target="https://www.15min.lt/24sek/naujiena/lietuva/daugiausiai-lietuvoje-uzdirbanciu-zaideju-top-15-desertas-pirmasis-brangiausiuju-penketas-875-696319" TargetMode="External"/><Relationship Id="rId277" Type="http://schemas.openxmlformats.org/officeDocument/2006/relationships/hyperlink" Target="https://www.krepsinis.net/naujiena/brangiausiu-lkl-zaideju-top-16-6-11-pozicijos/266513" TargetMode="External"/><Relationship Id="rId276" Type="http://schemas.openxmlformats.org/officeDocument/2006/relationships/hyperlink" Target="https://www.15min.lt/24sek/naujiena/lietuva/daugiausiai-lietuvoje-uzdirbanciu-krepsininku-top-15-nauji-veidai-ir-r-javtoko-pokytis-875-695483" TargetMode="External"/><Relationship Id="rId1851" Type="http://schemas.openxmlformats.org/officeDocument/2006/relationships/hyperlink" Target="https://www.krepsinis.net/naujiena/desimt-daugiausiai-uzdirbanciu-eurolygos-treneriu/261586" TargetMode="External"/><Relationship Id="rId1852" Type="http://schemas.openxmlformats.org/officeDocument/2006/relationships/hyperlink" Target="https://www.krepsinis.net/naujiena/desimt-daugiausiai-uzdirbanciu-eurolygos-treneriu/261586" TargetMode="External"/><Relationship Id="rId1853" Type="http://schemas.openxmlformats.org/officeDocument/2006/relationships/hyperlink" Target="https://www.krepsinis.net/naujiena/desimt-daugiausiai-uzdirbanciu-eurolygos-treneriu/261586" TargetMode="External"/><Relationship Id="rId1854" Type="http://schemas.openxmlformats.org/officeDocument/2006/relationships/hyperlink" Target="https://www.krepsinis.net/naujiena/desimt-daugiausiai-uzdirbanciu-eurolygos-treneriu/261586" TargetMode="External"/><Relationship Id="rId1855" Type="http://schemas.openxmlformats.org/officeDocument/2006/relationships/hyperlink" Target="https://www.krepsinis.net/naujiena/desimt-daugiausiai-uzdirbanciu-eurolygos-treneriu/261586" TargetMode="External"/><Relationship Id="rId1856" Type="http://schemas.openxmlformats.org/officeDocument/2006/relationships/hyperlink" Target="https://x.com/Andrea__Calzoni/status/2070030381353513364" TargetMode="External"/><Relationship Id="rId1857" Type="http://schemas.openxmlformats.org/officeDocument/2006/relationships/hyperlink" Target="https://x.com/Andrea__Calzoni/status/2070036870583460145" TargetMode="External"/><Relationship Id="rId1858" Type="http://schemas.openxmlformats.org/officeDocument/2006/relationships/hyperlink" Target="https://zurnal.politika.rs/scc/clanak/239967/kosarka/partizan/mijailovic-nikad-vise-plata-preko-1-500-000-evra" TargetMode="External"/><Relationship Id="rId1859" Type="http://schemas.openxmlformats.org/officeDocument/2006/relationships/hyperlink" Target="https://x.com/HaiTanami/status/2069808722860229108" TargetMode="External"/><Relationship Id="rId1850" Type="http://schemas.openxmlformats.org/officeDocument/2006/relationships/hyperlink" Target="https://www.krepsinis.net/naujiena/desimt-daugiausiai-uzdirbanciu-eurolygos-treneriu/261586" TargetMode="External"/><Relationship Id="rId1840" Type="http://schemas.openxmlformats.org/officeDocument/2006/relationships/hyperlink" Target="https://www.espn.com.au/nbl/story/_/id/49150036/how-much-nbl-team-spent-2025-26" TargetMode="External"/><Relationship Id="rId1841" Type="http://schemas.openxmlformats.org/officeDocument/2006/relationships/hyperlink" Target="https://x.com/NBLPleb/status/1963837110193913975" TargetMode="External"/><Relationship Id="rId1842" Type="http://schemas.openxmlformats.org/officeDocument/2006/relationships/hyperlink" Target="https://x.com/NBLPleb/status/1948214766432035123" TargetMode="External"/><Relationship Id="rId1843" Type="http://schemas.openxmlformats.org/officeDocument/2006/relationships/hyperlink" Target="https://x.com/AlessandroMagg4/status/2067497125022175668" TargetMode="External"/><Relationship Id="rId1844" Type="http://schemas.openxmlformats.org/officeDocument/2006/relationships/hyperlink" Target="https://www.superbasket.eu/lba/61709/alex-mumbru-e-il-nuovo-allenatore-della-virtus-bologna" TargetMode="External"/><Relationship Id="rId1845" Type="http://schemas.openxmlformats.org/officeDocument/2006/relationships/hyperlink" Target="https://www.eurohoops.net/en/eurocup/1975801/vassilis-spanoulis-reaches-deal-with-aris-eurocup/" TargetMode="External"/><Relationship Id="rId1846" Type="http://schemas.openxmlformats.org/officeDocument/2006/relationships/hyperlink" Target="https://www.krepsinis.net/naujiena/desimt-daugiausiai-uzdirbanciu-eurolygos-treneriu/261586" TargetMode="External"/><Relationship Id="rId1847" Type="http://schemas.openxmlformats.org/officeDocument/2006/relationships/hyperlink" Target="https://sportbild.bild.de/sportmix/basketball/bayerns-obst-ist-top-verdiener-der-gehaltsreport-der-basketball-bundesliga-6a1fee13aa3fa782d1470161" TargetMode="External"/><Relationship Id="rId1848" Type="http://schemas.openxmlformats.org/officeDocument/2006/relationships/hyperlink" Target="https://www.krepsinis.net/naujiena/desimt-daugiausiai-uzdirbanciu-eurolygos-treneriu/261586" TargetMode="External"/><Relationship Id="rId1849" Type="http://schemas.openxmlformats.org/officeDocument/2006/relationships/hyperlink" Target="https://www.krepsinis.net/naujiena/desimt-daugiausiai-uzdirbanciu-eurolygos-treneriu/261586" TargetMode="External"/><Relationship Id="rId1873" Type="http://schemas.openxmlformats.org/officeDocument/2006/relationships/hyperlink" Target="https://www.sport24.gr/basket/paok-tinaxe-tin-banka-gia-ton-bazina-afto-einai-to-poso-pou-plirose-o-mistakidis/" TargetMode="External"/><Relationship Id="rId1874" Type="http://schemas.openxmlformats.org/officeDocument/2006/relationships/hyperlink" Target="https://www.news247.gr/athlitika/o-karagiannidis-ston-olimpiako-apo-ta-1-500-evro-tou-promithea-sto-deal-ton-16-ekatommirion-evro/" TargetMode="External"/><Relationship Id="rId1875" Type="http://schemas.openxmlformats.org/officeDocument/2006/relationships/hyperlink" Target="https://www.news247.gr/athlitika/o-karagiannidis-ston-olimpiako-apo-ta-1-500-evro-tou-promithea-sto-deal-ton-16-ekatommirion-evro/" TargetMode="External"/><Relationship Id="rId1876" Type="http://schemas.openxmlformats.org/officeDocument/2006/relationships/hyperlink" Target="https://www.news247.gr/athlitika/o-karagiannidis-ston-olimpiako-apo-ta-1-500-evro-tou-promithea-sto-deal-ton-16-ekatommirion-evro/" TargetMode="External"/><Relationship Id="rId1877" Type="http://schemas.openxmlformats.org/officeDocument/2006/relationships/hyperlink" Target="https://sportbild.bild.de/sportmix/basketball/bayerns-obst-ist-top-verdiener-der-gehaltsreport-der-basketball-bundesliga-6a1fee13aa3fa782d1470161" TargetMode="External"/><Relationship Id="rId1878" Type="http://schemas.openxmlformats.org/officeDocument/2006/relationships/hyperlink" Target="https://sportbild.bild.de/sportmix/basketball/bayerns-obst-ist-top-verdiener-der-gehaltsreport-der-basketball-bundesliga-6a1fee13aa3fa782d1470161" TargetMode="External"/><Relationship Id="rId1879" Type="http://schemas.openxmlformats.org/officeDocument/2006/relationships/hyperlink" Target="https://sportbild.bild.de/sportmix/basketball/bayerns-obst-ist-top-verdiener-der-gehaltsreport-der-basketball-bundesliga-6a1fee13aa3fa782d1470161" TargetMode="External"/><Relationship Id="rId1870" Type="http://schemas.openxmlformats.org/officeDocument/2006/relationships/hyperlink" Target="https://www.israelhayom.co.il/sport/israeli-basketball/article/21183340" TargetMode="External"/><Relationship Id="rId1871" Type="http://schemas.openxmlformats.org/officeDocument/2006/relationships/hyperlink" Target="https://www.sport5.co.il/articles.aspx?FolderID=274&amp;docID=420077" TargetMode="External"/><Relationship Id="rId1872" Type="http://schemas.openxmlformats.org/officeDocument/2006/relationships/hyperlink" Target="https://x.com/Andrea__Calzoni/status/2070073180136345689" TargetMode="External"/><Relationship Id="rId1862" Type="http://schemas.openxmlformats.org/officeDocument/2006/relationships/hyperlink" Target="https://x.com/HaiTanami/status/2069808722860229108" TargetMode="External"/><Relationship Id="rId1863" Type="http://schemas.openxmlformats.org/officeDocument/2006/relationships/hyperlink" Target="https://www.sport5.co.il/articles.aspx?FolderID=274&amp;docID=487862" TargetMode="External"/><Relationship Id="rId1864" Type="http://schemas.openxmlformats.org/officeDocument/2006/relationships/hyperlink" Target="https://sports.walla.co.il/item/3701722" TargetMode="External"/><Relationship Id="rId1865" Type="http://schemas.openxmlformats.org/officeDocument/2006/relationships/hyperlink" Target="https://x.com/Orshkedy/status/2062532744006029611" TargetMode="External"/><Relationship Id="rId1866" Type="http://schemas.openxmlformats.org/officeDocument/2006/relationships/hyperlink" Target="https://www.athletiko.gr/ayto-einai-to-chryso-deal-toy-paok-me-ton-markoys-foster-81481" TargetMode="External"/><Relationship Id="rId1867" Type="http://schemas.openxmlformats.org/officeDocument/2006/relationships/hyperlink" Target="https://www.sport5.co.il/articles.aspx?FolderID=274&amp;docID=350236" TargetMode="External"/><Relationship Id="rId1868" Type="http://schemas.openxmlformats.org/officeDocument/2006/relationships/hyperlink" Target="https://www.sport5.co.il/articles.aspx?FolderID=274&amp;docID=540745" TargetMode="External"/><Relationship Id="rId1869" Type="http://schemas.openxmlformats.org/officeDocument/2006/relationships/hyperlink" Target="https://www.israelhayom.co.il/sport/israeli-basketball/article/20359511" TargetMode="External"/><Relationship Id="rId1860" Type="http://schemas.openxmlformats.org/officeDocument/2006/relationships/hyperlink" Target="https://www.sport5.co.il/articles.aspx?FolderID=274&amp;docID=535230" TargetMode="External"/><Relationship Id="rId1861" Type="http://schemas.openxmlformats.org/officeDocument/2006/relationships/hyperlink" Target="https://basketnews.com/news-241633-former-maccabi-guard-on-the-verge-of-signing-with-hapoel-tel-aviv.html" TargetMode="External"/><Relationship Id="rId1810" Type="http://schemas.openxmlformats.org/officeDocument/2006/relationships/hyperlink" Target="https://www.15min.lt/24sek/naujiena/eurolyga/daugiausia-uzdirbanciu-eurolygos-krepsininku-top-50-be-lietuviu-1362-529764" TargetMode="External"/><Relationship Id="rId1811" Type="http://schemas.openxmlformats.org/officeDocument/2006/relationships/hyperlink" Target="https://www.sport5.co.il/articles.aspx?FolderID=274&amp;docID=104461" TargetMode="External"/><Relationship Id="rId1812" Type="http://schemas.openxmlformats.org/officeDocument/2006/relationships/hyperlink" Target="https://sportbild.bild.de/sportmix/basketball/bayerns-obst-ist-top-verdiener-der-gehaltsreport-der-basketball-bundesliga-6a1fee13aa3fa782d1470161" TargetMode="External"/><Relationship Id="rId1813" Type="http://schemas.openxmlformats.org/officeDocument/2006/relationships/hyperlink" Target="https://www.15min.lt/24sek/naujiena/eurolyga/daugiausia-uzdirbanciu-eurolygos-krepsininku-top-50-be-lietuviu-1362-529764" TargetMode="External"/><Relationship Id="rId1814" Type="http://schemas.openxmlformats.org/officeDocument/2006/relationships/hyperlink" Target="https://www.15min.lt/24sek/naujiena/eurolyga/daugiausia-uzdirbanciu-eurolygos-krepsininku-top-50-be-lietuviu-1362-529764" TargetMode="External"/><Relationship Id="rId1815" Type="http://schemas.openxmlformats.org/officeDocument/2006/relationships/hyperlink" Target="https://www.15min.lt/24sek/naujiena/eurolyga/daugiausia-uzdirbanciu-eurolygos-krepsininku-top-50-be-lietuviu-1362-529764" TargetMode="External"/><Relationship Id="rId1816" Type="http://schemas.openxmlformats.org/officeDocument/2006/relationships/hyperlink" Target="https://www.15min.lt/24sek/naujiena/eurolyga/daugiausia-uzdirbanciu-eurolygos-krepsininku-top-50-be-lietuviu-1362-529764" TargetMode="External"/><Relationship Id="rId1817" Type="http://schemas.openxmlformats.org/officeDocument/2006/relationships/hyperlink" Target="https://www.15min.lt/24sek/naujiena/eurolyga/daugiausia-uzdirbanciu-eurolygos-krepsininku-top-50-be-lietuviu-1362-529764" TargetMode="External"/><Relationship Id="rId1818" Type="http://schemas.openxmlformats.org/officeDocument/2006/relationships/hyperlink" Target="https://www.15min.lt/24sek/naujiena/eurolyga/daugiausia-uzdirbanciu-eurolygos-krepsininku-top-50-be-lietuviu-1362-529764" TargetMode="External"/><Relationship Id="rId1819" Type="http://schemas.openxmlformats.org/officeDocument/2006/relationships/hyperlink" Target="https://www.15min.lt/24sek/naujiena/eurolyga/daugiausia-uzdirbanciu-eurolygos-krepsininku-top-50-be-lietuviu-1362-529764" TargetMode="External"/><Relationship Id="rId1800" Type="http://schemas.openxmlformats.org/officeDocument/2006/relationships/hyperlink" Target="https://www.15min.lt/24sek/naujiena/eurolyga/daugiausia-uzdirbanciu-eurolygos-krepsininku-top-50-be-lietuviu-1362-529764" TargetMode="External"/><Relationship Id="rId1801" Type="http://schemas.openxmlformats.org/officeDocument/2006/relationships/hyperlink" Target="https://www.15min.lt/24sek/naujiena/eurolyga/daugiausia-uzdirbanciu-eurolygos-krepsininku-top-50-be-lietuviu-1362-529764" TargetMode="External"/><Relationship Id="rId1802" Type="http://schemas.openxmlformats.org/officeDocument/2006/relationships/hyperlink" Target="https://www.15min.lt/24sek/naujiena/eurolyga/daugiausia-uzdirbanciu-eurolygos-krepsininku-top-50-be-lietuviu-1362-529764" TargetMode="External"/><Relationship Id="rId1803" Type="http://schemas.openxmlformats.org/officeDocument/2006/relationships/hyperlink" Target="https://www.15min.lt/24sek/naujiena/eurolyga/daugiausia-uzdirbanciu-eurolygos-krepsininku-top-50-be-lietuviu-1362-529764" TargetMode="External"/><Relationship Id="rId1804" Type="http://schemas.openxmlformats.org/officeDocument/2006/relationships/hyperlink" Target="https://www.15min.lt/24sek/naujiena/eurolyga/daugiausia-uzdirbanciu-eurolygos-krepsininku-top-50-be-lietuviu-1362-529764" TargetMode="External"/><Relationship Id="rId1805" Type="http://schemas.openxmlformats.org/officeDocument/2006/relationships/hyperlink" Target="https://www.15min.lt/24sek/naujiena/eurolyga/daugiausia-uzdirbanciu-eurolygos-krepsininku-top-50-be-lietuviu-1362-529764" TargetMode="External"/><Relationship Id="rId1806" Type="http://schemas.openxmlformats.org/officeDocument/2006/relationships/hyperlink" Target="https://www.15min.lt/24sek/naujiena/eurolyga/daugiausia-uzdirbanciu-eurolygos-krepsininku-top-50-be-lietuviu-1362-529764" TargetMode="External"/><Relationship Id="rId1807" Type="http://schemas.openxmlformats.org/officeDocument/2006/relationships/hyperlink" Target="https://www.15min.lt/24sek/naujiena/eurolyga/daugiausia-uzdirbanciu-eurolygos-krepsininku-top-50-be-lietuviu-1362-529764" TargetMode="External"/><Relationship Id="rId1808" Type="http://schemas.openxmlformats.org/officeDocument/2006/relationships/hyperlink" Target="https://www.15min.lt/24sek/naujiena/eurolyga/daugiausia-uzdirbanciu-eurolygos-krepsininku-top-50-be-lietuviu-1362-529764" TargetMode="External"/><Relationship Id="rId1809" Type="http://schemas.openxmlformats.org/officeDocument/2006/relationships/hyperlink" Target="https://www.15min.lt/24sek/naujiena/eurolyga/daugiausia-uzdirbanciu-eurolygos-krepsininku-top-50-be-lietuviu-1362-529764" TargetMode="External"/><Relationship Id="rId1830" Type="http://schemas.openxmlformats.org/officeDocument/2006/relationships/hyperlink" Target="https://www.15min.lt/24sek/naujiena/eurolyga/daugiausia-uzdirbanciu-eurolygos-krepsininku-top-50-be-lietuviu-1362-529764" TargetMode="External"/><Relationship Id="rId1831" Type="http://schemas.openxmlformats.org/officeDocument/2006/relationships/hyperlink" Target="https://www.15min.lt/24sek/naujiena/eurolyga/daugiausia-uzdirbanciu-eurolygos-krepsininku-top-50-be-lietuviu-1362-529764" TargetMode="External"/><Relationship Id="rId1832" Type="http://schemas.openxmlformats.org/officeDocument/2006/relationships/hyperlink" Target="https://www.15min.lt/24sek/naujiena/eurolyga/daugiausia-uzdirbanciu-eurolygos-krepsininku-top-50-be-lietuviu-1362-529764" TargetMode="External"/><Relationship Id="rId1833" Type="http://schemas.openxmlformats.org/officeDocument/2006/relationships/hyperlink" Target="https://www.15min.lt/24sek/naujiena/eurolyga/daugiausia-uzdirbanciu-eurolygos-krepsininku-top-50-be-lietuviu-1362-529764" TargetMode="External"/><Relationship Id="rId1834" Type="http://schemas.openxmlformats.org/officeDocument/2006/relationships/hyperlink" Target="https://www.15min.lt/24sek/naujiena/eurolyga/daugiausia-uzdirbanciu-eurolygos-krepsininku-top-50-be-lietuviu-1362-529764" TargetMode="External"/><Relationship Id="rId1835" Type="http://schemas.openxmlformats.org/officeDocument/2006/relationships/hyperlink" Target="https://www.eurohoops.net/en/euroleague/1989113/panathinaikos-signing-guerschon-yabusele-to-a-three-year-deal/" TargetMode="External"/><Relationship Id="rId1836" Type="http://schemas.openxmlformats.org/officeDocument/2006/relationships/hyperlink" Target="https://basketnews.com/news-251632-guerschon-yabusele-salary-at-panathinaikos-revealed-as-move-becomes-official.html" TargetMode="External"/><Relationship Id="rId1837" Type="http://schemas.openxmlformats.org/officeDocument/2006/relationships/hyperlink" Target="https://sports.walla.co.il/item/3848287?Source=Generalshare&amp;Medium=sharebuttonapp&amp;Content=feed&amp;Campaign=socialbutton" TargetMode="External"/><Relationship Id="rId1838" Type="http://schemas.openxmlformats.org/officeDocument/2006/relationships/hyperlink" Target="https://www.espn.com.au/nbl/story/_/id/49150036/how-much-nbl-team-spent-2025-26" TargetMode="External"/><Relationship Id="rId1839" Type="http://schemas.openxmlformats.org/officeDocument/2006/relationships/hyperlink" Target="https://www.espn.com.au/nbl/story/_/id/49150036/how-much-nbl-team-spent-2025-26" TargetMode="External"/><Relationship Id="rId1820" Type="http://schemas.openxmlformats.org/officeDocument/2006/relationships/hyperlink" Target="https://www.15min.lt/24sek/naujiena/eurolyga/daugiausia-uzdirbanciu-eurolygos-krepsininku-top-50-be-lietuviu-1362-529764" TargetMode="External"/><Relationship Id="rId1821" Type="http://schemas.openxmlformats.org/officeDocument/2006/relationships/hyperlink" Target="https://www.15min.lt/24sek/naujiena/eurolyga/daugiausia-uzdirbanciu-eurolygos-krepsininku-top-50-be-lietuviu-1362-529764" TargetMode="External"/><Relationship Id="rId1822" Type="http://schemas.openxmlformats.org/officeDocument/2006/relationships/hyperlink" Target="https://www.15min.lt/24sek/naujiena/eurolyga/daugiausia-uzdirbanciu-eurolygos-krepsininku-top-50-be-lietuviu-1362-529764" TargetMode="External"/><Relationship Id="rId1823" Type="http://schemas.openxmlformats.org/officeDocument/2006/relationships/hyperlink" Target="https://www.15min.lt/24sek/naujiena/eurolyga/daugiausia-uzdirbanciu-eurolygos-krepsininku-top-50-be-lietuviu-1362-529764" TargetMode="External"/><Relationship Id="rId1824" Type="http://schemas.openxmlformats.org/officeDocument/2006/relationships/hyperlink" Target="https://www.15min.lt/24sek/naujiena/eurolyga/daugiausia-uzdirbanciu-eurolygos-krepsininku-top-50-be-lietuviu-1362-529764" TargetMode="External"/><Relationship Id="rId1825" Type="http://schemas.openxmlformats.org/officeDocument/2006/relationships/hyperlink" Target="https://www.15min.lt/24sek/naujiena/eurolyga/daugiausia-uzdirbanciu-eurolygos-krepsininku-top-50-be-lietuviu-1362-529764" TargetMode="External"/><Relationship Id="rId1826" Type="http://schemas.openxmlformats.org/officeDocument/2006/relationships/hyperlink" Target="https://www.15min.lt/24sek/naujiena/eurolyga/daugiausia-uzdirbanciu-eurolygos-krepsininku-top-50-be-lietuviu-1362-529764" TargetMode="External"/><Relationship Id="rId1827" Type="http://schemas.openxmlformats.org/officeDocument/2006/relationships/hyperlink" Target="https://www.15min.lt/24sek/naujiena/eurolyga/daugiausia-uzdirbanciu-eurolygos-krepsininku-top-50-be-lietuviu-1362-529764" TargetMode="External"/><Relationship Id="rId1828" Type="http://schemas.openxmlformats.org/officeDocument/2006/relationships/hyperlink" Target="https://www.15min.lt/24sek/naujiena/eurolyga/daugiausia-uzdirbanciu-eurolygos-krepsininku-top-50-be-lietuviu-1362-529764" TargetMode="External"/><Relationship Id="rId1829" Type="http://schemas.openxmlformats.org/officeDocument/2006/relationships/hyperlink" Target="https://www.15min.lt/24sek/naujiena/eurolyga/daugiausia-uzdirbanciu-eurolygos-krepsininku-top-50-be-lietuviu-1362-529764" TargetMode="External"/><Relationship Id="rId1455" Type="http://schemas.openxmlformats.org/officeDocument/2006/relationships/hyperlink" Target="https://realolimpiamilano.com/2026/08/26/top-10-stipendi-olimpia-milano-era-ettore-messina/6/" TargetMode="External"/><Relationship Id="rId2302" Type="http://schemas.openxmlformats.org/officeDocument/2006/relationships/hyperlink" Target="https://www.sport5.co.il/articles.aspx?FolderID=274&amp;docID=560480" TargetMode="External"/><Relationship Id="rId1456" Type="http://schemas.openxmlformats.org/officeDocument/2006/relationships/hyperlink" Target="https://www.eurohoops.net/en/trademarks/909850/the-top-10-euroleague-salaries-of-2019-20/9/" TargetMode="External"/><Relationship Id="rId2303" Type="http://schemas.openxmlformats.org/officeDocument/2006/relationships/hyperlink" Target="https://www.athletiko.gr/oi-leptomereies-tis-symfonias-toy-paok-me-ton-motiegioynas-106018" TargetMode="External"/><Relationship Id="rId1457" Type="http://schemas.openxmlformats.org/officeDocument/2006/relationships/hyperlink" Target="https://www.elespanol.com/elbernabeu/real-madrid/baloncesto/20190717/mentira-barca-jugadores-plantilla-real-madrid-baloncesto/414459643_0.html" TargetMode="External"/><Relationship Id="rId2304" Type="http://schemas.openxmlformats.org/officeDocument/2006/relationships/hyperlink" Target="https://www.gazzetta.gr/basketball/basket-league/2556627/astronaytis-me-mistho-logisti" TargetMode="External"/><Relationship Id="rId1458" Type="http://schemas.openxmlformats.org/officeDocument/2006/relationships/hyperlink" Target="https://www.eurohoops.net/en/trademarks/909850/the-top-10-euroleague-salaries-of-2019-20/9/" TargetMode="External"/><Relationship Id="rId2305" Type="http://schemas.openxmlformats.org/officeDocument/2006/relationships/drawing" Target="../drawings/drawing5.xml"/><Relationship Id="rId1459" Type="http://schemas.openxmlformats.org/officeDocument/2006/relationships/hyperlink" Target="https://www.eurohoops.net/en/trademarks/909850/the-top-10-euroleague-salaries-of-2019-20/9/" TargetMode="External"/><Relationship Id="rId2306" Type="http://schemas.openxmlformats.org/officeDocument/2006/relationships/vmlDrawing" Target="../drawings/vmlDrawing1.vml"/><Relationship Id="rId629" Type="http://schemas.openxmlformats.org/officeDocument/2006/relationships/hyperlink" Target="https://www.sport5.co.il/articles.aspx?FolderID=405&amp;docID=486728" TargetMode="External"/><Relationship Id="rId624" Type="http://schemas.openxmlformats.org/officeDocument/2006/relationships/hyperlink" Target="https://www.bizportal.co.il/sport/news/article/818973" TargetMode="External"/><Relationship Id="rId623" Type="http://schemas.openxmlformats.org/officeDocument/2006/relationships/hyperlink" Target="https://www.sport5.co.il/articles.aspx?FolderID=405&amp;docID=486728" TargetMode="External"/><Relationship Id="rId622" Type="http://schemas.openxmlformats.org/officeDocument/2006/relationships/hyperlink" Target="https://www.israelhayom.co.il/sport/israeli-basketball/article/14449656" TargetMode="External"/><Relationship Id="rId621" Type="http://schemas.openxmlformats.org/officeDocument/2006/relationships/hyperlink" Target="https://www.bizportal.co.il/sport/news/article/818973" TargetMode="External"/><Relationship Id="rId628" Type="http://schemas.openxmlformats.org/officeDocument/2006/relationships/hyperlink" Target="https://www.israelhayom.co.il/sport/israeli-basketball/article/14449656" TargetMode="External"/><Relationship Id="rId627" Type="http://schemas.openxmlformats.org/officeDocument/2006/relationships/hyperlink" Target="https://www.bizportal.co.il/sport/news/article/818973" TargetMode="External"/><Relationship Id="rId626" Type="http://schemas.openxmlformats.org/officeDocument/2006/relationships/hyperlink" Target="https://www.sport5.co.il/articles.aspx?FolderID=405&amp;docID=486728" TargetMode="External"/><Relationship Id="rId625" Type="http://schemas.openxmlformats.org/officeDocument/2006/relationships/hyperlink" Target="https://www.israelhayom.co.il/sport/israeli-basketball/article/14449656" TargetMode="External"/><Relationship Id="rId1450" Type="http://schemas.openxmlformats.org/officeDocument/2006/relationships/hyperlink" Target="https://www.eurohoops.net/en/trademarks/909850/the-top-10-euroleague-salaries-of-2019-20/9/" TargetMode="External"/><Relationship Id="rId620" Type="http://schemas.openxmlformats.org/officeDocument/2006/relationships/hyperlink" Target="https://www.bizportal.co.il/sport/news/article/818973" TargetMode="External"/><Relationship Id="rId1451" Type="http://schemas.openxmlformats.org/officeDocument/2006/relationships/hyperlink" Target="https://www.eurohoops.net/en/trademarks/909850/the-top-10-euroleague-salaries-of-2019-20/9/" TargetMode="External"/><Relationship Id="rId1452" Type="http://schemas.openxmlformats.org/officeDocument/2006/relationships/hyperlink" Target="https://www.eurohoops.net/en/trademarks/1092125/the-top10-euroleague-salaries-of-2020-21/8/" TargetMode="External"/><Relationship Id="rId1453" Type="http://schemas.openxmlformats.org/officeDocument/2006/relationships/hyperlink" Target="https://www.eurohoops.net/en/trademarks/909850/the-top-10-euroleague-salaries-of-2019-20/9/" TargetMode="External"/><Relationship Id="rId2300" Type="http://schemas.openxmlformats.org/officeDocument/2006/relationships/hyperlink" Target="https://www.athletiko.gr/ayto-einai-to-deal-tis-aek-me-ton-toma-ertel-102548" TargetMode="External"/><Relationship Id="rId1454" Type="http://schemas.openxmlformats.org/officeDocument/2006/relationships/hyperlink" Target="https://www.eurohoops.net/en/trademarks/1092125/the-top10-euroleague-salaries-of-2020-21/11/" TargetMode="External"/><Relationship Id="rId2301" Type="http://schemas.openxmlformats.org/officeDocument/2006/relationships/hyperlink" Target="https://www.gazzetta.gr/basketball/basket-league/2570262/aek-ayto-einai-symbolaio-toy-ertel" TargetMode="External"/><Relationship Id="rId1444" Type="http://schemas.openxmlformats.org/officeDocument/2006/relationships/hyperlink" Target="https://www.eurohoops.net/en/trademarks/909850/the-top-10-euroleague-salaries-of-2019-20/3/" TargetMode="External"/><Relationship Id="rId1445" Type="http://schemas.openxmlformats.org/officeDocument/2006/relationships/hyperlink" Target="https://www.eurohoops.net/en/trademarks/909850/the-top-10-euroleague-salaries-of-2019-20/3/" TargetMode="External"/><Relationship Id="rId1446" Type="http://schemas.openxmlformats.org/officeDocument/2006/relationships/hyperlink" Target="https://www.eurohoops.net/en/trademarks/1092125/the-top10-euroleague-salaries-of-2020-21/9/" TargetMode="External"/><Relationship Id="rId1447" Type="http://schemas.openxmlformats.org/officeDocument/2006/relationships/hyperlink" Target="https://www.eurohoops.net/en/trademarks/909850/the-top-10-euroleague-salaries-of-2019-20/9/" TargetMode="External"/><Relationship Id="rId1448" Type="http://schemas.openxmlformats.org/officeDocument/2006/relationships/hyperlink" Target="https://www.eurohoops.net/en/trademarks/909850/the-top-10-euroleague-salaries-of-2019-20/9/" TargetMode="External"/><Relationship Id="rId1449" Type="http://schemas.openxmlformats.org/officeDocument/2006/relationships/hyperlink" Target="https://www.eurohoops.net/en/trademarks/909850/the-top-10-euroleague-salaries-of-2019-20/9/" TargetMode="External"/><Relationship Id="rId619" Type="http://schemas.openxmlformats.org/officeDocument/2006/relationships/hyperlink" Target="https://www.bizportal.co.il/sport/news/article/818973" TargetMode="External"/><Relationship Id="rId618" Type="http://schemas.openxmlformats.org/officeDocument/2006/relationships/hyperlink" Target="https://www.bizportal.co.il/sport/news/article/818973" TargetMode="External"/><Relationship Id="rId613" Type="http://schemas.openxmlformats.org/officeDocument/2006/relationships/hyperlink" Target="https://www.israelhayom.co.il/sport/israeli-basketball/article/12826822" TargetMode="External"/><Relationship Id="rId612" Type="http://schemas.openxmlformats.org/officeDocument/2006/relationships/hyperlink" Target="https://www.israelhayom.co.il/sport/israeli-basketball/article/12826822" TargetMode="External"/><Relationship Id="rId611" Type="http://schemas.openxmlformats.org/officeDocument/2006/relationships/hyperlink" Target="https://www.israelhayom.co.il/sport/israeli-basketball/article/12826822" TargetMode="External"/><Relationship Id="rId610" Type="http://schemas.openxmlformats.org/officeDocument/2006/relationships/hyperlink" Target="https://www.israelhayom.co.il/sport/israeli-basketball/article/12826822" TargetMode="External"/><Relationship Id="rId617" Type="http://schemas.openxmlformats.org/officeDocument/2006/relationships/hyperlink" Target="https://www.bizportal.co.il/sport/news/article/818973" TargetMode="External"/><Relationship Id="rId616" Type="http://schemas.openxmlformats.org/officeDocument/2006/relationships/hyperlink" Target="https://www.bizportal.co.il/sport/news/article/818973" TargetMode="External"/><Relationship Id="rId615" Type="http://schemas.openxmlformats.org/officeDocument/2006/relationships/hyperlink" Target="https://www.israelhayom.co.il/sport/israeli-basketball/article/12826822" TargetMode="External"/><Relationship Id="rId614" Type="http://schemas.openxmlformats.org/officeDocument/2006/relationships/hyperlink" Target="https://www.israelhayom.co.il/sport/israeli-basketball/article/12826822" TargetMode="External"/><Relationship Id="rId1440" Type="http://schemas.openxmlformats.org/officeDocument/2006/relationships/hyperlink" Target="https://x.com/chemadelucas/status/1795063820290789768" TargetMode="External"/><Relationship Id="rId1441" Type="http://schemas.openxmlformats.org/officeDocument/2006/relationships/hyperlink" Target="https://x.com/chemadelucas/status/1415738981120106497" TargetMode="External"/><Relationship Id="rId1442" Type="http://schemas.openxmlformats.org/officeDocument/2006/relationships/hyperlink" Target="https://x.com/Eurohoopsnet/status/356731692385435648" TargetMode="External"/><Relationship Id="rId1443" Type="http://schemas.openxmlformats.org/officeDocument/2006/relationships/hyperlink" Target="https://assets.fiba.basketball/image/upload/v1726052813/Corporate%20Images/HQ%20Departments/Legal/BAT%20Awards/1655-21.pdf" TargetMode="External"/><Relationship Id="rId1477" Type="http://schemas.openxmlformats.org/officeDocument/2006/relationships/hyperlink" Target="https://www.eurohoops.net/en/trademarks/1092125/the-top10-euroleague-salaries-of-2020-21/6/" TargetMode="External"/><Relationship Id="rId1478" Type="http://schemas.openxmlformats.org/officeDocument/2006/relationships/hyperlink" Target="https://www.eurohoops.net/en/trademarks/1092125/the-top10-euroleague-salaries-of-2020-21/2/" TargetMode="External"/><Relationship Id="rId1479" Type="http://schemas.openxmlformats.org/officeDocument/2006/relationships/hyperlink" Target="https://www.eurohoops.net/en/trademarks/1092125/the-top10-euroleague-salaries-of-2020-21/6/" TargetMode="External"/><Relationship Id="rId646" Type="http://schemas.openxmlformats.org/officeDocument/2006/relationships/hyperlink" Target="https://www.bizportal.co.il/sport/news/article/827028" TargetMode="External"/><Relationship Id="rId645" Type="http://schemas.openxmlformats.org/officeDocument/2006/relationships/hyperlink" Target="https://www.sport5.co.il/articles.aspx?FolderID=405&amp;docID=486728" TargetMode="External"/><Relationship Id="rId644" Type="http://schemas.openxmlformats.org/officeDocument/2006/relationships/hyperlink" Target="https://www.israelhayom.co.il/sport/israeli-basketball/article/14449656" TargetMode="External"/><Relationship Id="rId643" Type="http://schemas.openxmlformats.org/officeDocument/2006/relationships/hyperlink" Target="https://www.bizportal.co.il/sport/news/article/827028" TargetMode="External"/><Relationship Id="rId649" Type="http://schemas.openxmlformats.org/officeDocument/2006/relationships/hyperlink" Target="https://www.israelhayom.co.il/sport/israeli-basketball/article/14449656" TargetMode="External"/><Relationship Id="rId648" Type="http://schemas.openxmlformats.org/officeDocument/2006/relationships/hyperlink" Target="https://www.bizportal.co.il/sport/news/article/827028" TargetMode="External"/><Relationship Id="rId647" Type="http://schemas.openxmlformats.org/officeDocument/2006/relationships/hyperlink" Target="https://www.israelhayom.co.il/sport/israeli-basketball/article/14449656" TargetMode="External"/><Relationship Id="rId1470" Type="http://schemas.openxmlformats.org/officeDocument/2006/relationships/hyperlink" Target="https://defensacentral.com/baloncesto/carroll-seguira-en-el-real-madrid-con-uno-de-los-salarios-mas-bajos_218200_102.html" TargetMode="External"/><Relationship Id="rId1471" Type="http://schemas.openxmlformats.org/officeDocument/2006/relationships/hyperlink" Target="https://defensacentral.com/baloncesto/carroll-seguira-en-el-real-madrid-con-uno-de-los-salarios-mas-bajos_218200_102.html" TargetMode="External"/><Relationship Id="rId1472" Type="http://schemas.openxmlformats.org/officeDocument/2006/relationships/hyperlink" Target="https://defensacentral.com/baloncesto/carroll-seguira-en-el-real-madrid-con-uno-de-los-salarios-mas-bajos_218200_102.html" TargetMode="External"/><Relationship Id="rId642" Type="http://schemas.openxmlformats.org/officeDocument/2006/relationships/hyperlink" Target="https://www.israelhayom.co.il/sport/israeli-basketball/article/14449656" TargetMode="External"/><Relationship Id="rId1473" Type="http://schemas.openxmlformats.org/officeDocument/2006/relationships/hyperlink" Target="https://defensacentral.com/baloncesto/carroll-seguira-en-el-real-madrid-con-uno-de-los-salarios-mas-bajos_218200_102.html" TargetMode="External"/><Relationship Id="rId641" Type="http://schemas.openxmlformats.org/officeDocument/2006/relationships/hyperlink" Target="https://www.bizportal.co.il/sport/news/article/818973" TargetMode="External"/><Relationship Id="rId1474" Type="http://schemas.openxmlformats.org/officeDocument/2006/relationships/hyperlink" Target="https://defensacentral.com/baloncesto/carroll-seguira-en-el-real-madrid-con-uno-de-los-salarios-mas-bajos_218200_102.html" TargetMode="External"/><Relationship Id="rId640" Type="http://schemas.openxmlformats.org/officeDocument/2006/relationships/hyperlink" Target="https://www.israelhayom.co.il/sport/israeli-basketball/article/21008495" TargetMode="External"/><Relationship Id="rId1475" Type="http://schemas.openxmlformats.org/officeDocument/2006/relationships/hyperlink" Target="https://defensacentral.com/baloncesto/carroll-seguira-en-el-real-madrid-con-uno-de-los-salarios-mas-bajos_218200_102.html" TargetMode="External"/><Relationship Id="rId1476" Type="http://schemas.openxmlformats.org/officeDocument/2006/relationships/hyperlink" Target="https://www.eurohoops.net/en/trademarks/1092125/the-top10-euroleague-salaries-of-2020-21/9/" TargetMode="External"/><Relationship Id="rId1466" Type="http://schemas.openxmlformats.org/officeDocument/2006/relationships/hyperlink" Target="https://defensacentral.com/baloncesto/carroll-seguira-en-el-real-madrid-con-uno-de-los-salarios-mas-bajos_218200_102.html" TargetMode="External"/><Relationship Id="rId1467" Type="http://schemas.openxmlformats.org/officeDocument/2006/relationships/hyperlink" Target="https://defensacentral.com/baloncesto/carroll-seguira-en-el-real-madrid-con-uno-de-los-salarios-mas-bajos_218200_102.html" TargetMode="External"/><Relationship Id="rId1468" Type="http://schemas.openxmlformats.org/officeDocument/2006/relationships/hyperlink" Target="https://defensacentral.com/baloncesto/carroll-seguira-en-el-real-madrid-con-uno-de-los-salarios-mas-bajos_218200_102.html" TargetMode="External"/><Relationship Id="rId1469" Type="http://schemas.openxmlformats.org/officeDocument/2006/relationships/hyperlink" Target="https://defensacentral.com/baloncesto/carroll-seguira-en-el-real-madrid-con-uno-de-los-salarios-mas-bajos_218200_102.html" TargetMode="External"/><Relationship Id="rId635" Type="http://schemas.openxmlformats.org/officeDocument/2006/relationships/hyperlink" Target="https://www.israelhayom.co.il/sport/israeli-basketball/article/21055509" TargetMode="External"/><Relationship Id="rId634" Type="http://schemas.openxmlformats.org/officeDocument/2006/relationships/hyperlink" Target="https://www.israelhayom.co.il/sport/israeli-basketball/article/14449656" TargetMode="External"/><Relationship Id="rId633" Type="http://schemas.openxmlformats.org/officeDocument/2006/relationships/hyperlink" Target="https://www.israelhayom.co.il/sport/israeli-basketball/article/14449656" TargetMode="External"/><Relationship Id="rId632" Type="http://schemas.openxmlformats.org/officeDocument/2006/relationships/hyperlink" Target="https://www.bizportal.co.il/sport/news/article/827028" TargetMode="External"/><Relationship Id="rId639" Type="http://schemas.openxmlformats.org/officeDocument/2006/relationships/hyperlink" Target="https://www.israelhayom.co.il/sport/israeli-basketball/article/21008495" TargetMode="External"/><Relationship Id="rId638" Type="http://schemas.openxmlformats.org/officeDocument/2006/relationships/hyperlink" Target="https://www.israelhayom.co.il/sport/israeli-basketball/article/21008495" TargetMode="External"/><Relationship Id="rId637" Type="http://schemas.openxmlformats.org/officeDocument/2006/relationships/hyperlink" Target="https://www.israelhayom.co.il/sport/israeli-basketball/article/21008495" TargetMode="External"/><Relationship Id="rId636" Type="http://schemas.openxmlformats.org/officeDocument/2006/relationships/hyperlink" Target="https://www.israelhayom.co.il/sport/israeli-basketball/article/14449656" TargetMode="External"/><Relationship Id="rId1460" Type="http://schemas.openxmlformats.org/officeDocument/2006/relationships/hyperlink" Target="https://www.eurohoops.net/en/trademarks/909850/the-top-10-euroleague-salaries-of-2019-20/9/" TargetMode="External"/><Relationship Id="rId1461" Type="http://schemas.openxmlformats.org/officeDocument/2006/relationships/hyperlink" Target="https://www.eurohoops.net/en/trademarks/909850/the-top-10-euroleague-salaries-of-2019-20/9/" TargetMode="External"/><Relationship Id="rId631" Type="http://schemas.openxmlformats.org/officeDocument/2006/relationships/hyperlink" Target="https://www.israelhayom.co.il/sport/israeli-basketball/article/14449656" TargetMode="External"/><Relationship Id="rId1462" Type="http://schemas.openxmlformats.org/officeDocument/2006/relationships/hyperlink" Target="https://sportnet.sme.sk/spravy/basketbal-rozhovor-nemecky-novinar-patrioti-levice-wurzburg-liga-majstrov-2026/" TargetMode="External"/><Relationship Id="rId630" Type="http://schemas.openxmlformats.org/officeDocument/2006/relationships/hyperlink" Target="https://www.bizportal.co.il/sport/news/article/818973" TargetMode="External"/><Relationship Id="rId1463" Type="http://schemas.openxmlformats.org/officeDocument/2006/relationships/hyperlink" Target="https://www.eurohoops.net/en/trademarks/909850/the-top-10-euroleague-salaries-of-2019-20/9/" TargetMode="External"/><Relationship Id="rId1464" Type="http://schemas.openxmlformats.org/officeDocument/2006/relationships/hyperlink" Target="https://www.eurohoops.net/en/trademarks/1092125/the-top10-euroleague-salaries-of-2020-21/" TargetMode="External"/><Relationship Id="rId1465" Type="http://schemas.openxmlformats.org/officeDocument/2006/relationships/hyperlink" Target="https://defensacentral.com/baloncesto/carroll-seguira-en-el-real-madrid-con-uno-de-los-salarios-mas-bajos_218200_102.html" TargetMode="External"/><Relationship Id="rId1411" Type="http://schemas.openxmlformats.org/officeDocument/2006/relationships/hyperlink" Target="https://www.israelhayom.co.il/sport/israeli-basketball/article/16015710" TargetMode="External"/><Relationship Id="rId1895" Type="http://schemas.openxmlformats.org/officeDocument/2006/relationships/hyperlink" Target="https://www.lasprovincias.es/deportes/valencia-bc/valencia-basket-ficha-ethan-happ-2026-20240701230247-nt.html" TargetMode="External"/><Relationship Id="rId1412" Type="http://schemas.openxmlformats.org/officeDocument/2006/relationships/hyperlink" Target="https://x.com/Andrea__Calzoni/status/1679904443825831936" TargetMode="External"/><Relationship Id="rId1896" Type="http://schemas.openxmlformats.org/officeDocument/2006/relationships/hyperlink" Target="https://basketnews.com/news-208479-matthew-costello-moves-to-valencia-after-baskonia-fails-to-match-offer.html" TargetMode="External"/><Relationship Id="rId1413" Type="http://schemas.openxmlformats.org/officeDocument/2006/relationships/hyperlink" Target="https://x.com/AlessandroMagg4/status/2052275453180645769" TargetMode="External"/><Relationship Id="rId1897" Type="http://schemas.openxmlformats.org/officeDocument/2006/relationships/hyperlink" Target="https://www.lasprovincias.es/deportes/valencia-bc/valencia-basket-ficha-ethan-happ-2026-20240701230247-nt.html" TargetMode="External"/><Relationship Id="rId1414" Type="http://schemas.openxmlformats.org/officeDocument/2006/relationships/hyperlink" Target="https://x.com/AlessandroMagg4/status/1798625070023078172" TargetMode="External"/><Relationship Id="rId1898" Type="http://schemas.openxmlformats.org/officeDocument/2006/relationships/hyperlink" Target="https://basketnews.com/news-208479-matthew-costello-moves-to-valencia-after-baskonia-fails-to-match-offer.html" TargetMode="External"/><Relationship Id="rId1415" Type="http://schemas.openxmlformats.org/officeDocument/2006/relationships/hyperlink" Target="https://basketnews.com/news-255434-top-10-highest-paid-euroleague-players-2026-27-season.html" TargetMode="External"/><Relationship Id="rId1899" Type="http://schemas.openxmlformats.org/officeDocument/2006/relationships/hyperlink" Target="https://www.bhbasket.ba/crnogorci-otkrili-plate-kosarkasa-buducnosti/" TargetMode="External"/><Relationship Id="rId1416" Type="http://schemas.openxmlformats.org/officeDocument/2006/relationships/hyperlink" Target="https://www.eurohoops.net/en/trademarks/2008414/the-top-10-euroleague-salaries-of-2026-27-the-32m-line-is-official/" TargetMode="External"/><Relationship Id="rId1417" Type="http://schemas.openxmlformats.org/officeDocument/2006/relationships/hyperlink" Target="https://basketnews.com/news-255090-dubai-buyout-fee-to-olympiacos-for-thomas-walkup-revealed.html" TargetMode="External"/><Relationship Id="rId1418" Type="http://schemas.openxmlformats.org/officeDocument/2006/relationships/hyperlink" Target="https://www.eurohoops.net/en/trademarks/2008414/the-top-10-euroleague-salaries-of-2026-27-the-32m-line-is-official/" TargetMode="External"/><Relationship Id="rId1419" Type="http://schemas.openxmlformats.org/officeDocument/2006/relationships/hyperlink" Target="https://basketnews.com/news-255434-top-10-highest-paid-euroleague-players-2026-27-season.html" TargetMode="External"/><Relationship Id="rId1890" Type="http://schemas.openxmlformats.org/officeDocument/2006/relationships/hyperlink" Target="https://x.com/ZakkasGeorge/status/2068678957860372924" TargetMode="External"/><Relationship Id="rId1891" Type="http://schemas.openxmlformats.org/officeDocument/2006/relationships/hyperlink" Target="https://www.lasprovincias.es/deportes/valencia-bc/valencia-basket-ficha-ethan-happ-2026-20240701230247-nt.html" TargetMode="External"/><Relationship Id="rId1892" Type="http://schemas.openxmlformats.org/officeDocument/2006/relationships/hyperlink" Target="https://basketnews.com/news-208479-matthew-costello-moves-to-valencia-after-baskonia-fails-to-match-offer.html" TargetMode="External"/><Relationship Id="rId1893" Type="http://schemas.openxmlformats.org/officeDocument/2006/relationships/hyperlink" Target="https://www.lasprovincias.es/deportes/valencia-bc/valencia-basket-ficha-ethan-happ-2026-20240701230247-nt.html" TargetMode="External"/><Relationship Id="rId1410" Type="http://schemas.openxmlformats.org/officeDocument/2006/relationships/hyperlink" Target="https://x.com/Andrea__Calzoni/status/1801885386764890507" TargetMode="External"/><Relationship Id="rId1894" Type="http://schemas.openxmlformats.org/officeDocument/2006/relationships/hyperlink" Target="https://basketnews.com/news-208479-matthew-costello-moves-to-valencia-after-baskonia-fails-to-match-offer.html" TargetMode="External"/><Relationship Id="rId1400" Type="http://schemas.openxmlformats.org/officeDocument/2006/relationships/hyperlink" Target="https://x.com/Andrea__Calzoni/status/1937168267904270837" TargetMode="External"/><Relationship Id="rId1884" Type="http://schemas.openxmlformats.org/officeDocument/2006/relationships/hyperlink" Target="https://www.krepsinis.net/naujiena/atskleistos-prancuzijos-lygos-zaideju-ir-treneriu-algos-tarp-kuriu-ir-d-motiejuno/317346" TargetMode="External"/><Relationship Id="rId1401" Type="http://schemas.openxmlformats.org/officeDocument/2006/relationships/hyperlink" Target="https://x.com/hizlihucum/status/1937177225939366314" TargetMode="External"/><Relationship Id="rId1885" Type="http://schemas.openxmlformats.org/officeDocument/2006/relationships/hyperlink" Target="https://www.pianetabasket.com/euroleague/justin-robinson-che-esordio-in-eurolega-per-l-ex-trapani-shark-342817" TargetMode="External"/><Relationship Id="rId1402" Type="http://schemas.openxmlformats.org/officeDocument/2006/relationships/hyperlink" Target="https://x.com/Andrea__Calzoni/status/1933900588871495916" TargetMode="External"/><Relationship Id="rId1886" Type="http://schemas.openxmlformats.org/officeDocument/2006/relationships/hyperlink" Target="https://x.com/hizlihucum/status/1946173517734519192" TargetMode="External"/><Relationship Id="rId1403" Type="http://schemas.openxmlformats.org/officeDocument/2006/relationships/hyperlink" Target="https://x.com/Andrea__Calzoni/status/1932918922807742570" TargetMode="External"/><Relationship Id="rId1887" Type="http://schemas.openxmlformats.org/officeDocument/2006/relationships/hyperlink" Target="https://www.pianetabasket.com/legabasket-serie-a/mercato-lba-varese-maxi-offerta-dalla-russia-per-mcdermott-301544" TargetMode="External"/><Relationship Id="rId1404" Type="http://schemas.openxmlformats.org/officeDocument/2006/relationships/hyperlink" Target="https://x.com/search?q=from%3AAndrea__Calzoni%20per%20year&amp;src=typed_query&amp;f=live" TargetMode="External"/><Relationship Id="rId1888" Type="http://schemas.openxmlformats.org/officeDocument/2006/relationships/hyperlink" Target="https://www.pianetabasket.com/legabasket-serie-a/mercato-lba-varese-va-all-in-su-mcdermott-e-prende-tempo-per-altri-italiani-303428" TargetMode="External"/><Relationship Id="rId1405" Type="http://schemas.openxmlformats.org/officeDocument/2006/relationships/hyperlink" Target="https://www.pianetabasket.com/legabasket-serie-a/mercato-lba-varese-i-dettagli-sull-accordo-con-hugo-besson-295134" TargetMode="External"/><Relationship Id="rId1889" Type="http://schemas.openxmlformats.org/officeDocument/2006/relationships/hyperlink" Target="https://www.pianetabasket.com/legabasket-serie-a/mercato-lba-varese-a-un-passo-dall-accordo-con-sean-mcdermott-303578" TargetMode="External"/><Relationship Id="rId1406" Type="http://schemas.openxmlformats.org/officeDocument/2006/relationships/hyperlink" Target="https://www.pianetabasket.com/legabasket-serie-a/mercato-lba-varese-i-dettagli-sull-accordo-con-hugo-besson-295134" TargetMode="External"/><Relationship Id="rId1407" Type="http://schemas.openxmlformats.org/officeDocument/2006/relationships/hyperlink" Target="https://x.com/Andrea__Calzoni/status/1805253050489049293" TargetMode="External"/><Relationship Id="rId1408" Type="http://schemas.openxmlformats.org/officeDocument/2006/relationships/hyperlink" Target="https://x.com/Andrea__Calzoni/status/1801938903953236246" TargetMode="External"/><Relationship Id="rId1409" Type="http://schemas.openxmlformats.org/officeDocument/2006/relationships/hyperlink" Target="https://x.com/Andrea__Calzoni/status/1801885386764890507" TargetMode="External"/><Relationship Id="rId1880" Type="http://schemas.openxmlformats.org/officeDocument/2006/relationships/hyperlink" Target="https://sportbild.bild.de/sportmix/basketball/bayerns-obst-ist-top-verdiener-der-gehaltsreport-der-basketball-bundesliga-6a1fee13aa3fa782d1470161" TargetMode="External"/><Relationship Id="rId1881" Type="http://schemas.openxmlformats.org/officeDocument/2006/relationships/hyperlink" Target="https://basketnews.com/news-242716-andreas-obst-bayern-contract-salary-details.html" TargetMode="External"/><Relationship Id="rId1882" Type="http://schemas.openxmlformats.org/officeDocument/2006/relationships/hyperlink" Target="https://www.krepsinis.net/naujiena/atskleistos-prancuzijos-lygos-zaideju-ir-treneriu-algos-tarp-kuriu-ir-d-motiejuno/317346" TargetMode="External"/><Relationship Id="rId1883" Type="http://schemas.openxmlformats.org/officeDocument/2006/relationships/hyperlink" Target="https://www.krepsinis.net/naujiena/atskleistos-prancuzijos-lygos-zaideju-ir-treneriu-algos-tarp-kuriu-ir-d-motiejuno/317346" TargetMode="External"/><Relationship Id="rId1433" Type="http://schemas.openxmlformats.org/officeDocument/2006/relationships/hyperlink" Target="https://basketnews.com/news-204179-chima-moneke-reveals-how-much-money-he-made-in-6-years-of-playing.html" TargetMode="External"/><Relationship Id="rId1434" Type="http://schemas.openxmlformats.org/officeDocument/2006/relationships/hyperlink" Target="https://www.israelhayom.co.il/sport/israeli-basketball/article/15593210" TargetMode="External"/><Relationship Id="rId1435" Type="http://schemas.openxmlformats.org/officeDocument/2006/relationships/hyperlink" Target="https://basketnews.com/news-204179-chima-moneke-reveals-how-much-money-he-made-in-6-years-of-playing.html" TargetMode="External"/><Relationship Id="rId1436" Type="http://schemas.openxmlformats.org/officeDocument/2006/relationships/hyperlink" Target="https://basketnews.com/news-204179-chima-moneke-reveals-how-much-money-he-made-in-6-years-of-playing.html" TargetMode="External"/><Relationship Id="rId1437" Type="http://schemas.openxmlformats.org/officeDocument/2006/relationships/hyperlink" Target="https://x.com/hoopsfthoughtgr/status/1932711909037649972" TargetMode="External"/><Relationship Id="rId1438" Type="http://schemas.openxmlformats.org/officeDocument/2006/relationships/hyperlink" Target="https://x.com/hoopsfthoughtgr/status/1928006068560441693" TargetMode="External"/><Relationship Id="rId1439" Type="http://schemas.openxmlformats.org/officeDocument/2006/relationships/hyperlink" Target="https://x.com/Eurohoopsnet/status/1953799335658807326" TargetMode="External"/><Relationship Id="rId609" Type="http://schemas.openxmlformats.org/officeDocument/2006/relationships/hyperlink" Target="https://www.israelhayom.co.il/sport/israeli-basketball/article/12826822" TargetMode="External"/><Relationship Id="rId608" Type="http://schemas.openxmlformats.org/officeDocument/2006/relationships/hyperlink" Target="https://www.israelhayom.co.il/sport/israeli-basketball/article/12826822" TargetMode="External"/><Relationship Id="rId607" Type="http://schemas.openxmlformats.org/officeDocument/2006/relationships/hyperlink" Target="https://www.bizportal.co.il/sport/news/article/816276" TargetMode="External"/><Relationship Id="rId602" Type="http://schemas.openxmlformats.org/officeDocument/2006/relationships/hyperlink" Target="https://www.haaretz.co.il/sport/basketball/2021-07-16/ty-article/.premium/0000017f-db7e-df62-a9ff-dfff8b7b0000" TargetMode="External"/><Relationship Id="rId601" Type="http://schemas.openxmlformats.org/officeDocument/2006/relationships/hyperlink" Target="https://www.israelhayom.co.il/sport/israeli-basketball/article/16015710" TargetMode="External"/><Relationship Id="rId600" Type="http://schemas.openxmlformats.org/officeDocument/2006/relationships/hyperlink" Target="https://www.israelhayom.co.il/sport/israeli-basketball/article/16015710" TargetMode="External"/><Relationship Id="rId606" Type="http://schemas.openxmlformats.org/officeDocument/2006/relationships/hyperlink" Target="https://www.israelhayom.co.il/sport/israeli-basketball/article/4368862" TargetMode="External"/><Relationship Id="rId605" Type="http://schemas.openxmlformats.org/officeDocument/2006/relationships/hyperlink" Target="https://www.israelhayom.co.il/sport/israeli-basketball/article/4368862" TargetMode="External"/><Relationship Id="rId604" Type="http://schemas.openxmlformats.org/officeDocument/2006/relationships/hyperlink" Target="https://www.israelhayom.co.il/sport/israeli-basketball/article/4368862" TargetMode="External"/><Relationship Id="rId603" Type="http://schemas.openxmlformats.org/officeDocument/2006/relationships/hyperlink" Target="https://www.israelhayom.co.il/sport/israeli-basketball/article/4368862" TargetMode="External"/><Relationship Id="rId1430" Type="http://schemas.openxmlformats.org/officeDocument/2006/relationships/hyperlink" Target="https://basketnews.com/news-155902-mike-james-reveals-his-salary-and-closes-the-door-on-zalgiris.html" TargetMode="External"/><Relationship Id="rId1431" Type="http://schemas.openxmlformats.org/officeDocument/2006/relationships/hyperlink" Target="https://basketnews.com/news-204179-chima-moneke-reveals-how-much-money-he-made-in-6-years-of-playing.html" TargetMode="External"/><Relationship Id="rId1432" Type="http://schemas.openxmlformats.org/officeDocument/2006/relationships/hyperlink" Target="https://basketnews.com/news-204179-chima-moneke-reveals-how-much-money-he-made-in-6-years-of-playing.html" TargetMode="External"/><Relationship Id="rId1422" Type="http://schemas.openxmlformats.org/officeDocument/2006/relationships/hyperlink" Target="https://x.com/Andrea__Calzoni/status/1952073111224176695" TargetMode="External"/><Relationship Id="rId1423" Type="http://schemas.openxmlformats.org/officeDocument/2006/relationships/hyperlink" Target="https://x.com/Andrea__Calzoni/status/2006030742279586200" TargetMode="External"/><Relationship Id="rId1424" Type="http://schemas.openxmlformats.org/officeDocument/2006/relationships/hyperlink" Target="https://x.com/Andrea__Calzoni/status/1963262377983348828" TargetMode="External"/><Relationship Id="rId1425" Type="http://schemas.openxmlformats.org/officeDocument/2006/relationships/hyperlink" Target="https://x.com/Andrea__Calzoni/status/1951337413986422881" TargetMode="External"/><Relationship Id="rId1426" Type="http://schemas.openxmlformats.org/officeDocument/2006/relationships/hyperlink" Target="https://x.com/Andrea__Calzoni/status/1792900578370105669" TargetMode="External"/><Relationship Id="rId1427" Type="http://schemas.openxmlformats.org/officeDocument/2006/relationships/hyperlink" Target="https://www.kurir.rs/sport/kosarka/9655754/otkrivamo-kolike-su-plate-kosarkasa-zvezde-i-partizana" TargetMode="External"/><Relationship Id="rId1428" Type="http://schemas.openxmlformats.org/officeDocument/2006/relationships/hyperlink" Target="https://sportnet.sme.sk/spravy/basketbal-rozhovor-nemecky-novinar-patrioti-levice-wurzburg-liga-majstrov-2026/" TargetMode="External"/><Relationship Id="rId1429" Type="http://schemas.openxmlformats.org/officeDocument/2006/relationships/hyperlink" Target="https://x.com/chemadelucas/status/1388057682842734592" TargetMode="External"/><Relationship Id="rId1420" Type="http://schemas.openxmlformats.org/officeDocument/2006/relationships/hyperlink" Target="https://x.com/AlessandroMagg4/status/1719339778850582965" TargetMode="External"/><Relationship Id="rId1421" Type="http://schemas.openxmlformats.org/officeDocument/2006/relationships/hyperlink" Target="https://x.com/bballmaniacs_/status/1932057124139626564" TargetMode="External"/><Relationship Id="rId1059" Type="http://schemas.openxmlformats.org/officeDocument/2006/relationships/hyperlink" Target="https://www.eurohoops.net/en/trademarks/1240837/the-top-10-euroleague-salaries-of-2021-22/2/" TargetMode="External"/><Relationship Id="rId228" Type="http://schemas.openxmlformats.org/officeDocument/2006/relationships/hyperlink" Target="https://www.basketnews.lt/news-198049-didziausios-lkl-algos-33-23-vietos.html" TargetMode="External"/><Relationship Id="rId227" Type="http://schemas.openxmlformats.org/officeDocument/2006/relationships/hyperlink" Target="https://www.basketnews.lt/news-198049-didziausios-lkl-algos-33-23-vietos.html" TargetMode="External"/><Relationship Id="rId226" Type="http://schemas.openxmlformats.org/officeDocument/2006/relationships/hyperlink" Target="https://www.krepsinis.net/naujiena/10-uzsienyje-rungtyniaujanciu-lietuviu-kurie-uzdirba-daugiausiai/283956" TargetMode="External"/><Relationship Id="rId225" Type="http://schemas.openxmlformats.org/officeDocument/2006/relationships/hyperlink" Target="https://www.basketnews.lt/news-90755-geriausiai-apmokamu-krepsininku-lietuvoje-virsuneje-zalgirieciai.html" TargetMode="External"/><Relationship Id="rId229" Type="http://schemas.openxmlformats.org/officeDocument/2006/relationships/hyperlink" Target="https://www.15min.lt/24sek/naujiena/lietuva/daugiausia-lietuvoje-uzdirbanciu-zaideju-top-15-a-gudaicio-alga-ir-brangiausio-legionieriaus-kaina-875-538401" TargetMode="External"/><Relationship Id="rId1050" Type="http://schemas.openxmlformats.org/officeDocument/2006/relationships/hyperlink" Target="https://www.eurohoops.net/en/trademarks/1240837/the-top-10-euroleague-salaries-of-2021-22/2/" TargetMode="External"/><Relationship Id="rId220" Type="http://schemas.openxmlformats.org/officeDocument/2006/relationships/hyperlink" Target="https://www.basketnews.lt/news-198049-didziausios-lkl-algos-33-23-vietos.html" TargetMode="External"/><Relationship Id="rId1051" Type="http://schemas.openxmlformats.org/officeDocument/2006/relationships/hyperlink" Target="https://www.eurohoops.net/en/trademarks/1240837/the-top-10-euroleague-salaries-of-2021-22/2/" TargetMode="External"/><Relationship Id="rId1052" Type="http://schemas.openxmlformats.org/officeDocument/2006/relationships/hyperlink" Target="https://www.eurohoops.net/en/trademarks/1240837/the-top-10-euroleague-salaries-of-2021-22/2/" TargetMode="External"/><Relationship Id="rId1053" Type="http://schemas.openxmlformats.org/officeDocument/2006/relationships/hyperlink" Target="https://www.eurohoops.net/en/trademarks/1240837/the-top-10-euroleague-salaries-of-2021-22/2/" TargetMode="External"/><Relationship Id="rId1054" Type="http://schemas.openxmlformats.org/officeDocument/2006/relationships/hyperlink" Target="https://www.eurohoops.net/en/trademarks/1240837/the-top-10-euroleague-salaries-of-2021-22/2/" TargetMode="External"/><Relationship Id="rId224" Type="http://schemas.openxmlformats.org/officeDocument/2006/relationships/hyperlink" Target="https://www.15min.lt/24sek/naujiena/lietuva/daugiausia-lietuvoje-uzdirbanciu-zaideju-top-15-a-gudaicio-alga-ir-brangiausio-legionieriaus-kaina-875-538401" TargetMode="External"/><Relationship Id="rId1055" Type="http://schemas.openxmlformats.org/officeDocument/2006/relationships/hyperlink" Target="https://www.eurohoops.net/en/trademarks/1240837/the-top-10-euroleague-salaries-of-2021-22/2/" TargetMode="External"/><Relationship Id="rId223" Type="http://schemas.openxmlformats.org/officeDocument/2006/relationships/hyperlink" Target="https://www.basketnews.lt/news-198049-didziausios-lkl-algos-33-23-vietos.html" TargetMode="External"/><Relationship Id="rId1056" Type="http://schemas.openxmlformats.org/officeDocument/2006/relationships/hyperlink" Target="https://www.eurohoops.net/en/trademarks/1240837/the-top-10-euroleague-salaries-of-2021-22/2/" TargetMode="External"/><Relationship Id="rId222" Type="http://schemas.openxmlformats.org/officeDocument/2006/relationships/hyperlink" Target="https://www.basketnews.lt/news-198049-didziausios-lkl-algos-33-23-vietos.html" TargetMode="External"/><Relationship Id="rId1057" Type="http://schemas.openxmlformats.org/officeDocument/2006/relationships/hyperlink" Target="https://www.eurohoops.net/en/trademarks/1240837/the-top-10-euroleague-salaries-of-2021-22/2/" TargetMode="External"/><Relationship Id="rId221" Type="http://schemas.openxmlformats.org/officeDocument/2006/relationships/hyperlink" Target="https://www.15min.lt/24sek/naujiena/lietuva/daugiausia-lietuvoje-uzdirbanciu-krepsininku-penkioliktukas-kur-aukso-grynuolis-o-kuriems-permoketa-875-538226" TargetMode="External"/><Relationship Id="rId1058" Type="http://schemas.openxmlformats.org/officeDocument/2006/relationships/hyperlink" Target="https://www.eurohoops.net/en/trademarks/1240837/the-top-10-euroleague-salaries-of-2021-22/2/" TargetMode="External"/><Relationship Id="rId1048" Type="http://schemas.openxmlformats.org/officeDocument/2006/relationships/hyperlink" Target="https://www.eurohoops.net/en/top-lists/722638/the-top-10-euroleague-salaries/3/" TargetMode="External"/><Relationship Id="rId1049" Type="http://schemas.openxmlformats.org/officeDocument/2006/relationships/hyperlink" Target="https://www.eurohoops.net/en/top-lists/722638/the-top-10-euroleague-salaries/3/" TargetMode="External"/><Relationship Id="rId217" Type="http://schemas.openxmlformats.org/officeDocument/2006/relationships/hyperlink" Target="https://www.basketnews.lt/news-198340-didziausios-lkl-algos-22-11-vietos.html" TargetMode="External"/><Relationship Id="rId216" Type="http://schemas.openxmlformats.org/officeDocument/2006/relationships/hyperlink" Target="http://bebasket.fr/" TargetMode="External"/><Relationship Id="rId215" Type="http://schemas.openxmlformats.org/officeDocument/2006/relationships/hyperlink" Target="http://bebasket.fr/" TargetMode="External"/><Relationship Id="rId699" Type="http://schemas.openxmlformats.org/officeDocument/2006/relationships/hyperlink" Target="https://www.sport5.co.il/articles.aspx?FolderID=274&amp;docID=482119" TargetMode="External"/><Relationship Id="rId214" Type="http://schemas.openxmlformats.org/officeDocument/2006/relationships/hyperlink" Target="https://www.lrt.lt/naujienos/sportas/10/2246760/brangiausi-eurolygos-lietuviai-grigonis-tapo-lyderiu-o-kur-kiti?srsltid=AfmBOorUWx1a91VmQFEIK0TDUxQBmwj5E1QDpdZPF5VZhKmTNrCpaw4N" TargetMode="External"/><Relationship Id="rId698" Type="http://schemas.openxmlformats.org/officeDocument/2006/relationships/hyperlink" Target="https://www.israelhayom.co.il/sport/israeli-basketball/article/16266850" TargetMode="External"/><Relationship Id="rId219" Type="http://schemas.openxmlformats.org/officeDocument/2006/relationships/hyperlink" Target="https://www.basketnews.lt/news-198049-didziausios-lkl-algos-33-23-vietos.html" TargetMode="External"/><Relationship Id="rId218" Type="http://schemas.openxmlformats.org/officeDocument/2006/relationships/hyperlink" Target="https://www.basketnews.lt/news-198049-didziausios-lkl-algos-33-23-vietos.html" TargetMode="External"/><Relationship Id="rId693" Type="http://schemas.openxmlformats.org/officeDocument/2006/relationships/hyperlink" Target="https://www.sport5.co.il/articles.aspx?FolderID=274&amp;docID=482119" TargetMode="External"/><Relationship Id="rId1040" Type="http://schemas.openxmlformats.org/officeDocument/2006/relationships/hyperlink" Target="https://www.eurohoops.net/en/top-lists/722638/the-top-10-euroleague-salaries/3/" TargetMode="External"/><Relationship Id="rId692" Type="http://schemas.openxmlformats.org/officeDocument/2006/relationships/hyperlink" Target="https://www.israelhayom.co.il/sport/israeli-basketball/article/16266850" TargetMode="External"/><Relationship Id="rId1041" Type="http://schemas.openxmlformats.org/officeDocument/2006/relationships/hyperlink" Target="https://www.eurohoops.net/en/top-lists/722638/the-top-10-euroleague-salaries/3/" TargetMode="External"/><Relationship Id="rId691" Type="http://schemas.openxmlformats.org/officeDocument/2006/relationships/hyperlink" Target="https://www.sport5.co.il/articles.aspx?FolderID=274&amp;docID=482119" TargetMode="External"/><Relationship Id="rId1042" Type="http://schemas.openxmlformats.org/officeDocument/2006/relationships/hyperlink" Target="https://www.eurohoops.net/en/top-lists/722638/the-top-10-euroleague-salaries/3/" TargetMode="External"/><Relationship Id="rId690" Type="http://schemas.openxmlformats.org/officeDocument/2006/relationships/hyperlink" Target="https://www.israelhayom.co.il/sport/israeli-basketball/article/16266850" TargetMode="External"/><Relationship Id="rId1043" Type="http://schemas.openxmlformats.org/officeDocument/2006/relationships/hyperlink" Target="https://www.eurohoops.net/en/top-lists/722638/the-top-10-euroleague-salaries/3/" TargetMode="External"/><Relationship Id="rId213" Type="http://schemas.openxmlformats.org/officeDocument/2006/relationships/hyperlink" Target="https://www.basketnews.lt/news-198340-didziausios-lkl-algos-22-11-vietos.html" TargetMode="External"/><Relationship Id="rId697" Type="http://schemas.openxmlformats.org/officeDocument/2006/relationships/hyperlink" Target="https://www.sport5.co.il/articles.aspx?FolderID=274&amp;docID=482119" TargetMode="External"/><Relationship Id="rId1044" Type="http://schemas.openxmlformats.org/officeDocument/2006/relationships/hyperlink" Target="https://www.eurohoops.net/en/top-lists/722638/the-top-10-euroleague-salaries/3/" TargetMode="External"/><Relationship Id="rId212" Type="http://schemas.openxmlformats.org/officeDocument/2006/relationships/hyperlink" Target="https://www.basketnews.lt/news-198340-didziausios-lkl-algos-22-11-vietos.html" TargetMode="External"/><Relationship Id="rId696" Type="http://schemas.openxmlformats.org/officeDocument/2006/relationships/hyperlink" Target="https://www.israelhayom.co.il/sport/israeli-basketball/article/16266850" TargetMode="External"/><Relationship Id="rId1045" Type="http://schemas.openxmlformats.org/officeDocument/2006/relationships/hyperlink" Target="https://www.eurohoops.net/en/top-lists/722638/the-top-10-euroleague-salaries/3/" TargetMode="External"/><Relationship Id="rId211" Type="http://schemas.openxmlformats.org/officeDocument/2006/relationships/hyperlink" Target="https://www.basketnews.lt/news-198340-didziausios-lkl-algos-22-11-vietos.html" TargetMode="External"/><Relationship Id="rId695" Type="http://schemas.openxmlformats.org/officeDocument/2006/relationships/hyperlink" Target="https://www.sport5.co.il/articles.aspx?FolderID=274&amp;docID=482119" TargetMode="External"/><Relationship Id="rId1046" Type="http://schemas.openxmlformats.org/officeDocument/2006/relationships/hyperlink" Target="https://www.eurohoops.net/en/top-lists/722638/the-top-10-euroleague-salaries/3/" TargetMode="External"/><Relationship Id="rId210" Type="http://schemas.openxmlformats.org/officeDocument/2006/relationships/hyperlink" Target="https://www.basketnews.lt/news-90755-geriausiai-apmokamu-krepsininku-lietuvoje-virsuneje-zalgirieciai.html" TargetMode="External"/><Relationship Id="rId694" Type="http://schemas.openxmlformats.org/officeDocument/2006/relationships/hyperlink" Target="https://www.israelhayom.co.il/sport/israeli-basketball/article/16266850" TargetMode="External"/><Relationship Id="rId1047" Type="http://schemas.openxmlformats.org/officeDocument/2006/relationships/hyperlink" Target="https://realolimpiamilano.com/2026/08/26/top-10-stipendi-olimpia-milano-era-ettore-messina/5/" TargetMode="External"/><Relationship Id="rId249" Type="http://schemas.openxmlformats.org/officeDocument/2006/relationships/hyperlink" Target="https://www.krepsinis.net/naujiena/penki-lkl-zaidejai-kurie-uzdirba-solidziai-bet-dideles-naudos-klubui-kol-kas-neatnese/282845" TargetMode="External"/><Relationship Id="rId248" Type="http://schemas.openxmlformats.org/officeDocument/2006/relationships/hyperlink" Target="https://www.krepsinis.net/naujiena/penki-lkl-zaidejai-kurie-uzdirba-solidziai-bet-dideles-naudos-klubui-kol-kas-neatnese/282845" TargetMode="External"/><Relationship Id="rId247" Type="http://schemas.openxmlformats.org/officeDocument/2006/relationships/hyperlink" Target="https://www.krepsinis.net/naujiena/penki-lkl-zaidejai-kurie-uzdirba-solidziai-bet-dideles-naudos-klubui-kol-kas-neatnese/282845" TargetMode="External"/><Relationship Id="rId1070" Type="http://schemas.openxmlformats.org/officeDocument/2006/relationships/hyperlink" Target="https://www.sdna.gr/mpasket/basket-league/article/128106/mpatzet" TargetMode="External"/><Relationship Id="rId1071" Type="http://schemas.openxmlformats.org/officeDocument/2006/relationships/hyperlink" Target="https://www.sdna.gr/mpasket/basket-league/article/128106/mpatzet" TargetMode="External"/><Relationship Id="rId1072" Type="http://schemas.openxmlformats.org/officeDocument/2006/relationships/hyperlink" Target="https://assets.fiba.basketball/image/upload/v1733838851/vdsdygxia3gr7qewpyyn.pdf" TargetMode="External"/><Relationship Id="rId242" Type="http://schemas.openxmlformats.org/officeDocument/2006/relationships/hyperlink" Target="https://www.basketnews.lt/news-90755-geriausiai-apmokamu-krepsininku-lietuvoje-virsuneje-zalgirieciai.html" TargetMode="External"/><Relationship Id="rId1073" Type="http://schemas.openxmlformats.org/officeDocument/2006/relationships/hyperlink" Target="https://assets.fiba.basketball/image/upload/v1726050338/Corporate%20Images/HQ%20Departments/Legal/BAT%20Awards/1612-20.pdf" TargetMode="External"/><Relationship Id="rId241" Type="http://schemas.openxmlformats.org/officeDocument/2006/relationships/hyperlink" Target="https://www.15min.lt/24sek/naujiena/lietuva/daugiausia-lietuvoje-uzdirbanciu-krepsininku-penkioliktukas-kur-aukso-grynuolis-o-kuriems-permoketa-875-538226" TargetMode="External"/><Relationship Id="rId1074" Type="http://schemas.openxmlformats.org/officeDocument/2006/relationships/hyperlink" Target="https://assets.fiba.basketball/image/upload/v1726049771/Corporate%20Images/HQ%20Departments/Legal/BAT%20Awards/1609-20.pdf" TargetMode="External"/><Relationship Id="rId240" Type="http://schemas.openxmlformats.org/officeDocument/2006/relationships/hyperlink" Target="https://www.basketnews.lt/news-90755-geriausiai-apmokamu-krepsininku-lietuvoje-virsuneje-zalgirieciai.html" TargetMode="External"/><Relationship Id="rId1075" Type="http://schemas.openxmlformats.org/officeDocument/2006/relationships/hyperlink" Target="https://www.gazzetta.gr/basketball/kypello-elladas/article/1563589/layrio-kostizei-oso-o-kith-langkfornt-pics-vid" TargetMode="External"/><Relationship Id="rId1076" Type="http://schemas.openxmlformats.org/officeDocument/2006/relationships/hyperlink" Target="https://www.eurohoops.net/en/featured/110607/shved-for-9-millions-in-khimki/" TargetMode="External"/><Relationship Id="rId246" Type="http://schemas.openxmlformats.org/officeDocument/2006/relationships/hyperlink" Target="https://www.15min.lt/24sek/naujiena/lietuva/daugiausiai-lietuvoje-uzdirbanciu-zaideju-top-15-lietuvos-ryto-dziaugsmas-ir-zalgirio-viltis-875-695937" TargetMode="External"/><Relationship Id="rId1077" Type="http://schemas.openxmlformats.org/officeDocument/2006/relationships/hyperlink" Target="https://www.eurohoops.net/en/featured/110607/shved-for-9-millions-in-khimki/" TargetMode="External"/><Relationship Id="rId245" Type="http://schemas.openxmlformats.org/officeDocument/2006/relationships/hyperlink" Target="https://www.krepsinis.net/naujiena/brangiausiu-lkl-zaideju-top-16-6-11-pozicijos/266513" TargetMode="External"/><Relationship Id="rId1078" Type="http://schemas.openxmlformats.org/officeDocument/2006/relationships/hyperlink" Target="https://www.eurohoops.net/en/featured/110607/shved-for-9-millions-in-khimki/" TargetMode="External"/><Relationship Id="rId244" Type="http://schemas.openxmlformats.org/officeDocument/2006/relationships/hyperlink" Target="https://www.15min.lt/24sek/naujiena/lietuva/daugiausiai-lietuvoje-uzdirbanciu-zaideju-top-15-lietuvos-ryto-dziaugsmas-ir-zalgirio-viltis-875-695937" TargetMode="External"/><Relationship Id="rId1079" Type="http://schemas.openxmlformats.org/officeDocument/2006/relationships/hyperlink" Target="https://www.pianetabasket.com/legabasket-serie-a/mercato-lba-rivelati-i-dettagli-dei-contratti-di-tote-e-niang-con-milano-e-bologna-349968" TargetMode="External"/><Relationship Id="rId243" Type="http://schemas.openxmlformats.org/officeDocument/2006/relationships/hyperlink" Target="https://www.krepsinis.net/naujiena/brangiausiu-lkl-zaideju-top-16-6-11-pozicijos/266513" TargetMode="External"/><Relationship Id="rId239" Type="http://schemas.openxmlformats.org/officeDocument/2006/relationships/hyperlink" Target="https://www.15min.lt/24sek/naujiena/lietuva/daugiausia-lietuvoje-uzdirbanciu-zaideju-top-15-desertas-penki-brangiausi-lietuviai-875-538606" TargetMode="External"/><Relationship Id="rId238" Type="http://schemas.openxmlformats.org/officeDocument/2006/relationships/hyperlink" Target="https://www.basketnews.lt/news-90755-geriausiai-apmokamu-krepsininku-lietuvoje-virsuneje-zalgirieciai.html" TargetMode="External"/><Relationship Id="rId237" Type="http://schemas.openxmlformats.org/officeDocument/2006/relationships/hyperlink" Target="https://www.15min.lt/24sek/naujiena/lietuva/daugiausia-lietuvoje-uzdirbanciu-krepsininku-penkioliktukas-kur-aukso-grynuolis-o-kuriems-permoketa-875-538226" TargetMode="External"/><Relationship Id="rId236" Type="http://schemas.openxmlformats.org/officeDocument/2006/relationships/hyperlink" Target="https://www.basketnews.lt/news-90755-geriausiai-apmokamu-krepsininku-lietuvoje-virsuneje-zalgirieciai.html" TargetMode="External"/><Relationship Id="rId1060" Type="http://schemas.openxmlformats.org/officeDocument/2006/relationships/hyperlink" Target="https://www.eurohoops.net/en/trademarks/1240837/the-top-10-euroleague-salaries-of-2021-22/2/" TargetMode="External"/><Relationship Id="rId1061" Type="http://schemas.openxmlformats.org/officeDocument/2006/relationships/hyperlink" Target="https://www.eurohoops.net/en/trademarks/1240837/the-top-10-euroleague-salaries-of-2021-22/2/" TargetMode="External"/><Relationship Id="rId231" Type="http://schemas.openxmlformats.org/officeDocument/2006/relationships/hyperlink" Target="https://www.basketnews.lt/news-198340-didziausios-lkl-algos-22-11-vietos.html" TargetMode="External"/><Relationship Id="rId1062" Type="http://schemas.openxmlformats.org/officeDocument/2006/relationships/hyperlink" Target="https://www.eurohoops.net/en/trademarks/1240837/the-top-10-euroleague-salaries-of-2021-22/2/" TargetMode="External"/><Relationship Id="rId230" Type="http://schemas.openxmlformats.org/officeDocument/2006/relationships/hyperlink" Target="https://www.basketnews.lt/news-90755-geriausiai-apmokamu-krepsininku-lietuvoje-virsuneje-zalgirieciai.html" TargetMode="External"/><Relationship Id="rId1063" Type="http://schemas.openxmlformats.org/officeDocument/2006/relationships/hyperlink" Target="https://realolimpiamilano.com/2026/08/26/top-10-stipendi-olimpia-milano-era-ettore-messina/6/" TargetMode="External"/><Relationship Id="rId1064" Type="http://schemas.openxmlformats.org/officeDocument/2006/relationships/hyperlink" Target="https://www.eurohoops.net/en/trademarks/1240837/the-top-10-euroleague-salaries-of-2021-22/2/" TargetMode="External"/><Relationship Id="rId1065" Type="http://schemas.openxmlformats.org/officeDocument/2006/relationships/hyperlink" Target="https://realolimpiamilano.com/2026/08/26/top-10-stipendi-olimpia-milano-era-ettore-messina/9/" TargetMode="External"/><Relationship Id="rId235" Type="http://schemas.openxmlformats.org/officeDocument/2006/relationships/hyperlink" Target="https://www.15min.lt/24sek/naujiena/lietuva/daugiausia-lietuvoje-uzdirbanciu-krepsininku-penkioliktukas-kur-aukso-grynuolis-o-kuriems-permoketa-875-538226" TargetMode="External"/><Relationship Id="rId1066" Type="http://schemas.openxmlformats.org/officeDocument/2006/relationships/hyperlink" Target="https://www.eurohoops.net/en/trademarks/1240837/the-top-10-euroleague-salaries-of-2021-22/2/" TargetMode="External"/><Relationship Id="rId234" Type="http://schemas.openxmlformats.org/officeDocument/2006/relationships/hyperlink" Target="https://www.basketnews.lt/news-90755-geriausiai-apmokamu-krepsininku-lietuvoje-virsuneje-zalgirieciai.html" TargetMode="External"/><Relationship Id="rId1067" Type="http://schemas.openxmlformats.org/officeDocument/2006/relationships/hyperlink" Target="https://www.eurohoops.net/en/trademarks/1240837/the-top-10-euroleague-salaries-of-2021-22/2/" TargetMode="External"/><Relationship Id="rId233" Type="http://schemas.openxmlformats.org/officeDocument/2006/relationships/hyperlink" Target="https://www.15min.lt/24sek/naujiena/lietuva/daugiausia-lietuvoje-uzdirbanciu-zaideju-top-15-a-gudaicio-alga-ir-brangiausio-legionieriaus-kaina-875-538401" TargetMode="External"/><Relationship Id="rId1068" Type="http://schemas.openxmlformats.org/officeDocument/2006/relationships/hyperlink" Target="https://www.krepsinis.net/naujiena/atskleistos-prancuzijos-lygos-zaideju-ir-treneriu-algos-tarp-kuriu-ir-d-motiejuno/317346" TargetMode="External"/><Relationship Id="rId232" Type="http://schemas.openxmlformats.org/officeDocument/2006/relationships/hyperlink" Target="https://www.basketnews.lt/news-198441-didziausios-lkl-algos-10-1-vietos.html" TargetMode="External"/><Relationship Id="rId1069" Type="http://schemas.openxmlformats.org/officeDocument/2006/relationships/hyperlink" Target="https://basketnews.com/news-167701-malcolm-delaney-this-will-be-my-last-full-season-in-europe.html" TargetMode="External"/><Relationship Id="rId1015" Type="http://schemas.openxmlformats.org/officeDocument/2006/relationships/hyperlink" Target="https://www.basketnews.lt/news-188679-bentley-pries-passat-kiek-uzdirba-brangiausi-barcelonos-ir-zalgirio-zaidejai.html" TargetMode="External"/><Relationship Id="rId1499" Type="http://schemas.openxmlformats.org/officeDocument/2006/relationships/hyperlink" Target="https://www.israelhayom.co.il/sport/israeli-basketball/article/16015710" TargetMode="External"/><Relationship Id="rId1016" Type="http://schemas.openxmlformats.org/officeDocument/2006/relationships/hyperlink" Target="https://www.basketnews.lt/news-188679-bentley-pries-passat-kiek-uzdirba-brangiausi-barcelonos-ir-zalgirio-zaidejai.html" TargetMode="External"/><Relationship Id="rId1017" Type="http://schemas.openxmlformats.org/officeDocument/2006/relationships/hyperlink" Target="https://www.basketnews.lt/news-188679-bentley-pries-passat-kiek-uzdirba-brangiausi-barcelonos-ir-zalgirio-zaidejai.html" TargetMode="External"/><Relationship Id="rId1018" Type="http://schemas.openxmlformats.org/officeDocument/2006/relationships/hyperlink" Target="https://www.basketnews.lt/news-180219-brangiausiu-eurolygos-zaideju-penkioliktukas.html" TargetMode="External"/><Relationship Id="rId1019" Type="http://schemas.openxmlformats.org/officeDocument/2006/relationships/hyperlink" Target="https://www.basketnews.lt/news-180219-brangiausiu-eurolygos-zaideju-penkioliktukas.html" TargetMode="External"/><Relationship Id="rId668" Type="http://schemas.openxmlformats.org/officeDocument/2006/relationships/hyperlink" Target="https://www.sport5.co.il/articles.aspx?FolderID=274&amp;docID=473879" TargetMode="External"/><Relationship Id="rId667" Type="http://schemas.openxmlformats.org/officeDocument/2006/relationships/hyperlink" Target="https://www.ice.co.il/sport_news/news/article/974715" TargetMode="External"/><Relationship Id="rId666" Type="http://schemas.openxmlformats.org/officeDocument/2006/relationships/hyperlink" Target="https://www.sport5.co.il/articles.aspx?FolderID=274&amp;docID=473879" TargetMode="External"/><Relationship Id="rId665" Type="http://schemas.openxmlformats.org/officeDocument/2006/relationships/hyperlink" Target="https://www.ice.co.il/sport_news/news/article/974715" TargetMode="External"/><Relationship Id="rId669" Type="http://schemas.openxmlformats.org/officeDocument/2006/relationships/hyperlink" Target="https://www.ice.co.il/sport_news/news/article/974715" TargetMode="External"/><Relationship Id="rId1490" Type="http://schemas.openxmlformats.org/officeDocument/2006/relationships/hyperlink" Target="https://www.eurohoops.net/en/trademarks/1092125/the-top10-euroleague-salaries-of-2020-21/11/" TargetMode="External"/><Relationship Id="rId660" Type="http://schemas.openxmlformats.org/officeDocument/2006/relationships/hyperlink" Target="https://www.ice.co.il/sport_news/news/article/974715" TargetMode="External"/><Relationship Id="rId1491" Type="http://schemas.openxmlformats.org/officeDocument/2006/relationships/hyperlink" Target="https://realolimpiamilano.com/2026/08/26/top-10-stipendi-olimpia-milano-era-ettore-messina/4/" TargetMode="External"/><Relationship Id="rId1492" Type="http://schemas.openxmlformats.org/officeDocument/2006/relationships/hyperlink" Target="https://www.eurohoops.net/en/trademarks/1092125/the-top10-euroleague-salaries-of-2020-21/11/" TargetMode="External"/><Relationship Id="rId1493" Type="http://schemas.openxmlformats.org/officeDocument/2006/relationships/hyperlink" Target="https://www.eurohoops.net/en/trademarks/1092125/the-top10-euroleague-salaries-of-2020-21/11/" TargetMode="External"/><Relationship Id="rId1010" Type="http://schemas.openxmlformats.org/officeDocument/2006/relationships/hyperlink" Target="https://www.basketnews.lt/news-188679-bentley-pries-passat-kiek-uzdirba-brangiausi-barcelonos-ir-zalgirio-zaidejai.html" TargetMode="External"/><Relationship Id="rId1494" Type="http://schemas.openxmlformats.org/officeDocument/2006/relationships/hyperlink" Target="https://www.eurohoops.net/en/trademarks/1092125/the-top10-euroleague-salaries-of-2020-21/11/" TargetMode="External"/><Relationship Id="rId664" Type="http://schemas.openxmlformats.org/officeDocument/2006/relationships/hyperlink" Target="https://www.sport5.co.il/articles.aspx?FolderID=274&amp;docID=473879" TargetMode="External"/><Relationship Id="rId1011" Type="http://schemas.openxmlformats.org/officeDocument/2006/relationships/hyperlink" Target="https://www.basketnews.lt/news-188679-bentley-pries-passat-kiek-uzdirba-brangiausi-barcelonos-ir-zalgirio-zaidejai.html" TargetMode="External"/><Relationship Id="rId1495" Type="http://schemas.openxmlformats.org/officeDocument/2006/relationships/hyperlink" Target="https://www.eurohoops.net/en/trademarks/1092125/the-top10-euroleague-salaries-of-2020-21/11/" TargetMode="External"/><Relationship Id="rId663" Type="http://schemas.openxmlformats.org/officeDocument/2006/relationships/hyperlink" Target="https://www.sport5.co.il/articles.aspx?FolderID=274&amp;docID=473879" TargetMode="External"/><Relationship Id="rId1012" Type="http://schemas.openxmlformats.org/officeDocument/2006/relationships/hyperlink" Target="https://www.basketnews.lt/news-188679-bentley-pries-passat-kiek-uzdirba-brangiausi-barcelonos-ir-zalgirio-zaidejai.html" TargetMode="External"/><Relationship Id="rId1496" Type="http://schemas.openxmlformats.org/officeDocument/2006/relationships/hyperlink" Target="https://www.eurohoops.net/en/trademarks/1092125/the-top10-euroleague-salaries-of-2020-21/11/" TargetMode="External"/><Relationship Id="rId662" Type="http://schemas.openxmlformats.org/officeDocument/2006/relationships/hyperlink" Target="https://www.ice.co.il/sport_news/news/article/974715" TargetMode="External"/><Relationship Id="rId1013" Type="http://schemas.openxmlformats.org/officeDocument/2006/relationships/hyperlink" Target="https://www.eurohoops.net/en/trademarks/1396808/the-top10-euroleague-contracts-salaries-2022-23/8/" TargetMode="External"/><Relationship Id="rId1497" Type="http://schemas.openxmlformats.org/officeDocument/2006/relationships/hyperlink" Target="https://www.eurohoops.net/en/trademarks/1092125/the-top10-euroleague-salaries-of-2020-21/11/" TargetMode="External"/><Relationship Id="rId661" Type="http://schemas.openxmlformats.org/officeDocument/2006/relationships/hyperlink" Target="https://www.sport5.co.il/articles.aspx?FolderID=274&amp;docID=473879" TargetMode="External"/><Relationship Id="rId1014" Type="http://schemas.openxmlformats.org/officeDocument/2006/relationships/hyperlink" Target="https://www.basketnews.lt/news-188679-bentley-pries-passat-kiek-uzdirba-brangiausi-barcelonos-ir-zalgirio-zaidejai.html" TargetMode="External"/><Relationship Id="rId1498" Type="http://schemas.openxmlformats.org/officeDocument/2006/relationships/hyperlink" Target="https://www.eurohoops.net/en/trademarks/1092125/the-top10-euroleague-salaries-of-2020-21/11/" TargetMode="External"/><Relationship Id="rId1004" Type="http://schemas.openxmlformats.org/officeDocument/2006/relationships/hyperlink" Target="https://www.krepsinis.net/naujiena/8-eurolygos-zaidejai-kurie-nepateisina-savo-uzdirbamu-pinigu/318191" TargetMode="External"/><Relationship Id="rId1488" Type="http://schemas.openxmlformats.org/officeDocument/2006/relationships/hyperlink" Target="https://www.eurohoops.net/en/trademarks/1092125/the-top10-euroleague-salaries-of-2020-21/3/" TargetMode="External"/><Relationship Id="rId1005" Type="http://schemas.openxmlformats.org/officeDocument/2006/relationships/hyperlink" Target="https://www.krepsinis.net/naujiena/8-eurolygos-zaidejai-kurie-nepateisina-savo-uzdirbamu-pinigu/318191" TargetMode="External"/><Relationship Id="rId1489" Type="http://schemas.openxmlformats.org/officeDocument/2006/relationships/hyperlink" Target="https://www.eurohoops.net/en/trademarks/909850/the-top-10-euroleague-salaries-of-2019-20/3/" TargetMode="External"/><Relationship Id="rId1006" Type="http://schemas.openxmlformats.org/officeDocument/2006/relationships/hyperlink" Target="https://www.krepsinis.net/naujiena/8-eurolygos-zaidejai-kurie-nepateisina-savo-uzdirbamu-pinigu/318191" TargetMode="External"/><Relationship Id="rId1007" Type="http://schemas.openxmlformats.org/officeDocument/2006/relationships/hyperlink" Target="https://www.krepsinis.net/naujiena/8-eurolygos-zaidejai-kurie-nepateisina-savo-uzdirbamu-pinigu/318191" TargetMode="External"/><Relationship Id="rId1008" Type="http://schemas.openxmlformats.org/officeDocument/2006/relationships/hyperlink" Target="https://www.krepsinis.net/naujiena/8-eurolygos-zaidejai-kurie-nepateisina-savo-uzdirbamu-pinigu/318191" TargetMode="External"/><Relationship Id="rId1009" Type="http://schemas.openxmlformats.org/officeDocument/2006/relationships/hyperlink" Target="https://www.basketnews.lt/news-188679-bentley-pries-passat-kiek-uzdirba-brangiausi-barcelonos-ir-zalgirio-zaidejai.html" TargetMode="External"/><Relationship Id="rId657" Type="http://schemas.openxmlformats.org/officeDocument/2006/relationships/hyperlink" Target="https://www.sport5.co.il/articles.aspx?FolderID=274&amp;docID=473879" TargetMode="External"/><Relationship Id="rId656" Type="http://schemas.openxmlformats.org/officeDocument/2006/relationships/hyperlink" Target="https://www.ice.co.il/sport_news/news/article/974715" TargetMode="External"/><Relationship Id="rId655" Type="http://schemas.openxmlformats.org/officeDocument/2006/relationships/hyperlink" Target="https://www.sport5.co.il/articles.aspx?FolderID=274&amp;docID=473879" TargetMode="External"/><Relationship Id="rId654" Type="http://schemas.openxmlformats.org/officeDocument/2006/relationships/hyperlink" Target="https://www.ice.co.il/sport_news/news/article/974715" TargetMode="External"/><Relationship Id="rId659" Type="http://schemas.openxmlformats.org/officeDocument/2006/relationships/hyperlink" Target="https://www.sport5.co.il/articles.aspx?FolderID=274&amp;docID=473879" TargetMode="External"/><Relationship Id="rId658" Type="http://schemas.openxmlformats.org/officeDocument/2006/relationships/hyperlink" Target="https://www.ice.co.il/sport_news/news/article/974715" TargetMode="External"/><Relationship Id="rId1480" Type="http://schemas.openxmlformats.org/officeDocument/2006/relationships/hyperlink" Target="https://www.eurohoops.net/en/trademarks/1092125/the-top10-euroleague-salaries-of-2020-21/8/" TargetMode="External"/><Relationship Id="rId1481" Type="http://schemas.openxmlformats.org/officeDocument/2006/relationships/hyperlink" Target="https://www.eurohoops.net/en/trademarks/1092125/the-top10-euroleague-salaries-of-2020-21/11/" TargetMode="External"/><Relationship Id="rId1482" Type="http://schemas.openxmlformats.org/officeDocument/2006/relationships/hyperlink" Target="https://realolimpiamilano.com/2026/08/26/top-10-stipendi-olimpia-milano-era-ettore-messina/6/" TargetMode="External"/><Relationship Id="rId1483" Type="http://schemas.openxmlformats.org/officeDocument/2006/relationships/hyperlink" Target="https://www.eurohoops.net/en/trademarks/1092125/the-top10-euroleague-salaries-of-2020-21/10/" TargetMode="External"/><Relationship Id="rId653" Type="http://schemas.openxmlformats.org/officeDocument/2006/relationships/hyperlink" Target="https://www.sport5.co.il/articles.aspx?FolderID=274&amp;docID=473879" TargetMode="External"/><Relationship Id="rId1000" Type="http://schemas.openxmlformats.org/officeDocument/2006/relationships/hyperlink" Target="https://www.israelhayom.co.il/sport/israeli-basketball/article/16015710" TargetMode="External"/><Relationship Id="rId1484" Type="http://schemas.openxmlformats.org/officeDocument/2006/relationships/hyperlink" Target="https://www.eurohoops.net/en/trademarks/1092125/the-top10-euroleague-salaries-of-2020-21/11/" TargetMode="External"/><Relationship Id="rId652" Type="http://schemas.openxmlformats.org/officeDocument/2006/relationships/hyperlink" Target="https://www.ice.co.il/sport_news/news/article/974715" TargetMode="External"/><Relationship Id="rId1001" Type="http://schemas.openxmlformats.org/officeDocument/2006/relationships/hyperlink" Target="https://www.krepsinis.net/naujiena/8-eurolygos-zaidejai-kurie-nepateisina-savo-uzdirbamu-pinigu/318191" TargetMode="External"/><Relationship Id="rId1485" Type="http://schemas.openxmlformats.org/officeDocument/2006/relationships/hyperlink" Target="https://www.eurohoops.net/en/trademarks/909850/the-top-10-euroleague-salaries-of-2019-20/9/" TargetMode="External"/><Relationship Id="rId651" Type="http://schemas.openxmlformats.org/officeDocument/2006/relationships/hyperlink" Target="https://www.israelhayom.co.il/sport/israeli-basketball/article/14449656" TargetMode="External"/><Relationship Id="rId1002" Type="http://schemas.openxmlformats.org/officeDocument/2006/relationships/hyperlink" Target="https://www.krepsinis.net/naujiena/8-eurolygos-zaidejai-kurie-nepateisina-savo-uzdirbamu-pinigu/318191" TargetMode="External"/><Relationship Id="rId1486" Type="http://schemas.openxmlformats.org/officeDocument/2006/relationships/hyperlink" Target="https://www.eurohoops.net/en/trademarks/909850/the-top-10-euroleague-salaries-of-2019-20/9/" TargetMode="External"/><Relationship Id="rId650" Type="http://schemas.openxmlformats.org/officeDocument/2006/relationships/hyperlink" Target="https://www.bizportal.co.il/sport/news/article/827028" TargetMode="External"/><Relationship Id="rId1003" Type="http://schemas.openxmlformats.org/officeDocument/2006/relationships/hyperlink" Target="https://www.krepsinis.net/naujiena/8-eurolygos-zaidejai-kurie-nepateisina-savo-uzdirbamu-pinigu/318191" TargetMode="External"/><Relationship Id="rId1487" Type="http://schemas.openxmlformats.org/officeDocument/2006/relationships/hyperlink" Target="https://www.eurohoops.net/en/trademarks/1092125/the-top10-euroleague-salaries-of-2020-21/3/" TargetMode="External"/><Relationship Id="rId1037" Type="http://schemas.openxmlformats.org/officeDocument/2006/relationships/hyperlink" Target="https://www.eurohoops.net/en/trademarks/1396808/the-top10-euroleague-contracts-salaries-2022-23/8/" TargetMode="External"/><Relationship Id="rId1038" Type="http://schemas.openxmlformats.org/officeDocument/2006/relationships/hyperlink" Target="https://www.eurohoops.net/en/trademarks/1396808/the-top10-euroleague-contracts-salaries-2022-23/8/" TargetMode="External"/><Relationship Id="rId1039" Type="http://schemas.openxmlformats.org/officeDocument/2006/relationships/hyperlink" Target="https://www.eurohoops.net/en/top-lists/722638/the-top-10-euroleague-salaries/3/" TargetMode="External"/><Relationship Id="rId206" Type="http://schemas.openxmlformats.org/officeDocument/2006/relationships/hyperlink" Target="https://www.basketnews.lt/news-83614-kiek-uzdirba-didziuju-lkl-klubu-krepsininkai.html" TargetMode="External"/><Relationship Id="rId205" Type="http://schemas.openxmlformats.org/officeDocument/2006/relationships/hyperlink" Target="https://www.krepsinis.net/naujiena/10-lkl-zaidzianciu-lietuviu-kurie-uzdirba-daugiausiai/248876" TargetMode="External"/><Relationship Id="rId689" Type="http://schemas.openxmlformats.org/officeDocument/2006/relationships/hyperlink" Target="https://www.sport5.co.il/articles.aspx?FolderID=274&amp;docID=482119" TargetMode="External"/><Relationship Id="rId204" Type="http://schemas.openxmlformats.org/officeDocument/2006/relationships/hyperlink" Target="https://www.basketnews.lt/news-198340-didziausios-lkl-algos-22-11-vietos.html" TargetMode="External"/><Relationship Id="rId688" Type="http://schemas.openxmlformats.org/officeDocument/2006/relationships/hyperlink" Target="https://www.israelhayom.co.il/sport/israeli-basketball/article/16266850" TargetMode="External"/><Relationship Id="rId203" Type="http://schemas.openxmlformats.org/officeDocument/2006/relationships/hyperlink" Target="https://www.basketnews.lt/news-198340-didziausios-lkl-algos-22-11-vietos.html" TargetMode="External"/><Relationship Id="rId687" Type="http://schemas.openxmlformats.org/officeDocument/2006/relationships/hyperlink" Target="https://www.sport5.co.il/articles.aspx?FolderID=274&amp;docID=482119" TargetMode="External"/><Relationship Id="rId209" Type="http://schemas.openxmlformats.org/officeDocument/2006/relationships/hyperlink" Target="https://www.15min.lt/24sek/naujiena/lietuva/daugiausia-lietuvoje-uzdirbanciu-krepsininku-penkioliktukas-kur-aukso-grynuolis-o-kuriems-permoketa-875-538226" TargetMode="External"/><Relationship Id="rId208" Type="http://schemas.openxmlformats.org/officeDocument/2006/relationships/hyperlink" Target="https://www.basketnews.lt/news-90755-geriausiai-apmokamu-krepsininku-lietuvoje-virsuneje-zalgirieciai.html" TargetMode="External"/><Relationship Id="rId207" Type="http://schemas.openxmlformats.org/officeDocument/2006/relationships/hyperlink" Target="https://www.15min.lt/24sek/naujiena/lietuva/daugiausia-lietuvoje-uzdirbanciu-krepsininku-penkioliktukas-kur-aukso-grynuolis-o-kuriems-permoketa-875-538226" TargetMode="External"/><Relationship Id="rId682" Type="http://schemas.openxmlformats.org/officeDocument/2006/relationships/hyperlink" Target="https://www.israelhayom.co.il/sport/israeli-basketball/article/16266850" TargetMode="External"/><Relationship Id="rId681" Type="http://schemas.openxmlformats.org/officeDocument/2006/relationships/hyperlink" Target="https://www.sport5.co.il/articles.aspx?FolderID=274&amp;docID=473879" TargetMode="External"/><Relationship Id="rId1030" Type="http://schemas.openxmlformats.org/officeDocument/2006/relationships/hyperlink" Target="https://www.basketnews.lt/news-180219-brangiausiu-eurolygos-zaideju-penkioliktukas.html" TargetMode="External"/><Relationship Id="rId680" Type="http://schemas.openxmlformats.org/officeDocument/2006/relationships/hyperlink" Target="https://www.sport5.co.il/articles.aspx?FolderID=274&amp;docID=473879" TargetMode="External"/><Relationship Id="rId1031" Type="http://schemas.openxmlformats.org/officeDocument/2006/relationships/hyperlink" Target="https://realolimpiamilano.com/2026/08/26/top-10-stipendi-olimpia-milano-era-ettore-messina/6/" TargetMode="External"/><Relationship Id="rId1032" Type="http://schemas.openxmlformats.org/officeDocument/2006/relationships/hyperlink" Target="https://www.basketnews.lt/news-180219-brangiausiu-eurolygos-zaideju-penkioliktukas.html" TargetMode="External"/><Relationship Id="rId202" Type="http://schemas.openxmlformats.org/officeDocument/2006/relationships/hyperlink" Target="https://www.basketnews.lt/news-198340-didziausios-lkl-algos-22-11-vietos.html" TargetMode="External"/><Relationship Id="rId686" Type="http://schemas.openxmlformats.org/officeDocument/2006/relationships/hyperlink" Target="https://www.israelhayom.co.il/sport/israeli-basketball/article/16266850" TargetMode="External"/><Relationship Id="rId1033" Type="http://schemas.openxmlformats.org/officeDocument/2006/relationships/hyperlink" Target="https://www.basketnews.lt/news-180219-brangiausiu-eurolygos-zaideju-penkioliktukas.html" TargetMode="External"/><Relationship Id="rId201" Type="http://schemas.openxmlformats.org/officeDocument/2006/relationships/hyperlink" Target="https://www.basketnews.lt/news-83614-kiek-uzdirba-didziuju-lkl-klubu-krepsininkai.html" TargetMode="External"/><Relationship Id="rId685" Type="http://schemas.openxmlformats.org/officeDocument/2006/relationships/hyperlink" Target="https://www.sport5.co.il/articles.aspx?FolderID=274&amp;docID=482119" TargetMode="External"/><Relationship Id="rId1034" Type="http://schemas.openxmlformats.org/officeDocument/2006/relationships/hyperlink" Target="https://www.eurohoops.net/en/trademarks/1396808/the-top10-euroleague-contracts-salaries-2022-23/11/" TargetMode="External"/><Relationship Id="rId200" Type="http://schemas.openxmlformats.org/officeDocument/2006/relationships/hyperlink" Target="https://www.krepsinis.net/naujiena/10-lkl-zaidzianciu-lietuviu-kurie-uzdirba-daugiausiai/248876" TargetMode="External"/><Relationship Id="rId684" Type="http://schemas.openxmlformats.org/officeDocument/2006/relationships/hyperlink" Target="https://www.israelhayom.co.il/sport/israeli-basketball/article/16266850" TargetMode="External"/><Relationship Id="rId1035" Type="http://schemas.openxmlformats.org/officeDocument/2006/relationships/hyperlink" Target="https://www.basketnews.lt/news-180219-brangiausiu-eurolygos-zaideju-penkioliktukas.html" TargetMode="External"/><Relationship Id="rId683" Type="http://schemas.openxmlformats.org/officeDocument/2006/relationships/hyperlink" Target="https://www.sport5.co.il/articles.aspx?FolderID=274&amp;docID=482119" TargetMode="External"/><Relationship Id="rId1036" Type="http://schemas.openxmlformats.org/officeDocument/2006/relationships/hyperlink" Target="https://www.eurohoops.net/en/trademarks/1396808/the-top10-euroleague-contracts-salaries-2022-23/4/" TargetMode="External"/><Relationship Id="rId1026" Type="http://schemas.openxmlformats.org/officeDocument/2006/relationships/hyperlink" Target="https://www.eurohoops.net/en/trademarks/1396808/the-top10-euroleague-contracts-salaries-2022-23/12/" TargetMode="External"/><Relationship Id="rId1027" Type="http://schemas.openxmlformats.org/officeDocument/2006/relationships/hyperlink" Target="https://www.basketnews.lt/news-180219-brangiausiu-eurolygos-zaideju-penkioliktukas.html" TargetMode="External"/><Relationship Id="rId1028" Type="http://schemas.openxmlformats.org/officeDocument/2006/relationships/hyperlink" Target="https://www.eurohoops.net/en/trademarks/1396808/the-top10-euroleague-contracts-salaries-2022-23/8/" TargetMode="External"/><Relationship Id="rId1029" Type="http://schemas.openxmlformats.org/officeDocument/2006/relationships/hyperlink" Target="https://realolimpiamilano.com/2026/08/26/top-10-stipendi-olimpia-milano-era-ettore-messina/6/" TargetMode="External"/><Relationship Id="rId679" Type="http://schemas.openxmlformats.org/officeDocument/2006/relationships/hyperlink" Target="https://www.sport5.co.il/articles.aspx?FolderID=274&amp;docID=473879" TargetMode="External"/><Relationship Id="rId678" Type="http://schemas.openxmlformats.org/officeDocument/2006/relationships/hyperlink" Target="https://www.sport5.co.il/articles.aspx?FolderID=274&amp;docID=473879" TargetMode="External"/><Relationship Id="rId677" Type="http://schemas.openxmlformats.org/officeDocument/2006/relationships/hyperlink" Target="https://www.sport5.co.il/articles.aspx?FolderID=274&amp;docID=473879" TargetMode="External"/><Relationship Id="rId676" Type="http://schemas.openxmlformats.org/officeDocument/2006/relationships/hyperlink" Target="https://www.sport5.co.il/articles.aspx?FolderID=274&amp;docID=473879" TargetMode="External"/><Relationship Id="rId671" Type="http://schemas.openxmlformats.org/officeDocument/2006/relationships/hyperlink" Target="https://www.ice.co.il/sport_news/news/article/974715" TargetMode="External"/><Relationship Id="rId670" Type="http://schemas.openxmlformats.org/officeDocument/2006/relationships/hyperlink" Target="https://www.sport5.co.il/articles.aspx?FolderID=274&amp;docID=473879" TargetMode="External"/><Relationship Id="rId1020" Type="http://schemas.openxmlformats.org/officeDocument/2006/relationships/hyperlink" Target="https://www.basketnews.lt/news-180219-brangiausiu-eurolygos-zaideju-penkioliktukas.html" TargetMode="External"/><Relationship Id="rId1021" Type="http://schemas.openxmlformats.org/officeDocument/2006/relationships/hyperlink" Target="https://www.israelhayom.co.il/sport/israeli-basketball/article/12084549" TargetMode="External"/><Relationship Id="rId675" Type="http://schemas.openxmlformats.org/officeDocument/2006/relationships/hyperlink" Target="https://www.ice.co.il/sport_news/news/article/974715" TargetMode="External"/><Relationship Id="rId1022" Type="http://schemas.openxmlformats.org/officeDocument/2006/relationships/hyperlink" Target="https://www.basketnews.lt/news-180219-brangiausiu-eurolygos-zaideju-penkioliktukas.html" TargetMode="External"/><Relationship Id="rId674" Type="http://schemas.openxmlformats.org/officeDocument/2006/relationships/hyperlink" Target="https://www.sport5.co.il/articles.aspx?FolderID=274&amp;docID=473879" TargetMode="External"/><Relationship Id="rId1023" Type="http://schemas.openxmlformats.org/officeDocument/2006/relationships/hyperlink" Target="https://www.basketnews.lt/news-180219-brangiausiu-eurolygos-zaideju-penkioliktukas.html" TargetMode="External"/><Relationship Id="rId673" Type="http://schemas.openxmlformats.org/officeDocument/2006/relationships/hyperlink" Target="https://www.ice.co.il/sport_news/news/article/974715" TargetMode="External"/><Relationship Id="rId1024" Type="http://schemas.openxmlformats.org/officeDocument/2006/relationships/hyperlink" Target="https://www.basketnews.lt/news-180219-brangiausiu-eurolygos-zaideju-penkioliktukas.html" TargetMode="External"/><Relationship Id="rId672" Type="http://schemas.openxmlformats.org/officeDocument/2006/relationships/hyperlink" Target="https://www.sport5.co.il/articles.aspx?FolderID=274&amp;docID=473879" TargetMode="External"/><Relationship Id="rId1025" Type="http://schemas.openxmlformats.org/officeDocument/2006/relationships/hyperlink" Target="https://www.basketnews.lt/news-180219-brangiausiu-eurolygos-zaideju-penkioliktukas.html" TargetMode="External"/><Relationship Id="rId190" Type="http://schemas.openxmlformats.org/officeDocument/2006/relationships/hyperlink" Target="https://www.basketnews.lt/news-198441-didziausios-lkl-algos-10-1-vietos.html" TargetMode="External"/><Relationship Id="rId194" Type="http://schemas.openxmlformats.org/officeDocument/2006/relationships/hyperlink" Target="https://x.com/matty_vanpersie/status/1705572891599810625" TargetMode="External"/><Relationship Id="rId193" Type="http://schemas.openxmlformats.org/officeDocument/2006/relationships/hyperlink" Target="https://www.lrt.lt/naujienos/sportas/10/2246760/brangiausi-eurolygos-lietuviai-grigonis-tapo-lyderiu-o-kur-kiti?srsltid=AfmBOorUWx1a91VmQFEIK0TDUxQBmwj5E1QDpdZPF5VZhKmTNrCpaw4N" TargetMode="External"/><Relationship Id="rId192" Type="http://schemas.openxmlformats.org/officeDocument/2006/relationships/hyperlink" Target="https://www.basketnews.lt/news-198441-didziausios-lkl-algos-10-1-vietos.html" TargetMode="External"/><Relationship Id="rId191" Type="http://schemas.openxmlformats.org/officeDocument/2006/relationships/hyperlink" Target="https://www.basketnews.lt/news-198441-didziausios-lkl-algos-10-1-vietos.html" TargetMode="External"/><Relationship Id="rId187" Type="http://schemas.openxmlformats.org/officeDocument/2006/relationships/hyperlink" Target="https://www.basketnews.lt/news-198049-didziausios-lkl-algos-33-23-vietos.html" TargetMode="External"/><Relationship Id="rId186" Type="http://schemas.openxmlformats.org/officeDocument/2006/relationships/hyperlink" Target="https://osportas.lt/atskleisti-zalgirieciu-atlyginimai-geriausiai-apmokamas-zaidejas-smailagicius/" TargetMode="External"/><Relationship Id="rId185" Type="http://schemas.openxmlformats.org/officeDocument/2006/relationships/hyperlink" Target="https://osportas.lt/atskleisti-zalgirieciu-atlyginimai-geriausiai-apmokamas-zaidejas-smailagicius/" TargetMode="External"/><Relationship Id="rId184" Type="http://schemas.openxmlformats.org/officeDocument/2006/relationships/hyperlink" Target="https://osportas.lt/atskleisti-zalgirieciu-atlyginimai-geriausiai-apmokamas-zaidejas-smailagicius/" TargetMode="External"/><Relationship Id="rId189" Type="http://schemas.openxmlformats.org/officeDocument/2006/relationships/hyperlink" Target="https://www.basketnews.lt/news-198441-didziausios-lkl-algos-10-1-vietos.html" TargetMode="External"/><Relationship Id="rId188" Type="http://schemas.openxmlformats.org/officeDocument/2006/relationships/hyperlink" Target="https://www.basketnews.lt/news-198441-didziausios-lkl-algos-10-1-vietos.html" TargetMode="External"/><Relationship Id="rId183" Type="http://schemas.openxmlformats.org/officeDocument/2006/relationships/hyperlink" Target="https://osportas.lt/atskleisti-zalgirieciu-atlyginimai-geriausiai-apmokamas-zaidejas-smailagicius/" TargetMode="External"/><Relationship Id="rId182" Type="http://schemas.openxmlformats.org/officeDocument/2006/relationships/hyperlink" Target="https://osportas.lt/atskleisti-zalgirieciu-atlyginimai-geriausiai-apmokamas-zaidejas-smailagicius/" TargetMode="External"/><Relationship Id="rId181" Type="http://schemas.openxmlformats.org/officeDocument/2006/relationships/hyperlink" Target="https://osportas.lt/atskleisti-zalgirieciu-atlyginimai-geriausiai-apmokamas-zaidejas-smailagicius/" TargetMode="External"/><Relationship Id="rId180" Type="http://schemas.openxmlformats.org/officeDocument/2006/relationships/hyperlink" Target="https://osportas.lt/atskleisti-zalgirieciu-atlyginimai-geriausiai-apmokamas-zaidejas-smailagicius/" TargetMode="External"/><Relationship Id="rId176" Type="http://schemas.openxmlformats.org/officeDocument/2006/relationships/hyperlink" Target="https://osportas.lt/atskleisti-zalgirieciu-atlyginimai-geriausiai-apmokamas-zaidejas-smailagicius/" TargetMode="External"/><Relationship Id="rId175" Type="http://schemas.openxmlformats.org/officeDocument/2006/relationships/hyperlink" Target="https://osportas.lt/atskleisti-zalgirieciu-atlyginimai-geriausiai-apmokamas-zaidejas-smailagicius/" TargetMode="External"/><Relationship Id="rId174" Type="http://schemas.openxmlformats.org/officeDocument/2006/relationships/hyperlink" Target="https://osportas.lt/atskleisti-zalgirieciu-atlyginimai-geriausiai-apmokamas-zaidejas-smailagicius/" TargetMode="External"/><Relationship Id="rId173" Type="http://schemas.openxmlformats.org/officeDocument/2006/relationships/hyperlink" Target="https://osportas.lt/atskleisti-zalgirieciu-atlyginimai-geriausiai-apmokamas-zaidejas-smailagicius/" TargetMode="External"/><Relationship Id="rId179" Type="http://schemas.openxmlformats.org/officeDocument/2006/relationships/hyperlink" Target="https://osportas.lt/atskleisti-zalgirieciu-atlyginimai-geriausiai-apmokamas-zaidejas-smailagicius/" TargetMode="External"/><Relationship Id="rId178" Type="http://schemas.openxmlformats.org/officeDocument/2006/relationships/hyperlink" Target="https://osportas.lt/atskleisti-zalgirieciu-atlyginimai-geriausiai-apmokamas-zaidejas-smailagicius/" TargetMode="External"/><Relationship Id="rId177" Type="http://schemas.openxmlformats.org/officeDocument/2006/relationships/hyperlink" Target="https://osportas.lt/atskleisti-zalgirieciu-atlyginimai-geriausiai-apmokamas-zaidejas-smailagicius/" TargetMode="External"/><Relationship Id="rId1910" Type="http://schemas.openxmlformats.org/officeDocument/2006/relationships/hyperlink" Target="https://basketballsphere.com/en/olympiacos-lock-in-georgios-bartzokas-on-e6-million-contract-extension/" TargetMode="External"/><Relationship Id="rId1911" Type="http://schemas.openxmlformats.org/officeDocument/2006/relationships/hyperlink" Target="https://www.krepsinis.net/naujiena/rytas-gali-geriau/332734?utm_source=copy&amp;utm_medium=txt&amp;utm_campaign=copy-txt" TargetMode="External"/><Relationship Id="rId1912" Type="http://schemas.openxmlformats.org/officeDocument/2006/relationships/hyperlink" Target="https://x.com/matty_vanpersie/status/1798700694943469904" TargetMode="External"/><Relationship Id="rId1913" Type="http://schemas.openxmlformats.org/officeDocument/2006/relationships/hyperlink" Target="https://basketnews.com/news-245747-olympiacos-offer-to-miller-mcintyre-revealed.html" TargetMode="External"/><Relationship Id="rId1914" Type="http://schemas.openxmlformats.org/officeDocument/2006/relationships/hyperlink" Target="https://basketballsphere.com/en/done-deal-olympiacos-sign-cody-miller-mcintyre-contract-details-revealed/" TargetMode="External"/><Relationship Id="rId1915" Type="http://schemas.openxmlformats.org/officeDocument/2006/relationships/hyperlink" Target="https://www.athletiko.gr/poso-kostizei-synolika-to-deal-makintair-ston-olympiako-87542" TargetMode="External"/><Relationship Id="rId1916" Type="http://schemas.openxmlformats.org/officeDocument/2006/relationships/hyperlink" Target="https://basketballsphere.com/en/barcelona-sends-contract-offer-to-mike-james-full-details-revealed/" TargetMode="External"/><Relationship Id="rId1917" Type="http://schemas.openxmlformats.org/officeDocument/2006/relationships/hyperlink" Target="https://basketballsphere.com/en/the-financial-details-of-vassilis-spanouliss-contract-have-been-revealed/" TargetMode="External"/><Relationship Id="rId1918" Type="http://schemas.openxmlformats.org/officeDocument/2006/relationships/hyperlink" Target="https://basketballsphere.com/en/the-financial-details-of-vassilis-spanouliss-contract-have-been-revealed/" TargetMode="External"/><Relationship Id="rId1919" Type="http://schemas.openxmlformats.org/officeDocument/2006/relationships/hyperlink" Target="https://basketballsphere.com/en/jasiel-rivero-has-doubled-his-salary-at-crvena-zvezda/" TargetMode="External"/><Relationship Id="rId1900" Type="http://schemas.openxmlformats.org/officeDocument/2006/relationships/hyperlink" Target="https://www.bhbasket.ba/crnogorci-otkrili-plate-kosarkasa-buducnosti/" TargetMode="External"/><Relationship Id="rId1901" Type="http://schemas.openxmlformats.org/officeDocument/2006/relationships/hyperlink" Target="https://www.bhbasket.ba/crnogorci-otkrili-plate-kosarkasa-buducnosti/" TargetMode="External"/><Relationship Id="rId1902" Type="http://schemas.openxmlformats.org/officeDocument/2006/relationships/hyperlink" Target="https://www.bhbasket.ba/crnogorci-otkrili-plate-kosarkasa-buducnosti/" TargetMode="External"/><Relationship Id="rId1903" Type="http://schemas.openxmlformats.org/officeDocument/2006/relationships/hyperlink" Target="https://www.bhbasket.ba/crnogorci-otkrili-plate-kosarkasa-buducnosti/" TargetMode="External"/><Relationship Id="rId1904" Type="http://schemas.openxmlformats.org/officeDocument/2006/relationships/hyperlink" Target="https://www.bhbasket.ba/crnogorci-otkrili-plate-kosarkasa-buducnosti/" TargetMode="External"/><Relationship Id="rId1905" Type="http://schemas.openxmlformats.org/officeDocument/2006/relationships/hyperlink" Target="https://www.bhbasket.ba/crnogorci-otkrili-plate-kosarkasa-buducnosti/" TargetMode="External"/><Relationship Id="rId1906" Type="http://schemas.openxmlformats.org/officeDocument/2006/relationships/hyperlink" Target="https://www.bhbasket.ba/crnogorci-otkrili-plate-kosarkasa-buducnosti/" TargetMode="External"/><Relationship Id="rId1907" Type="http://schemas.openxmlformats.org/officeDocument/2006/relationships/hyperlink" Target="https://www.bhbasket.ba/crnogorci-otkrili-plate-kosarkasa-buducnosti/" TargetMode="External"/><Relationship Id="rId1908" Type="http://schemas.openxmlformats.org/officeDocument/2006/relationships/hyperlink" Target="https://www.bhbasket.ba/crnogorci-otkrili-plate-kosarkasa-buducnosti/" TargetMode="External"/><Relationship Id="rId1909" Type="http://schemas.openxmlformats.org/officeDocument/2006/relationships/hyperlink" Target="https://basketballsphere.com/en/olympiacos-lock-in-georgios-bartzokas-on-e6-million-contract-extension/" TargetMode="External"/><Relationship Id="rId198" Type="http://schemas.openxmlformats.org/officeDocument/2006/relationships/hyperlink" Target="https://www.basketnews.lt/news-198441-didziausios-lkl-algos-10-1-vietos.html" TargetMode="External"/><Relationship Id="rId197" Type="http://schemas.openxmlformats.org/officeDocument/2006/relationships/hyperlink" Target="https://www.basketnews.lt/news-198441-didziausios-lkl-algos-10-1-vietos.html" TargetMode="External"/><Relationship Id="rId196" Type="http://schemas.openxmlformats.org/officeDocument/2006/relationships/hyperlink" Target="https://www.basketnews.lt/news-198441-didziausios-lkl-algos-10-1-vietos.html" TargetMode="External"/><Relationship Id="rId195" Type="http://schemas.openxmlformats.org/officeDocument/2006/relationships/hyperlink" Target="https://www.15min.lt/24sek/naujiena/eurolyga/i-brazdeikio-perejimo-i-olympiakos-detales-uzdirbs-milijonus-1362-2116050" TargetMode="External"/><Relationship Id="rId199" Type="http://schemas.openxmlformats.org/officeDocument/2006/relationships/hyperlink" Target="https://www.basketnews.lt/news-198441-didziausios-lkl-algos-10-1-vietos.html" TargetMode="External"/><Relationship Id="rId150" Type="http://schemas.openxmlformats.org/officeDocument/2006/relationships/hyperlink" Target="https://www.15min.lt/24sek/naujiena/lietuva/vertinami-ir-svetur-ir-lietuvoje-geriausiai-apmokamu-lietuvos-krepsininku-top-30-875-1641654" TargetMode="External"/><Relationship Id="rId149" Type="http://schemas.openxmlformats.org/officeDocument/2006/relationships/hyperlink" Target="https://www.krepsinis.net/naujiena/10-uzsienyje-zaidzianciu-lietuviu-kurie-uzdirba-daugiausiai/308899" TargetMode="External"/><Relationship Id="rId148" Type="http://schemas.openxmlformats.org/officeDocument/2006/relationships/hyperlink" Target="https://www.15min.lt/naujiena/prenumerata/ivykiai/top-5-geriausiai-europoje-apmokami-lietuvos-krepsininkai-1226-1369892" TargetMode="External"/><Relationship Id="rId1090" Type="http://schemas.openxmlformats.org/officeDocument/2006/relationships/hyperlink" Target="https://www.sdna.gr/mpasket/basket-league/article/128106/mpatzet" TargetMode="External"/><Relationship Id="rId1091" Type="http://schemas.openxmlformats.org/officeDocument/2006/relationships/hyperlink" Target="https://www.sdna.gr/mpasket/basket-league/article/128106/mpatzet" TargetMode="External"/><Relationship Id="rId1092" Type="http://schemas.openxmlformats.org/officeDocument/2006/relationships/hyperlink" Target="https://www.sdna.gr/mpasket/basket-league/article/128106/mpatzet" TargetMode="External"/><Relationship Id="rId1093" Type="http://schemas.openxmlformats.org/officeDocument/2006/relationships/hyperlink" Target="https://www.sdna.gr/mpasket/basket-league/article/128106/mpatzet" TargetMode="External"/><Relationship Id="rId1094" Type="http://schemas.openxmlformats.org/officeDocument/2006/relationships/hyperlink" Target="https://www.sdna.gr/mpasket/basket-league/article/128106/mpatzet" TargetMode="External"/><Relationship Id="rId143" Type="http://schemas.openxmlformats.org/officeDocument/2006/relationships/hyperlink" Target="https://www.15min.lt/24sek/naujiena/lietuva/vertinami-ir-svetur-ir-lietuvoje-geriausiai-apmokamu-lietuvos-krepsininku-top-30-875-1641654" TargetMode="External"/><Relationship Id="rId1095" Type="http://schemas.openxmlformats.org/officeDocument/2006/relationships/hyperlink" Target="https://www.sdna.gr/mpasket/basket-league/article/128106/mpatzet" TargetMode="External"/><Relationship Id="rId142" Type="http://schemas.openxmlformats.org/officeDocument/2006/relationships/hyperlink" Target="https://www.15min.lt/24sek/naujiena/lietuva/vertinami-ir-svetur-ir-lietuvoje-geriausiai-apmokamu-lietuvos-krepsininku-top-30-875-1641654" TargetMode="External"/><Relationship Id="rId1096" Type="http://schemas.openxmlformats.org/officeDocument/2006/relationships/hyperlink" Target="https://www.sdna.gr/mpasket/basket-league/article/128106/mpatzet" TargetMode="External"/><Relationship Id="rId141" Type="http://schemas.openxmlformats.org/officeDocument/2006/relationships/hyperlink" Target="https://www.15min.lt/24sek/naujiena/lietuva/vertinami-ir-svetur-ir-lietuvoje-geriausiai-apmokamu-lietuvos-krepsininku-top-30-875-1641654" TargetMode="External"/><Relationship Id="rId1097" Type="http://schemas.openxmlformats.org/officeDocument/2006/relationships/hyperlink" Target="https://www.sdna.gr/mpasket/basket-league/article/128106/mpatzet" TargetMode="External"/><Relationship Id="rId140" Type="http://schemas.openxmlformats.org/officeDocument/2006/relationships/hyperlink" Target="https://kauno.diena.lt/naujienos/sportas/krepsinis/r-jokubaicio-sandorio-su-barcelona-detales-ispirka-zalgiriui-ir-pirmoji-alga-1035234" TargetMode="External"/><Relationship Id="rId1098" Type="http://schemas.openxmlformats.org/officeDocument/2006/relationships/hyperlink" Target="https://www.sdna.gr/mpasket/basket-league/article/128106/mpatzet" TargetMode="External"/><Relationship Id="rId147" Type="http://schemas.openxmlformats.org/officeDocument/2006/relationships/hyperlink" Target="https://www.15min.lt/24sek/naujiena/lietuva/vertinami-ir-svetur-ir-lietuvoje-geriausiai-apmokamu-lietuvos-krepsininku-top-30-875-1641654" TargetMode="External"/><Relationship Id="rId1099" Type="http://schemas.openxmlformats.org/officeDocument/2006/relationships/hyperlink" Target="https://www.sdna.gr/mpasket/basket-league/article/128106/mpatzet" TargetMode="External"/><Relationship Id="rId146" Type="http://schemas.openxmlformats.org/officeDocument/2006/relationships/hyperlink" Target="https://www.15min.lt/24sek/naujiena/lietuva/vertinami-ir-svetur-ir-lietuvoje-geriausiai-apmokamu-lietuvos-krepsininku-top-30-875-1641654" TargetMode="External"/><Relationship Id="rId145" Type="http://schemas.openxmlformats.org/officeDocument/2006/relationships/hyperlink" Target="https://www.15min.lt/24sek/naujiena/lietuva/vertinami-ir-svetur-ir-lietuvoje-geriausiai-apmokamu-lietuvos-krepsininku-top-30-875-1641654" TargetMode="External"/><Relationship Id="rId144" Type="http://schemas.openxmlformats.org/officeDocument/2006/relationships/hyperlink" Target="https://www.15min.lt/24sek/naujiena/lietuva/vertinami-ir-svetur-ir-lietuvoje-geriausiai-apmokamu-lietuvos-krepsininku-top-30-875-1641654" TargetMode="External"/><Relationship Id="rId139" Type="http://schemas.openxmlformats.org/officeDocument/2006/relationships/hyperlink" Target="https://www.15min.lt/24sek/naujiena/lietuva/vertinami-ir-svetur-ir-lietuvoje-geriausiai-apmokamu-lietuvos-krepsininku-top-30-875-1641654" TargetMode="External"/><Relationship Id="rId138" Type="http://schemas.openxmlformats.org/officeDocument/2006/relationships/hyperlink" Target="https://www.15min.lt/24sek/naujiena/lietuva/vertinami-ir-svetur-ir-lietuvoje-geriausiai-apmokamu-lietuvos-krepsininku-top-30-875-1641654" TargetMode="External"/><Relationship Id="rId137" Type="http://schemas.openxmlformats.org/officeDocument/2006/relationships/hyperlink" Target="https://www.15min.lt/24sek/naujiena/lietuva/vertinami-ir-svetur-ir-lietuvoje-geriausiai-apmokamu-lietuvos-krepsininku-top-30-875-1641654" TargetMode="External"/><Relationship Id="rId1080" Type="http://schemas.openxmlformats.org/officeDocument/2006/relationships/hyperlink" Target="https://www.pianetabasket.com/legabasket-serie-a/mercato-lba-rivelati-i-dettagli-dei-contratti-di-tote-e-niang-con-milano-e-bologna-349968" TargetMode="External"/><Relationship Id="rId1081" Type="http://schemas.openxmlformats.org/officeDocument/2006/relationships/hyperlink" Target="https://x.com/RytasNews/status/2036762076698337360" TargetMode="External"/><Relationship Id="rId1082" Type="http://schemas.openxmlformats.org/officeDocument/2006/relationships/hyperlink" Target="https://assets.fiba.basketball/image/upload/v1733838851/vdsdygxia3gr7qewpyyn.pdf" TargetMode="External"/><Relationship Id="rId1083" Type="http://schemas.openxmlformats.org/officeDocument/2006/relationships/hyperlink" Target="https://assets.fiba.basketball/image/upload/v1747647301/vpvkrxo9jmuxtu6lmrgz.pdf" TargetMode="External"/><Relationship Id="rId132" Type="http://schemas.openxmlformats.org/officeDocument/2006/relationships/hyperlink" Target="https://www.15min.lt/24sek/naujiena/lietuva/vertinami-ir-svetur-ir-lietuvoje-geriausiai-apmokamu-lietuvos-krepsininku-top-30-875-1641654" TargetMode="External"/><Relationship Id="rId1084" Type="http://schemas.openxmlformats.org/officeDocument/2006/relationships/hyperlink" Target="https://www.15min.lt/24sek/naujiena/europa/kulboka-is-buvusio-klubo-prisiteise-solidzia-suma-874-2538510" TargetMode="External"/><Relationship Id="rId131" Type="http://schemas.openxmlformats.org/officeDocument/2006/relationships/hyperlink" Target="https://www.15min.lt/24sek/naujiena/lietuva/zalgirieciu-dominavimas-daugiausiai-uzdirbanciu-lkl-zaideju-top-40-875-1641660" TargetMode="External"/><Relationship Id="rId1085" Type="http://schemas.openxmlformats.org/officeDocument/2006/relationships/hyperlink" Target="https://www.sdna.gr/mpasket/basket-league/article/128106/mpatzet" TargetMode="External"/><Relationship Id="rId130" Type="http://schemas.openxmlformats.org/officeDocument/2006/relationships/hyperlink" Target="https://www.15min.lt/24sek/naujiena/lietuva/vertinami-ir-svetur-ir-lietuvoje-geriausiai-apmokamu-lietuvos-krepsininku-top-30-875-1641654" TargetMode="External"/><Relationship Id="rId1086" Type="http://schemas.openxmlformats.org/officeDocument/2006/relationships/hyperlink" Target="https://assets.fiba.basketball/image/upload/v1739955990/ntuuuftqwoeqx1t4eri9.pdf" TargetMode="External"/><Relationship Id="rId1087" Type="http://schemas.openxmlformats.org/officeDocument/2006/relationships/hyperlink" Target="https://assets.fiba.basketball/image/upload/v1779182548/p9vi5ermxe0nv7ebggeo.pdf" TargetMode="External"/><Relationship Id="rId136" Type="http://schemas.openxmlformats.org/officeDocument/2006/relationships/hyperlink" Target="https://www.basketnews.lt/news-83614-kiek-uzdirba-didziuju-lkl-klubu-krepsininkai.html" TargetMode="External"/><Relationship Id="rId1088" Type="http://schemas.openxmlformats.org/officeDocument/2006/relationships/hyperlink" Target="https://www.sdna.gr/mpasket/basket-league/article/128106/mpatzet" TargetMode="External"/><Relationship Id="rId135" Type="http://schemas.openxmlformats.org/officeDocument/2006/relationships/hyperlink" Target="https://www.krepsinis.net/naujiena/10-lkl-zaidzianciu-lietuviu-kurie-uzdirba-daugiausiai/248876" TargetMode="External"/><Relationship Id="rId1089" Type="http://schemas.openxmlformats.org/officeDocument/2006/relationships/hyperlink" Target="https://www.sdna.gr/mpasket/basket-league/article/128106/mpatzet" TargetMode="External"/><Relationship Id="rId134" Type="http://schemas.openxmlformats.org/officeDocument/2006/relationships/hyperlink" Target="https://www.15min.lt/24sek/naujiena/lietuva/vertinami-ir-svetur-ir-lietuvoje-geriausiai-apmokamu-lietuvos-krepsininku-top-30-875-1641654" TargetMode="External"/><Relationship Id="rId133" Type="http://schemas.openxmlformats.org/officeDocument/2006/relationships/hyperlink" Target="https://www.15min.lt/24sek/naujiena/lietuva/vertinami-ir-svetur-ir-lietuvoje-geriausiai-apmokamu-lietuvos-krepsininku-top-30-875-1641654" TargetMode="External"/><Relationship Id="rId172" Type="http://schemas.openxmlformats.org/officeDocument/2006/relationships/hyperlink" Target="https://osportas.lt/atskleisti-zalgirieciu-atlyginimai-geriausiai-apmokamas-zaidejas-smailagicius/" TargetMode="External"/><Relationship Id="rId171" Type="http://schemas.openxmlformats.org/officeDocument/2006/relationships/hyperlink" Target="https://statymugidas.com/sportas/krepsinis/daugiausiai-uzdirbantys-zalgirio-krepsininkai/" TargetMode="External"/><Relationship Id="rId170" Type="http://schemas.openxmlformats.org/officeDocument/2006/relationships/hyperlink" Target="https://statymugidas.com/sportas/krepsinis/daugiausiai-uzdirbantys-zalgirio-krepsininkai/" TargetMode="External"/><Relationship Id="rId165" Type="http://schemas.openxmlformats.org/officeDocument/2006/relationships/hyperlink" Target="https://statymugidas.com/sportas/krepsinis/daugiausiai-uzdirbantys-zalgirio-krepsininkai/" TargetMode="External"/><Relationship Id="rId164" Type="http://schemas.openxmlformats.org/officeDocument/2006/relationships/hyperlink" Target="https://statymugidas.com/sportas/krepsinis/daugiausiai-uzdirbantys-zalgirio-krepsininkai/" TargetMode="External"/><Relationship Id="rId163" Type="http://schemas.openxmlformats.org/officeDocument/2006/relationships/hyperlink" Target="https://statymugidas.com/sportas/krepsinis/daugiausiai-uzdirbantys-zalgirio-krepsininkai/" TargetMode="External"/><Relationship Id="rId162" Type="http://schemas.openxmlformats.org/officeDocument/2006/relationships/hyperlink" Target="https://statymugidas.com/sportas/krepsinis/daugiausiai-uzdirbantys-zalgirio-krepsininkai/" TargetMode="External"/><Relationship Id="rId169" Type="http://schemas.openxmlformats.org/officeDocument/2006/relationships/hyperlink" Target="https://statymugidas.com/sportas/krepsinis/daugiausiai-uzdirbantys-zalgirio-krepsininkai/" TargetMode="External"/><Relationship Id="rId168" Type="http://schemas.openxmlformats.org/officeDocument/2006/relationships/hyperlink" Target="https://statymugidas.com/sportas/krepsinis/daugiausiai-uzdirbantys-zalgirio-krepsininkai/" TargetMode="External"/><Relationship Id="rId167" Type="http://schemas.openxmlformats.org/officeDocument/2006/relationships/hyperlink" Target="https://statymugidas.com/sportas/krepsinis/daugiausiai-uzdirbantys-zalgirio-krepsininkai/" TargetMode="External"/><Relationship Id="rId166" Type="http://schemas.openxmlformats.org/officeDocument/2006/relationships/hyperlink" Target="https://statymugidas.com/sportas/krepsinis/daugiausiai-uzdirbantys-zalgirio-krepsininkai/" TargetMode="External"/><Relationship Id="rId161" Type="http://schemas.openxmlformats.org/officeDocument/2006/relationships/hyperlink" Target="https://statymugidas.com/sportas/krepsinis/daugiausiai-uzdirbantys-zalgirio-krepsininkai/" TargetMode="External"/><Relationship Id="rId160" Type="http://schemas.openxmlformats.org/officeDocument/2006/relationships/hyperlink" Target="https://statymugidas.com/sportas/krepsinis/daugiausiai-uzdirbantys-zalgirio-krepsininkai/" TargetMode="External"/><Relationship Id="rId159" Type="http://schemas.openxmlformats.org/officeDocument/2006/relationships/hyperlink" Target="https://www.basketnews.lt/news-245810-kiek-uzdirba-brangiausi-fenerbahce-ir-zalgirio-zaidejai.html" TargetMode="External"/><Relationship Id="rId154" Type="http://schemas.openxmlformats.org/officeDocument/2006/relationships/hyperlink" Target="https://www.15min.lt/24sek/naujiena/lietuva/vertinami-ir-svetur-ir-lietuvoje-geriausiai-apmokamu-lietuvos-krepsininku-top-30-875-1641654" TargetMode="External"/><Relationship Id="rId153" Type="http://schemas.openxmlformats.org/officeDocument/2006/relationships/hyperlink" Target="https://www.15min.lt/24sek/naujiena/lietuva/vertinami-ir-svetur-ir-lietuvoje-geriausiai-apmokamu-lietuvos-krepsininku-top-30-875-1641654" TargetMode="External"/><Relationship Id="rId152" Type="http://schemas.openxmlformats.org/officeDocument/2006/relationships/hyperlink" Target="https://www.15min.lt/24sek/naujiena/lietuva/vertinami-ir-svetur-ir-lietuvoje-geriausiai-apmokamu-lietuvos-krepsininku-top-30-875-1641654" TargetMode="External"/><Relationship Id="rId151" Type="http://schemas.openxmlformats.org/officeDocument/2006/relationships/hyperlink" Target="https://www.krepsinis.net/naujiena/10-daugiausiai-uzdirbanciu-lietuviu-kurie-rungtyniauja-uzsienyje/316621" TargetMode="External"/><Relationship Id="rId158" Type="http://schemas.openxmlformats.org/officeDocument/2006/relationships/hyperlink" Target="https://www.krepsinis.net/naujiena/10-lkl-zaidzianciu-lietuviu-kurie-uzdirba-daugiausiai/248876" TargetMode="External"/><Relationship Id="rId157" Type="http://schemas.openxmlformats.org/officeDocument/2006/relationships/hyperlink" Target="https://www.15min.lt/24sek/naujiena/lietuva/vertinami-ir-svetur-ir-lietuvoje-geriausiai-apmokamu-lietuvos-krepsininku-top-30-875-1641654" TargetMode="External"/><Relationship Id="rId156" Type="http://schemas.openxmlformats.org/officeDocument/2006/relationships/hyperlink" Target="https://www.15min.lt/24sek/naujiena/lietuva/vertinami-ir-svetur-ir-lietuvoje-geriausiai-apmokamu-lietuvos-krepsininku-top-30-875-1641654" TargetMode="External"/><Relationship Id="rId155" Type="http://schemas.openxmlformats.org/officeDocument/2006/relationships/hyperlink" Target="https://www.15min.lt/24sek/naujiena/lietuva/vertinami-ir-svetur-ir-lietuvoje-geriausiai-apmokamu-lietuvos-krepsininku-top-30-875-1641654" TargetMode="External"/><Relationship Id="rId1972" Type="http://schemas.openxmlformats.org/officeDocument/2006/relationships/hyperlink" Target="https://x.com/FenerHoopsTr/status/2071911133326299187" TargetMode="External"/><Relationship Id="rId1973" Type="http://schemas.openxmlformats.org/officeDocument/2006/relationships/hyperlink" Target="https://x.com/tuysuzilhan/status/2071919012603216211" TargetMode="External"/><Relationship Id="rId1974" Type="http://schemas.openxmlformats.org/officeDocument/2006/relationships/hyperlink" Target="https://x.com/TSBasket/status/2063298994915205579" TargetMode="External"/><Relationship Id="rId1975" Type="http://schemas.openxmlformats.org/officeDocument/2006/relationships/hyperlink" Target="https://x.com/Andrea__Calzoni/status/2071965149280313761" TargetMode="External"/><Relationship Id="rId1976" Type="http://schemas.openxmlformats.org/officeDocument/2006/relationships/hyperlink" Target="https://x.com/karusito83/status/2071564062194909406" TargetMode="External"/><Relationship Id="rId1977" Type="http://schemas.openxmlformats.org/officeDocument/2006/relationships/hyperlink" Target="https://x.com/karusito83/status/2071564062194909406" TargetMode="External"/><Relationship Id="rId1978" Type="http://schemas.openxmlformats.org/officeDocument/2006/relationships/hyperlink" Target="https://x.com/karusito83/status/2071564062194909406" TargetMode="External"/><Relationship Id="rId1979" Type="http://schemas.openxmlformats.org/officeDocument/2006/relationships/hyperlink" Target="https://x.com/karusito83/status/2071564062194909406" TargetMode="External"/><Relationship Id="rId1970" Type="http://schemas.openxmlformats.org/officeDocument/2006/relationships/hyperlink" Target="https://x.com/alphancoskunn/status/2071919169986081201" TargetMode="External"/><Relationship Id="rId1971" Type="http://schemas.openxmlformats.org/officeDocument/2006/relationships/hyperlink" Target="https://x.com/alphancoskunn/status/2071919169986081201" TargetMode="External"/><Relationship Id="rId1961" Type="http://schemas.openxmlformats.org/officeDocument/2006/relationships/hyperlink" Target="https://www.susijengi.com/susijengin-salin-kertoo-uutuuskirjassa-kuinka-vahan-tienasi-uransa-alkutaipeleella/" TargetMode="External"/><Relationship Id="rId1962" Type="http://schemas.openxmlformats.org/officeDocument/2006/relationships/hyperlink" Target="https://www.susijengi.com/susijengin-salin-kertoo-uutuuskirjassa-kuinka-vahan-tienasi-uransa-alkutaipeleella/" TargetMode="External"/><Relationship Id="rId1963" Type="http://schemas.openxmlformats.org/officeDocument/2006/relationships/hyperlink" Target="https://www.susijengi.com/susijengin-salin-kertoo-uutuuskirjassa-kuinka-vahan-tienasi-uransa-alkutaipeleella/" TargetMode="External"/><Relationship Id="rId1964" Type="http://schemas.openxmlformats.org/officeDocument/2006/relationships/hyperlink" Target="https://rerererarara.net/angel-delgado--173526" TargetMode="External"/><Relationship Id="rId1965" Type="http://schemas.openxmlformats.org/officeDocument/2006/relationships/hyperlink" Target="https://eksisozluk.com/entry/169226679" TargetMode="External"/><Relationship Id="rId1966" Type="http://schemas.openxmlformats.org/officeDocument/2006/relationships/hyperlink" Target="https://eksisozluk.com/entry/169226679" TargetMode="External"/><Relationship Id="rId1967" Type="http://schemas.openxmlformats.org/officeDocument/2006/relationships/hyperlink" Target="https://eksisozluk.com/entry/169226679" TargetMode="External"/><Relationship Id="rId1968" Type="http://schemas.openxmlformats.org/officeDocument/2006/relationships/hyperlink" Target="https://x.com/Andrea__Calzoni/status/2071857299216343500" TargetMode="External"/><Relationship Id="rId1969" Type="http://schemas.openxmlformats.org/officeDocument/2006/relationships/hyperlink" Target="https://www.diariosur.es/unicaja/competencia-nunca-unicaja-20260628120526-nt.html" TargetMode="External"/><Relationship Id="rId1960" Type="http://schemas.openxmlformats.org/officeDocument/2006/relationships/hyperlink" Target="https://www.is.fi/koripallo/art-2000010460737.html" TargetMode="External"/><Relationship Id="rId1510" Type="http://schemas.openxmlformats.org/officeDocument/2006/relationships/hyperlink" Target="https://www.eurohoops.net/en/trademarks/1240837/the-top-10-euroleague-salaries-of-2021-22/12/" TargetMode="External"/><Relationship Id="rId1994" Type="http://schemas.openxmlformats.org/officeDocument/2006/relationships/hyperlink" Target="https://www.pianetabasket.com/legabasket-serie-a/mercato-lba-la-prealpina-nkamhoua-ci-dice-che-l-ojm-e-piu-ricca-335279" TargetMode="External"/><Relationship Id="rId1511" Type="http://schemas.openxmlformats.org/officeDocument/2006/relationships/hyperlink" Target="https://www.ice.co.il/research/news/article/826087" TargetMode="External"/><Relationship Id="rId1995" Type="http://schemas.openxmlformats.org/officeDocument/2006/relationships/hyperlink" Target="https://www.backdoorpodcast.com/openjobmetis-varese-futuro-dei-6-stranieri/" TargetMode="External"/><Relationship Id="rId1512" Type="http://schemas.openxmlformats.org/officeDocument/2006/relationships/hyperlink" Target="https://x.com/ZervasNikolaos/status/886853788388253696" TargetMode="External"/><Relationship Id="rId1996" Type="http://schemas.openxmlformats.org/officeDocument/2006/relationships/hyperlink" Target="https://x.com/hizlihucum/status/2066513555772375327" TargetMode="External"/><Relationship Id="rId1513" Type="http://schemas.openxmlformats.org/officeDocument/2006/relationships/hyperlink" Target="https://x.com/ZakkasGeorge/status/1383106495345258499" TargetMode="External"/><Relationship Id="rId1997" Type="http://schemas.openxmlformats.org/officeDocument/2006/relationships/hyperlink" Target="https://www.pianetabasket.com/eurocup-fiba-europe-cup/ufficiale-ec-colpaccio-bahcesehir-dalla-nba-preso-malachi-flynn-333603" TargetMode="External"/><Relationship Id="rId1514" Type="http://schemas.openxmlformats.org/officeDocument/2006/relationships/hyperlink" Target="https://x.com/ZakkasGeorge/status/1383106495345258499" TargetMode="External"/><Relationship Id="rId1998" Type="http://schemas.openxmlformats.org/officeDocument/2006/relationships/hyperlink" Target="https://www.backdoorpodcast.com/varese-carlos-stewart-rinnovo-lba-mercato/" TargetMode="External"/><Relationship Id="rId1515" Type="http://schemas.openxmlformats.org/officeDocument/2006/relationships/hyperlink" Target="https://x.com/ZakkasGeorge/status/1383106492778287107" TargetMode="External"/><Relationship Id="rId1999" Type="http://schemas.openxmlformats.org/officeDocument/2006/relationships/hyperlink" Target="https://www.backdoorpodcast.com/openjobmetis-varese-futuro-dei-6-stranieri/" TargetMode="External"/><Relationship Id="rId1516" Type="http://schemas.openxmlformats.org/officeDocument/2006/relationships/hyperlink" Target="https://x.com/ZakkasGeorge/status/1383106498792992768" TargetMode="External"/><Relationship Id="rId1517" Type="http://schemas.openxmlformats.org/officeDocument/2006/relationships/hyperlink" Target="https://x.com/ZakkasGeorge/status/1383106503503142916" TargetMode="External"/><Relationship Id="rId1518" Type="http://schemas.openxmlformats.org/officeDocument/2006/relationships/hyperlink" Target="https://www.krepsinis.net/naujiena/atskleistas-d-radonjiciaus-atlyginimas/308300" TargetMode="External"/><Relationship Id="rId1519" Type="http://schemas.openxmlformats.org/officeDocument/2006/relationships/hyperlink" Target="https://www.sport5.co.il/articles.aspx?FolderID=274&amp;docID=292934" TargetMode="External"/><Relationship Id="rId1990" Type="http://schemas.openxmlformats.org/officeDocument/2006/relationships/hyperlink" Target="https://www.israelhayom.co.il/sport/israeli-basketball/article/21157555" TargetMode="External"/><Relationship Id="rId1991" Type="http://schemas.openxmlformats.org/officeDocument/2006/relationships/hyperlink" Target="https://www.pianetabasket.com/legabasket-serie-a/mercato-lba-varese-sykes-verso-l-addio-in-bilico-anche-johnson-323876" TargetMode="External"/><Relationship Id="rId1992" Type="http://schemas.openxmlformats.org/officeDocument/2006/relationships/hyperlink" Target="https://www.pianetabasket.com/legabasket-serie-a/la-prealpina-inadeguata-e-abbandonata-l-ojm-trema-323104" TargetMode="External"/><Relationship Id="rId1993" Type="http://schemas.openxmlformats.org/officeDocument/2006/relationships/hyperlink" Target="https://www.pianetabasket.com/legabasket-serie-a/mercato-lba-varese-esclusa-la-pista-laszewski-verso-la-conferma-bradford-324416" TargetMode="External"/><Relationship Id="rId1983" Type="http://schemas.openxmlformats.org/officeDocument/2006/relationships/hyperlink" Target="https://www.malpensa24.it/openjobmetis-varese-stefan-nikolic-openjobmetis-varese-sempre-piu-vicina-a-stefan-nikolic/" TargetMode="External"/><Relationship Id="rId1500" Type="http://schemas.openxmlformats.org/officeDocument/2006/relationships/hyperlink" Target="https://www.ice.co.il/research/news/article/826087" TargetMode="External"/><Relationship Id="rId1984" Type="http://schemas.openxmlformats.org/officeDocument/2006/relationships/hyperlink" Target="https://x.com/Orshkedy/status/2072744936307405172" TargetMode="External"/><Relationship Id="rId1501" Type="http://schemas.openxmlformats.org/officeDocument/2006/relationships/hyperlink" Target="https://www.ice.co.il/research/news/article/826087" TargetMode="External"/><Relationship Id="rId1985" Type="http://schemas.openxmlformats.org/officeDocument/2006/relationships/hyperlink" Target="https://x.com/AlexDominguezTW/status/2072703782455054551" TargetMode="External"/><Relationship Id="rId1502" Type="http://schemas.openxmlformats.org/officeDocument/2006/relationships/hyperlink" Target="https://www.ice.co.il/research/news/article/826087" TargetMode="External"/><Relationship Id="rId1986" Type="http://schemas.openxmlformats.org/officeDocument/2006/relationships/hyperlink" Target="https://www.sport5.co.il/articles.aspx?FolderID=11840&amp;docID=550546" TargetMode="External"/><Relationship Id="rId1503" Type="http://schemas.openxmlformats.org/officeDocument/2006/relationships/hyperlink" Target="https://www.ice.co.il/research/news/article/826087" TargetMode="External"/><Relationship Id="rId1987" Type="http://schemas.openxmlformats.org/officeDocument/2006/relationships/hyperlink" Target="https://www.sport5.co.il/articles.aspx?FolderID=274&amp;docID=552085" TargetMode="External"/><Relationship Id="rId1504" Type="http://schemas.openxmlformats.org/officeDocument/2006/relationships/hyperlink" Target="https://www.ice.co.il/research/news/article/826087" TargetMode="External"/><Relationship Id="rId1988" Type="http://schemas.openxmlformats.org/officeDocument/2006/relationships/hyperlink" Target="https://www.pianetabasket.com/legabasket-serie-a/mercato-lba-varese-preso-tyus-e-caccia-al-sostituto-di-nico-mannion-314432" TargetMode="External"/><Relationship Id="rId1505" Type="http://schemas.openxmlformats.org/officeDocument/2006/relationships/hyperlink" Target="https://www.ice.co.il/research/news/article/826087" TargetMode="External"/><Relationship Id="rId1989" Type="http://schemas.openxmlformats.org/officeDocument/2006/relationships/hyperlink" Target="https://www.sport5.co.il/articles.aspx?FolderID=11840&amp;docID=518857" TargetMode="External"/><Relationship Id="rId1506" Type="http://schemas.openxmlformats.org/officeDocument/2006/relationships/hyperlink" Target="https://www.ice.co.il/research/news/article/826087" TargetMode="External"/><Relationship Id="rId1507" Type="http://schemas.openxmlformats.org/officeDocument/2006/relationships/hyperlink" Target="https://www.ice.co.il/research/news/article/826087" TargetMode="External"/><Relationship Id="rId1508" Type="http://schemas.openxmlformats.org/officeDocument/2006/relationships/hyperlink" Target="https://www.ice.co.il/research/news/article/826087" TargetMode="External"/><Relationship Id="rId1509" Type="http://schemas.openxmlformats.org/officeDocument/2006/relationships/hyperlink" Target="https://www.ice.co.il/research/news/article/826087" TargetMode="External"/><Relationship Id="rId1980" Type="http://schemas.openxmlformats.org/officeDocument/2006/relationships/hyperlink" Target="https://x.com/Andrea__Calzoni/status/2072396290873274607" TargetMode="External"/><Relationship Id="rId1981" Type="http://schemas.openxmlformats.org/officeDocument/2006/relationships/hyperlink" Target="https://www.pianetabasket.com/legabasket-serie-a/mercato-lba-rivelati-i-dettagli-dei-contratti-di-tote-e-niang-con-milano-e-bologna-349968" TargetMode="External"/><Relationship Id="rId1982" Type="http://schemas.openxmlformats.org/officeDocument/2006/relationships/hyperlink" Target="https://www.pianetabasket.com/legabasket-serie-a/mercato-lba-rivelati-i-dettagli-dei-contratti-di-tote-e-niang-con-milano-e-bologna-349968" TargetMode="External"/><Relationship Id="rId1930" Type="http://schemas.openxmlformats.org/officeDocument/2006/relationships/hyperlink" Target="https://www.eurohoops.net/en/trademarks/2008414/the-top-10-euroleague-salaries-of-2026-27-the-32m-line-is-official/" TargetMode="External"/><Relationship Id="rId1931" Type="http://schemas.openxmlformats.org/officeDocument/2006/relationships/hyperlink" Target="https://www.israelhayom.co.il/sport/israeli-basketball/article/20747392" TargetMode="External"/><Relationship Id="rId1932" Type="http://schemas.openxmlformats.org/officeDocument/2006/relationships/hyperlink" Target="https://m.sport5.co.il/articles.aspx?FolderID=274&amp;docID=548812" TargetMode="External"/><Relationship Id="rId1933" Type="http://schemas.openxmlformats.org/officeDocument/2006/relationships/hyperlink" Target="https://www.athletiko.gr/ayto-einai-to-symvolaio-toy-fransisko-ston-panathinaiko-92567" TargetMode="External"/><Relationship Id="rId1934" Type="http://schemas.openxmlformats.org/officeDocument/2006/relationships/hyperlink" Target="https://x.com/souvess/status/1885219746007699517" TargetMode="External"/><Relationship Id="rId1935" Type="http://schemas.openxmlformats.org/officeDocument/2006/relationships/hyperlink" Target="https://x.com/1907Bros/status/1885233197870391666" TargetMode="External"/><Relationship Id="rId1936" Type="http://schemas.openxmlformats.org/officeDocument/2006/relationships/hyperlink" Target="https://x.com/souvess/status/1885219746007699517" TargetMode="External"/><Relationship Id="rId1937" Type="http://schemas.openxmlformats.org/officeDocument/2006/relationships/hyperlink" Target="https://x.com/1907Bros/status/1885233197870391666" TargetMode="External"/><Relationship Id="rId1938" Type="http://schemas.openxmlformats.org/officeDocument/2006/relationships/hyperlink" Target="https://basketballsphere.com/en/virtus-dusko-ivanovic-carsen-edwards/" TargetMode="External"/><Relationship Id="rId1939" Type="http://schemas.openxmlformats.org/officeDocument/2006/relationships/hyperlink" Target="https://www.pianetabasket.com/legabasket-serie-a/mercato-lba-tom-bialaszewski-resta-sul-libro-paga-di-varese-308063" TargetMode="External"/><Relationship Id="rId1920" Type="http://schemas.openxmlformats.org/officeDocument/2006/relationships/hyperlink" Target="https://x.com/webEncestando/status/2071127409970078155" TargetMode="External"/><Relationship Id="rId1921" Type="http://schemas.openxmlformats.org/officeDocument/2006/relationships/hyperlink" Target="https://x.com/baekpd1983/status/2071138505145930038" TargetMode="External"/><Relationship Id="rId1922" Type="http://schemas.openxmlformats.org/officeDocument/2006/relationships/hyperlink" Target="https://x.com/baekpd1983/status/2071138505145930038" TargetMode="External"/><Relationship Id="rId1923" Type="http://schemas.openxmlformats.org/officeDocument/2006/relationships/hyperlink" Target="https://x.com/baekpd1983/status/2071150169228529698" TargetMode="External"/><Relationship Id="rId1924" Type="http://schemas.openxmlformats.org/officeDocument/2006/relationships/hyperlink" Target="https://x.com/Real_JimmyGreen/status/2071271145324651005" TargetMode="External"/><Relationship Id="rId1925" Type="http://schemas.openxmlformats.org/officeDocument/2006/relationships/hyperlink" Target="https://x.com/KChalvatsiotis/status/2086549753316192434" TargetMode="External"/><Relationship Id="rId1926" Type="http://schemas.openxmlformats.org/officeDocument/2006/relationships/hyperlink" Target="https://x.com/hizlihucum/status/2071141557214851509" TargetMode="External"/><Relationship Id="rId1927" Type="http://schemas.openxmlformats.org/officeDocument/2006/relationships/hyperlink" Target="https://x.com/karusito83/status/2076345663726506040" TargetMode="External"/><Relationship Id="rId1928" Type="http://schemas.openxmlformats.org/officeDocument/2006/relationships/hyperlink" Target="https://x.com/hizlihucum/status/2070379026775241168" TargetMode="External"/><Relationship Id="rId1929" Type="http://schemas.openxmlformats.org/officeDocument/2006/relationships/hyperlink" Target="https://x.com/euroleague_time/status/2070090623839879304" TargetMode="External"/><Relationship Id="rId1950" Type="http://schemas.openxmlformats.org/officeDocument/2006/relationships/hyperlink" Target="https://www.bolognabasket.org/news/281185521158/virtus-dopo-zizic-si-attende-l-uscita-di-clyburn" TargetMode="External"/><Relationship Id="rId1951" Type="http://schemas.openxmlformats.org/officeDocument/2006/relationships/hyperlink" Target="https://www.bolognabasket.org/news/366212451846/la-virtus-ultima-in-eurolega-dopo-un-mese-di-stagione-la-necessita-di-rimediare" TargetMode="External"/><Relationship Id="rId1952" Type="http://schemas.openxmlformats.org/officeDocument/2006/relationships/hyperlink" Target="https://www.bolognabasket.org/news/84086787590/virtus-il-punto-sul-mercato-shengelia-e-abass-i-nodi-principali" TargetMode="External"/><Relationship Id="rId1953" Type="http://schemas.openxmlformats.org/officeDocument/2006/relationships/hyperlink" Target="https://www.pokerstarsnews.it/basket/trapani-shark-mercato/103983/" TargetMode="External"/><Relationship Id="rId1954" Type="http://schemas.openxmlformats.org/officeDocument/2006/relationships/hyperlink" Target="https://www.pianetabasket.com/legabasket-serie-a/mercato-lba-tom-bialaszewski-resta-sul-libro-paga-di-varese-308063" TargetMode="External"/><Relationship Id="rId1955" Type="http://schemas.openxmlformats.org/officeDocument/2006/relationships/hyperlink" Target="https://www.gsgazete.com/angel-delgado-galatasaray-ekmasa-transfer-oldu" TargetMode="External"/><Relationship Id="rId1956" Type="http://schemas.openxmlformats.org/officeDocument/2006/relationships/hyperlink" Target="https://baschet.ro/articole/international/u-bt-cluj-napoca-aduce-clarificari-referitoare-la-remuneratia-oferita-lui-sasu-salin" TargetMode="External"/><Relationship Id="rId1957" Type="http://schemas.openxmlformats.org/officeDocument/2006/relationships/hyperlink" Target="https://www.seiska.fi/kotimaa/yli-300-000-euron-palkka-koripallotahti-sasu-salin-asuu-malagassa-meren-lahella-rahaa-on-jaanyt-saastoon/621468" TargetMode="External"/><Relationship Id="rId1958" Type="http://schemas.openxmlformats.org/officeDocument/2006/relationships/hyperlink" Target="https://www.seiska.fi/kotimaa/sasu-salin-tienaa-miljoonia-koripallokentilla-nain-susijengin-kapteeni-sijoittaa-rahojaan-yksi-hankinta-kutkuttaa/157789" TargetMode="External"/><Relationship Id="rId1959" Type="http://schemas.openxmlformats.org/officeDocument/2006/relationships/hyperlink" Target="https://www.seiska.fi/kotimaa/sasu-salin-tienaa-miljoonia-koripallokentilla-nain-susijengin-kapteeni-sijoittaa-rahojaan-yksi-hankinta-kutkuttaa/157789" TargetMode="External"/><Relationship Id="rId1940" Type="http://schemas.openxmlformats.org/officeDocument/2006/relationships/hyperlink" Target="https://www.backdoorpodcast.com/varese-marko-simonovic-mercato-lba/" TargetMode="External"/><Relationship Id="rId1941" Type="http://schemas.openxmlformats.org/officeDocument/2006/relationships/hyperlink" Target="https://x.com/Andrea__Calzoni/status/1818915721838989360" TargetMode="External"/><Relationship Id="rId1942" Type="http://schemas.openxmlformats.org/officeDocument/2006/relationships/hyperlink" Target="https://www.pianetabasket.com/legabasket-serie-a/mercato-nba-nico-mannion-oggi-scade-l-escape-nba-ma-sara-ancora-varese-306923" TargetMode="External"/><Relationship Id="rId1943" Type="http://schemas.openxmlformats.org/officeDocument/2006/relationships/hyperlink" Target="https://www.pianetabasket.com/europa/mercato-lnb-akobundu-ehiogu-l-ex-varese-fa-la-summer-league-e-poi-va-a-digione-335614" TargetMode="External"/><Relationship Id="rId1944" Type="http://schemas.openxmlformats.org/officeDocument/2006/relationships/hyperlink" Target="https://www.pianetabasket.com/legabasket-serie-a/mercato-lba-varese-i-dettagli-dell-accordo-con-jaylen-hands-305235" TargetMode="External"/><Relationship Id="rId1945" Type="http://schemas.openxmlformats.org/officeDocument/2006/relationships/hyperlink" Target="https://sport.888casino.it/blog/stipendi-virtus-bologna" TargetMode="External"/><Relationship Id="rId1946" Type="http://schemas.openxmlformats.org/officeDocument/2006/relationships/hyperlink" Target="https://sportando.basketball/giornale-di-sicilia-trapani-shark-ai-dettagli-con-john-petrucelli/" TargetMode="External"/><Relationship Id="rId1947" Type="http://schemas.openxmlformats.org/officeDocument/2006/relationships/hyperlink" Target="https://www.bresciacanestro.com/2024/06/28/pazza-offerta-di-trapani-per-petrucelli-antonini-pronto-a-pagare-il-buyout-a-brescia-e-un-ingaggio-faraonico-al-giocatore/" TargetMode="External"/><Relationship Id="rId1948" Type="http://schemas.openxmlformats.org/officeDocument/2006/relationships/hyperlink" Target="https://www.bresciacanestro.com/2024/06/28/pazza-offerta-di-trapani-per-petrucelli-antonini-pronto-a-pagare-il-buyout-a-brescia-e-un-ingaggio-faraonico-al-giocatore/" TargetMode="External"/><Relationship Id="rId1949" Type="http://schemas.openxmlformats.org/officeDocument/2006/relationships/hyperlink" Target="https://www.bolognabasket.org/news/84086787590/virtus-il-punto-sul-mercato-shengelia-e-abass-i-nodi-principali" TargetMode="External"/><Relationship Id="rId1576" Type="http://schemas.openxmlformats.org/officeDocument/2006/relationships/hyperlink" Target="https://piratasdelbasket.net/el-unicaja-malaga-cerrara-el-fichaje-de-olek-balcerowski" TargetMode="External"/><Relationship Id="rId1577" Type="http://schemas.openxmlformats.org/officeDocument/2006/relationships/hyperlink" Target="https://www.bebasket.fr/face-aux-difficultes-financieres-de-lasvel-le-coach-tony-parker-aurait-divise-son-salaire-par-cinq" TargetMode="External"/><Relationship Id="rId1578" Type="http://schemas.openxmlformats.org/officeDocument/2006/relationships/hyperlink" Target="https://www.reddit.com/r/Euroleague/comments/uix0hy/comment/i7q2ts5/" TargetMode="External"/><Relationship Id="rId1579" Type="http://schemas.openxmlformats.org/officeDocument/2006/relationships/hyperlink" Target="https://www.israelhayom.co.il/sport/israeli-basketball/article/16015710" TargetMode="External"/><Relationship Id="rId509" Type="http://schemas.openxmlformats.org/officeDocument/2006/relationships/hyperlink" Target="https://www.basketnews.lt/news-133679-geriausiai-apmokami-lkl-zaidejai-desimt-brangiausiuju-zalgiryje.html" TargetMode="External"/><Relationship Id="rId508" Type="http://schemas.openxmlformats.org/officeDocument/2006/relationships/hyperlink" Target="https://www.basketnews.lt/news-198340-didziausios-lkl-algos-22-11-vietos.html" TargetMode="External"/><Relationship Id="rId503" Type="http://schemas.openxmlformats.org/officeDocument/2006/relationships/hyperlink" Target="https://www.basketnews.lt/news-166796-labiausiai-verte-pasikele-lkl-zaidejai-dabartine-alga-ir-ko-tiketis-vasara.html" TargetMode="External"/><Relationship Id="rId987" Type="http://schemas.openxmlformats.org/officeDocument/2006/relationships/hyperlink" Target="https://www.krepsinis.net/naujiena/top-14-brangiausi-sio-sezono-eurolygos-zaidejai/330325" TargetMode="External"/><Relationship Id="rId502" Type="http://schemas.openxmlformats.org/officeDocument/2006/relationships/hyperlink" Target="https://www.basketnews.lt/news-166796-labiausiai-verte-pasikele-lkl-zaidejai-dabartine-alga-ir-ko-tiketis-vasara.html" TargetMode="External"/><Relationship Id="rId986" Type="http://schemas.openxmlformats.org/officeDocument/2006/relationships/hyperlink" Target="https://www.krepsinis.net/naujiena/top-14-brangiausi-sio-sezono-eurolygos-zaidejai/330325" TargetMode="External"/><Relationship Id="rId501" Type="http://schemas.openxmlformats.org/officeDocument/2006/relationships/hyperlink" Target="https://www.basketnews.lt/news-166796-labiausiai-verte-pasikele-lkl-zaidejai-dabartine-alga-ir-ko-tiketis-vasara.html" TargetMode="External"/><Relationship Id="rId985" Type="http://schemas.openxmlformats.org/officeDocument/2006/relationships/hyperlink" Target="https://www.krepsinis.net/naujiena/top-14-brangiausi-sio-sezono-eurolygos-zaidejai/330325" TargetMode="External"/><Relationship Id="rId500" Type="http://schemas.openxmlformats.org/officeDocument/2006/relationships/hyperlink" Target="https://www.basketnews.lt/news-187174-labiausiai-verte-pasikele-lkl-zaidejai-dabartine-alga-ir-ko-tiketis-vasara.html" TargetMode="External"/><Relationship Id="rId984" Type="http://schemas.openxmlformats.org/officeDocument/2006/relationships/hyperlink" Target="https://cronicaglobal.elespanol.com/culemania/secciones/20240731/laporta-apuesta-barca-de-los-salarios-jugadores/874412684_0.html" TargetMode="External"/><Relationship Id="rId507" Type="http://schemas.openxmlformats.org/officeDocument/2006/relationships/hyperlink" Target="https://www.basketnews.lt/news-166796-labiausiai-verte-pasikele-lkl-zaidejai-dabartine-alga-ir-ko-tiketis-vasara.html" TargetMode="External"/><Relationship Id="rId506" Type="http://schemas.openxmlformats.org/officeDocument/2006/relationships/hyperlink" Target="https://www.basketnews.lt/news-198340-didziausios-lkl-algos-22-11-vietos.html" TargetMode="External"/><Relationship Id="rId505" Type="http://schemas.openxmlformats.org/officeDocument/2006/relationships/hyperlink" Target="https://www.15min.lt/24sek/naujiena/europa/astuoniskart-alga-pasikeles-lietkabelio-graikas-pakeliui-i-eurolyga-874-1742610" TargetMode="External"/><Relationship Id="rId989" Type="http://schemas.openxmlformats.org/officeDocument/2006/relationships/hyperlink" Target="https://www.krepsinis.net/naujiena/top-14-brangiausi-sio-sezono-eurolygos-zaidejai/330325" TargetMode="External"/><Relationship Id="rId504" Type="http://schemas.openxmlformats.org/officeDocument/2006/relationships/hyperlink" Target="https://www.basketnews.lt/news-166796-labiausiai-verte-pasikele-lkl-zaidejai-dabartine-alga-ir-ko-tiketis-vasara.html" TargetMode="External"/><Relationship Id="rId988" Type="http://schemas.openxmlformats.org/officeDocument/2006/relationships/hyperlink" Target="https://www.krepsinis.net/naujiena/top-14-brangiausi-sio-sezono-eurolygos-zaidejai/330325" TargetMode="External"/><Relationship Id="rId1570" Type="http://schemas.openxmlformats.org/officeDocument/2006/relationships/hyperlink" Target="https://www.israelhayom.co.il/sport/israeli-basketball/article/15701913" TargetMode="External"/><Relationship Id="rId1571" Type="http://schemas.openxmlformats.org/officeDocument/2006/relationships/hyperlink" Target="https://www.israelhayom.co.il/sport/israeli-basketball/article/15701913" TargetMode="External"/><Relationship Id="rId983" Type="http://schemas.openxmlformats.org/officeDocument/2006/relationships/hyperlink" Target="https://x.com/arbarkas/status/1677316646887645189" TargetMode="External"/><Relationship Id="rId1572" Type="http://schemas.openxmlformats.org/officeDocument/2006/relationships/hyperlink" Target="https://x.com/alex30mp/status/1830622443402084731" TargetMode="External"/><Relationship Id="rId982" Type="http://schemas.openxmlformats.org/officeDocument/2006/relationships/hyperlink" Target="https://realolimpiamilano.com/2026/08/26/top-10-stipendi-olimpia-milano-era-ettore-messina/10/" TargetMode="External"/><Relationship Id="rId1573" Type="http://schemas.openxmlformats.org/officeDocument/2006/relationships/hyperlink" Target="https://basketnews.com/news-192621-aleksander-balcerowski-officially-joins-panathinaikos.html" TargetMode="External"/><Relationship Id="rId981" Type="http://schemas.openxmlformats.org/officeDocument/2006/relationships/hyperlink" Target="https://www.dnevnik.rs/sport/kosarka/partizan-suspendovan-zbog-duga-prema-panteru-oglasili-crno-beli-evo-sta-su-porucili-2026-04-13" TargetMode="External"/><Relationship Id="rId1574" Type="http://schemas.openxmlformats.org/officeDocument/2006/relationships/hyperlink" Target="https://www.sdna.gr/mpasket/1106492_mpike-nba-out-ypsoys-1-ekat-eyro-sto-symbolaio-panathinaikoy-mpaltserofski" TargetMode="External"/><Relationship Id="rId980" Type="http://schemas.openxmlformats.org/officeDocument/2006/relationships/hyperlink" Target="https://www.krepsinis.net/naujiena/top-14-brangiausi-sio-sezono-eurolygos-zaidejai/330325" TargetMode="External"/><Relationship Id="rId1575" Type="http://schemas.openxmlformats.org/officeDocument/2006/relationships/hyperlink" Target="https://x.com/alex30mp/status/1830622443402084731" TargetMode="External"/><Relationship Id="rId1565" Type="http://schemas.openxmlformats.org/officeDocument/2006/relationships/hyperlink" Target="https://x.com/matty_vanpersie/status/1403317389622710275" TargetMode="External"/><Relationship Id="rId1566" Type="http://schemas.openxmlformats.org/officeDocument/2006/relationships/hyperlink" Target="https://x.com/matty_vanpersie/status/1403317389622710275" TargetMode="External"/><Relationship Id="rId1567" Type="http://schemas.openxmlformats.org/officeDocument/2006/relationships/hyperlink" Target="https://x.com/karusito83/status/2071564062194909406" TargetMode="External"/><Relationship Id="rId1568" Type="http://schemas.openxmlformats.org/officeDocument/2006/relationships/hyperlink" Target="https://x.com/DAlessandro_LU/status/1848727387866878078" TargetMode="External"/><Relationship Id="rId1569" Type="http://schemas.openxmlformats.org/officeDocument/2006/relationships/hyperlink" Target="https://www.israelhayom.co.il/sport/israeli-basketball/article/15701913" TargetMode="External"/><Relationship Id="rId976" Type="http://schemas.openxmlformats.org/officeDocument/2006/relationships/hyperlink" Target="https://piratasdelbasket.net/acb-los-contratos-mas-elevados-de-la-liga-endesa" TargetMode="External"/><Relationship Id="rId975" Type="http://schemas.openxmlformats.org/officeDocument/2006/relationships/hyperlink" Target="https://www.krepsinis.net/naujiena/top-10-kurie-eurolygos-zaidejai-susizeria-daugiausiai-pinigu/347320" TargetMode="External"/><Relationship Id="rId974" Type="http://schemas.openxmlformats.org/officeDocument/2006/relationships/hyperlink" Target="https://x.com/AlessandroMagg4/status/1921943448766042420" TargetMode="External"/><Relationship Id="rId973" Type="http://schemas.openxmlformats.org/officeDocument/2006/relationships/hyperlink" Target="https://www.krepsinis.net/naujiena/top-10-kurie-eurolygos-zaidejai-susizeria-daugiausiai-pinigu/347320" TargetMode="External"/><Relationship Id="rId979" Type="http://schemas.openxmlformats.org/officeDocument/2006/relationships/hyperlink" Target="https://www.krepsinis.net/naujiena/top-14-brangiausi-sio-sezono-eurolygos-zaidejai/330325" TargetMode="External"/><Relationship Id="rId978" Type="http://schemas.openxmlformats.org/officeDocument/2006/relationships/hyperlink" Target="https://www.krepsinis.net/naujiena/top-14-brangiausi-sio-sezono-eurolygos-zaidejai/330325" TargetMode="External"/><Relationship Id="rId977" Type="http://schemas.openxmlformats.org/officeDocument/2006/relationships/hyperlink" Target="https://www.eurohoops.net/en/trademarks/1871980/the-top-10-euroleague-salaries-of-2025-26-higher-than-ever/" TargetMode="External"/><Relationship Id="rId1560" Type="http://schemas.openxmlformats.org/officeDocument/2006/relationships/hyperlink" Target="https://basketnews.com/news-181996-crvena-zvezda-offer-a-18-million-deal-to-facundo-campazzo.html" TargetMode="External"/><Relationship Id="rId972" Type="http://schemas.openxmlformats.org/officeDocument/2006/relationships/hyperlink" Target="https://www.krepsinis.net/naujiena/paviesinti-crvena-zvezda-zaideju-atlyginimai-visus-nustebino-m-bjelicos-uzdarbis/276658" TargetMode="External"/><Relationship Id="rId1561" Type="http://schemas.openxmlformats.org/officeDocument/2006/relationships/hyperlink" Target="https://x.com/matty_vanpersie/status/1547946040870940674" TargetMode="External"/><Relationship Id="rId971" Type="http://schemas.openxmlformats.org/officeDocument/2006/relationships/hyperlink" Target="https://www.krepsinis.net/naujiena/paviesinti-crvena-zvezda-zaideju-atlyginimai-visus-nustebino-m-bjelicos-uzdarbis/276658" TargetMode="External"/><Relationship Id="rId1562" Type="http://schemas.openxmlformats.org/officeDocument/2006/relationships/hyperlink" Target="https://www.reddit.com/r/Euroleague/comments/1lhnf09/ioannis_papapetrou_retires_at_31/" TargetMode="External"/><Relationship Id="rId970" Type="http://schemas.openxmlformats.org/officeDocument/2006/relationships/hyperlink" Target="https://www.krepsinis.net/naujiena/paviesinti-crvena-zvezda-zaideju-atlyginimai-visus-nustebino-m-bjelicos-uzdarbis/276658" TargetMode="External"/><Relationship Id="rId1563" Type="http://schemas.openxmlformats.org/officeDocument/2006/relationships/hyperlink" Target="https://x.com/matty_vanpersie/status/1544602413537148928" TargetMode="External"/><Relationship Id="rId1564" Type="http://schemas.openxmlformats.org/officeDocument/2006/relationships/hyperlink" Target="https://x.com/matty_vanpersie/status/1544602413537148928" TargetMode="External"/><Relationship Id="rId1114" Type="http://schemas.openxmlformats.org/officeDocument/2006/relationships/hyperlink" Target="https://x.com/Andrea__Calzoni/status/2062106110815866897" TargetMode="External"/><Relationship Id="rId1598" Type="http://schemas.openxmlformats.org/officeDocument/2006/relationships/hyperlink" Target="https://x.com/yakovmeir1/status/1553636789386100737" TargetMode="External"/><Relationship Id="rId1115" Type="http://schemas.openxmlformats.org/officeDocument/2006/relationships/hyperlink" Target="https://www.gazzetta.gr/basketball/basket-league/2547140/paok-igemoniko-symbolaio-toy-kalathi" TargetMode="External"/><Relationship Id="rId1599" Type="http://schemas.openxmlformats.org/officeDocument/2006/relationships/hyperlink" Target="https://www.israelhayom.co.il/sport/israeli-basketball/article/12574969" TargetMode="External"/><Relationship Id="rId1116" Type="http://schemas.openxmlformats.org/officeDocument/2006/relationships/hyperlink" Target="https://paokbasket.gr/mozzartsport-afto-ine-to-chriso-simvoleo-tou-kalathi-ston-paok/" TargetMode="External"/><Relationship Id="rId1117" Type="http://schemas.openxmlformats.org/officeDocument/2006/relationships/hyperlink" Target="https://www.gazzetta.gr/basketball/basket-league/2226908/aris-diazygio-me-ton-netzipogloy-itan-dedomeno-apo-kairo-kai-den" TargetMode="External"/><Relationship Id="rId1118" Type="http://schemas.openxmlformats.org/officeDocument/2006/relationships/hyperlink" Target="https://www.tv3.lt/naujiena/sportas/atlyginimai-kaip-ant-delno-kiek-uzdirba-kiekvienas-lietuvos-rinktines-dvyliktuko-narys-n1253983" TargetMode="External"/><Relationship Id="rId1119" Type="http://schemas.openxmlformats.org/officeDocument/2006/relationships/hyperlink" Target="https://www.tv3.lt/naujiena/sportas/suskaiciavome-stai-kiek-per-menesi-uzdirba-kiekvienas-lietuvos-rinktines-narys-n1349237" TargetMode="External"/><Relationship Id="rId525" Type="http://schemas.openxmlformats.org/officeDocument/2006/relationships/hyperlink" Target="https://www.krepsinis.net/naujiena/top-15-daugiausiai-uzdirbantys-lietuvos-krepsininkai-ir-s-jasikevicius/327158" TargetMode="External"/><Relationship Id="rId524" Type="http://schemas.openxmlformats.org/officeDocument/2006/relationships/hyperlink" Target="https://www.krepsinis.net/naujiena/10-uzsienyje-zaidzianciu-lietuviu-kurie-uzdirba-daugiausiai/308899" TargetMode="External"/><Relationship Id="rId523" Type="http://schemas.openxmlformats.org/officeDocument/2006/relationships/hyperlink" Target="https://www.krepsinis.net/naujiena/top-15-daugiausiai-uzdirbantys-lietuvos-krepsininkai-ir-s-jasikevicius/327158" TargetMode="External"/><Relationship Id="rId522" Type="http://schemas.openxmlformats.org/officeDocument/2006/relationships/hyperlink" Target="https://www.krepsinis.net/naujiena/top-15-daugiausiai-uzdirbantys-lietuvos-krepsininkai-ir-s-jasikevicius/327158" TargetMode="External"/><Relationship Id="rId529" Type="http://schemas.openxmlformats.org/officeDocument/2006/relationships/hyperlink" Target="https://www.15min.lt/naujiena/prenumerata/ivykiai/top-5-geriausiai-europoje-apmokami-lietuvos-krepsininkai-1226-1369892" TargetMode="External"/><Relationship Id="rId528" Type="http://schemas.openxmlformats.org/officeDocument/2006/relationships/hyperlink" Target="https://www.krepsinis.net/naujiena/10-uzsienyje-rungtyniaujanciu-lietuviu-kurie-uzdirba-daugiausiai/283956" TargetMode="External"/><Relationship Id="rId527" Type="http://schemas.openxmlformats.org/officeDocument/2006/relationships/hyperlink" Target="https://www.krepsinis.net/naujiena/top-15-daugiausiai-uzdirbantys-lietuvos-krepsininkai-ir-s-jasikevicius/327158" TargetMode="External"/><Relationship Id="rId526" Type="http://schemas.openxmlformats.org/officeDocument/2006/relationships/hyperlink" Target="https://www.krepsinis.net/naujiena/top-15-daugiausiai-uzdirbantys-lietuvos-krepsininkai-ir-s-jasikevicius/327158" TargetMode="External"/><Relationship Id="rId1590" Type="http://schemas.openxmlformats.org/officeDocument/2006/relationships/hyperlink" Target="https://www.israelhayom.co.il/sport/israeli-basketball/article/14453359" TargetMode="External"/><Relationship Id="rId1591" Type="http://schemas.openxmlformats.org/officeDocument/2006/relationships/hyperlink" Target="https://www.israelhayom.co.il/sport/israeli-basketball/article/14453359" TargetMode="External"/><Relationship Id="rId1592" Type="http://schemas.openxmlformats.org/officeDocument/2006/relationships/hyperlink" Target="https://www.israelhayom.co.il/sport/israeli-basketball/article/14453359" TargetMode="External"/><Relationship Id="rId1593" Type="http://schemas.openxmlformats.org/officeDocument/2006/relationships/hyperlink" Target="https://www.israelhayom.co.il/sport/israeli-basketball/article/12574969" TargetMode="External"/><Relationship Id="rId521" Type="http://schemas.openxmlformats.org/officeDocument/2006/relationships/hyperlink" Target="https://www.krepsinis.net/naujiena/top-15-daugiausiai-uzdirbantys-lietuvos-krepsininkai-ir-s-jasikevicius/327158" TargetMode="External"/><Relationship Id="rId1110" Type="http://schemas.openxmlformats.org/officeDocument/2006/relationships/hyperlink" Target="https://www.sdna.gr/mpasket/basket-league/article/128106/mpatzet" TargetMode="External"/><Relationship Id="rId1594" Type="http://schemas.openxmlformats.org/officeDocument/2006/relationships/hyperlink" Target="https://x.com/yakovmeir1/status/1553636789386100737" TargetMode="External"/><Relationship Id="rId520" Type="http://schemas.openxmlformats.org/officeDocument/2006/relationships/hyperlink" Target="https://www.basketnews.lt/news-133679-geriausiai-apmokami-lkl-zaidejai-desimt-brangiausiuju-zalgiryje.html" TargetMode="External"/><Relationship Id="rId1111" Type="http://schemas.openxmlformats.org/officeDocument/2006/relationships/hyperlink" Target="https://www.sdna.gr/mpasket/basket-league/article/128106/mpatzet" TargetMode="External"/><Relationship Id="rId1595" Type="http://schemas.openxmlformats.org/officeDocument/2006/relationships/hyperlink" Target="https://www.israelhayom.co.il/sport/israeli-basketball/article/12574969" TargetMode="External"/><Relationship Id="rId1112" Type="http://schemas.openxmlformats.org/officeDocument/2006/relationships/hyperlink" Target="https://www.sdna.gr/mpasket/basket-league/article/128106/mpatzet" TargetMode="External"/><Relationship Id="rId1596" Type="http://schemas.openxmlformats.org/officeDocument/2006/relationships/hyperlink" Target="https://x.com/yakovmeir1/status/1553636789386100737" TargetMode="External"/><Relationship Id="rId1113" Type="http://schemas.openxmlformats.org/officeDocument/2006/relationships/hyperlink" Target="https://www.sport24.gr/basket/beverli-paok-o-miniaios-misthos-tou-amerikanou/" TargetMode="External"/><Relationship Id="rId1597" Type="http://schemas.openxmlformats.org/officeDocument/2006/relationships/hyperlink" Target="https://www.israelhayom.co.il/sport/israeli-basketball/article/12574969" TargetMode="External"/><Relationship Id="rId1103" Type="http://schemas.openxmlformats.org/officeDocument/2006/relationships/hyperlink" Target="https://www.sdna.gr/mpasket/basket-league/article/128106/mpatzet" TargetMode="External"/><Relationship Id="rId1587" Type="http://schemas.openxmlformats.org/officeDocument/2006/relationships/hyperlink" Target="https://www.israelhayom.co.il/sport/israeli-basketball/article/14453359" TargetMode="External"/><Relationship Id="rId1104" Type="http://schemas.openxmlformats.org/officeDocument/2006/relationships/hyperlink" Target="https://www.sdna.gr/mpasket/basket-league/article/128106/mpatzet" TargetMode="External"/><Relationship Id="rId1588" Type="http://schemas.openxmlformats.org/officeDocument/2006/relationships/hyperlink" Target="https://www.israelhayom.co.il/sport/israeli-basketball/article/14453359" TargetMode="External"/><Relationship Id="rId1105" Type="http://schemas.openxmlformats.org/officeDocument/2006/relationships/hyperlink" Target="https://www.sdna.gr/mpasket/basket-league/article/128106/mpatzet" TargetMode="External"/><Relationship Id="rId1589" Type="http://schemas.openxmlformats.org/officeDocument/2006/relationships/hyperlink" Target="https://www.israelhayom.co.il/sport/israeli-basketball/article/14453359" TargetMode="External"/><Relationship Id="rId1106" Type="http://schemas.openxmlformats.org/officeDocument/2006/relationships/hyperlink" Target="https://www.sdna.gr/mpasket/basket-league/article/128106/mpatzet" TargetMode="External"/><Relationship Id="rId1107" Type="http://schemas.openxmlformats.org/officeDocument/2006/relationships/hyperlink" Target="https://www.sdna.gr/mpasket/basket-league/article/128106/mpatzet" TargetMode="External"/><Relationship Id="rId1108" Type="http://schemas.openxmlformats.org/officeDocument/2006/relationships/hyperlink" Target="https://www.sdna.gr/mpasket/basket-league/article/128106/mpatzet" TargetMode="External"/><Relationship Id="rId1109" Type="http://schemas.openxmlformats.org/officeDocument/2006/relationships/hyperlink" Target="https://www.sdna.gr/mpasket/basket-league/article/128106/mpatzet" TargetMode="External"/><Relationship Id="rId519" Type="http://schemas.openxmlformats.org/officeDocument/2006/relationships/hyperlink" Target="https://www.basketnews.lt/news-198049-didziausios-lkl-algos-33-23-vietos.html" TargetMode="External"/><Relationship Id="rId514" Type="http://schemas.openxmlformats.org/officeDocument/2006/relationships/hyperlink" Target="https://www.basketnews.lt/news-133679-geriausiai-apmokami-lkl-zaidejai-desimt-brangiausiuju-zalgiryje.html" TargetMode="External"/><Relationship Id="rId998" Type="http://schemas.openxmlformats.org/officeDocument/2006/relationships/hyperlink" Target="https://www.krepsinis.net/naujiena/8-eurolygos-zaidejai-kurie-nepateisina-savo-uzdirbamu-pinigu/318191" TargetMode="External"/><Relationship Id="rId513" Type="http://schemas.openxmlformats.org/officeDocument/2006/relationships/hyperlink" Target="https://www.basketnews.lt/news-198340-didziausios-lkl-algos-22-11-vietos.html" TargetMode="External"/><Relationship Id="rId997" Type="http://schemas.openxmlformats.org/officeDocument/2006/relationships/hyperlink" Target="https://www.eurohoops.net/en/trademarks/1719270/the-top-10-euroleague-salaries-of-2024-25/" TargetMode="External"/><Relationship Id="rId512" Type="http://schemas.openxmlformats.org/officeDocument/2006/relationships/hyperlink" Target="https://www.basketnews.lt/news-133679-geriausiai-apmokami-lkl-zaidejai-desimt-brangiausiuju-zalgiryje.html" TargetMode="External"/><Relationship Id="rId996" Type="http://schemas.openxmlformats.org/officeDocument/2006/relationships/hyperlink" Target="https://cronicavasca.elespanol.com/deportes/20251111/howard-encabeza-escala-salarial-baskonia-cuarto-acb/1003742706116_0.html" TargetMode="External"/><Relationship Id="rId511" Type="http://schemas.openxmlformats.org/officeDocument/2006/relationships/hyperlink" Target="https://www.basketnews.lt/news-198340-didziausios-lkl-algos-22-11-vietos.html" TargetMode="External"/><Relationship Id="rId995" Type="http://schemas.openxmlformats.org/officeDocument/2006/relationships/hyperlink" Target="https://www.israelhayom.co.il/sport/israeli-basketball/article/15593210" TargetMode="External"/><Relationship Id="rId518" Type="http://schemas.openxmlformats.org/officeDocument/2006/relationships/hyperlink" Target="https://www.basketnews.lt/news-133679-geriausiai-apmokami-lkl-zaidejai-desimt-brangiausiuju-zalgiryje.html" TargetMode="External"/><Relationship Id="rId517" Type="http://schemas.openxmlformats.org/officeDocument/2006/relationships/hyperlink" Target="https://www.basketnews.lt/news-133679-geriausiai-apmokami-lkl-zaidejai-desimt-brangiausiuju-zalgiryje.html" TargetMode="External"/><Relationship Id="rId516" Type="http://schemas.openxmlformats.org/officeDocument/2006/relationships/hyperlink" Target="https://www.basketnews.lt/news-133679-geriausiai-apmokami-lkl-zaidejai-desimt-brangiausiuju-zalgiryje.html" TargetMode="External"/><Relationship Id="rId515" Type="http://schemas.openxmlformats.org/officeDocument/2006/relationships/hyperlink" Target="https://www.basketnews.lt/news-133679-geriausiai-apmokami-lkl-zaidejai-desimt-brangiausiuju-zalgiryje.html" TargetMode="External"/><Relationship Id="rId999" Type="http://schemas.openxmlformats.org/officeDocument/2006/relationships/hyperlink" Target="https://www.israelhayom.co.il/sport/israeli-basketball/article/16015710" TargetMode="External"/><Relationship Id="rId990" Type="http://schemas.openxmlformats.org/officeDocument/2006/relationships/hyperlink" Target="https://www.krepsinis.net/naujiena/top-14-brangiausi-sio-sezono-eurolygos-zaidejai/330325" TargetMode="External"/><Relationship Id="rId1580" Type="http://schemas.openxmlformats.org/officeDocument/2006/relationships/hyperlink" Target="https://x.com/hizlihucum/status/1806267831845048715" TargetMode="External"/><Relationship Id="rId1581" Type="http://schemas.openxmlformats.org/officeDocument/2006/relationships/hyperlink" Target="https://www.israelhayom.co.il/sport/israeli-basketball/article/16015710" TargetMode="External"/><Relationship Id="rId1582" Type="http://schemas.openxmlformats.org/officeDocument/2006/relationships/hyperlink" Target="https://www.israelhayom.co.il/sport/israeli-basketball/article/16015710" TargetMode="External"/><Relationship Id="rId510" Type="http://schemas.openxmlformats.org/officeDocument/2006/relationships/hyperlink" Target="https://www.basketnews.lt/news-133679-geriausiai-apmokami-lkl-zaidejai-desimt-brangiausiuju-zalgiryje.html" TargetMode="External"/><Relationship Id="rId994" Type="http://schemas.openxmlformats.org/officeDocument/2006/relationships/hyperlink" Target="https://www.eurohoops.net/en/trademarks/1719270/the-top-10-euroleague-salaries-of-2024-25/" TargetMode="External"/><Relationship Id="rId1583" Type="http://schemas.openxmlformats.org/officeDocument/2006/relationships/hyperlink" Target="https://basketnews.com/news-192080-georgios-papagiannis-move-to-fenerbahce-becomes-official.html" TargetMode="External"/><Relationship Id="rId993" Type="http://schemas.openxmlformats.org/officeDocument/2006/relationships/hyperlink" Target="https://www.eurohoops.net/en/trademarks/1719270/the-top-10-euroleague-salaries-of-2024-25/" TargetMode="External"/><Relationship Id="rId1100" Type="http://schemas.openxmlformats.org/officeDocument/2006/relationships/hyperlink" Target="https://www.sdna.gr/mpasket/basket-league/article/128106/mpatzet" TargetMode="External"/><Relationship Id="rId1584" Type="http://schemas.openxmlformats.org/officeDocument/2006/relationships/hyperlink" Target="https://www.reddit.com/r/Euroleague/comments/1gbxa7c/comment/ltr5ggs/" TargetMode="External"/><Relationship Id="rId992" Type="http://schemas.openxmlformats.org/officeDocument/2006/relationships/hyperlink" Target="https://www.krepsinis.net/naujiena/top-14-brangiausi-sio-sezono-eurolygos-zaidejai/330325" TargetMode="External"/><Relationship Id="rId1101" Type="http://schemas.openxmlformats.org/officeDocument/2006/relationships/hyperlink" Target="https://www.gazzetta.gr/basketball/basket-league/2226908/aris-diazygio-me-ton-netzipogloy-itan-dedomeno-apo-kairo-kai-den" TargetMode="External"/><Relationship Id="rId1585" Type="http://schemas.openxmlformats.org/officeDocument/2006/relationships/hyperlink" Target="https://www.israelhayom.co.il/sport/israeli-basketball/article/14453359" TargetMode="External"/><Relationship Id="rId991" Type="http://schemas.openxmlformats.org/officeDocument/2006/relationships/hyperlink" Target="https://www.krepsinis.net/naujiena/top-14-brangiausi-sio-sezono-eurolygos-zaidejai/330325" TargetMode="External"/><Relationship Id="rId1102" Type="http://schemas.openxmlformats.org/officeDocument/2006/relationships/hyperlink" Target="https://www.sdna.gr/mpasket/basket-league/article/128106/mpatzet" TargetMode="External"/><Relationship Id="rId1586" Type="http://schemas.openxmlformats.org/officeDocument/2006/relationships/hyperlink" Target="https://www.israelhayom.co.il/sport/israeli-basketball/article/14453359" TargetMode="External"/><Relationship Id="rId1532" Type="http://schemas.openxmlformats.org/officeDocument/2006/relationships/hyperlink" Target="https://x.com/ZakkasGeorge/status/1383106501137551367" TargetMode="External"/><Relationship Id="rId1533" Type="http://schemas.openxmlformats.org/officeDocument/2006/relationships/hyperlink" Target="https://x.com/ZakkasGeorge/status/1022130988124647427" TargetMode="External"/><Relationship Id="rId1534" Type="http://schemas.openxmlformats.org/officeDocument/2006/relationships/hyperlink" Target="https://x.com/ZakkasGeorge/status/891639335988195331" TargetMode="External"/><Relationship Id="rId1535" Type="http://schemas.openxmlformats.org/officeDocument/2006/relationships/hyperlink" Target="https://x.com/ZakkasGeorge/status/1679202504582606848" TargetMode="External"/><Relationship Id="rId1536" Type="http://schemas.openxmlformats.org/officeDocument/2006/relationships/hyperlink" Target="https://x.com/ZakkasGeorge/status/1408420584720154624" TargetMode="External"/><Relationship Id="rId1537" Type="http://schemas.openxmlformats.org/officeDocument/2006/relationships/hyperlink" Target="https://x.com/ZakkasGeorge/status/1405918419405398019" TargetMode="External"/><Relationship Id="rId1538" Type="http://schemas.openxmlformats.org/officeDocument/2006/relationships/hyperlink" Target="https://x.com/ZakkasGeorge/status/1278589887722258434" TargetMode="External"/><Relationship Id="rId1539" Type="http://schemas.openxmlformats.org/officeDocument/2006/relationships/hyperlink" Target="https://x.com/GabrielPJ_/status/2039049113208057895" TargetMode="External"/><Relationship Id="rId949" Type="http://schemas.openxmlformats.org/officeDocument/2006/relationships/hyperlink" Target="https://www.eurohoops.net/el/trademarks-el/1747652/panathinaikos-olimpiakos-afta-ine-ta-simvolea-ton-dio-megaliteron-budget-stin-evroligka/" TargetMode="External"/><Relationship Id="rId948" Type="http://schemas.openxmlformats.org/officeDocument/2006/relationships/hyperlink" Target="https://www.basketnews.lt/news-211193-atskleistos-visu-olympiakos-krepsininku-algos.html" TargetMode="External"/><Relationship Id="rId943" Type="http://schemas.openxmlformats.org/officeDocument/2006/relationships/hyperlink" Target="https://www.eurohoops.net/el/trademarks-el/1747652/panathinaikos-olimpiakos-afta-ine-ta-simvolea-ton-dio-megaliteron-budget-stin-evroligka/" TargetMode="External"/><Relationship Id="rId942" Type="http://schemas.openxmlformats.org/officeDocument/2006/relationships/hyperlink" Target="https://www.basketnews.lt/news-211193-atskleistos-visu-olympiakos-krepsininku-algos.html" TargetMode="External"/><Relationship Id="rId941" Type="http://schemas.openxmlformats.org/officeDocument/2006/relationships/hyperlink" Target="https://www.eurohoops.net/el/trademarks-el/1747652/panathinaikos-olimpiakos-afta-ine-ta-simvolea-ton-dio-megaliteron-budget-stin-evroligka/" TargetMode="External"/><Relationship Id="rId940" Type="http://schemas.openxmlformats.org/officeDocument/2006/relationships/hyperlink" Target="https://www.basketnews.lt/news-211193-atskleistos-visu-olympiakos-krepsininku-algos.html" TargetMode="External"/><Relationship Id="rId947" Type="http://schemas.openxmlformats.org/officeDocument/2006/relationships/hyperlink" Target="https://www.eurohoops.net/el/trademarks-el/1747652/panathinaikos-olimpiakos-afta-ine-ta-simvolea-ton-dio-megaliteron-budget-stin-evroligka/" TargetMode="External"/><Relationship Id="rId946" Type="http://schemas.openxmlformats.org/officeDocument/2006/relationships/hyperlink" Target="https://www.basketnews.lt/news-211193-atskleistos-visu-olympiakos-krepsininku-algos.html" TargetMode="External"/><Relationship Id="rId945" Type="http://schemas.openxmlformats.org/officeDocument/2006/relationships/hyperlink" Target="https://www.eurohoops.net/el/trademarks-el/1747652/panathinaikos-olimpiakos-afta-ine-ta-simvolea-ton-dio-megaliteron-budget-stin-evroligka/" TargetMode="External"/><Relationship Id="rId944" Type="http://schemas.openxmlformats.org/officeDocument/2006/relationships/hyperlink" Target="https://www.basketnews.lt/news-211193-atskleistos-visu-olympiakos-krepsininku-algos.html" TargetMode="External"/><Relationship Id="rId1530" Type="http://schemas.openxmlformats.org/officeDocument/2006/relationships/hyperlink" Target="https://www.sport5.co.il/articles.aspx?FolderID=274&amp;docID=292934" TargetMode="External"/><Relationship Id="rId1531" Type="http://schemas.openxmlformats.org/officeDocument/2006/relationships/hyperlink" Target="https://www.sport5.co.il/articles.aspx?FolderID=274&amp;docID=292934" TargetMode="External"/><Relationship Id="rId1521" Type="http://schemas.openxmlformats.org/officeDocument/2006/relationships/hyperlink" Target="https://www.sport5.co.il/articles.aspx?FolderID=274&amp;docID=292934" TargetMode="External"/><Relationship Id="rId1522" Type="http://schemas.openxmlformats.org/officeDocument/2006/relationships/hyperlink" Target="https://www.sport5.co.il/articles.aspx?FolderID=274&amp;docID=292934" TargetMode="External"/><Relationship Id="rId1523" Type="http://schemas.openxmlformats.org/officeDocument/2006/relationships/hyperlink" Target="https://www.sport5.co.il/articles.aspx?FolderID=274&amp;docID=292934" TargetMode="External"/><Relationship Id="rId1524" Type="http://schemas.openxmlformats.org/officeDocument/2006/relationships/hyperlink" Target="https://www.sport5.co.il/articles.aspx?FolderID=274&amp;docID=292934" TargetMode="External"/><Relationship Id="rId1525" Type="http://schemas.openxmlformats.org/officeDocument/2006/relationships/hyperlink" Target="https://www.sport5.co.il/articles.aspx?FolderID=274&amp;docID=292934" TargetMode="External"/><Relationship Id="rId1526" Type="http://schemas.openxmlformats.org/officeDocument/2006/relationships/hyperlink" Target="https://www.sport5.co.il/articles.aspx?FolderID=274&amp;docID=292934" TargetMode="External"/><Relationship Id="rId1527" Type="http://schemas.openxmlformats.org/officeDocument/2006/relationships/hyperlink" Target="https://www.sport5.co.il/articles.aspx?FolderID=274&amp;docID=292934" TargetMode="External"/><Relationship Id="rId1528" Type="http://schemas.openxmlformats.org/officeDocument/2006/relationships/hyperlink" Target="https://www.sport5.co.il/articles.aspx?FolderID=274&amp;docID=292934" TargetMode="External"/><Relationship Id="rId1529" Type="http://schemas.openxmlformats.org/officeDocument/2006/relationships/hyperlink" Target="https://www.sport5.co.il/articles.aspx?FolderID=274&amp;docID=292934" TargetMode="External"/><Relationship Id="rId939" Type="http://schemas.openxmlformats.org/officeDocument/2006/relationships/hyperlink" Target="https://www.eurohoops.net/el/trademarks-el/1747652/panathinaikos-olimpiakos-afta-ine-ta-simvolea-ton-dio-megaliteron-budget-stin-evroligka/" TargetMode="External"/><Relationship Id="rId938" Type="http://schemas.openxmlformats.org/officeDocument/2006/relationships/hyperlink" Target="https://www.basketnews.lt/news-211193-atskleistos-visu-olympiakos-krepsininku-algos.html" TargetMode="External"/><Relationship Id="rId937" Type="http://schemas.openxmlformats.org/officeDocument/2006/relationships/hyperlink" Target="https://www.eurohoops.net/el/trademarks-el/1747652/panathinaikos-olimpiakos-afta-ine-ta-simvolea-ton-dio-megaliteron-budget-stin-evroligka/" TargetMode="External"/><Relationship Id="rId932" Type="http://schemas.openxmlformats.org/officeDocument/2006/relationships/hyperlink" Target="https://www.basketnews.lt/news-211193-atskleistos-visu-olympiakos-krepsininku-algos.html" TargetMode="External"/><Relationship Id="rId931" Type="http://schemas.openxmlformats.org/officeDocument/2006/relationships/hyperlink" Target="https://www.eurohoops.net/el/trademarks-el/1747652/panathinaikos-olimpiakos-afta-ine-ta-simvolea-ton-dio-megaliteron-budget-stin-evroligka/" TargetMode="External"/><Relationship Id="rId930" Type="http://schemas.openxmlformats.org/officeDocument/2006/relationships/hyperlink" Target="https://www.basketnews.lt/news-211193-atskleistos-visu-olympiakos-krepsininku-algos.html" TargetMode="External"/><Relationship Id="rId936" Type="http://schemas.openxmlformats.org/officeDocument/2006/relationships/hyperlink" Target="https://www.basketnews.lt/news-211193-atskleistos-visu-olympiakos-krepsininku-algos.html" TargetMode="External"/><Relationship Id="rId935" Type="http://schemas.openxmlformats.org/officeDocument/2006/relationships/hyperlink" Target="https://www.eurohoops.net/el/trademarks-el/1747652/panathinaikos-olimpiakos-afta-ine-ta-simvolea-ton-dio-megaliteron-budget-stin-evroligka/" TargetMode="External"/><Relationship Id="rId934" Type="http://schemas.openxmlformats.org/officeDocument/2006/relationships/hyperlink" Target="https://www.basketnews.lt/news-211193-atskleistos-visu-olympiakos-krepsininku-algos.html" TargetMode="External"/><Relationship Id="rId933" Type="http://schemas.openxmlformats.org/officeDocument/2006/relationships/hyperlink" Target="https://www.eurohoops.net/el/trademarks-el/1747652/panathinaikos-olimpiakos-afta-ine-ta-simvolea-ton-dio-megaliteron-budget-stin-evroligka/" TargetMode="External"/><Relationship Id="rId1520" Type="http://schemas.openxmlformats.org/officeDocument/2006/relationships/hyperlink" Target="https://www.sport5.co.il/articles.aspx?FolderID=274&amp;docID=292934" TargetMode="External"/><Relationship Id="rId1554" Type="http://schemas.openxmlformats.org/officeDocument/2006/relationships/hyperlink" Target="https://x.com/NeoRock06/status/864807313538002944" TargetMode="External"/><Relationship Id="rId1555" Type="http://schemas.openxmlformats.org/officeDocument/2006/relationships/hyperlink" Target="https://x.com/NeoRock06/status/864807313538002944" TargetMode="External"/><Relationship Id="rId1556" Type="http://schemas.openxmlformats.org/officeDocument/2006/relationships/hyperlink" Target="https://x.com/matty_vanpersie/status/1788184100550971591" TargetMode="External"/><Relationship Id="rId1557" Type="http://schemas.openxmlformats.org/officeDocument/2006/relationships/hyperlink" Target="https://x.com/matty_vanpersie/status/1788184100550971591" TargetMode="External"/><Relationship Id="rId1558" Type="http://schemas.openxmlformats.org/officeDocument/2006/relationships/hyperlink" Target="https://www.novosti.rs/c/sport/kosarka/1084835/crvena-zvezda-kosarka-plate-igraca-kosarkasa-novac-sport-srbija-nebojsa-covic-aba-evroliga" TargetMode="External"/><Relationship Id="rId1559" Type="http://schemas.openxmlformats.org/officeDocument/2006/relationships/hyperlink" Target="https://x.com/matty_vanpersie/status/1604062645111459840" TargetMode="External"/><Relationship Id="rId965" Type="http://schemas.openxmlformats.org/officeDocument/2006/relationships/hyperlink" Target="https://www.krepsinis.net/naujiena/paviesinti-crvena-zvezda-zaideju-atlyginimai-visus-nustebino-m-bjelicos-uzdarbis/276658" TargetMode="External"/><Relationship Id="rId964" Type="http://schemas.openxmlformats.org/officeDocument/2006/relationships/hyperlink" Target="https://www.krepsinis.net/naujiena/paviesinti-crvena-zvezda-zaideju-atlyginimai-visus-nustebino-m-bjelicos-uzdarbis/276658" TargetMode="External"/><Relationship Id="rId963" Type="http://schemas.openxmlformats.org/officeDocument/2006/relationships/hyperlink" Target="https://www.krepsinis.net/naujiena/paviesinti-crvena-zvezda-zaideju-atlyginimai-visus-nustebino-m-bjelicos-uzdarbis/276658" TargetMode="External"/><Relationship Id="rId962" Type="http://schemas.openxmlformats.org/officeDocument/2006/relationships/hyperlink" Target="https://www.krepsinis.net/naujiena/paviesinti-crvena-zvezda-zaideju-atlyginimai-visus-nustebino-m-bjelicos-uzdarbis/276658" TargetMode="External"/><Relationship Id="rId969" Type="http://schemas.openxmlformats.org/officeDocument/2006/relationships/hyperlink" Target="https://www.krepsinis.net/naujiena/paviesinti-crvena-zvezda-zaideju-atlyginimai-visus-nustebino-m-bjelicos-uzdarbis/276658" TargetMode="External"/><Relationship Id="rId968" Type="http://schemas.openxmlformats.org/officeDocument/2006/relationships/hyperlink" Target="https://www.krepsinis.net/naujiena/paviesinti-crvena-zvezda-zaideju-atlyginimai-visus-nustebino-m-bjelicos-uzdarbis/276658" TargetMode="External"/><Relationship Id="rId967" Type="http://schemas.openxmlformats.org/officeDocument/2006/relationships/hyperlink" Target="https://www.krepsinis.net/naujiena/paviesinti-crvena-zvezda-zaideju-atlyginimai-visus-nustebino-m-bjelicos-uzdarbis/276658" TargetMode="External"/><Relationship Id="rId966" Type="http://schemas.openxmlformats.org/officeDocument/2006/relationships/hyperlink" Target="https://www.krepsinis.net/naujiena/paviesinti-crvena-zvezda-zaideju-atlyginimai-visus-nustebino-m-bjelicos-uzdarbis/276658" TargetMode="External"/><Relationship Id="rId961" Type="http://schemas.openxmlformats.org/officeDocument/2006/relationships/hyperlink" Target="https://www.krepsinis.net/naujiena/paviesinti-crvena-zvezda-zaideju-atlyginimai-visus-nustebino-m-bjelicos-uzdarbis/276658" TargetMode="External"/><Relationship Id="rId1550" Type="http://schemas.openxmlformats.org/officeDocument/2006/relationships/hyperlink" Target="https://x.com/NeoRock06/status/1411056295277383683" TargetMode="External"/><Relationship Id="rId960" Type="http://schemas.openxmlformats.org/officeDocument/2006/relationships/hyperlink" Target="https://www.krepsinis.net/naujiena/paviesinti-crvena-zvezda-zaideju-atlyginimai-visus-nustebino-m-bjelicos-uzdarbis/276658" TargetMode="External"/><Relationship Id="rId1551" Type="http://schemas.openxmlformats.org/officeDocument/2006/relationships/hyperlink" Target="https://x.com/NeoRock06/status/1411056295277383683" TargetMode="External"/><Relationship Id="rId1552" Type="http://schemas.openxmlformats.org/officeDocument/2006/relationships/hyperlink" Target="https://x.com/chemadelucas/status/1271781574816694272" TargetMode="External"/><Relationship Id="rId1553" Type="http://schemas.openxmlformats.org/officeDocument/2006/relationships/hyperlink" Target="https://x.com/NeoRock06/status/860521572184072192" TargetMode="External"/><Relationship Id="rId1543" Type="http://schemas.openxmlformats.org/officeDocument/2006/relationships/hyperlink" Target="https://x.com/Be_BasketFr/status/1529017805697318912" TargetMode="External"/><Relationship Id="rId1544" Type="http://schemas.openxmlformats.org/officeDocument/2006/relationships/hyperlink" Target="https://x.com/GabrielPJ_/status/1524442187827757057" TargetMode="External"/><Relationship Id="rId1545" Type="http://schemas.openxmlformats.org/officeDocument/2006/relationships/hyperlink" Target="https://x.com/NeoRock06/status/2055222879558443390" TargetMode="External"/><Relationship Id="rId1546" Type="http://schemas.openxmlformats.org/officeDocument/2006/relationships/hyperlink" Target="https://x.com/NeoRock06/status/2055222879558443390" TargetMode="External"/><Relationship Id="rId1547" Type="http://schemas.openxmlformats.org/officeDocument/2006/relationships/hyperlink" Target="https://x.com/NeoRock06/status/2055222879558443390" TargetMode="External"/><Relationship Id="rId1548" Type="http://schemas.openxmlformats.org/officeDocument/2006/relationships/hyperlink" Target="https://x.com/NeoRock06/status/1940088311600542046" TargetMode="External"/><Relationship Id="rId1549" Type="http://schemas.openxmlformats.org/officeDocument/2006/relationships/hyperlink" Target="https://www.bolognabasket.org/news/281185521158/virtus-dopo-zizic-si-attende-l-uscita-di-clyburn" TargetMode="External"/><Relationship Id="rId959" Type="http://schemas.openxmlformats.org/officeDocument/2006/relationships/hyperlink" Target="https://www.eurohoops.net/el/trademarks-el/1747652/panathinaikos-olimpiakos-afta-ine-ta-simvolea-ton-dio-megaliteron-budget-stin-evroligka/" TargetMode="External"/><Relationship Id="rId954" Type="http://schemas.openxmlformats.org/officeDocument/2006/relationships/hyperlink" Target="https://www.basketnews.lt/news-211193-atskleistos-visu-olympiakos-krepsininku-algos.html" TargetMode="External"/><Relationship Id="rId953" Type="http://schemas.openxmlformats.org/officeDocument/2006/relationships/hyperlink" Target="https://www.eurohoops.net/el/trademarks-el/1747652/panathinaikos-olimpiakos-afta-ine-ta-simvolea-ton-dio-megaliteron-budget-stin-evroligka/" TargetMode="External"/><Relationship Id="rId952" Type="http://schemas.openxmlformats.org/officeDocument/2006/relationships/hyperlink" Target="https://www.basketnews.lt/news-211193-atskleistos-visu-olympiakos-krepsininku-algos.html" TargetMode="External"/><Relationship Id="rId951" Type="http://schemas.openxmlformats.org/officeDocument/2006/relationships/hyperlink" Target="https://www.eurohoops.net/el/trademarks-el/1747652/panathinaikos-olimpiakos-afta-ine-ta-simvolea-ton-dio-megaliteron-budget-stin-evroligka/" TargetMode="External"/><Relationship Id="rId958" Type="http://schemas.openxmlformats.org/officeDocument/2006/relationships/hyperlink" Target="https://www.basketnews.lt/news-211193-atskleistos-visu-olympiakos-krepsininku-algos.html" TargetMode="External"/><Relationship Id="rId957" Type="http://schemas.openxmlformats.org/officeDocument/2006/relationships/hyperlink" Target="https://www.eurohoops.net/el/trademarks-el/1747652/panathinaikos-olimpiakos-afta-ine-ta-simvolea-ton-dio-megaliteron-budget-stin-evroligka/" TargetMode="External"/><Relationship Id="rId956" Type="http://schemas.openxmlformats.org/officeDocument/2006/relationships/hyperlink" Target="https://www.basketnews.lt/news-211193-atskleistos-visu-olympiakos-krepsininku-algos.html" TargetMode="External"/><Relationship Id="rId955" Type="http://schemas.openxmlformats.org/officeDocument/2006/relationships/hyperlink" Target="https://www.eurohoops.net/el/trademarks-el/1747652/panathinaikos-olimpiakos-afta-ine-ta-simvolea-ton-dio-megaliteron-budget-stin-evroligka/" TargetMode="External"/><Relationship Id="rId950" Type="http://schemas.openxmlformats.org/officeDocument/2006/relationships/hyperlink" Target="https://www.basketnews.lt/news-211193-atskleistos-visu-olympiakos-krepsininku-algos.html" TargetMode="External"/><Relationship Id="rId1540" Type="http://schemas.openxmlformats.org/officeDocument/2006/relationships/hyperlink" Target="https://x.com/GabrielPJ_/status/1794061331458408849" TargetMode="External"/><Relationship Id="rId1541" Type="http://schemas.openxmlformats.org/officeDocument/2006/relationships/hyperlink" Target="https://x.com/GabrielPJ_/status/1540820578545946624" TargetMode="External"/><Relationship Id="rId1542" Type="http://schemas.openxmlformats.org/officeDocument/2006/relationships/hyperlink" Target="https://x.com/Be_BasketFr/status/1529017805697318912" TargetMode="External"/><Relationship Id="rId2027" Type="http://schemas.openxmlformats.org/officeDocument/2006/relationships/hyperlink" Target="https://www.sport5.co.il/articles.aspx?FolderID=274&amp;docID=477657" TargetMode="External"/><Relationship Id="rId2028" Type="http://schemas.openxmlformats.org/officeDocument/2006/relationships/hyperlink" Target="https://www.globes.co.il/news/article.aspx?did=1000274919" TargetMode="External"/><Relationship Id="rId2029" Type="http://schemas.openxmlformats.org/officeDocument/2006/relationships/hyperlink" Target="https://www.sport5.co.il/articles.aspx?FolderID=274&amp;docID=477657" TargetMode="External"/><Relationship Id="rId590" Type="http://schemas.openxmlformats.org/officeDocument/2006/relationships/hyperlink" Target="https://www.israelhayom.co.il/sport/israeli-basketball/article/4368862" TargetMode="External"/><Relationship Id="rId107" Type="http://schemas.openxmlformats.org/officeDocument/2006/relationships/hyperlink" Target="https://www.15min.lt/24sek/naujiena/lietuva/zalgirieciu-dominavimas-daugiausiai-uzdirbanciu-lkl-zaideju-top-40-875-1641660" TargetMode="External"/><Relationship Id="rId106" Type="http://schemas.openxmlformats.org/officeDocument/2006/relationships/hyperlink" Target="https://www.15min.lt/24sek/naujiena/lietuva/zalgirieciu-dominavimas-daugiausiai-uzdirbanciu-lkl-zaideju-top-40-875-1641660" TargetMode="External"/><Relationship Id="rId105" Type="http://schemas.openxmlformats.org/officeDocument/2006/relationships/hyperlink" Target="https://www.15min.lt/24sek/naujiena/lietuva/zalgirieciu-dominavimas-daugiausiai-uzdirbanciu-lkl-zaideju-top-40-875-1641660" TargetMode="External"/><Relationship Id="rId589" Type="http://schemas.openxmlformats.org/officeDocument/2006/relationships/hyperlink" Target="https://www.israelhayom.co.il/sport/israeli-basketball/article/4368862" TargetMode="External"/><Relationship Id="rId104" Type="http://schemas.openxmlformats.org/officeDocument/2006/relationships/hyperlink" Target="https://www.15min.lt/24sek/naujiena/lietuva/zalgirieciu-dominavimas-daugiausiai-uzdirbanciu-lkl-zaideju-top-40-875-1641660" TargetMode="External"/><Relationship Id="rId588" Type="http://schemas.openxmlformats.org/officeDocument/2006/relationships/hyperlink" Target="https://www.israelhayom.co.il/sport/israeli-basketball/article/4368862" TargetMode="External"/><Relationship Id="rId109" Type="http://schemas.openxmlformats.org/officeDocument/2006/relationships/hyperlink" Target="https://www.basketnews.lt/news-166796-labiausiai-verte-pasikele-lkl-zaidejai-dabartine-alga-ir-ko-tiketis-vasara.html" TargetMode="External"/><Relationship Id="rId1170" Type="http://schemas.openxmlformats.org/officeDocument/2006/relationships/hyperlink" Target="https://cronicaglobal.elespanol.com/culemania/secciones/20240731/laporta-apuesta-barca-de-los-salarios-jugadores/874412684_0.html" TargetMode="External"/><Relationship Id="rId108" Type="http://schemas.openxmlformats.org/officeDocument/2006/relationships/hyperlink" Target="https://www.15min.lt/24sek/naujiena/lietuva/zalgirieciu-dominavimas-daugiausiai-uzdirbanciu-lkl-zaideju-top-40-875-1641660" TargetMode="External"/><Relationship Id="rId1171" Type="http://schemas.openxmlformats.org/officeDocument/2006/relationships/hyperlink" Target="https://cronicaglobal.elespanol.com/culemania/secciones/20250101/la-nueva-escala-salarial-barca-basket-temporada/908159270_0.html" TargetMode="External"/><Relationship Id="rId583" Type="http://schemas.openxmlformats.org/officeDocument/2006/relationships/hyperlink" Target="https://www.israelhayom.co.il/sport/israeli-basketball/article/4368862" TargetMode="External"/><Relationship Id="rId1172" Type="http://schemas.openxmlformats.org/officeDocument/2006/relationships/hyperlink" Target="https://cronicaglobal.elespanol.com/culemania/secciones/20240731/laporta-apuesta-barca-de-los-salarios-jugadores/874412684_0.html" TargetMode="External"/><Relationship Id="rId582" Type="http://schemas.openxmlformats.org/officeDocument/2006/relationships/hyperlink" Target="https://assets.fiba.basketball/image/upload/v1779182271/xxps23fxlzme8oj478bo.pdf" TargetMode="External"/><Relationship Id="rId1173" Type="http://schemas.openxmlformats.org/officeDocument/2006/relationships/hyperlink" Target="https://cronicaglobal.elespanol.com/culemania/secciones/20240731/laporta-apuesta-barca-de-los-salarios-jugadores/874412684_0.html" TargetMode="External"/><Relationship Id="rId2020" Type="http://schemas.openxmlformats.org/officeDocument/2006/relationships/hyperlink" Target="https://www.pianetabasket.com/legabasket-serie-a/mercato-lba-varese-serve-un-altro-lungo-si-cerca-un-altro-spencer-311356" TargetMode="External"/><Relationship Id="rId581" Type="http://schemas.openxmlformats.org/officeDocument/2006/relationships/hyperlink" Target="https://www.israelhayom.co.il/sport/israeli-basketball/article/4368862" TargetMode="External"/><Relationship Id="rId1174" Type="http://schemas.openxmlformats.org/officeDocument/2006/relationships/hyperlink" Target="https://cronicaglobal.elespanol.com/culemania/secciones/20250101/la-nueva-escala-salarial-barca-basket-temporada/908159270_0.html" TargetMode="External"/><Relationship Id="rId2021" Type="http://schemas.openxmlformats.org/officeDocument/2006/relationships/hyperlink" Target="https://www.varesenews.it/2026/05/prima-gli-italiani-dallopenjobmetis-unofferta-importante-ad-alviti-in-attesa-che-il-mercato-decolli/2591548/" TargetMode="External"/><Relationship Id="rId580" Type="http://schemas.openxmlformats.org/officeDocument/2006/relationships/hyperlink" Target="https://www.israelhayom.co.il/sport/israeli-basketball/article/4368862" TargetMode="External"/><Relationship Id="rId1175" Type="http://schemas.openxmlformats.org/officeDocument/2006/relationships/hyperlink" Target="https://x.com/hizlihucum/status/2002784779180359683" TargetMode="External"/><Relationship Id="rId2022" Type="http://schemas.openxmlformats.org/officeDocument/2006/relationships/hyperlink" Target="https://www.pianetabasket.com/legabasket-serie-a/varese-strappa-il-si-di-davide-alviti-restera-biancorosso-362997" TargetMode="External"/><Relationship Id="rId103" Type="http://schemas.openxmlformats.org/officeDocument/2006/relationships/hyperlink" Target="https://www.15min.lt/24sek/naujiena/lietuva/zalgirieciu-dominavimas-daugiausiai-uzdirbanciu-lkl-zaideju-top-40-875-1641660" TargetMode="External"/><Relationship Id="rId587" Type="http://schemas.openxmlformats.org/officeDocument/2006/relationships/hyperlink" Target="https://www.israelhayom.co.il/sport/israeli-basketball/article/4368862" TargetMode="External"/><Relationship Id="rId1176" Type="http://schemas.openxmlformats.org/officeDocument/2006/relationships/hyperlink" Target="https://x.com/hizlihucum/status/2002784779180359683" TargetMode="External"/><Relationship Id="rId2023" Type="http://schemas.openxmlformats.org/officeDocument/2006/relationships/hyperlink" Target="https://www.pianetabasket.com/legabasket-serie-a/trieste-i-retroscena-dell-operazione-sean-mcdermott-cosa-porta-l-ex-varese-322204" TargetMode="External"/><Relationship Id="rId102" Type="http://schemas.openxmlformats.org/officeDocument/2006/relationships/hyperlink" Target="https://www.basketnews.lt/news-166796-labiausiai-verte-pasikele-lkl-zaidejai-dabartine-alga-ir-ko-tiketis-vasara.html" TargetMode="External"/><Relationship Id="rId586" Type="http://schemas.openxmlformats.org/officeDocument/2006/relationships/hyperlink" Target="https://www.israelhayom.co.il/sport/israeli-basketball/article/4368862" TargetMode="External"/><Relationship Id="rId1177" Type="http://schemas.openxmlformats.org/officeDocument/2006/relationships/hyperlink" Target="https://cronicaglobal.elespanol.com/culemania/secciones/20240731/laporta-apuesta-barca-de-los-salarios-jugadores/874412684_0.html" TargetMode="External"/><Relationship Id="rId2024" Type="http://schemas.openxmlformats.org/officeDocument/2006/relationships/hyperlink" Target="https://www.backdoorpodcast.com/varese-conferma-renfro-mercato-lba/" TargetMode="External"/><Relationship Id="rId101" Type="http://schemas.openxmlformats.org/officeDocument/2006/relationships/hyperlink" Target="https://www.15min.lt/24sek/naujiena/lietuva/zalgirieciu-dominavimas-daugiausiai-uzdirbanciu-lkl-zaideju-top-40-875-1641660" TargetMode="External"/><Relationship Id="rId585" Type="http://schemas.openxmlformats.org/officeDocument/2006/relationships/hyperlink" Target="https://www.israelhayom.co.il/sport/israeli-basketball/article/4368862" TargetMode="External"/><Relationship Id="rId1178" Type="http://schemas.openxmlformats.org/officeDocument/2006/relationships/hyperlink" Target="https://cronicaglobal.elespanol.com/culemania/secciones/20250101/la-nueva-escala-salarial-barca-basket-temporada/908159270_0.html" TargetMode="External"/><Relationship Id="rId2025" Type="http://schemas.openxmlformats.org/officeDocument/2006/relationships/hyperlink" Target="https://www.pianetabasket.com/legabasket-serie-a/varese-aspetta-mcdowell-white-cresce-la-fiducia-per-il-si" TargetMode="External"/><Relationship Id="rId100" Type="http://schemas.openxmlformats.org/officeDocument/2006/relationships/hyperlink" Target="https://www.15min.lt/24sek/naujiena/lietuva/zalgirieciu-dominavimas-daugiausiai-uzdirbanciu-lkl-zaideju-top-40-875-1641660" TargetMode="External"/><Relationship Id="rId584" Type="http://schemas.openxmlformats.org/officeDocument/2006/relationships/hyperlink" Target="https://www.israelhayom.co.il/sport/israeli-basketball/article/4368862" TargetMode="External"/><Relationship Id="rId1179" Type="http://schemas.openxmlformats.org/officeDocument/2006/relationships/hyperlink" Target="https://cronicaglobal.elespanol.com/culemania/secciones/20240731/laporta-apuesta-barca-de-los-salarios-jugadores/874412684_0.html" TargetMode="External"/><Relationship Id="rId2026" Type="http://schemas.openxmlformats.org/officeDocument/2006/relationships/hyperlink" Target="https://www.pianetabasket.com/legabasket-serie-a/budget-triplicato-in-quattro-anni-cosi-varese-puo-diventare-grande" TargetMode="External"/><Relationship Id="rId1169" Type="http://schemas.openxmlformats.org/officeDocument/2006/relationships/hyperlink" Target="https://cronicaglobal.elespanol.com/culemania/secciones/20250101/la-nueva-escala-salarial-barca-basket-temporada/908159270_0.html" TargetMode="External"/><Relationship Id="rId2016" Type="http://schemas.openxmlformats.org/officeDocument/2006/relationships/hyperlink" Target="https://sportando.basketball/amedeo-della-valle-varese-scola-nba-europe/" TargetMode="External"/><Relationship Id="rId2017" Type="http://schemas.openxmlformats.org/officeDocument/2006/relationships/hyperlink" Target="https://sportando.basketball/hunter-hale-varese-offerta-mercato-bcl/" TargetMode="External"/><Relationship Id="rId2018" Type="http://schemas.openxmlformats.org/officeDocument/2006/relationships/hyperlink" Target="https://www.pianetabasket.com/legabasket-serie-a/budget-triplicato-in-quattro-anni-cosi-varese-puo-diventare-grande" TargetMode="External"/><Relationship Id="rId2019" Type="http://schemas.openxmlformats.org/officeDocument/2006/relationships/hyperlink" Target="https://www.backdoorpodcast.com/varese-hunter-hale-mercato-lba/" TargetMode="External"/><Relationship Id="rId579" Type="http://schemas.openxmlformats.org/officeDocument/2006/relationships/hyperlink" Target="https://www.israelhayom.co.il/sport/israeli-basketball/article/4368862" TargetMode="External"/><Relationship Id="rId578" Type="http://schemas.openxmlformats.org/officeDocument/2006/relationships/hyperlink" Target="https://www.israelhayom.co.il/sport/israeli-basketball/article/4368862" TargetMode="External"/><Relationship Id="rId577" Type="http://schemas.openxmlformats.org/officeDocument/2006/relationships/hyperlink" Target="https://www.israelhayom.co.il/sport/israeli-basketball/article/4368862" TargetMode="External"/><Relationship Id="rId1160" Type="http://schemas.openxmlformats.org/officeDocument/2006/relationships/hyperlink" Target="https://cronicaglobal.elespanol.com/culemania/secciones/20240731/laporta-apuesta-barca-de-los-salarios-jugadores/874412684_0.html" TargetMode="External"/><Relationship Id="rId572" Type="http://schemas.openxmlformats.org/officeDocument/2006/relationships/hyperlink" Target="https://www.israelhayom.co.il/article/682197" TargetMode="External"/><Relationship Id="rId1161" Type="http://schemas.openxmlformats.org/officeDocument/2006/relationships/hyperlink" Target="https://cronicaglobal.elespanol.com/culemania/secciones/20240731/laporta-apuesta-barca-de-los-salarios-jugadores/874412684_0.html" TargetMode="External"/><Relationship Id="rId571" Type="http://schemas.openxmlformats.org/officeDocument/2006/relationships/hyperlink" Target="https://www.ynet.co.il/sport/israelibasketball/article/ry2F9Rvcw" TargetMode="External"/><Relationship Id="rId1162" Type="http://schemas.openxmlformats.org/officeDocument/2006/relationships/hyperlink" Target="https://cronicaglobal.elespanol.com/culemania/secciones/20250101/la-nueva-escala-salarial-barca-basket-temporada/908159270_0.html" TargetMode="External"/><Relationship Id="rId570" Type="http://schemas.openxmlformats.org/officeDocument/2006/relationships/hyperlink" Target="https://www.sport5.co.il/articles.aspx?FolderID=274&amp;docID=211866" TargetMode="External"/><Relationship Id="rId1163" Type="http://schemas.openxmlformats.org/officeDocument/2006/relationships/hyperlink" Target="https://cronicaglobal.elespanol.com/culemania/secciones/20240731/laporta-apuesta-barca-de-los-salarios-jugadores/874412684_0.html" TargetMode="External"/><Relationship Id="rId2010" Type="http://schemas.openxmlformats.org/officeDocument/2006/relationships/hyperlink" Target="https://www.pianetabasket.com/legabasket-serie-a/mercato-lba-varese-e-post-hanlan-culver-favorito-a-randall-294854" TargetMode="External"/><Relationship Id="rId1164" Type="http://schemas.openxmlformats.org/officeDocument/2006/relationships/hyperlink" Target="https://cronicaglobal.elespanol.com/culemania/secciones/20250101/la-nueva-escala-salarial-barca-basket-temporada/908159270_0.html" TargetMode="External"/><Relationship Id="rId2011" Type="http://schemas.openxmlformats.org/officeDocument/2006/relationships/hyperlink" Target="https://www.pianetabasket.com/legabasket-serie-a/mercato-lba-varese-rifiuta-100k-di-buyout-per-hanlan-dal-cska-mosca-294679" TargetMode="External"/><Relationship Id="rId576" Type="http://schemas.openxmlformats.org/officeDocument/2006/relationships/hyperlink" Target="https://www.israelhayom.co.il/sport/israeli-basketball/article/4368862" TargetMode="External"/><Relationship Id="rId1165" Type="http://schemas.openxmlformats.org/officeDocument/2006/relationships/hyperlink" Target="https://cronicaglobal.elespanol.com/culemania/secciones/20240731/laporta-apuesta-barca-de-los-salarios-jugadores/874412684_0.html" TargetMode="External"/><Relationship Id="rId2012" Type="http://schemas.openxmlformats.org/officeDocument/2006/relationships/hyperlink" Target="https://www.pianetabasket.com/legabasket-serie-a/mercato-lba-varese-moody-verso-l-addio-si-cerca-il-sostituto-347487" TargetMode="External"/><Relationship Id="rId575" Type="http://schemas.openxmlformats.org/officeDocument/2006/relationships/hyperlink" Target="https://www.israelhayom.co.il/sport/israeli-basketball/article/4368862" TargetMode="External"/><Relationship Id="rId1166" Type="http://schemas.openxmlformats.org/officeDocument/2006/relationships/hyperlink" Target="https://cronicaglobal.elespanol.com/culemania/secciones/20240731/laporta-apuesta-barca-de-los-salarios-jugadores/874412684_0.html" TargetMode="External"/><Relationship Id="rId2013" Type="http://schemas.openxmlformats.org/officeDocument/2006/relationships/hyperlink" Target="https://www.pianetabasket.com/legabasket-serie-a/mercato-lba-varese-punta-un-ex-venezia-arriva-allerik-freeman-339796" TargetMode="External"/><Relationship Id="rId574" Type="http://schemas.openxmlformats.org/officeDocument/2006/relationships/hyperlink" Target="https://www.israelhayom.co.il/sport/israeli-basketball/article/4368862" TargetMode="External"/><Relationship Id="rId1167" Type="http://schemas.openxmlformats.org/officeDocument/2006/relationships/hyperlink" Target="https://cronicaglobal.elespanol.com/culemania/secciones/20250101/la-nueva-escala-salarial-barca-basket-temporada/908159270_0.html" TargetMode="External"/><Relationship Id="rId2014" Type="http://schemas.openxmlformats.org/officeDocument/2006/relationships/hyperlink" Target="https://www.pianetabasket.com/olimpia-milano/mercato-lba-olimpia-milano-e-causuer-i-dettagli-economici-dell-accordo-306503" TargetMode="External"/><Relationship Id="rId573" Type="http://schemas.openxmlformats.org/officeDocument/2006/relationships/hyperlink" Target="https://www.israelhayom.co.il/sport/israeli-basketball/article/4368862" TargetMode="External"/><Relationship Id="rId1168" Type="http://schemas.openxmlformats.org/officeDocument/2006/relationships/hyperlink" Target="https://cronicaglobal.elespanol.com/culemania/secciones/20240731/laporta-apuesta-barca-de-los-salarios-jugadores/874412684_0.html" TargetMode="External"/><Relationship Id="rId2015" Type="http://schemas.openxmlformats.org/officeDocument/2006/relationships/hyperlink" Target="https://www.pianetabasket.com/legabasket-serie-a/lba-prealpina-in-serie-a-si-alza-il-budget-delle-societa-il-dettaglio-307192" TargetMode="External"/><Relationship Id="rId2049" Type="http://schemas.openxmlformats.org/officeDocument/2006/relationships/hyperlink" Target="https://sportbild.bild.de/sportmix/basketball/pokalsieger-syntainics-mbc-kader-zerfall-droht-beim-basketball-team-67bda84cd1e5ac3c115e34a5" TargetMode="External"/><Relationship Id="rId129" Type="http://schemas.openxmlformats.org/officeDocument/2006/relationships/hyperlink" Target="https://www.basketnews.lt/news-83614-kiek-uzdirba-didziuju-lkl-klubu-krepsininkai.html" TargetMode="External"/><Relationship Id="rId128" Type="http://schemas.openxmlformats.org/officeDocument/2006/relationships/hyperlink" Target="https://www.basketnews.lt/news-83614-kiek-uzdirba-didziuju-lkl-klubu-krepsininkai.html" TargetMode="External"/><Relationship Id="rId127" Type="http://schemas.openxmlformats.org/officeDocument/2006/relationships/hyperlink" Target="https://www.15min.lt/24sek/naujiena/lietuva/vertinami-ir-svetur-ir-lietuvoje-geriausiai-apmokamu-lietuvos-krepsininku-top-30-875-1641654" TargetMode="External"/><Relationship Id="rId126" Type="http://schemas.openxmlformats.org/officeDocument/2006/relationships/hyperlink" Target="https://www.15min.lt/24sek/naujiena/lietuva/vertinami-ir-svetur-ir-lietuvoje-geriausiai-apmokamu-lietuvos-krepsininku-top-30-875-1641654" TargetMode="External"/><Relationship Id="rId1190" Type="http://schemas.openxmlformats.org/officeDocument/2006/relationships/hyperlink" Target="https://www.basketnews.lt/news-186848-labiausiai-verte-pasikele-eurolygos-zaidejai-dabartine-alga-ir-ko-tiketis-vasara.html" TargetMode="External"/><Relationship Id="rId1191" Type="http://schemas.openxmlformats.org/officeDocument/2006/relationships/hyperlink" Target="https://www.basketnews.lt/news-186848-labiausiai-verte-pasikele-eurolygos-zaidejai-dabartine-alga-ir-ko-tiketis-vasara.html" TargetMode="External"/><Relationship Id="rId1192" Type="http://schemas.openxmlformats.org/officeDocument/2006/relationships/hyperlink" Target="https://www.basketnews.lt/news-186848-labiausiai-verte-pasikele-eurolygos-zaidejai-dabartine-alga-ir-ko-tiketis-vasara.html" TargetMode="External"/><Relationship Id="rId1193" Type="http://schemas.openxmlformats.org/officeDocument/2006/relationships/hyperlink" Target="https://www.israelhayom.co.il/sport/israeli-basketball/article/16015710" TargetMode="External"/><Relationship Id="rId2040" Type="http://schemas.openxmlformats.org/officeDocument/2006/relationships/hyperlink" Target="https://www.calcalist.co.il/local/articles/0,7340,L-3371150,00.html" TargetMode="External"/><Relationship Id="rId121" Type="http://schemas.openxmlformats.org/officeDocument/2006/relationships/hyperlink" Target="https://www.15min.lt/24sek/naujiena/eurolyga/daugiausia-uzdirbanciu-eurolygos-krepsininku-top-50-be-lietuviu-1362-529764" TargetMode="External"/><Relationship Id="rId1194" Type="http://schemas.openxmlformats.org/officeDocument/2006/relationships/hyperlink" Target="https://www.pianetabasket.com/euroleague/mercato-el-fenerbahce-non-solo-melli-e-hall-in-arrivo-i-colpi-baldwin-e-colson-304176" TargetMode="External"/><Relationship Id="rId2041" Type="http://schemas.openxmlformats.org/officeDocument/2006/relationships/hyperlink" Target="https://www.calcalist.co.il/local/articles/0,7340,L-3371150,00.html" TargetMode="External"/><Relationship Id="rId120" Type="http://schemas.openxmlformats.org/officeDocument/2006/relationships/hyperlink" Target="https://www.15min.lt/24sek/naujiena/lietuva/vertinami-ir-svetur-ir-lietuvoje-geriausiai-apmokamu-lietuvos-krepsininku-top-30-875-1641654" TargetMode="External"/><Relationship Id="rId1195" Type="http://schemas.openxmlformats.org/officeDocument/2006/relationships/hyperlink" Target="https://www.basketnews.lt/news-186848-labiausiai-verte-pasikele-eurolygos-zaidejai-dabartine-alga-ir-ko-tiketis-vasara.html" TargetMode="External"/><Relationship Id="rId2042" Type="http://schemas.openxmlformats.org/officeDocument/2006/relationships/hyperlink" Target="https://www.calcalist.co.il/local/articles/0,7340,L-3371150,00.html" TargetMode="External"/><Relationship Id="rId1196" Type="http://schemas.openxmlformats.org/officeDocument/2006/relationships/hyperlink" Target="https://www.basketnews.lt/news-186848-labiausiai-verte-pasikele-eurolygos-zaidejai-dabartine-alga-ir-ko-tiketis-vasara.html" TargetMode="External"/><Relationship Id="rId2043" Type="http://schemas.openxmlformats.org/officeDocument/2006/relationships/hyperlink" Target="https://www.calcalist.co.il/local/articles/0,7340,L-3371150,00.html" TargetMode="External"/><Relationship Id="rId1197" Type="http://schemas.openxmlformats.org/officeDocument/2006/relationships/hyperlink" Target="https://www.basketnews.lt/news-186848-labiausiai-verte-pasikele-eurolygos-zaidejai-dabartine-alga-ir-ko-tiketis-vasara.html" TargetMode="External"/><Relationship Id="rId2044" Type="http://schemas.openxmlformats.org/officeDocument/2006/relationships/hyperlink" Target="https://www.calcalist.co.il/local/articles/0,7340,L-3371150,00.html" TargetMode="External"/><Relationship Id="rId125" Type="http://schemas.openxmlformats.org/officeDocument/2006/relationships/hyperlink" Target="https://www.krepsinis.net/naujiena/desimt-daugiausiai-uzdirbanciu-eurolygos-treneriu/261586" TargetMode="External"/><Relationship Id="rId1198" Type="http://schemas.openxmlformats.org/officeDocument/2006/relationships/hyperlink" Target="https://www.pianetabasket.com/legabasket-serie-a/mercato-lba-virtus-bologna-non-solo-jones-e-loyd-ipotesi-luca-vildoza-303493" TargetMode="External"/><Relationship Id="rId2045" Type="http://schemas.openxmlformats.org/officeDocument/2006/relationships/hyperlink" Target="https://www.calcalist.co.il/local/articles/0,7340,L-3371150,00.html" TargetMode="External"/><Relationship Id="rId124" Type="http://schemas.openxmlformats.org/officeDocument/2006/relationships/hyperlink" Target="https://www.15min.lt/24sek/naujiena/lietuva/vertinami-ir-svetur-ir-lietuvoje-geriausiai-apmokamu-lietuvos-krepsininku-top-30-875-1641654" TargetMode="External"/><Relationship Id="rId1199" Type="http://schemas.openxmlformats.org/officeDocument/2006/relationships/hyperlink" Target="https://www.basketnews.lt/news-186848-labiausiai-verte-pasikele-eurolygos-zaidejai-dabartine-alga-ir-ko-tiketis-vasara.html" TargetMode="External"/><Relationship Id="rId2046" Type="http://schemas.openxmlformats.org/officeDocument/2006/relationships/hyperlink" Target="https://www.calcalist.co.il/local/articles/0,7340,L-3371150,00.html" TargetMode="External"/><Relationship Id="rId123" Type="http://schemas.openxmlformats.org/officeDocument/2006/relationships/hyperlink" Target="https://www.15min.lt/24sek/naujiena/lietuva/vertinami-ir-svetur-ir-lietuvoje-geriausiai-apmokamu-lietuvos-krepsininku-top-30-875-1641654" TargetMode="External"/><Relationship Id="rId2047" Type="http://schemas.openxmlformats.org/officeDocument/2006/relationships/hyperlink" Target="https://sports.walla.co.il/item/1656259" TargetMode="External"/><Relationship Id="rId122" Type="http://schemas.openxmlformats.org/officeDocument/2006/relationships/hyperlink" Target="https://www.15min.lt/24sek/naujiena/lietuva/vertinami-ir-svetur-ir-lietuvoje-geriausiai-apmokamu-lietuvos-krepsininku-top-30-875-1641654" TargetMode="External"/><Relationship Id="rId2048" Type="http://schemas.openxmlformats.org/officeDocument/2006/relationships/hyperlink" Target="https://sportbild.bild.de/sportmix/basketball/pokalsieger-syntainics-mbc-kader-zerfall-droht-beim-basketball-team-67bda84cd1e5ac3c115e34a5" TargetMode="External"/><Relationship Id="rId2038" Type="http://schemas.openxmlformats.org/officeDocument/2006/relationships/hyperlink" Target="https://www.calcalist.co.il/local/articles/0,7340,L-3371150,00.html" TargetMode="External"/><Relationship Id="rId2039" Type="http://schemas.openxmlformats.org/officeDocument/2006/relationships/hyperlink" Target="https://www.calcalist.co.il/local/articles/0,7340,L-3371150,00.html" TargetMode="External"/><Relationship Id="rId118" Type="http://schemas.openxmlformats.org/officeDocument/2006/relationships/hyperlink" Target="https://www.15min.lt/24sek/naujiena/lietuva/vertinami-ir-svetur-ir-lietuvoje-geriausiai-apmokamu-lietuvos-krepsininku-top-30-875-1641654" TargetMode="External"/><Relationship Id="rId117" Type="http://schemas.openxmlformats.org/officeDocument/2006/relationships/hyperlink" Target="https://www.15min.lt/24sek/naujiena/lietuva/vertinami-ir-svetur-ir-lietuvoje-geriausiai-apmokamu-lietuvos-krepsininku-top-30-875-1641654" TargetMode="External"/><Relationship Id="rId116" Type="http://schemas.openxmlformats.org/officeDocument/2006/relationships/hyperlink" Target="https://www.15min.lt/24sek/naujiena/lietuva/vertinami-ir-svetur-ir-lietuvoje-geriausiai-apmokamu-lietuvos-krepsininku-top-30-875-1641654" TargetMode="External"/><Relationship Id="rId115" Type="http://schemas.openxmlformats.org/officeDocument/2006/relationships/hyperlink" Target="https://www.basketnews.lt/news-83614-kiek-uzdirba-didziuju-lkl-klubu-krepsininkai.html" TargetMode="External"/><Relationship Id="rId599" Type="http://schemas.openxmlformats.org/officeDocument/2006/relationships/hyperlink" Target="https://www.israelhayom.co.il/sport/israeli-basketball/article/16015710" TargetMode="External"/><Relationship Id="rId1180" Type="http://schemas.openxmlformats.org/officeDocument/2006/relationships/hyperlink" Target="https://cronicaglobal.elespanol.com/culemania/secciones/20250101/la-nueva-escala-salarial-barca-basket-temporada/908159270_0.html" TargetMode="External"/><Relationship Id="rId1181" Type="http://schemas.openxmlformats.org/officeDocument/2006/relationships/hyperlink" Target="https://cronicaglobal.elespanol.com/culemania/secciones/20240731/laporta-apuesta-barca-de-los-salarios-jugadores/874412684_0.html" TargetMode="External"/><Relationship Id="rId119" Type="http://schemas.openxmlformats.org/officeDocument/2006/relationships/hyperlink" Target="https://www.15min.lt/24sek/naujiena/lietuva/vertinami-ir-svetur-ir-lietuvoje-geriausiai-apmokamu-lietuvos-krepsininku-top-30-875-1641654" TargetMode="External"/><Relationship Id="rId1182" Type="http://schemas.openxmlformats.org/officeDocument/2006/relationships/hyperlink" Target="https://cronicaglobal.elespanol.com/culemania/secciones/20250101/la-nueva-escala-salarial-barca-basket-temporada/908159270_0.html" TargetMode="External"/><Relationship Id="rId110" Type="http://schemas.openxmlformats.org/officeDocument/2006/relationships/hyperlink" Target="https://www.15min.lt/24sek/naujiena/lietuva/zalgirieciu-dominavimas-daugiausiai-uzdirbanciu-lkl-zaideju-top-40-875-1641660" TargetMode="External"/><Relationship Id="rId594" Type="http://schemas.openxmlformats.org/officeDocument/2006/relationships/hyperlink" Target="https://www.israelhayom.co.il/sport/israeli-basketball/article/4368862" TargetMode="External"/><Relationship Id="rId1183" Type="http://schemas.openxmlformats.org/officeDocument/2006/relationships/hyperlink" Target="https://www.basketnews.lt/news-187174-labiausiai-verte-pasikele-lkl-zaidejai-dabartine-alga-ir-ko-tiketis-vasara.html" TargetMode="External"/><Relationship Id="rId2030" Type="http://schemas.openxmlformats.org/officeDocument/2006/relationships/hyperlink" Target="https://www.sport5.co.il/articles.aspx?FolderID=274&amp;docID=477657" TargetMode="External"/><Relationship Id="rId593" Type="http://schemas.openxmlformats.org/officeDocument/2006/relationships/hyperlink" Target="https://www.israelhayom.co.il/sport/israeli-basketball/article/4368862" TargetMode="External"/><Relationship Id="rId1184" Type="http://schemas.openxmlformats.org/officeDocument/2006/relationships/hyperlink" Target="https://www.krepsinis.net/naujiena/desimt-lkl-zaideju-kuriu-sekmingas-zaidimas-gerokai-padidino-ju-rinkos-verte/272566" TargetMode="External"/><Relationship Id="rId2031" Type="http://schemas.openxmlformats.org/officeDocument/2006/relationships/hyperlink" Target="https://www.sport5.co.il/articles.aspx?FolderID=274&amp;docID=477657" TargetMode="External"/><Relationship Id="rId592" Type="http://schemas.openxmlformats.org/officeDocument/2006/relationships/hyperlink" Target="https://www.israelhayom.co.il/sport/israeli-basketball/article/4368862" TargetMode="External"/><Relationship Id="rId1185" Type="http://schemas.openxmlformats.org/officeDocument/2006/relationships/hyperlink" Target="https://www.krepsinis.net/naujiena/desimt-lkl-zaideju-kuriu-sekmingas-zaidimas-gerokai-padidino-ju-rinkos-verte/272566" TargetMode="External"/><Relationship Id="rId2032" Type="http://schemas.openxmlformats.org/officeDocument/2006/relationships/hyperlink" Target="https://www.sport5.co.il/articles.aspx?FolderID=274&amp;docID=477657" TargetMode="External"/><Relationship Id="rId591" Type="http://schemas.openxmlformats.org/officeDocument/2006/relationships/hyperlink" Target="https://www.israelhayom.co.il/sport/israeli-basketball/article/4368862" TargetMode="External"/><Relationship Id="rId1186" Type="http://schemas.openxmlformats.org/officeDocument/2006/relationships/hyperlink" Target="https://www.krepsinis.net/naujiena/desimt-lkl-zaideju-kuriu-sekmingas-zaidimas-gerokai-padidino-ju-rinkos-verte/272566" TargetMode="External"/><Relationship Id="rId2033" Type="http://schemas.openxmlformats.org/officeDocument/2006/relationships/hyperlink" Target="https://www.ynet.co.il/articles/0,7340,L-3080300,00.html" TargetMode="External"/><Relationship Id="rId114" Type="http://schemas.openxmlformats.org/officeDocument/2006/relationships/hyperlink" Target="https://www.basketnews.lt/news-83614-kiek-uzdirba-didziuju-lkl-klubu-krepsininkai.html" TargetMode="External"/><Relationship Id="rId598" Type="http://schemas.openxmlformats.org/officeDocument/2006/relationships/hyperlink" Target="https://www.israelhayom.co.il/sport/israeli-basketball/article/16015710" TargetMode="External"/><Relationship Id="rId1187" Type="http://schemas.openxmlformats.org/officeDocument/2006/relationships/hyperlink" Target="https://www.krepsinis.net/naujiena/desimt-lkl-zaideju-kuriu-sekmingas-zaidimas-gerokai-padidino-ju-rinkos-verte/272566" TargetMode="External"/><Relationship Id="rId2034" Type="http://schemas.openxmlformats.org/officeDocument/2006/relationships/hyperlink" Target="https://www.sport5.co.il/articles.aspx?FolderID=274&amp;docID=477657" TargetMode="External"/><Relationship Id="rId113" Type="http://schemas.openxmlformats.org/officeDocument/2006/relationships/hyperlink" Target="https://www.basketnews.lt/news-83614-kiek-uzdirba-didziuju-lkl-klubu-krepsininkai.html" TargetMode="External"/><Relationship Id="rId597" Type="http://schemas.openxmlformats.org/officeDocument/2006/relationships/hyperlink" Target="https://www.israelhayom.co.il/sport/israeli-basketball/article/16015710" TargetMode="External"/><Relationship Id="rId1188" Type="http://schemas.openxmlformats.org/officeDocument/2006/relationships/hyperlink" Target="https://www.krepsinis.net/naujiena/m-pocius-galatasaray-klube-uzdirbs-600-tukst-euru-per-sezona/241225" TargetMode="External"/><Relationship Id="rId2035" Type="http://schemas.openxmlformats.org/officeDocument/2006/relationships/hyperlink" Target="https://www.sport5.co.il/articles.aspx?FolderID=274&amp;docID=477657" TargetMode="External"/><Relationship Id="rId112" Type="http://schemas.openxmlformats.org/officeDocument/2006/relationships/hyperlink" Target="https://www.15min.lt/24sek/naujiena/lietuva/zalgirieciu-dominavimas-daugiausiai-uzdirbanciu-lkl-zaideju-top-40-875-1641660" TargetMode="External"/><Relationship Id="rId596" Type="http://schemas.openxmlformats.org/officeDocument/2006/relationships/hyperlink" Target="https://www.israelhayom.co.il/sport/israeli-basketball/article/4368862" TargetMode="External"/><Relationship Id="rId1189" Type="http://schemas.openxmlformats.org/officeDocument/2006/relationships/hyperlink" Target="https://www.krepsinis.net/naujiena/10-uzsienyje-zaidzianciu-lietuviu-kurie-uzdirba-daugiausiai/249859" TargetMode="External"/><Relationship Id="rId2036" Type="http://schemas.openxmlformats.org/officeDocument/2006/relationships/hyperlink" Target="https://www.calcalist.co.il/local/articles/0,7340,L-3371150,00.html" TargetMode="External"/><Relationship Id="rId111" Type="http://schemas.openxmlformats.org/officeDocument/2006/relationships/hyperlink" Target="https://www.15min.lt/24sek/naujiena/lietuva/zalgirieciu-dominavimas-daugiausiai-uzdirbanciu-lkl-zaideju-top-40-875-1641660" TargetMode="External"/><Relationship Id="rId595" Type="http://schemas.openxmlformats.org/officeDocument/2006/relationships/hyperlink" Target="https://www.israelhayom.co.il/sport/israeli-basketball/article/4368862" TargetMode="External"/><Relationship Id="rId2037" Type="http://schemas.openxmlformats.org/officeDocument/2006/relationships/hyperlink" Target="https://www.calcalist.co.il/local/articles/0,7340,L-3371150,00.html" TargetMode="External"/><Relationship Id="rId1136" Type="http://schemas.openxmlformats.org/officeDocument/2006/relationships/hyperlink" Target="https://x.com/karusito83/status/2071564062194909406" TargetMode="External"/><Relationship Id="rId1137" Type="http://schemas.openxmlformats.org/officeDocument/2006/relationships/hyperlink" Target="https://x.com/karusito83/status/2071564062194909406" TargetMode="External"/><Relationship Id="rId1138" Type="http://schemas.openxmlformats.org/officeDocument/2006/relationships/hyperlink" Target="https://x.com/karusito83/status/2071564062194909406" TargetMode="External"/><Relationship Id="rId1139" Type="http://schemas.openxmlformats.org/officeDocument/2006/relationships/hyperlink" Target="https://karusito.com/2025/08/19/florentino-reabre-el-grifo-al-basket/" TargetMode="External"/><Relationship Id="rId547" Type="http://schemas.openxmlformats.org/officeDocument/2006/relationships/hyperlink" Target="https://www.basketnews.lt/news-223077-labiausiai-verte-pasikelusiu-lkl-zaideju-penketukas-kokiu-sumu-tiketis-vasara.html" TargetMode="External"/><Relationship Id="rId546" Type="http://schemas.openxmlformats.org/officeDocument/2006/relationships/hyperlink" Target="https://www.krepsinis.net/naujiena/10-komandu-10-nusivylimu-labiausiai-lukesciu-nepateisinantys-lkl-ekipu-zaidejai/342093" TargetMode="External"/><Relationship Id="rId545" Type="http://schemas.openxmlformats.org/officeDocument/2006/relationships/hyperlink" Target="https://www.basketnews.lt/news-223077-labiausiai-verte-pasikelusiu-lkl-zaideju-penketukas-kokiu-sumu-tiketis-vasara.html" TargetMode="External"/><Relationship Id="rId544" Type="http://schemas.openxmlformats.org/officeDocument/2006/relationships/hyperlink" Target="https://www.basketnews.lt/news-223077-labiausiai-verte-pasikelusiu-lkl-zaideju-penketukas-kokiu-sumu-tiketis-vasara.html" TargetMode="External"/><Relationship Id="rId549" Type="http://schemas.openxmlformats.org/officeDocument/2006/relationships/hyperlink" Target="https://www.basketnews.lt/news-223077-labiausiai-verte-pasikelusiu-lkl-zaideju-penketukas-kokiu-sumu-tiketis-vasara.html" TargetMode="External"/><Relationship Id="rId548" Type="http://schemas.openxmlformats.org/officeDocument/2006/relationships/hyperlink" Target="https://www.basketnews.lt/news-223077-labiausiai-verte-pasikelusiu-lkl-zaideju-penketukas-kokiu-sumu-tiketis-vasara.html" TargetMode="External"/><Relationship Id="rId1130" Type="http://schemas.openxmlformats.org/officeDocument/2006/relationships/hyperlink" Target="https://x.com/hizlihucum/status/2055600318583284014" TargetMode="External"/><Relationship Id="rId1131" Type="http://schemas.openxmlformats.org/officeDocument/2006/relationships/hyperlink" Target="https://www.lasprovincias.es/deportes/valencia-bc/valencia-basket-blinda-jaime-pradilla-2027-20240308201356-nt.html" TargetMode="External"/><Relationship Id="rId543" Type="http://schemas.openxmlformats.org/officeDocument/2006/relationships/hyperlink" Target="https://www.tv3.lt/naujiena/sportas/atlyginimai-kaip-ant-delno-kiek-uzdirba-kiekvienas-lietuvos-rinktines-dvyliktuko-narys-n1253983" TargetMode="External"/><Relationship Id="rId1132" Type="http://schemas.openxmlformats.org/officeDocument/2006/relationships/hyperlink" Target="https://www.eurohoops.net/en/euroleague/1511796/campazzo-has-a-three-year-deal-with-madrid-taking-a-pay-cut/" TargetMode="External"/><Relationship Id="rId542" Type="http://schemas.openxmlformats.org/officeDocument/2006/relationships/hyperlink" Target="https://www.tv3.lt/naujiena/sportas/atlyginimai-kaip-ant-delno-kiek-uzdirba-kiekvienas-lietuvos-rinktines-dvyliktuko-narys-n1253983" TargetMode="External"/><Relationship Id="rId1133" Type="http://schemas.openxmlformats.org/officeDocument/2006/relationships/hyperlink" Target="https://www.eurohoops.net/en/euroleague/1511796/campazzo-has-a-three-year-deal-with-madrid-taking-a-pay-cut/" TargetMode="External"/><Relationship Id="rId541" Type="http://schemas.openxmlformats.org/officeDocument/2006/relationships/hyperlink" Target="https://www.tv3.lt/naujiena/sportas/atlyginimai-kaip-ant-delno-kiek-uzdirba-kiekvienas-lietuvos-rinktines-dvyliktuko-narys-n1253983" TargetMode="External"/><Relationship Id="rId1134" Type="http://schemas.openxmlformats.org/officeDocument/2006/relationships/hyperlink" Target="https://www.eurohoops.net/en/euroleague/1511796/campazzo-has-a-three-year-deal-with-madrid-taking-a-pay-cut/" TargetMode="External"/><Relationship Id="rId540" Type="http://schemas.openxmlformats.org/officeDocument/2006/relationships/hyperlink" Target="https://www.tv3.lt/naujiena/sportas/atlyginimai-kaip-ant-delno-kiek-uzdirba-kiekvienas-lietuvos-rinktines-dvyliktuko-narys-n1253983" TargetMode="External"/><Relationship Id="rId1135" Type="http://schemas.openxmlformats.org/officeDocument/2006/relationships/hyperlink" Target="https://x.com/karusito83/status/2071564062194909406" TargetMode="External"/><Relationship Id="rId1125" Type="http://schemas.openxmlformats.org/officeDocument/2006/relationships/hyperlink" Target="https://cronicaglobal.elespanol.com/culemania/secciones/20240731/laporta-apuesta-barca-de-los-salarios-jugadores/874412684_0.html" TargetMode="External"/><Relationship Id="rId1126" Type="http://schemas.openxmlformats.org/officeDocument/2006/relationships/hyperlink" Target="https://www.sport.es/es/noticias/baloncesto/real-madrid-tendra-mayores-perdidas-123464294" TargetMode="External"/><Relationship Id="rId1127" Type="http://schemas.openxmlformats.org/officeDocument/2006/relationships/hyperlink" Target="https://x.com/karusito83/status/2071564062194909406" TargetMode="External"/><Relationship Id="rId1128" Type="http://schemas.openxmlformats.org/officeDocument/2006/relationships/hyperlink" Target="https://eldia.com.do/acuerdo-de-jean-montero-y-el-valencia-basket-es-por-tres-anos-y-4-millones-de-euros/" TargetMode="External"/><Relationship Id="rId1129" Type="http://schemas.openxmlformats.org/officeDocument/2006/relationships/hyperlink" Target="https://www.mundodeportivo.com/baloncesto/euroliga/20260523/1004186818/jean-montero-no-aceptara-renovacion-valencia-basket-definido-proximo-destino.html" TargetMode="External"/><Relationship Id="rId536" Type="http://schemas.openxmlformats.org/officeDocument/2006/relationships/hyperlink" Target="https://www.basketnews.lt/news-188679-bentley-pries-passat-kiek-uzdirba-brangiausi-barcelonos-ir-zalgirio-zaidejai.html" TargetMode="External"/><Relationship Id="rId535" Type="http://schemas.openxmlformats.org/officeDocument/2006/relationships/hyperlink" Target="https://www.tv3.lt/naujiena/sportas/atlyginimai-kaip-ant-delno-kiek-uzdirba-kiekvienas-lietuvos-rinktines-dvyliktuko-narys-n1253983" TargetMode="External"/><Relationship Id="rId534" Type="http://schemas.openxmlformats.org/officeDocument/2006/relationships/hyperlink" Target="https://www.krepsinis.net/naujiena/top-15-daugiausiai-uzdirbantys-lietuvos-krepsininkai-ir-s-jasikevicius/327158" TargetMode="External"/><Relationship Id="rId533" Type="http://schemas.openxmlformats.org/officeDocument/2006/relationships/hyperlink" Target="https://www.krepsinis.net/naujiena/top-15-daugiausiai-uzdirbantys-lietuvos-krepsininkai-ir-s-jasikevicius/327158" TargetMode="External"/><Relationship Id="rId539" Type="http://schemas.openxmlformats.org/officeDocument/2006/relationships/hyperlink" Target="https://assets.fiba.basketball/image/upload/v1726049926/Corporate%20Images/HQ%20Departments/Legal/BAT%20Awards/1645-21.pdf" TargetMode="External"/><Relationship Id="rId538" Type="http://schemas.openxmlformats.org/officeDocument/2006/relationships/hyperlink" Target="https://www.krepsinis.net/naujiena/top-15-daugiausiai-uzdirbantys-lietuvos-krepsininkai-ir-s-jasikevicius/327158" TargetMode="External"/><Relationship Id="rId537" Type="http://schemas.openxmlformats.org/officeDocument/2006/relationships/hyperlink" Target="https://www.tv3.lt/naujiena/sportas/atlyginimai-kaip-ant-delno-kiek-uzdirba-kiekvienas-lietuvos-rinktines-dvyliktuko-narys-n1253983" TargetMode="External"/><Relationship Id="rId1120" Type="http://schemas.openxmlformats.org/officeDocument/2006/relationships/hyperlink" Target="https://www.15min.lt/24sek/naujiena/nba/uzdirbs-pirmaji-milijona-paaiskejo-deivido-sirvydzio-atlyginimas-detroite-1130-1417912" TargetMode="External"/><Relationship Id="rId532" Type="http://schemas.openxmlformats.org/officeDocument/2006/relationships/hyperlink" Target="https://www.krepsinis.net/naujiena/top-15-daugiausiai-uzdirbantys-lietuvos-krepsininkai-ir-s-jasikevicius/327158" TargetMode="External"/><Relationship Id="rId1121" Type="http://schemas.openxmlformats.org/officeDocument/2006/relationships/hyperlink" Target="https://www.eurohoops.net/en/trademarks/909850/the-top-10-euroleague-salaries-of-2019-20/9/" TargetMode="External"/><Relationship Id="rId531" Type="http://schemas.openxmlformats.org/officeDocument/2006/relationships/hyperlink" Target="https://www.krepsinis.net/naujiena/top-15-daugiausiai-uzdirbantys-lietuvos-krepsininkai-ir-s-jasikevicius/327158" TargetMode="External"/><Relationship Id="rId1122" Type="http://schemas.openxmlformats.org/officeDocument/2006/relationships/hyperlink" Target="https://www.15min.lt/24sek/naujiena/lietuva/vertinami-ir-svetur-ir-lietuvoje-geriausiai-apmokamu-lietuvos-krepsininku-top-30-875-1641654" TargetMode="External"/><Relationship Id="rId530" Type="http://schemas.openxmlformats.org/officeDocument/2006/relationships/hyperlink" Target="https://www.15min.lt/24sek/naujiena/lietuva/vertinami-ir-svetur-ir-lietuvoje-geriausiai-apmokamu-lietuvos-krepsininku-top-30-875-1641654" TargetMode="External"/><Relationship Id="rId1123" Type="http://schemas.openxmlformats.org/officeDocument/2006/relationships/hyperlink" Target="https://piratasdelbasket.net/acb-los-contratos-mas-elevados-de-la-liga-endesa" TargetMode="External"/><Relationship Id="rId1124" Type="http://schemas.openxmlformats.org/officeDocument/2006/relationships/hyperlink" Target="https://x.com/hizlihucum/status/1907039923032506414" TargetMode="External"/><Relationship Id="rId1158" Type="http://schemas.openxmlformats.org/officeDocument/2006/relationships/hyperlink" Target="https://cronicaglobal.elespanol.com/culemania/secciones/20250101/la-nueva-escala-salarial-barca-basket-temporada/908159270_0.html" TargetMode="External"/><Relationship Id="rId2005" Type="http://schemas.openxmlformats.org/officeDocument/2006/relationships/hyperlink" Target="https://basketnews.com/news-255434-top-10-highest-paid-euroleague-players-2026-27-season.html" TargetMode="External"/><Relationship Id="rId1159" Type="http://schemas.openxmlformats.org/officeDocument/2006/relationships/hyperlink" Target="https://cronicaglobal.elespanol.com/culemania/secciones/20250101/la-nueva-escala-salarial-barca-basket-temporada/908159270_0.html" TargetMode="External"/><Relationship Id="rId2006" Type="http://schemas.openxmlformats.org/officeDocument/2006/relationships/hyperlink" Target="https://www.eurohoops.net/en/trademarks/2008414/the-top-10-euroleague-salaries-of-2026-27-the-32m-line-is-official/" TargetMode="External"/><Relationship Id="rId2007" Type="http://schemas.openxmlformats.org/officeDocument/2006/relationships/hyperlink" Target="https://www.pianetabasket.com/legabasket-serie-a/varese-quale-futuro-per-davide-alviti-riflessioni-in-corso-per-club-e-giocatore-357071" TargetMode="External"/><Relationship Id="rId2008" Type="http://schemas.openxmlformats.org/officeDocument/2006/relationships/hyperlink" Target="https://www.backdoorpodcast.com/varese-conferma-renfro-mercato-lba/" TargetMode="External"/><Relationship Id="rId2009" Type="http://schemas.openxmlformats.org/officeDocument/2006/relationships/hyperlink" Target="https://www.pianetabasket.com/legabasket-serie-a/mercato-lba-varese-i-dettagli-sull-accordo-con-hugo-besson-295134" TargetMode="External"/><Relationship Id="rId569" Type="http://schemas.openxmlformats.org/officeDocument/2006/relationships/hyperlink" Target="https://www.ynet.co.il/sport/israelibasketball/article/SyWWcspRP" TargetMode="External"/><Relationship Id="rId568" Type="http://schemas.openxmlformats.org/officeDocument/2006/relationships/hyperlink" Target="https://www.ynet.co.il/sport/israelibasketball/article/SyWWcspRP" TargetMode="External"/><Relationship Id="rId567" Type="http://schemas.openxmlformats.org/officeDocument/2006/relationships/hyperlink" Target="https://www.israelhayom.co.il/article/682197" TargetMode="External"/><Relationship Id="rId566" Type="http://schemas.openxmlformats.org/officeDocument/2006/relationships/hyperlink" Target="https://www.sport5.co.il/articles.aspx?FolderID=407&amp;docID=293704" TargetMode="External"/><Relationship Id="rId561" Type="http://schemas.openxmlformats.org/officeDocument/2006/relationships/hyperlink" Target="https://www.sport5.co.il/articles.aspx?FolderID=407&amp;docID=293704" TargetMode="External"/><Relationship Id="rId1150" Type="http://schemas.openxmlformats.org/officeDocument/2006/relationships/hyperlink" Target="https://www.lasprovincias.es/deportes/valencia-bc/valencia-basket-ofrece-pradilla-ampliar-contrato-2027-20240301121555-nt.html?" TargetMode="External"/><Relationship Id="rId560" Type="http://schemas.openxmlformats.org/officeDocument/2006/relationships/hyperlink" Target="https://www.sport5.co.il/articles.aspx?FolderID=407&amp;docID=293704" TargetMode="External"/><Relationship Id="rId1151" Type="http://schemas.openxmlformats.org/officeDocument/2006/relationships/hyperlink" Target="https://x.com/Andrea__Calzoni/status/2069390959926788434" TargetMode="External"/><Relationship Id="rId1152" Type="http://schemas.openxmlformats.org/officeDocument/2006/relationships/hyperlink" Target="https://www.mozzartsport.com/kosarka/vesti/dogovoreno-za-hejsa-dvogodisnji-ugovor-vredan-1500000-po-sezoni/545827" TargetMode="External"/><Relationship Id="rId1153" Type="http://schemas.openxmlformats.org/officeDocument/2006/relationships/hyperlink" Target="https://www.mozzartsport.com/kosarka/vesti/dogovoreno-za-hejsa-dvogodisnji-ugovor-vredan-1500000-po-sezoni/545827" TargetMode="External"/><Relationship Id="rId2000" Type="http://schemas.openxmlformats.org/officeDocument/2006/relationships/hyperlink" Target="https://www.sport5.co.il/articles.aspx?FolderID=274&amp;docID=551863" TargetMode="External"/><Relationship Id="rId565" Type="http://schemas.openxmlformats.org/officeDocument/2006/relationships/hyperlink" Target="https://www.sport5.co.il/articles.aspx?FolderID=407&amp;docID=293704" TargetMode="External"/><Relationship Id="rId1154" Type="http://schemas.openxmlformats.org/officeDocument/2006/relationships/hyperlink" Target="https://www.basketnews.lt/news-167339-labiausiai-verte-pasikele-zaidejai-europoje-dabartine-alga-ir-ko-tiketis-vasara.html" TargetMode="External"/><Relationship Id="rId2001" Type="http://schemas.openxmlformats.org/officeDocument/2006/relationships/hyperlink" Target="https://www.israelhayom.co.il/sport/israeli-basketball/article/21157555" TargetMode="External"/><Relationship Id="rId564" Type="http://schemas.openxmlformats.org/officeDocument/2006/relationships/hyperlink" Target="https://www.sport5.co.il/articles.aspx?FolderID=407&amp;docID=293704" TargetMode="External"/><Relationship Id="rId1155" Type="http://schemas.openxmlformats.org/officeDocument/2006/relationships/hyperlink" Target="https://cronicaglobal.elespanol.com/culemania/secciones/20240731/laporta-apuesta-barca-de-los-salarios-jugadores/874412684_0.html" TargetMode="External"/><Relationship Id="rId2002" Type="http://schemas.openxmlformats.org/officeDocument/2006/relationships/hyperlink" Target="https://www.protothema.gr/sports/article/1772720/panathinaikos-to-muthiko-sumvolaio-pou-tha-parei-heiz-devis-stin-ellada-den-xepernaei-to-kase-tou-nan/" TargetMode="External"/><Relationship Id="rId563" Type="http://schemas.openxmlformats.org/officeDocument/2006/relationships/hyperlink" Target="https://www.sport5.co.il/articles.aspx?FolderID=407&amp;docID=293704" TargetMode="External"/><Relationship Id="rId1156" Type="http://schemas.openxmlformats.org/officeDocument/2006/relationships/hyperlink" Target="https://cronicaglobal.elespanol.com/culemania/secciones/20250101/la-nueva-escala-salarial-barca-basket-temporada/908159270_0.html" TargetMode="External"/><Relationship Id="rId2003" Type="http://schemas.openxmlformats.org/officeDocument/2006/relationships/hyperlink" Target="https://basketnews.com/news-255434-top-10-highest-paid-euroleague-players-2026-27-season.html" TargetMode="External"/><Relationship Id="rId562" Type="http://schemas.openxmlformats.org/officeDocument/2006/relationships/hyperlink" Target="https://www.sport5.co.il/articles.aspx?FolderID=407&amp;docID=293704" TargetMode="External"/><Relationship Id="rId1157" Type="http://schemas.openxmlformats.org/officeDocument/2006/relationships/hyperlink" Target="https://cronicaglobal.elespanol.com/culemania/secciones/20240731/laporta-apuesta-barca-de-los-salarios-jugadores/874412684_0.html" TargetMode="External"/><Relationship Id="rId2004" Type="http://schemas.openxmlformats.org/officeDocument/2006/relationships/hyperlink" Target="https://www.sport5.co.il/articles.aspx?FolderID=11840&amp;docID=551764" TargetMode="External"/><Relationship Id="rId1147" Type="http://schemas.openxmlformats.org/officeDocument/2006/relationships/hyperlink" Target="https://www.solobasket.com/liga-endesa/real-madrid-cuanto-cuesta-salarios-fichajes-baloncesto" TargetMode="External"/><Relationship Id="rId1148" Type="http://schemas.openxmlformats.org/officeDocument/2006/relationships/hyperlink" Target="https://defensacentral.com/baloncesto/edy-tavares-el-mejor-pagado-del-real-madrid-5-millones-al-ano_283597_102.html" TargetMode="External"/><Relationship Id="rId1149" Type="http://schemas.openxmlformats.org/officeDocument/2006/relationships/hyperlink" Target="https://x.com/Andrea__Calzoni/status/1794700071445144052?lang=en" TargetMode="External"/><Relationship Id="rId558" Type="http://schemas.openxmlformats.org/officeDocument/2006/relationships/hyperlink" Target="https://www.sport5.co.il/articles.aspx?FolderID=407&amp;docID=293704" TargetMode="External"/><Relationship Id="rId557" Type="http://schemas.openxmlformats.org/officeDocument/2006/relationships/hyperlink" Target="https://www.sport5.co.il/articles.aspx?FolderID=407&amp;docID=293704" TargetMode="External"/><Relationship Id="rId556" Type="http://schemas.openxmlformats.org/officeDocument/2006/relationships/hyperlink" Target="https://www.sport5.co.il/articles.aspx?FolderID=407&amp;docID=293704" TargetMode="External"/><Relationship Id="rId555" Type="http://schemas.openxmlformats.org/officeDocument/2006/relationships/hyperlink" Target="https://www.sport5.co.il/articles.aspx?FolderID=407&amp;docID=293704" TargetMode="External"/><Relationship Id="rId559" Type="http://schemas.openxmlformats.org/officeDocument/2006/relationships/hyperlink" Target="https://www.sport5.co.il/articles.aspx?FolderID=407&amp;docID=293704" TargetMode="External"/><Relationship Id="rId550" Type="http://schemas.openxmlformats.org/officeDocument/2006/relationships/hyperlink" Target="https://www.basketnews.lt/news-223077-labiausiai-verte-pasikelusiu-lkl-zaideju-penketukas-kokiu-sumu-tiketis-vasara.html" TargetMode="External"/><Relationship Id="rId1140" Type="http://schemas.openxmlformats.org/officeDocument/2006/relationships/hyperlink" Target="https://defensacentral.com/baloncesto/edy-tavares-el-mejor-pagado-del-real-madrid-5-millones-al-ano_283597_102.html" TargetMode="External"/><Relationship Id="rId1141" Type="http://schemas.openxmlformats.org/officeDocument/2006/relationships/hyperlink" Target="https://defensacentral.com/baloncesto/edy-tavares-el-mejor-pagado-del-real-madrid-5-millones-al-ano_283597_102.html" TargetMode="External"/><Relationship Id="rId1142" Type="http://schemas.openxmlformats.org/officeDocument/2006/relationships/hyperlink" Target="https://defensacentral.com/baloncesto/edy-tavares-el-mejor-pagado-del-real-madrid-5-millones-al-ano_283597_102.html" TargetMode="External"/><Relationship Id="rId554" Type="http://schemas.openxmlformats.org/officeDocument/2006/relationships/hyperlink" Target="https://www.tv3.lt/naujiena/sportas/atlyginimai-kaip-ant-delno-kiek-uzdirba-kiekvienas-lietuvos-rinktines-dvyliktuko-narys-n1253983" TargetMode="External"/><Relationship Id="rId1143" Type="http://schemas.openxmlformats.org/officeDocument/2006/relationships/hyperlink" Target="https://defensacentral.com/baloncesto/edy-tavares-el-mejor-pagado-del-real-madrid-5-millones-al-ano_283597_102.html" TargetMode="External"/><Relationship Id="rId553" Type="http://schemas.openxmlformats.org/officeDocument/2006/relationships/hyperlink" Target="https://www.tv3.lt/naujiena/sportas/atlyginimai-kaip-ant-delno-kiek-uzdirba-kiekvienas-lietuvos-rinktines-dvyliktuko-narys-n1253983" TargetMode="External"/><Relationship Id="rId1144" Type="http://schemas.openxmlformats.org/officeDocument/2006/relationships/hyperlink" Target="https://www.solobasket.com/liga-endesa/real-madrid-cuanto-cuesta-salarios-fichajes-baloncesto" TargetMode="External"/><Relationship Id="rId552" Type="http://schemas.openxmlformats.org/officeDocument/2006/relationships/hyperlink" Target="https://www.basketnews.lt/news-198049-didziausios-lkl-algos-33-23-vietos.html" TargetMode="External"/><Relationship Id="rId1145" Type="http://schemas.openxmlformats.org/officeDocument/2006/relationships/hyperlink" Target="https://www.solobasket.com/liga-endesa/real-madrid-cuanto-cuesta-salarios-fichajes-baloncesto" TargetMode="External"/><Relationship Id="rId551" Type="http://schemas.openxmlformats.org/officeDocument/2006/relationships/hyperlink" Target="https://www.krepsinis.net/naujiena/10-komandu-10-nusivylimu-labiausiai-lukesciu-nepateisinantys-lkl-ekipu-zaidejai/342093" TargetMode="External"/><Relationship Id="rId1146" Type="http://schemas.openxmlformats.org/officeDocument/2006/relationships/hyperlink" Target="https://www.solobasket.com/liga-endesa/real-madrid-cuanto-cuesta-salarios-fichajes-baloncesto" TargetMode="External"/><Relationship Id="rId2090" Type="http://schemas.openxmlformats.org/officeDocument/2006/relationships/hyperlink" Target="https://www.sport24.gr/basket/euroleague-basketball/maik-tzeims-oi-leptomereies-tou-simvolaiou-tou-me-tin-efes-simfona-me-to-basketnews/" TargetMode="External"/><Relationship Id="rId2091" Type="http://schemas.openxmlformats.org/officeDocument/2006/relationships/hyperlink" Target="https://www.eurohoops.net/en/trademarks/2008414/the-top-10-euroleague-salaries-of-2026-27-the-32m-line-is-official/" TargetMode="External"/><Relationship Id="rId2092" Type="http://schemas.openxmlformats.org/officeDocument/2006/relationships/hyperlink" Target="https://www.sport5.co.il/articles.aspx?FolderID=274&amp;docID=548435" TargetMode="External"/><Relationship Id="rId2093" Type="http://schemas.openxmlformats.org/officeDocument/2006/relationships/hyperlink" Target="https://www.israelhayom.co.il/sport/israeli-basketball/article/21157555" TargetMode="External"/><Relationship Id="rId2094" Type="http://schemas.openxmlformats.org/officeDocument/2006/relationships/hyperlink" Target="https://sports.walla.co.il/item/3850202" TargetMode="External"/><Relationship Id="rId2095" Type="http://schemas.openxmlformats.org/officeDocument/2006/relationships/hyperlink" Target="https://www.israelhayom.co.il/sport/israeli-basketball/article/21157555" TargetMode="External"/><Relationship Id="rId2096" Type="http://schemas.openxmlformats.org/officeDocument/2006/relationships/hyperlink" Target="https://x.com/Andrea__Calzoni/status/2076215103003717927" TargetMode="External"/><Relationship Id="rId2097" Type="http://schemas.openxmlformats.org/officeDocument/2006/relationships/hyperlink" Target="https://www.israelhayom.co.il/sport/israeli-basketball/article/21157555" TargetMode="External"/><Relationship Id="rId2098" Type="http://schemas.openxmlformats.org/officeDocument/2006/relationships/hyperlink" Target="https://www.sport5.co.il/articles.aspx?FolderID=274&amp;docID=551659" TargetMode="External"/><Relationship Id="rId2099" Type="http://schemas.openxmlformats.org/officeDocument/2006/relationships/hyperlink" Target="https://sport1.maariv.co.il/israeli-basketball/winner-basketball-league/article/1894086/" TargetMode="External"/><Relationship Id="rId2060" Type="http://schemas.openxmlformats.org/officeDocument/2006/relationships/hyperlink" Target="https://www.one.co.il/Article/521430.html" TargetMode="External"/><Relationship Id="rId2061" Type="http://schemas.openxmlformats.org/officeDocument/2006/relationships/hyperlink" Target="https://www.sport5.co.il/articles.aspx?FolderID=405&amp;docID=542589" TargetMode="External"/><Relationship Id="rId2062" Type="http://schemas.openxmlformats.org/officeDocument/2006/relationships/hyperlink" Target="https://www.israelhayom.co.il/sport/israeli-basketball/article/21157555" TargetMode="External"/><Relationship Id="rId2063" Type="http://schemas.openxmlformats.org/officeDocument/2006/relationships/hyperlink" Target="https://www.sport5.co.il/articles.aspx?FolderID=274&amp;docID=551605" TargetMode="External"/><Relationship Id="rId2064" Type="http://schemas.openxmlformats.org/officeDocument/2006/relationships/hyperlink" Target="https://x.com/hizlihucum/status/2076295593673072911" TargetMode="External"/><Relationship Id="rId2065" Type="http://schemas.openxmlformats.org/officeDocument/2006/relationships/hyperlink" Target="https://www.sport5.co.il/articles.aspx?FolderID=12045&amp;docID=552014" TargetMode="External"/><Relationship Id="rId2066" Type="http://schemas.openxmlformats.org/officeDocument/2006/relationships/hyperlink" Target="https://x.com/DahanItan/status/2072696204454936983" TargetMode="External"/><Relationship Id="rId2067" Type="http://schemas.openxmlformats.org/officeDocument/2006/relationships/hyperlink" Target="https://www.sport5.co.il/articles.aspx?FolderID=274&amp;docID=552040" TargetMode="External"/><Relationship Id="rId2068" Type="http://schemas.openxmlformats.org/officeDocument/2006/relationships/hyperlink" Target="https://www.israelhayom.co.il/sport/israeli-basketball/article/21157555" TargetMode="External"/><Relationship Id="rId2069" Type="http://schemas.openxmlformats.org/officeDocument/2006/relationships/hyperlink" Target="https://sportsrabbi.com/%D7%A2%D7%95%D7%A9%D7%99%D7%9D-%D7%A1%D7%93%D7%A8-%D7%91%D7%91%D7%9C%D7%90%D7%92%D7%9F-%D7%9B%D7%9C-%D7%94%D7%94%D7%A2%D7%91%D7%A8%D7%95%D7%AA-%D7%94%D7%91%D7%95%D7%9C%D7%98%D7%95%D7%AA-%D7%91%D7%90/" TargetMode="External"/><Relationship Id="rId2050" Type="http://schemas.openxmlformats.org/officeDocument/2006/relationships/hyperlink" Target="https://www.sport5.co.il/articles.aspx?FolderID=11840&amp;docID=501214" TargetMode="External"/><Relationship Id="rId2051" Type="http://schemas.openxmlformats.org/officeDocument/2006/relationships/hyperlink" Target="https://www.sport5.co.il/articles.aspx?FolderID=11840&amp;docID=501214" TargetMode="External"/><Relationship Id="rId495" Type="http://schemas.openxmlformats.org/officeDocument/2006/relationships/hyperlink" Target="https://www.tv3.lt/naujiena/sportas/atlyginimai-kaip-ant-delno-kiek-uzdirba-kiekvienas-lietuvos-rinktines-dvyliktuko-narys-n1253983" TargetMode="External"/><Relationship Id="rId2052" Type="http://schemas.openxmlformats.org/officeDocument/2006/relationships/hyperlink" Target="https://sport1.maariv.co.il/israeli-basketball/winner-basketball-league/article/1887171/" TargetMode="External"/><Relationship Id="rId494" Type="http://schemas.openxmlformats.org/officeDocument/2006/relationships/hyperlink" Target="https://www.15min.lt/24sek/naujiena/lietuva/vertinami-ir-svetur-ir-lietuvoje-geriausiai-apmokamu-lietuvos-krepsininku-top-30-875-1641654" TargetMode="External"/><Relationship Id="rId2053" Type="http://schemas.openxmlformats.org/officeDocument/2006/relationships/hyperlink" Target="https://x.com/Emre_kilic54/status/2074864202351546447" TargetMode="External"/><Relationship Id="rId493" Type="http://schemas.openxmlformats.org/officeDocument/2006/relationships/hyperlink" Target="https://www.15min.lt/24sek/naujiena/lietuva/zalgirieciu-dominavimas-daugiausiai-uzdirbanciu-lkl-zaideju-top-40-875-1641660" TargetMode="External"/><Relationship Id="rId2054" Type="http://schemas.openxmlformats.org/officeDocument/2006/relationships/hyperlink" Target="https://www.sport5.co.il/articles.aspx?FolderID=11840&amp;docID=551887" TargetMode="External"/><Relationship Id="rId492" Type="http://schemas.openxmlformats.org/officeDocument/2006/relationships/hyperlink" Target="https://www.15min.lt/24sek/naujiena/lietuva/zalgirieciu-dominavimas-daugiausiai-uzdirbanciu-lkl-zaideju-top-40-875-1641660" TargetMode="External"/><Relationship Id="rId2055" Type="http://schemas.openxmlformats.org/officeDocument/2006/relationships/hyperlink" Target="https://x.com/VaggelisIoanno2/status/2076055366765248638" TargetMode="External"/><Relationship Id="rId499" Type="http://schemas.openxmlformats.org/officeDocument/2006/relationships/hyperlink" Target="https://www.krepsinis.net/naujiena/top-10-brangiausi-lkl-laisvieji-agentai-lietuviai/328257" TargetMode="External"/><Relationship Id="rId2056" Type="http://schemas.openxmlformats.org/officeDocument/2006/relationships/hyperlink" Target="https://www.pianetabasket.com/olimpia-milano/olimpia-milano-ufficiale-il-colpo-moses-wright-tutti-i-dettagli" TargetMode="External"/><Relationship Id="rId498" Type="http://schemas.openxmlformats.org/officeDocument/2006/relationships/hyperlink" Target="https://www.basketnews.lt/news-133679-geriausiai-apmokami-lkl-zaidejai-desimt-brangiausiuju-zalgiryje.html" TargetMode="External"/><Relationship Id="rId2057" Type="http://schemas.openxmlformats.org/officeDocument/2006/relationships/hyperlink" Target="https://x.com/VaggelisIoanno2/status/2075645190883135804" TargetMode="External"/><Relationship Id="rId497" Type="http://schemas.openxmlformats.org/officeDocument/2006/relationships/hyperlink" Target="https://www.basketnews.lt/news-133679-geriausiai-apmokami-lkl-zaidejai-desimt-brangiausiuju-zalgiryje.html" TargetMode="External"/><Relationship Id="rId2058" Type="http://schemas.openxmlformats.org/officeDocument/2006/relationships/hyperlink" Target="https://www.athletiko.gr/to-deal-olympiakoy-papanikolaoy-kai-to-depth-chart-stoys-forgoyornt-89244" TargetMode="External"/><Relationship Id="rId496" Type="http://schemas.openxmlformats.org/officeDocument/2006/relationships/hyperlink" Target="https://www.basketnews.lt/news-187174-labiausiai-verte-pasikele-lkl-zaidejai-dabartine-alga-ir-ko-tiketis-vasara.html" TargetMode="External"/><Relationship Id="rId2059" Type="http://schemas.openxmlformats.org/officeDocument/2006/relationships/hyperlink" Target="https://x.com/webEncestando/status/2075499169284780529" TargetMode="External"/><Relationship Id="rId2080" Type="http://schemas.openxmlformats.org/officeDocument/2006/relationships/hyperlink" Target="https://x.com/hizlihucum/status/2076552202357989674" TargetMode="External"/><Relationship Id="rId2081" Type="http://schemas.openxmlformats.org/officeDocument/2006/relationships/hyperlink" Target="https://x.com/TheSteinLine/status/2074508878461436050" TargetMode="External"/><Relationship Id="rId2082" Type="http://schemas.openxmlformats.org/officeDocument/2006/relationships/hyperlink" Target="https://x.com/Andrea__Calzoni/status/2074207066755895633" TargetMode="External"/><Relationship Id="rId2083" Type="http://schemas.openxmlformats.org/officeDocument/2006/relationships/hyperlink" Target="https://x.com/Andrea__Calzoni/status/2076011331845570882" TargetMode="External"/><Relationship Id="rId2084" Type="http://schemas.openxmlformats.org/officeDocument/2006/relationships/hyperlink" Target="https://x.com/ShamsCharania/status/2076397365372866908" TargetMode="External"/><Relationship Id="rId2085" Type="http://schemas.openxmlformats.org/officeDocument/2006/relationships/hyperlink" Target="https://x.com/hizlihucum/status/1995823169639248218" TargetMode="External"/><Relationship Id="rId2086" Type="http://schemas.openxmlformats.org/officeDocument/2006/relationships/hyperlink" Target="https://www.sport24.gr/basket/euroleague-basketball/olimpiakos-i-pio-akrivi-omada-olon-ton-epoxon-afta-einai-ta-xrisa-simvolaia-ton-erithrolefkon/" TargetMode="External"/><Relationship Id="rId2087" Type="http://schemas.openxmlformats.org/officeDocument/2006/relationships/hyperlink" Target="https://x.com/hizlihucum/status/1946180516899586055" TargetMode="External"/><Relationship Id="rId2088" Type="http://schemas.openxmlformats.org/officeDocument/2006/relationships/hyperlink" Target="https://x.com/hizlihucum/status/1954533469595287877" TargetMode="External"/><Relationship Id="rId2089" Type="http://schemas.openxmlformats.org/officeDocument/2006/relationships/hyperlink" Target="https://basketnews.com/news-255434-top-10-highest-paid-euroleague-players-2026-27-season.html" TargetMode="External"/><Relationship Id="rId2070" Type="http://schemas.openxmlformats.org/officeDocument/2006/relationships/hyperlink" Target="https://www.athletiko.gr/poso-kostizei-synolika-ston-olympiako-to-deal-me-ton-montero-88142" TargetMode="External"/><Relationship Id="rId2071" Type="http://schemas.openxmlformats.org/officeDocument/2006/relationships/hyperlink" Target="https://basketnews.com/news-255434-top-10-highest-paid-euroleague-players-2026-27-season.html" TargetMode="External"/><Relationship Id="rId2072" Type="http://schemas.openxmlformats.org/officeDocument/2006/relationships/hyperlink" Target="https://x.com/Andrea__Calzoni/status/2075683268385456386" TargetMode="External"/><Relationship Id="rId2073" Type="http://schemas.openxmlformats.org/officeDocument/2006/relationships/hyperlink" Target="https://www.sport5.co.il/articles.aspx?FolderID=274&amp;docID=551758" TargetMode="External"/><Relationship Id="rId2074" Type="http://schemas.openxmlformats.org/officeDocument/2006/relationships/hyperlink" Target="https://www.israelhayom.co.il/sport/israeli-basketball/article/21157555" TargetMode="External"/><Relationship Id="rId2075" Type="http://schemas.openxmlformats.org/officeDocument/2006/relationships/hyperlink" Target="https://x.com/7Vercost/status/2076274169449242966" TargetMode="External"/><Relationship Id="rId2076" Type="http://schemas.openxmlformats.org/officeDocument/2006/relationships/hyperlink" Target="https://x.com/karusito83/status/2076260890425328006" TargetMode="External"/><Relationship Id="rId2077" Type="http://schemas.openxmlformats.org/officeDocument/2006/relationships/hyperlink" Target="https://x.com/karusito83/status/2076201077280567404" TargetMode="External"/><Relationship Id="rId2078" Type="http://schemas.openxmlformats.org/officeDocument/2006/relationships/hyperlink" Target="https://x.com/MattNorlander/status/2076003064788754821" TargetMode="External"/><Relationship Id="rId2079" Type="http://schemas.openxmlformats.org/officeDocument/2006/relationships/hyperlink" Target="https://x.com/karusito83/status/2076345663726506040" TargetMode="External"/><Relationship Id="rId1610" Type="http://schemas.openxmlformats.org/officeDocument/2006/relationships/hyperlink" Target="https://www.krepsinis.net/naujiena/aisku-kiek-pinigu-maccabi-nepagailejo-s-weemsui/261484" TargetMode="External"/><Relationship Id="rId1611" Type="http://schemas.openxmlformats.org/officeDocument/2006/relationships/hyperlink" Target="https://www.salnews.com/forum/viewtopic.php?f=1&amp;t=16044&amp;view=next" TargetMode="External"/><Relationship Id="rId1612" Type="http://schemas.openxmlformats.org/officeDocument/2006/relationships/hyperlink" Target="https://www.salnews.com/forum/viewtopic.php?f=1&amp;t=16044&amp;view=next" TargetMode="External"/><Relationship Id="rId1613" Type="http://schemas.openxmlformats.org/officeDocument/2006/relationships/hyperlink" Target="https://www.salnews.com/forum/viewtopic.php?f=1&amp;t=16044&amp;view=next" TargetMode="External"/><Relationship Id="rId1614" Type="http://schemas.openxmlformats.org/officeDocument/2006/relationships/hyperlink" Target="https://www.salnews.com/forum/viewtopic.php?f=1&amp;t=16044&amp;view=next" TargetMode="External"/><Relationship Id="rId1615" Type="http://schemas.openxmlformats.org/officeDocument/2006/relationships/hyperlink" Target="https://www.salnews.com/forum/viewtopic.php?f=1&amp;t=16044&amp;view=next" TargetMode="External"/><Relationship Id="rId1616" Type="http://schemas.openxmlformats.org/officeDocument/2006/relationships/hyperlink" Target="https://www.salnews.com/forum/viewtopic.php?f=1&amp;t=16044&amp;view=next" TargetMode="External"/><Relationship Id="rId907" Type="http://schemas.openxmlformats.org/officeDocument/2006/relationships/hyperlink" Target="https://zurnal.politika.rs/scc/clanak/239967/kosarka/partizan/mijailovic-nikad-vise-plata-preko-1-500-000-evra" TargetMode="External"/><Relationship Id="rId1617" Type="http://schemas.openxmlformats.org/officeDocument/2006/relationships/hyperlink" Target="https://www.salnews.com/forum/viewtopic.php?f=1&amp;t=16044&amp;view=next" TargetMode="External"/><Relationship Id="rId906" Type="http://schemas.openxmlformats.org/officeDocument/2006/relationships/hyperlink" Target="https://zurnal.politika.rs/scc/clanak/239967/kosarka/partizan/mijailovic-nikad-vise-plata-preko-1-500-000-evra" TargetMode="External"/><Relationship Id="rId1618" Type="http://schemas.openxmlformats.org/officeDocument/2006/relationships/hyperlink" Target="https://www.salnews.com/forum/viewtopic.php?f=1&amp;t=16044&amp;view=next" TargetMode="External"/><Relationship Id="rId905" Type="http://schemas.openxmlformats.org/officeDocument/2006/relationships/hyperlink" Target="https://zurnal.politika.rs/scc/clanak/239967/kosarka/partizan/mijailovic-nikad-vise-plata-preko-1-500-000-evra" TargetMode="External"/><Relationship Id="rId1619" Type="http://schemas.openxmlformats.org/officeDocument/2006/relationships/hyperlink" Target="https://www.salnews.com/forum/viewtopic.php?f=1&amp;t=16044&amp;view=next" TargetMode="External"/><Relationship Id="rId904" Type="http://schemas.openxmlformats.org/officeDocument/2006/relationships/hyperlink" Target="https://zurnal.politika.rs/scc/clanak/239967/kosarka/partizan/mijailovic-nikad-vise-plata-preko-1-500-000-evra" TargetMode="External"/><Relationship Id="rId909" Type="http://schemas.openxmlformats.org/officeDocument/2006/relationships/hyperlink" Target="https://www.tv3.lt/naujiena/sportas/20-eurolygos-komandu-zaidejai-kuriu-kainos-kokybes-santykis-prasciausias-n1493354" TargetMode="External"/><Relationship Id="rId908" Type="http://schemas.openxmlformats.org/officeDocument/2006/relationships/hyperlink" Target="https://www.tv3.lt/naujiena/sportas/20-eurolygos-komandu-zaidejai-kuriu-kainos-kokybes-santykis-prasciausias-n1493354" TargetMode="External"/><Relationship Id="rId903" Type="http://schemas.openxmlformats.org/officeDocument/2006/relationships/hyperlink" Target="https://zurnal.politika.rs/scc/clanak/239967/kosarka/partizan/mijailovic-nikad-vise-plata-preko-1-500-000-evra" TargetMode="External"/><Relationship Id="rId902" Type="http://schemas.openxmlformats.org/officeDocument/2006/relationships/hyperlink" Target="https://zurnal.politika.rs/scc/clanak/239967/kosarka/partizan/mijailovic-nikad-vise-plata-preko-1-500-000-evra" TargetMode="External"/><Relationship Id="rId901" Type="http://schemas.openxmlformats.org/officeDocument/2006/relationships/hyperlink" Target="https://zurnal.politika.rs/scc/clanak/239967/kosarka/partizan/mijailovic-nikad-vise-plata-preko-1-500-000-evra" TargetMode="External"/><Relationship Id="rId900" Type="http://schemas.openxmlformats.org/officeDocument/2006/relationships/hyperlink" Target="https://zurnal.politika.rs/scc/clanak/239967/kosarka/partizan/mijailovic-nikad-vise-plata-preko-1-500-000-evra" TargetMode="External"/><Relationship Id="rId1600" Type="http://schemas.openxmlformats.org/officeDocument/2006/relationships/hyperlink" Target="https://x.com/yakovmeir1/status/1553636789386100737" TargetMode="External"/><Relationship Id="rId1601" Type="http://schemas.openxmlformats.org/officeDocument/2006/relationships/hyperlink" Target="https://www.israelhayom.co.il/sport/israeli-basketball/article/12574969" TargetMode="External"/><Relationship Id="rId1602" Type="http://schemas.openxmlformats.org/officeDocument/2006/relationships/hyperlink" Target="https://x.com/yakovmeir1/status/1553636789386100737" TargetMode="External"/><Relationship Id="rId1603" Type="http://schemas.openxmlformats.org/officeDocument/2006/relationships/hyperlink" Target="https://www.israelhayom.co.il/sport/israeli-basketball/article/12574969" TargetMode="External"/><Relationship Id="rId1604" Type="http://schemas.openxmlformats.org/officeDocument/2006/relationships/hyperlink" Target="https://x.com/yakovmeir1/status/1553636789386100737" TargetMode="External"/><Relationship Id="rId1605" Type="http://schemas.openxmlformats.org/officeDocument/2006/relationships/hyperlink" Target="https://www.israelhayom.co.il/sport/israeli-basketball/article/12574969" TargetMode="External"/><Relationship Id="rId1606" Type="http://schemas.openxmlformats.org/officeDocument/2006/relationships/hyperlink" Target="https://x.com/yakovmeir1/status/1553636789386100737" TargetMode="External"/><Relationship Id="rId1607" Type="http://schemas.openxmlformats.org/officeDocument/2006/relationships/hyperlink" Target="https://www.israelhayom.co.il/sport/israeli-basketball/article/12574969" TargetMode="External"/><Relationship Id="rId1608" Type="http://schemas.openxmlformats.org/officeDocument/2006/relationships/hyperlink" Target="https://x.com/yakovmeir1/status/1553636789386100737" TargetMode="External"/><Relationship Id="rId1609" Type="http://schemas.openxmlformats.org/officeDocument/2006/relationships/hyperlink" Target="https://www.salnews.com/forum/viewtopic.php?f=1&amp;t=16044&amp;view=next" TargetMode="External"/><Relationship Id="rId1631" Type="http://schemas.openxmlformats.org/officeDocument/2006/relationships/hyperlink" Target="https://www.one.co.il/Article/298507.html" TargetMode="External"/><Relationship Id="rId1632" Type="http://schemas.openxmlformats.org/officeDocument/2006/relationships/hyperlink" Target="https://www.one.co.il/Article/298507.html" TargetMode="External"/><Relationship Id="rId1633" Type="http://schemas.openxmlformats.org/officeDocument/2006/relationships/hyperlink" Target="https://www.one.co.il/Article/298507.html" TargetMode="External"/><Relationship Id="rId1634" Type="http://schemas.openxmlformats.org/officeDocument/2006/relationships/hyperlink" Target="https://www.one.co.il/Article/298507.html" TargetMode="External"/><Relationship Id="rId1635" Type="http://schemas.openxmlformats.org/officeDocument/2006/relationships/hyperlink" Target="https://www.one.co.il/Article/298507.html" TargetMode="External"/><Relationship Id="rId1636" Type="http://schemas.openxmlformats.org/officeDocument/2006/relationships/hyperlink" Target="https://www.one.co.il/Article/298507.html" TargetMode="External"/><Relationship Id="rId1637" Type="http://schemas.openxmlformats.org/officeDocument/2006/relationships/hyperlink" Target="https://www.one.co.il/Article/298507.html" TargetMode="External"/><Relationship Id="rId1638" Type="http://schemas.openxmlformats.org/officeDocument/2006/relationships/hyperlink" Target="https://www.one.co.il/Article/298507.html" TargetMode="External"/><Relationship Id="rId929" Type="http://schemas.openxmlformats.org/officeDocument/2006/relationships/hyperlink" Target="https://www.eurohoops.net/el/trademarks-el/1747652/panathinaikos-olimpiakos-afta-ine-ta-simvolea-ton-dio-megaliteron-budget-stin-evroligka/" TargetMode="External"/><Relationship Id="rId1639" Type="http://schemas.openxmlformats.org/officeDocument/2006/relationships/hyperlink" Target="https://www.one.co.il/Article/298507.html" TargetMode="External"/><Relationship Id="rId928" Type="http://schemas.openxmlformats.org/officeDocument/2006/relationships/hyperlink" Target="https://basketnews.com/news-212201-top-10-highest-paid-euroleague-players.html" TargetMode="External"/><Relationship Id="rId927" Type="http://schemas.openxmlformats.org/officeDocument/2006/relationships/hyperlink" Target="https://basketnews.com/news-212201-top-10-highest-paid-euroleague-players.html" TargetMode="External"/><Relationship Id="rId926" Type="http://schemas.openxmlformats.org/officeDocument/2006/relationships/hyperlink" Target="https://www.eurohoops.net/en/trademarks/1719270/the-top-10-euroleague-salaries-of-2024-25/" TargetMode="External"/><Relationship Id="rId921" Type="http://schemas.openxmlformats.org/officeDocument/2006/relationships/hyperlink" Target="https://www.basketnews.lt/news-213501-daugiausiai-uzdirbanciu-eurolygos-zaideju-desimtukas.html" TargetMode="External"/><Relationship Id="rId920" Type="http://schemas.openxmlformats.org/officeDocument/2006/relationships/hyperlink" Target="https://www.eurohoops.net/en/trademarks/1719270/the-top-10-euroleague-salaries-of-2024-25/" TargetMode="External"/><Relationship Id="rId925" Type="http://schemas.openxmlformats.org/officeDocument/2006/relationships/hyperlink" Target="https://basketnews.com/news-212201-top-10-highest-paid-euroleague-players.html" TargetMode="External"/><Relationship Id="rId924" Type="http://schemas.openxmlformats.org/officeDocument/2006/relationships/hyperlink" Target="https://cronicaglobal.elespanol.com/culemania/secciones/20250101/la-nueva-escala-salarial-barca-basket-temporada/908159270_0.html" TargetMode="External"/><Relationship Id="rId923" Type="http://schemas.openxmlformats.org/officeDocument/2006/relationships/hyperlink" Target="https://cronicaglobal.elespanol.com/culemania/secciones/20250101/la-nueva-escala-salarial-barca-basket-temporada/908159270_0.html" TargetMode="External"/><Relationship Id="rId922" Type="http://schemas.openxmlformats.org/officeDocument/2006/relationships/hyperlink" Target="https://www.basketnews.lt/news-213501-daugiausiai-uzdirbanciu-eurolygos-zaideju-desimtukas.html" TargetMode="External"/><Relationship Id="rId1630" Type="http://schemas.openxmlformats.org/officeDocument/2006/relationships/hyperlink" Target="https://www.one.co.il/Article/298507.html" TargetMode="External"/><Relationship Id="rId1620" Type="http://schemas.openxmlformats.org/officeDocument/2006/relationships/hyperlink" Target="https://www.salnews.com/forum/viewtopic.php?f=1&amp;t=16044&amp;view=next" TargetMode="External"/><Relationship Id="rId1621" Type="http://schemas.openxmlformats.org/officeDocument/2006/relationships/hyperlink" Target="https://www.salnews.com/forum/viewtopic.php?f=1&amp;t=16044&amp;view=next" TargetMode="External"/><Relationship Id="rId1622" Type="http://schemas.openxmlformats.org/officeDocument/2006/relationships/hyperlink" Target="https://www.one.co.il/Article/298507.html" TargetMode="External"/><Relationship Id="rId1623" Type="http://schemas.openxmlformats.org/officeDocument/2006/relationships/hyperlink" Target="https://www.salnews.com/forum/viewtopic.php?f=1&amp;t=16044&amp;view=next" TargetMode="External"/><Relationship Id="rId1624" Type="http://schemas.openxmlformats.org/officeDocument/2006/relationships/hyperlink" Target="https://www.salnews.com/forum/viewtopic.php?f=1&amp;t=16044&amp;view=next" TargetMode="External"/><Relationship Id="rId1625" Type="http://schemas.openxmlformats.org/officeDocument/2006/relationships/hyperlink" Target="https://www.salnews.com/forum/viewtopic.php?f=1&amp;t=16044&amp;view=next" TargetMode="External"/><Relationship Id="rId1626" Type="http://schemas.openxmlformats.org/officeDocument/2006/relationships/hyperlink" Target="https://www.salnews.com/forum/viewtopic.php?f=1&amp;t=16044&amp;view=next" TargetMode="External"/><Relationship Id="rId1627" Type="http://schemas.openxmlformats.org/officeDocument/2006/relationships/hyperlink" Target="https://www.salnews.com/forum/viewtopic.php?f=1&amp;t=16044&amp;view=next" TargetMode="External"/><Relationship Id="rId918" Type="http://schemas.openxmlformats.org/officeDocument/2006/relationships/hyperlink" Target="https://cronicaglobal.elespanol.com/culemania/secciones/20250101/la-nueva-escala-salarial-barca-basket-temporada/908159270_0.html" TargetMode="External"/><Relationship Id="rId1628" Type="http://schemas.openxmlformats.org/officeDocument/2006/relationships/hyperlink" Target="https://www.salnews.com/forum/viewtopic.php?f=1&amp;t=16044&amp;view=next" TargetMode="External"/><Relationship Id="rId917" Type="http://schemas.openxmlformats.org/officeDocument/2006/relationships/hyperlink" Target="https://cronicaglobal.elespanol.com/culemania/secciones/20240731/laporta-apuesta-barca-de-los-salarios-jugadores/874412684_0.html" TargetMode="External"/><Relationship Id="rId1629" Type="http://schemas.openxmlformats.org/officeDocument/2006/relationships/hyperlink" Target="https://www.one.co.il/Article/298507.html" TargetMode="External"/><Relationship Id="rId916" Type="http://schemas.openxmlformats.org/officeDocument/2006/relationships/hyperlink" Target="https://www.krepsinis.net/naujiena/lietuvos-rinktines-zaideju-atlyginimai-kiek-kita-sezona-uzdirbs-dvyliktuko-nariai/276896" TargetMode="External"/><Relationship Id="rId915" Type="http://schemas.openxmlformats.org/officeDocument/2006/relationships/hyperlink" Target="https://www.15min.lt/24sek/naujiena/lietuva/lietuvos-rinktines-verte-kiek-uzdirba-nacionalines-komandos-zaidejai-875-844744" TargetMode="External"/><Relationship Id="rId919" Type="http://schemas.openxmlformats.org/officeDocument/2006/relationships/hyperlink" Target="https://www.basketnews.lt/news-213501-daugiausiai-uzdirbanciu-eurolygos-zaideju-desimtukas.html" TargetMode="External"/><Relationship Id="rId910" Type="http://schemas.openxmlformats.org/officeDocument/2006/relationships/hyperlink" Target="https://www.tv3.lt/naujiena/sportas/20-eurolygos-komandu-zaidejai-kuriu-kainos-kokybes-santykis-prasciausias-n1493354" TargetMode="External"/><Relationship Id="rId914" Type="http://schemas.openxmlformats.org/officeDocument/2006/relationships/hyperlink" Target="https://www.15min.lt/24sek/naujiena/lietuva/lietuvos-rinktines-verte-kiek-uzdirba-nacionalines-komandos-zaidejai-875-844744" TargetMode="External"/><Relationship Id="rId913" Type="http://schemas.openxmlformats.org/officeDocument/2006/relationships/hyperlink" Target="https://www.krepsinis.net/naujiena/10-uzsienyje-rungtyniaujanciu-lietuviu-kurie-uzdirba-daugiausiai/283956" TargetMode="External"/><Relationship Id="rId912" Type="http://schemas.openxmlformats.org/officeDocument/2006/relationships/hyperlink" Target="https://www.15min.lt/24sek/naujiena/europa/astuoniskart-alga-pasikeles-lietkabelio-graikas-pakeliui-i-eurolyga-874-1742610" TargetMode="External"/><Relationship Id="rId911" Type="http://schemas.openxmlformats.org/officeDocument/2006/relationships/hyperlink" Target="https://www.sportefinanza.it/2025/07/10/virtus-bologna-alen-smailagic-buyout-stipendio/?refresh_ce" TargetMode="External"/><Relationship Id="rId1213" Type="http://schemas.openxmlformats.org/officeDocument/2006/relationships/hyperlink" Target="https://www.basketnews.lt/news-129649-labiausiai-savo-verte-pakele-eurolygos-krepsininkai-sarase-du-zalgirieciai.html" TargetMode="External"/><Relationship Id="rId1697" Type="http://schemas.openxmlformats.org/officeDocument/2006/relationships/hyperlink" Target="https://www.20minutos.es/lainformacion/economia-y-finanzas/rudy-fernandez-se-retira-dinero-que-ha-ganado-sus-inversiones-sus-mansiones-5265573/" TargetMode="External"/><Relationship Id="rId1214" Type="http://schemas.openxmlformats.org/officeDocument/2006/relationships/hyperlink" Target="https://www.schoenen-dunk.de/topic/128592/gehalt-bbl-spieler/39" TargetMode="External"/><Relationship Id="rId1698" Type="http://schemas.openxmlformats.org/officeDocument/2006/relationships/hyperlink" Target="https://www.20minutos.es/lainformacion/economia-y-finanzas/rudy-fernandez-se-retira-dinero-que-ha-ganado-sus-inversiones-sus-mansiones-5265573/" TargetMode="External"/><Relationship Id="rId1215" Type="http://schemas.openxmlformats.org/officeDocument/2006/relationships/hyperlink" Target="https://sportbild.bild.de/sportmix/basketball/basketball-maerchen-millionen-vertrag-fuer-diesen-ex-bundesliga-star-6832f770d892283a30e809f0" TargetMode="External"/><Relationship Id="rId1699" Type="http://schemas.openxmlformats.org/officeDocument/2006/relationships/hyperlink" Target="https://www.20minutos.es/lainformacion/economia-y-finanzas/rudy-fernandez-se-retira-dinero-que-ha-ganado-sus-inversiones-sus-mansiones-5265573/" TargetMode="External"/><Relationship Id="rId1216" Type="http://schemas.openxmlformats.org/officeDocument/2006/relationships/hyperlink" Target="https://www.diariolibre.com/deportes/baloncesto/2023/09/14/jean-montero-tendria-oferta-turca-que-triplicaria-salario/2461927" TargetMode="External"/><Relationship Id="rId1217" Type="http://schemas.openxmlformats.org/officeDocument/2006/relationships/hyperlink" Target="https://www.gazzetta.gr/basketball/basket-league/2544986/aris-pos-epeise-ton-lintel-kai-symbolaio-toy-ekatommyrioy" TargetMode="External"/><Relationship Id="rId1218" Type="http://schemas.openxmlformats.org/officeDocument/2006/relationships/hyperlink" Target="https://www.tv3.lt/naujiena/sportas/suskaiciavome-stai-kiek-per-menesi-uzdirba-kiekvienas-lietuvos-rinktines-narys-n1349237" TargetMode="External"/><Relationship Id="rId1219" Type="http://schemas.openxmlformats.org/officeDocument/2006/relationships/hyperlink" Target="https://www.gazzetta.gr/basketball/euroleague/article/1560947/pos-htizeis-enan-paikti-euroleague-me-3500-dolaria-ton-mina" TargetMode="External"/><Relationship Id="rId866" Type="http://schemas.openxmlformats.org/officeDocument/2006/relationships/hyperlink" Target="https://www.instagram.com/p/DABOiCos8U4/?hl=en" TargetMode="External"/><Relationship Id="rId865" Type="http://schemas.openxmlformats.org/officeDocument/2006/relationships/hyperlink" Target="https://www.krepsinis.net/naujiena/top-10-brangiausi-lkl-laisvieji-agentai-lietuviai/328257" TargetMode="External"/><Relationship Id="rId864" Type="http://schemas.openxmlformats.org/officeDocument/2006/relationships/hyperlink" Target="https://www.instagram.com/p/DABOiCos8U4/?hl=en" TargetMode="External"/><Relationship Id="rId863" Type="http://schemas.openxmlformats.org/officeDocument/2006/relationships/hyperlink" Target="https://www.instagram.com/p/DABOiCos8U4/?hl=en" TargetMode="External"/><Relationship Id="rId869" Type="http://schemas.openxmlformats.org/officeDocument/2006/relationships/hyperlink" Target="https://www.instagram.com/p/DABOiCos8U4/?hl=en" TargetMode="External"/><Relationship Id="rId868" Type="http://schemas.openxmlformats.org/officeDocument/2006/relationships/hyperlink" Target="https://www.instagram.com/p/DABOiCos8U4/?hl=en" TargetMode="External"/><Relationship Id="rId867" Type="http://schemas.openxmlformats.org/officeDocument/2006/relationships/hyperlink" Target="https://www.instagram.com/p/DABOiCos8U4/?hl=en" TargetMode="External"/><Relationship Id="rId1690" Type="http://schemas.openxmlformats.org/officeDocument/2006/relationships/hyperlink" Target="https://www.elespanol.com/elbernabeu/real-madrid/baloncesto/20190717/mentira-barca-jugadores-plantilla-real-madrid-baloncesto/414459643_0.html" TargetMode="External"/><Relationship Id="rId1691" Type="http://schemas.openxmlformats.org/officeDocument/2006/relationships/hyperlink" Target="https://www.elespanol.com/elbernabeu/real-madrid/baloncesto/20190717/mentira-barca-jugadores-plantilla-real-madrid-baloncesto/414459643_0.html" TargetMode="External"/><Relationship Id="rId1692" Type="http://schemas.openxmlformats.org/officeDocument/2006/relationships/hyperlink" Target="https://www.elespanol.com/elbernabeu/real-madrid/baloncesto/20190717/mentira-barca-jugadores-plantilla-real-madrid-baloncesto/414459643_0.html" TargetMode="External"/><Relationship Id="rId862" Type="http://schemas.openxmlformats.org/officeDocument/2006/relationships/hyperlink" Target="https://www.instagram.com/p/DABOiCos8U4/?hl=en" TargetMode="External"/><Relationship Id="rId1693" Type="http://schemas.openxmlformats.org/officeDocument/2006/relationships/hyperlink" Target="https://www.elespanol.com/elbernabeu/real-madrid/baloncesto/20190717/mentira-barca-jugadores-plantilla-real-madrid-baloncesto/414459643_0.html" TargetMode="External"/><Relationship Id="rId861" Type="http://schemas.openxmlformats.org/officeDocument/2006/relationships/hyperlink" Target="https://www.instagram.com/p/DABOiCos8U4/?hl=en" TargetMode="External"/><Relationship Id="rId1210" Type="http://schemas.openxmlformats.org/officeDocument/2006/relationships/hyperlink" Target="https://www.basketnews.lt/news-129649-labiausiai-savo-verte-pakele-eurolygos-krepsininkai-sarase-du-zalgirieciai.html" TargetMode="External"/><Relationship Id="rId1694" Type="http://schemas.openxmlformats.org/officeDocument/2006/relationships/hyperlink" Target="https://www.elespanol.com/elbernabeu/real-madrid/baloncesto/20190717/mentira-barca-jugadores-plantilla-real-madrid-baloncesto/414459643_0.html" TargetMode="External"/><Relationship Id="rId860" Type="http://schemas.openxmlformats.org/officeDocument/2006/relationships/hyperlink" Target="https://www.instagram.com/p/DABOiCos8U4/?hl=en" TargetMode="External"/><Relationship Id="rId1211" Type="http://schemas.openxmlformats.org/officeDocument/2006/relationships/hyperlink" Target="https://www.basketnews.lt/news-129649-labiausiai-savo-verte-pakele-eurolygos-krepsininkai-sarase-du-zalgirieciai.html" TargetMode="External"/><Relationship Id="rId1695" Type="http://schemas.openxmlformats.org/officeDocument/2006/relationships/hyperlink" Target="https://www.elespanol.com/elbernabeu/real-madrid/baloncesto/20190717/mentira-barca-jugadores-plantilla-real-madrid-baloncesto/414459643_0.html" TargetMode="External"/><Relationship Id="rId1212" Type="http://schemas.openxmlformats.org/officeDocument/2006/relationships/hyperlink" Target="https://www.basketnews.lt/news-121443-dvigubai-didesne-alga-gausiantis-micicius-oficialiai-susitare-su-anadolu-efes.html" TargetMode="External"/><Relationship Id="rId1696" Type="http://schemas.openxmlformats.org/officeDocument/2006/relationships/hyperlink" Target="https://zurnal.politika.rs/scc/clanak/49529/kosarka/zvezda/zvezda-gal-mekel-nas-je-izigrao-fiba-zazmurila" TargetMode="External"/><Relationship Id="rId1202" Type="http://schemas.openxmlformats.org/officeDocument/2006/relationships/hyperlink" Target="https://www.basketnews.lt/news-167339-labiausiai-verte-pasikele-zaidejai-europoje-dabartine-alga-ir-ko-tiketis-vasara.html" TargetMode="External"/><Relationship Id="rId1686" Type="http://schemas.openxmlformats.org/officeDocument/2006/relationships/hyperlink" Target="https://www.elespanol.com/elbernabeu/real-madrid/baloncesto/20190717/mentira-barca-jugadores-plantilla-real-madrid-baloncesto/414459643_0.html" TargetMode="External"/><Relationship Id="rId1203" Type="http://schemas.openxmlformats.org/officeDocument/2006/relationships/hyperlink" Target="https://www.basketnews.lt/news-167339-labiausiai-verte-pasikele-zaidejai-europoje-dabartine-alga-ir-ko-tiketis-vasara.html" TargetMode="External"/><Relationship Id="rId1687" Type="http://schemas.openxmlformats.org/officeDocument/2006/relationships/hyperlink" Target="https://www.elespanol.com/elbernabeu/real-madrid/baloncesto/20190717/mentira-barca-jugadores-plantilla-real-madrid-baloncesto/414459643_0.html" TargetMode="External"/><Relationship Id="rId1204" Type="http://schemas.openxmlformats.org/officeDocument/2006/relationships/hyperlink" Target="https://www.basketnews.lt/news-167339-labiausiai-verte-pasikele-zaidejai-europoje-dabartine-alga-ir-ko-tiketis-vasara.html" TargetMode="External"/><Relationship Id="rId1688" Type="http://schemas.openxmlformats.org/officeDocument/2006/relationships/hyperlink" Target="https://www.elespanol.com/elbernabeu/real-madrid/baloncesto/20190717/mentira-barca-jugadores-plantilla-real-madrid-baloncesto/414459643_0.html" TargetMode="External"/><Relationship Id="rId1205" Type="http://schemas.openxmlformats.org/officeDocument/2006/relationships/hyperlink" Target="https://www.basketnews.lt/news-167339-labiausiai-verte-pasikele-zaidejai-europoje-dabartine-alga-ir-ko-tiketis-vasara.html" TargetMode="External"/><Relationship Id="rId1689" Type="http://schemas.openxmlformats.org/officeDocument/2006/relationships/hyperlink" Target="https://www.elespanol.com/elbernabeu/real-madrid/baloncesto/20190717/mentira-barca-jugadores-plantilla-real-madrid-baloncesto/414459643_0.html" TargetMode="External"/><Relationship Id="rId1206" Type="http://schemas.openxmlformats.org/officeDocument/2006/relationships/hyperlink" Target="https://www.basketnews.lt/news-167339-labiausiai-verte-pasikele-zaidejai-europoje-dabartine-alga-ir-ko-tiketis-vasara.html" TargetMode="External"/><Relationship Id="rId1207" Type="http://schemas.openxmlformats.org/officeDocument/2006/relationships/hyperlink" Target="https://www.basketnews.lt/news-129649-labiausiai-savo-verte-pakele-eurolygos-krepsininkai-sarase-du-zalgirieciai.html" TargetMode="External"/><Relationship Id="rId1208" Type="http://schemas.openxmlformats.org/officeDocument/2006/relationships/hyperlink" Target="https://www.basketnews.lt/news-129649-labiausiai-savo-verte-pakele-eurolygos-krepsininkai-sarase-du-zalgirieciai.html" TargetMode="External"/><Relationship Id="rId1209" Type="http://schemas.openxmlformats.org/officeDocument/2006/relationships/hyperlink" Target="https://www.15min.lt/24sek/naujiena/lietuva/zalgirieciu-dominavimas-daugiausiai-uzdirbanciu-lkl-zaideju-top-40-875-1641660" TargetMode="External"/><Relationship Id="rId855" Type="http://schemas.openxmlformats.org/officeDocument/2006/relationships/hyperlink" Target="https://www.basketnews.lt/news-187174-labiausiai-verte-pasikele-lkl-zaidejai-dabartine-alga-ir-ko-tiketis-vasara.html" TargetMode="External"/><Relationship Id="rId854" Type="http://schemas.openxmlformats.org/officeDocument/2006/relationships/hyperlink" Target="https://www.basketnews.lt/news-187174-labiausiai-verte-pasikele-lkl-zaidejai-dabartine-alga-ir-ko-tiketis-vasara.html" TargetMode="External"/><Relationship Id="rId853" Type="http://schemas.openxmlformats.org/officeDocument/2006/relationships/hyperlink" Target="https://www.pianetabasket.com/legabasket-serie-a/venezia-obiettivo-russell-su-boakye-frena-il-prestito-a-verona" TargetMode="External"/><Relationship Id="rId852" Type="http://schemas.openxmlformats.org/officeDocument/2006/relationships/hyperlink" Target="https://www.basketnews.lt/news-198049-didziausios-lkl-algos-33-23-vietos.html" TargetMode="External"/><Relationship Id="rId859" Type="http://schemas.openxmlformats.org/officeDocument/2006/relationships/hyperlink" Target="https://www.tv3.lt/naujiena/sportas/atlyginimai-kaip-ant-delno-kiek-uzdirba-kiekvienas-lietuvos-rinktines-dvyliktuko-narys-n1253983" TargetMode="External"/><Relationship Id="rId858" Type="http://schemas.openxmlformats.org/officeDocument/2006/relationships/hyperlink" Target="https://www.basketnews.lt/news-187174-labiausiai-verte-pasikele-lkl-zaidejai-dabartine-alga-ir-ko-tiketis-vasara.html" TargetMode="External"/><Relationship Id="rId857" Type="http://schemas.openxmlformats.org/officeDocument/2006/relationships/hyperlink" Target="https://www.basketnews.lt/news-187174-labiausiai-verte-pasikele-lkl-zaidejai-dabartine-alga-ir-ko-tiketis-vasara.html" TargetMode="External"/><Relationship Id="rId856" Type="http://schemas.openxmlformats.org/officeDocument/2006/relationships/hyperlink" Target="https://www.krepsinis.net/naujiena/tarp-kinijos-ir-ryto-latvio-sprendima-nuleme-milijonas/352240" TargetMode="External"/><Relationship Id="rId1680" Type="http://schemas.openxmlformats.org/officeDocument/2006/relationships/hyperlink" Target="https://sport1.maariv.co.il/israeli-basketball/winner-basketball-league/article/1874083/" TargetMode="External"/><Relationship Id="rId1681" Type="http://schemas.openxmlformats.org/officeDocument/2006/relationships/hyperlink" Target="https://x.com/Andrea__Calzoni/status/2069366580702560319" TargetMode="External"/><Relationship Id="rId851" Type="http://schemas.openxmlformats.org/officeDocument/2006/relationships/hyperlink" Target="https://www.basketnews.lt/news-187174-labiausiai-verte-pasikele-lkl-zaidejai-dabartine-alga-ir-ko-tiketis-vasara.html" TargetMode="External"/><Relationship Id="rId1682" Type="http://schemas.openxmlformats.org/officeDocument/2006/relationships/hyperlink" Target="https://x.com/Andrea__Calzoni/status/2069366580702560319" TargetMode="External"/><Relationship Id="rId850" Type="http://schemas.openxmlformats.org/officeDocument/2006/relationships/hyperlink" Target="https://www.basketnews.lt/news-187174-labiausiai-verte-pasikele-lkl-zaidejai-dabartine-alga-ir-ko-tiketis-vasara.html" TargetMode="External"/><Relationship Id="rId1683" Type="http://schemas.openxmlformats.org/officeDocument/2006/relationships/hyperlink" Target="https://zurnal.politika.rs/scc/clanak/239967/kosarka/partizan/mijailovic-nikad-vise-plata-preko-1-500-000-evra" TargetMode="External"/><Relationship Id="rId1200" Type="http://schemas.openxmlformats.org/officeDocument/2006/relationships/hyperlink" Target="https://www.basketnews.lt/news-186848-labiausiai-verte-pasikele-eurolygos-zaidejai-dabartine-alga-ir-ko-tiketis-vasara.html" TargetMode="External"/><Relationship Id="rId1684" Type="http://schemas.openxmlformats.org/officeDocument/2006/relationships/hyperlink" Target="https://www.novosti.rs/c/sport/kosarka/1084835/crvena-zvezda-kosarka-plate-igraca-kosarkasa-novac-sport-srbija-nebojsa-covic-aba-evroliga" TargetMode="External"/><Relationship Id="rId1201" Type="http://schemas.openxmlformats.org/officeDocument/2006/relationships/hyperlink" Target="https://www.basketnews.lt/news-186848-labiausiai-verte-pasikele-eurolygos-zaidejai-dabartine-alga-ir-ko-tiketis-vasara.html" TargetMode="External"/><Relationship Id="rId1685" Type="http://schemas.openxmlformats.org/officeDocument/2006/relationships/hyperlink" Target="https://www.eurohoops.net/en/trademarks/1559225/the-top-10-euroleague-salaries-2023-24/" TargetMode="External"/><Relationship Id="rId1235" Type="http://schemas.openxmlformats.org/officeDocument/2006/relationships/hyperlink" Target="https://basketballsphere.com/en/olimpia-milano-will-soon-officially-sign-lorenzo-brown-vlatko-cancar-and-devin-booker-contract-details/" TargetMode="External"/><Relationship Id="rId1236" Type="http://schemas.openxmlformats.org/officeDocument/2006/relationships/hyperlink" Target="https://x.com/Andrea__Calzoni/status/1928800958143709426" TargetMode="External"/><Relationship Id="rId1237" Type="http://schemas.openxmlformats.org/officeDocument/2006/relationships/hyperlink" Target="https://realolimpiamilano.com/2026/08/26/top-10-stipendi-olimpia-milano-era-ettore-messina/11/" TargetMode="External"/><Relationship Id="rId1238" Type="http://schemas.openxmlformats.org/officeDocument/2006/relationships/hyperlink" Target="https://www.eurodevotion.com/news/480435932678/fuori-mirotic-dentro-guduric-e-poi-il-mercato-dell-olimpia" TargetMode="External"/><Relationship Id="rId1239" Type="http://schemas.openxmlformats.org/officeDocument/2006/relationships/hyperlink" Target="https://www.israelhayom.co.il/sport/israeli-basketball/article/16015710" TargetMode="External"/><Relationship Id="rId409" Type="http://schemas.openxmlformats.org/officeDocument/2006/relationships/hyperlink" Target="https://www.15min.lt/naujiena/prenumerata/ivykiai/top-30-geriausiai-apmokamu-lkl-zaideju-zalgirieciu-dominavimas-ir-svarbios-detales-1226-1370624" TargetMode="External"/><Relationship Id="rId404" Type="http://schemas.openxmlformats.org/officeDocument/2006/relationships/hyperlink" Target="https://www.basketnews.lt/news-133679-geriausiai-apmokami-lkl-zaidejai-desimt-brangiausiuju-zalgiryje.html" TargetMode="External"/><Relationship Id="rId888" Type="http://schemas.openxmlformats.org/officeDocument/2006/relationships/hyperlink" Target="https://www.tv3.lt/naujiena/sportas/20-eurolygos-komandu-zaidejai-kuriu-kainos-kokybes-santykis-prasciausias-n1493354" TargetMode="External"/><Relationship Id="rId403" Type="http://schemas.openxmlformats.org/officeDocument/2006/relationships/hyperlink" Target="https://www.tv3.lt/naujiena/sportas/krepsinio-zvaigzdziu-milijonai-kiek-uzdirba-lietuvos-rinktines-nariai-n1010742" TargetMode="External"/><Relationship Id="rId887" Type="http://schemas.openxmlformats.org/officeDocument/2006/relationships/hyperlink" Target="https://www.tv3.lt/naujiena/sportas/20-eurolygos-komandu-zaidejai-kuriu-kainos-kokybes-santykis-prasciausias-n1493354" TargetMode="External"/><Relationship Id="rId402" Type="http://schemas.openxmlformats.org/officeDocument/2006/relationships/hyperlink" Target="https://www.basketnews.lt/news-134510-su-lokomotiv-sutares-mindaugas-kuzminskas-uzdirbs-15-mln-euru.html" TargetMode="External"/><Relationship Id="rId886" Type="http://schemas.openxmlformats.org/officeDocument/2006/relationships/hyperlink" Target="https://www.sport5.co.il/articles.aspx?FolderID=405&amp;docID=555270" TargetMode="External"/><Relationship Id="rId401" Type="http://schemas.openxmlformats.org/officeDocument/2006/relationships/hyperlink" Target="https://assets.fiba.basketball/image/upload/v1775131857/jy8fwsxlublmvbke3ket.pdf" TargetMode="External"/><Relationship Id="rId885" Type="http://schemas.openxmlformats.org/officeDocument/2006/relationships/hyperlink" Target="https://www.pianetabasket.com/primo-piano/taglia-fuori-ep15-mercato-milano-perde-i-suoi-bomber-roma-cerca-ancora-se-stessa" TargetMode="External"/><Relationship Id="rId408" Type="http://schemas.openxmlformats.org/officeDocument/2006/relationships/hyperlink" Target="https://www.15min.lt/naujiena/prenumerata/ivykiai/top-30-geriausiai-apmokamu-lkl-zaideju-zalgirieciu-dominavimas-ir-svarbios-detales-1226-1370624" TargetMode="External"/><Relationship Id="rId407" Type="http://schemas.openxmlformats.org/officeDocument/2006/relationships/hyperlink" Target="https://www.15min.lt/naujiena/prenumerata/ivykiai/top-5-geriausiai-europoje-apmokami-lietuvos-krepsininkai-1226-1369892" TargetMode="External"/><Relationship Id="rId406" Type="http://schemas.openxmlformats.org/officeDocument/2006/relationships/hyperlink" Target="https://www.15min.lt/naujiena/prenumerata/ivykiai/top-30-geriausiai-apmokamu-lkl-zaideju-zalgirieciu-dominavimas-ir-svarbios-detales-1226-1370624" TargetMode="External"/><Relationship Id="rId405" Type="http://schemas.openxmlformats.org/officeDocument/2006/relationships/hyperlink" Target="https://www.basketnews.lt/news-133679-geriausiai-apmokami-lkl-zaidejai-desimt-brangiausiuju-zalgiryje.html" TargetMode="External"/><Relationship Id="rId889" Type="http://schemas.openxmlformats.org/officeDocument/2006/relationships/hyperlink" Target="https://www.tv3.lt/naujiena/sportas/20-eurolygos-komandu-zaidejai-kuriu-kainos-kokybes-santykis-prasciausias-n1493354" TargetMode="External"/><Relationship Id="rId880" Type="http://schemas.openxmlformats.org/officeDocument/2006/relationships/hyperlink" Target="https://www.krepsinis.net/naujiena/s-jasaitis-turkijoje-uzdirbs-apie-400-tukst-euru/71494" TargetMode="External"/><Relationship Id="rId1230" Type="http://schemas.openxmlformats.org/officeDocument/2006/relationships/hyperlink" Target="https://basketballgeneration.it/stipendi-giocatori-basket-milano" TargetMode="External"/><Relationship Id="rId400" Type="http://schemas.openxmlformats.org/officeDocument/2006/relationships/hyperlink" Target="https://www.krepsinis.net/naujiena/10-uzsienyje-rungtyniaujanciu-lietuviu-kurie-uzdirba-daugiausiai/283956" TargetMode="External"/><Relationship Id="rId884" Type="http://schemas.openxmlformats.org/officeDocument/2006/relationships/hyperlink" Target="https://x.com/Andrea__Calzoni/status/2059548085991215299" TargetMode="External"/><Relationship Id="rId1231" Type="http://schemas.openxmlformats.org/officeDocument/2006/relationships/hyperlink" Target="https://basketballgeneration.it/stipendi-giocatori-basket-milano" TargetMode="External"/><Relationship Id="rId883" Type="http://schemas.openxmlformats.org/officeDocument/2006/relationships/hyperlink" Target="https://www.sdna.gr/mpasket/basket-league/article/128106/mpatzet" TargetMode="External"/><Relationship Id="rId1232" Type="http://schemas.openxmlformats.org/officeDocument/2006/relationships/hyperlink" Target="https://basketballgeneration.it/stipendi-giocatori-basket-milano" TargetMode="External"/><Relationship Id="rId882" Type="http://schemas.openxmlformats.org/officeDocument/2006/relationships/hyperlink" Target="https://x.com/RytasNews/status/2047569047881932846" TargetMode="External"/><Relationship Id="rId1233" Type="http://schemas.openxmlformats.org/officeDocument/2006/relationships/hyperlink" Target="https://realolimpiamilano.com/2026/08/26/top-10-stipendi-olimpia-milano-era-ettore-messina/3/" TargetMode="External"/><Relationship Id="rId881" Type="http://schemas.openxmlformats.org/officeDocument/2006/relationships/hyperlink" Target="https://x.com/Andrea__Calzoni/status/2065331292925771779" TargetMode="External"/><Relationship Id="rId1234" Type="http://schemas.openxmlformats.org/officeDocument/2006/relationships/hyperlink" Target="https://basketballgeneration.it/stipendi-giocatori-basket-milano" TargetMode="External"/><Relationship Id="rId1224" Type="http://schemas.openxmlformats.org/officeDocument/2006/relationships/hyperlink" Target="https://www.ilbustese.it/2025/05/06/leggi-notizia/argomenti/economia-17/articolo/stipendi-basket-serie-a-2025-i-giocatori-piu-pagati-e-quanto-guadagnano-davvero.html" TargetMode="External"/><Relationship Id="rId1225" Type="http://schemas.openxmlformats.org/officeDocument/2006/relationships/hyperlink" Target="https://basketballgeneration.it/stipendi-giocatori-virtus-bologna" TargetMode="External"/><Relationship Id="rId1226" Type="http://schemas.openxmlformats.org/officeDocument/2006/relationships/hyperlink" Target="https://sportando.basketball/amedeo-della-valle-varese-scola-nba-europe/" TargetMode="External"/><Relationship Id="rId1227" Type="http://schemas.openxmlformats.org/officeDocument/2006/relationships/hyperlink" Target="https://www.backdoorpodcast.com/varese-redbird-budget-mercato-serie-a/" TargetMode="External"/><Relationship Id="rId1228" Type="http://schemas.openxmlformats.org/officeDocument/2006/relationships/hyperlink" Target="https://www.ilbustese.it/2025/05/06/leggi-notizia/argomenti/economia-17/articolo/stipendi-basket-serie-a-2025-i-giocatori-piu-pagati-e-quanto-guadagnano-davvero.html" TargetMode="External"/><Relationship Id="rId1229" Type="http://schemas.openxmlformats.org/officeDocument/2006/relationships/hyperlink" Target="https://basketballgeneration.it/stipendi-giocatori-basket-milano" TargetMode="External"/><Relationship Id="rId877" Type="http://schemas.openxmlformats.org/officeDocument/2006/relationships/hyperlink" Target="https://www.basketnews.lt/news-245810-kiek-uzdirba-brangiausi-fenerbahce-ir-zalgirio-zaidejai.html" TargetMode="External"/><Relationship Id="rId876" Type="http://schemas.openxmlformats.org/officeDocument/2006/relationships/hyperlink" Target="https://www.basketnews.lt/news-245810-kiek-uzdirba-brangiausi-fenerbahce-ir-zalgirio-zaidejai.html" TargetMode="External"/><Relationship Id="rId875" Type="http://schemas.openxmlformats.org/officeDocument/2006/relationships/hyperlink" Target="https://www.basketnews.lt/news-245810-kiek-uzdirba-brangiausi-fenerbahce-ir-zalgirio-zaidejai.html" TargetMode="External"/><Relationship Id="rId874" Type="http://schemas.openxmlformats.org/officeDocument/2006/relationships/hyperlink" Target="https://www.basketnews.lt/news-245810-kiek-uzdirba-brangiausi-fenerbahce-ir-zalgirio-zaidejai.html" TargetMode="External"/><Relationship Id="rId879" Type="http://schemas.openxmlformats.org/officeDocument/2006/relationships/hyperlink" Target="https://x.com/Andrea__Calzoni/status/2046141776675619034" TargetMode="External"/><Relationship Id="rId878" Type="http://schemas.openxmlformats.org/officeDocument/2006/relationships/hyperlink" Target="https://www.instagram.com/p/DABOiCos8U4/?hl=en" TargetMode="External"/><Relationship Id="rId873" Type="http://schemas.openxmlformats.org/officeDocument/2006/relationships/hyperlink" Target="https://www.basketnews.lt/news-245810-kiek-uzdirba-brangiausi-fenerbahce-ir-zalgirio-zaidejai.html" TargetMode="External"/><Relationship Id="rId1220" Type="http://schemas.openxmlformats.org/officeDocument/2006/relationships/hyperlink" Target="https://www.basketnews.lt/news-28087-tarp-lietuviu-europoje-daugiausiai-uzdirba-siskauskas-ir-kleiza.html" TargetMode="External"/><Relationship Id="rId872" Type="http://schemas.openxmlformats.org/officeDocument/2006/relationships/hyperlink" Target="https://www.lrt.lt/naujienos/sportas/10/2246760/brangiausi-eurolygos-lietuviai-grigonis-tapo-lyderiu-o-kur-kiti?srsltid=AfmBOorUWx1a91VmQFEIK0TDUxQBmwj5E1QDpdZPF5VZhKmTNrCpaw4N" TargetMode="External"/><Relationship Id="rId1221" Type="http://schemas.openxmlformats.org/officeDocument/2006/relationships/hyperlink" Target="https://www.basketnews.lt/news-28087-tarp-lietuviu-europoje-daugiausiai-uzdirba-siskauskas-ir-kleiza.html" TargetMode="External"/><Relationship Id="rId871" Type="http://schemas.openxmlformats.org/officeDocument/2006/relationships/hyperlink" Target="https://www.lrt.lt/naujienos/sportas/10/2246760/brangiausi-eurolygos-lietuviai-grigonis-tapo-lyderiu-o-kur-kiti?srsltid=AfmBOorUWx1a91VmQFEIK0TDUxQBmwj5E1QDpdZPF5VZhKmTNrCpaw4N" TargetMode="External"/><Relationship Id="rId1222" Type="http://schemas.openxmlformats.org/officeDocument/2006/relationships/hyperlink" Target="https://www.basketnews.lt/news-28087-tarp-lietuviu-europoje-daugiausiai-uzdirba-siskauskas-ir-kleiza.html" TargetMode="External"/><Relationship Id="rId870" Type="http://schemas.openxmlformats.org/officeDocument/2006/relationships/hyperlink" Target="https://www.instagram.com/p/DABOiCos8U4/?hl=en" TargetMode="External"/><Relationship Id="rId1223" Type="http://schemas.openxmlformats.org/officeDocument/2006/relationships/hyperlink" Target="https://www.krepsinis.net/naujiena/zalgirio-vaira-perimantis-italas-priestaringa-asmenybe-ir-platus-taktinis-bagazas/332431" TargetMode="External"/><Relationship Id="rId1653" Type="http://schemas.openxmlformats.org/officeDocument/2006/relationships/hyperlink" Target="https://x.com/yakovmeir1/status/1553636789386100737" TargetMode="External"/><Relationship Id="rId1654" Type="http://schemas.openxmlformats.org/officeDocument/2006/relationships/hyperlink" Target="https://www.israelhayom.co.il/sport/israeli-basketball/article/12574969" TargetMode="External"/><Relationship Id="rId1655" Type="http://schemas.openxmlformats.org/officeDocument/2006/relationships/hyperlink" Target="https://x.com/yakovmeir1/status/1553636789386100737" TargetMode="External"/><Relationship Id="rId1656" Type="http://schemas.openxmlformats.org/officeDocument/2006/relationships/hyperlink" Target="https://www.israelhayom.co.il/sport/israeli-basketball/article/12574969" TargetMode="External"/><Relationship Id="rId1657" Type="http://schemas.openxmlformats.org/officeDocument/2006/relationships/hyperlink" Target="https://x.com/yakovmeir1/status/1553636789386100737" TargetMode="External"/><Relationship Id="rId1658" Type="http://schemas.openxmlformats.org/officeDocument/2006/relationships/hyperlink" Target="https://www.israelhayom.co.il/sport/israeli-basketball/article/12574969" TargetMode="External"/><Relationship Id="rId1659" Type="http://schemas.openxmlformats.org/officeDocument/2006/relationships/hyperlink" Target="https://x.com/yakovmeir1/status/1553636789386100737" TargetMode="External"/><Relationship Id="rId829" Type="http://schemas.openxmlformats.org/officeDocument/2006/relationships/hyperlink" Target="https://www.sport5.co.il/articles.aspx?FolderID=11840&amp;docID=518857" TargetMode="External"/><Relationship Id="rId828" Type="http://schemas.openxmlformats.org/officeDocument/2006/relationships/hyperlink" Target="https://www.sport5.co.il/articles.aspx?FolderID=11840&amp;docID=518857" TargetMode="External"/><Relationship Id="rId827" Type="http://schemas.openxmlformats.org/officeDocument/2006/relationships/hyperlink" Target="https://www.sport5.co.il/articles.aspx?FolderID=11840&amp;docID=518857" TargetMode="External"/><Relationship Id="rId822" Type="http://schemas.openxmlformats.org/officeDocument/2006/relationships/hyperlink" Target="https://www.sport5.co.il/articles.aspx?FolderID=11840&amp;docID=518857" TargetMode="External"/><Relationship Id="rId821" Type="http://schemas.openxmlformats.org/officeDocument/2006/relationships/hyperlink" Target="https://www.israelhayom.co.il/sport/israeli-basketball/article/18880746" TargetMode="External"/><Relationship Id="rId820" Type="http://schemas.openxmlformats.org/officeDocument/2006/relationships/hyperlink" Target="https://www.israelhayom.co.il/sport/israeli-basketball/article/18880746" TargetMode="External"/><Relationship Id="rId826" Type="http://schemas.openxmlformats.org/officeDocument/2006/relationships/hyperlink" Target="https://www.sport5.co.il/articles.aspx?FolderID=11840&amp;docID=518857" TargetMode="External"/><Relationship Id="rId825" Type="http://schemas.openxmlformats.org/officeDocument/2006/relationships/hyperlink" Target="https://www.sport5.co.il/articles.aspx?FolderID=11840&amp;docID=518857" TargetMode="External"/><Relationship Id="rId824" Type="http://schemas.openxmlformats.org/officeDocument/2006/relationships/hyperlink" Target="https://www.sport5.co.il/articles.aspx?FolderID=11840&amp;docID=518857" TargetMode="External"/><Relationship Id="rId823" Type="http://schemas.openxmlformats.org/officeDocument/2006/relationships/hyperlink" Target="https://www.israelhayom.co.il/sport/israeli-basketball/article/18880746" TargetMode="External"/><Relationship Id="rId1650" Type="http://schemas.openxmlformats.org/officeDocument/2006/relationships/hyperlink" Target="https://www.salnews.com/forum/viewtopic.php?f=1&amp;t=16044&amp;view=next" TargetMode="External"/><Relationship Id="rId1651" Type="http://schemas.openxmlformats.org/officeDocument/2006/relationships/hyperlink" Target="https://www.salnews.com/forum/viewtopic.php?f=1&amp;t=16044&amp;view=next" TargetMode="External"/><Relationship Id="rId1652" Type="http://schemas.openxmlformats.org/officeDocument/2006/relationships/hyperlink" Target="https://www.israelhayom.co.il/sport/israeli-basketball/article/12574969" TargetMode="External"/><Relationship Id="rId1642" Type="http://schemas.openxmlformats.org/officeDocument/2006/relationships/hyperlink" Target="https://www.salnews.com/forum/viewtopic.php?f=1&amp;t=16044&amp;view=next" TargetMode="External"/><Relationship Id="rId1643" Type="http://schemas.openxmlformats.org/officeDocument/2006/relationships/hyperlink" Target="https://www.salnews.com/forum/viewtopic.php?f=1&amp;t=16044&amp;view=next" TargetMode="External"/><Relationship Id="rId1644" Type="http://schemas.openxmlformats.org/officeDocument/2006/relationships/hyperlink" Target="https://www.salnews.com/forum/viewtopic.php?f=1&amp;t=16044&amp;view=next" TargetMode="External"/><Relationship Id="rId1645" Type="http://schemas.openxmlformats.org/officeDocument/2006/relationships/hyperlink" Target="https://www.salnews.com/forum/viewtopic.php?f=1&amp;t=16044&amp;view=next" TargetMode="External"/><Relationship Id="rId1646" Type="http://schemas.openxmlformats.org/officeDocument/2006/relationships/hyperlink" Target="https://www.salnews.com/forum/viewtopic.php?f=1&amp;t=16044&amp;view=next" TargetMode="External"/><Relationship Id="rId1647" Type="http://schemas.openxmlformats.org/officeDocument/2006/relationships/hyperlink" Target="https://www.salnews.com/forum/viewtopic.php?f=1&amp;t=16044&amp;view=next" TargetMode="External"/><Relationship Id="rId1648" Type="http://schemas.openxmlformats.org/officeDocument/2006/relationships/hyperlink" Target="https://www.salnews.com/forum/viewtopic.php?f=1&amp;t=16044&amp;view=next" TargetMode="External"/><Relationship Id="rId1649" Type="http://schemas.openxmlformats.org/officeDocument/2006/relationships/hyperlink" Target="https://www.salnews.com/forum/viewtopic.php?f=1&amp;t=16044&amp;view=next" TargetMode="External"/><Relationship Id="rId819" Type="http://schemas.openxmlformats.org/officeDocument/2006/relationships/hyperlink" Target="https://www.sport5.co.il/articles.aspx?FolderID=11840&amp;docID=518857" TargetMode="External"/><Relationship Id="rId818" Type="http://schemas.openxmlformats.org/officeDocument/2006/relationships/hyperlink" Target="https://www.israelhayom.co.il/sport/israeli-basketball/article/18880746" TargetMode="External"/><Relationship Id="rId817" Type="http://schemas.openxmlformats.org/officeDocument/2006/relationships/hyperlink" Target="https://www.sport5.co.il/articles.aspx?FolderID=11840&amp;docID=518857" TargetMode="External"/><Relationship Id="rId816" Type="http://schemas.openxmlformats.org/officeDocument/2006/relationships/hyperlink" Target="https://www.israelhayom.co.il/sport/israeli-basketball/article/18880746" TargetMode="External"/><Relationship Id="rId811" Type="http://schemas.openxmlformats.org/officeDocument/2006/relationships/hyperlink" Target="https://www.sport5.co.il/articles.aspx?FolderID=11840&amp;docID=518857" TargetMode="External"/><Relationship Id="rId810" Type="http://schemas.openxmlformats.org/officeDocument/2006/relationships/hyperlink" Target="https://www.israelhayom.co.il/sport/israeli-basketball/article/18880746" TargetMode="External"/><Relationship Id="rId815" Type="http://schemas.openxmlformats.org/officeDocument/2006/relationships/hyperlink" Target="https://www.sport5.co.il/articles.aspx?FolderID=11840&amp;docID=518857" TargetMode="External"/><Relationship Id="rId814" Type="http://schemas.openxmlformats.org/officeDocument/2006/relationships/hyperlink" Target="https://www.israelhayom.co.il/sport/israeli-basketball/article/18880746" TargetMode="External"/><Relationship Id="rId813" Type="http://schemas.openxmlformats.org/officeDocument/2006/relationships/hyperlink" Target="https://www.sport5.co.il/articles.aspx?FolderID=11840&amp;docID=518857" TargetMode="External"/><Relationship Id="rId812" Type="http://schemas.openxmlformats.org/officeDocument/2006/relationships/hyperlink" Target="https://www.israelhayom.co.il/sport/israeli-basketball/article/18880746" TargetMode="External"/><Relationship Id="rId1640" Type="http://schemas.openxmlformats.org/officeDocument/2006/relationships/hyperlink" Target="https://www.one.co.il/Article/298507.html" TargetMode="External"/><Relationship Id="rId1641" Type="http://schemas.openxmlformats.org/officeDocument/2006/relationships/hyperlink" Target="https://www.salnews.com/forum/viewtopic.php?f=1&amp;t=16044&amp;view=next" TargetMode="External"/><Relationship Id="rId1675" Type="http://schemas.openxmlformats.org/officeDocument/2006/relationships/hyperlink" Target="https://sport1.maariv.co.il/israeli-basketball/winner-basketball-league/Article-695240/" TargetMode="External"/><Relationship Id="rId1676" Type="http://schemas.openxmlformats.org/officeDocument/2006/relationships/hyperlink" Target="https://sport1.maariv.co.il/israeli-basketball/winner-basketball-league/Article-695240/" TargetMode="External"/><Relationship Id="rId1677" Type="http://schemas.openxmlformats.org/officeDocument/2006/relationships/hyperlink" Target="https://sport1.maariv.co.il/israeli-basketball/winner-basketball-league/Article-695240/" TargetMode="External"/><Relationship Id="rId1678" Type="http://schemas.openxmlformats.org/officeDocument/2006/relationships/hyperlink" Target="https://www.sport5.co.il/articles.aspx?FolderID=274&amp;docID=503586" TargetMode="External"/><Relationship Id="rId1679" Type="http://schemas.openxmlformats.org/officeDocument/2006/relationships/hyperlink" Target="https://www.israelhayom.co.il/sport/israeli-basketball/article/19103537" TargetMode="External"/><Relationship Id="rId849" Type="http://schemas.openxmlformats.org/officeDocument/2006/relationships/hyperlink" Target="https://www.israelhayom.co.il/sport/israeli-basketball/article/18915099" TargetMode="External"/><Relationship Id="rId844" Type="http://schemas.openxmlformats.org/officeDocument/2006/relationships/hyperlink" Target="https://www.israelhayom.co.il/sport/israeli-basketball/article/18915099" TargetMode="External"/><Relationship Id="rId843" Type="http://schemas.openxmlformats.org/officeDocument/2006/relationships/hyperlink" Target="https://www.israelhayom.co.il/sport/israeli-basketball/article/18915099" TargetMode="External"/><Relationship Id="rId842" Type="http://schemas.openxmlformats.org/officeDocument/2006/relationships/hyperlink" Target="https://www.israelhayom.co.il/sport/israeli-basketball/article/18915099" TargetMode="External"/><Relationship Id="rId841" Type="http://schemas.openxmlformats.org/officeDocument/2006/relationships/hyperlink" Target="https://www.israelhayom.co.il/sport/israeli-basketball/article/18915099" TargetMode="External"/><Relationship Id="rId848" Type="http://schemas.openxmlformats.org/officeDocument/2006/relationships/hyperlink" Target="https://www.israelhayom.co.il/sport/israeli-basketball/article/18915099" TargetMode="External"/><Relationship Id="rId847" Type="http://schemas.openxmlformats.org/officeDocument/2006/relationships/hyperlink" Target="https://www.israelhayom.co.il/sport/israeli-basketball/article/18915099" TargetMode="External"/><Relationship Id="rId846" Type="http://schemas.openxmlformats.org/officeDocument/2006/relationships/hyperlink" Target="https://www.israelhayom.co.il/sport/israeli-basketball/article/18915099" TargetMode="External"/><Relationship Id="rId845" Type="http://schemas.openxmlformats.org/officeDocument/2006/relationships/hyperlink" Target="https://www.israelhayom.co.il/sport/israeli-basketball/article/18915099" TargetMode="External"/><Relationship Id="rId1670" Type="http://schemas.openxmlformats.org/officeDocument/2006/relationships/hyperlink" Target="https://www.israelhayom.co.il/sport/israeli-basketball/article/12574969" TargetMode="External"/><Relationship Id="rId840" Type="http://schemas.openxmlformats.org/officeDocument/2006/relationships/hyperlink" Target="https://www.israelhayom.co.il/sport/israeli-basketball/article/18915099" TargetMode="External"/><Relationship Id="rId1671" Type="http://schemas.openxmlformats.org/officeDocument/2006/relationships/hyperlink" Target="https://x.com/yakovmeir1/status/1553636789386100737" TargetMode="External"/><Relationship Id="rId1672" Type="http://schemas.openxmlformats.org/officeDocument/2006/relationships/hyperlink" Target="https://www.israelhayom.co.il/sport/israeli-basketball/article/19103537" TargetMode="External"/><Relationship Id="rId1673" Type="http://schemas.openxmlformats.org/officeDocument/2006/relationships/hyperlink" Target="https://www.israelhayom.co.il/sport/israeli-basketball/article/19103537" TargetMode="External"/><Relationship Id="rId1674" Type="http://schemas.openxmlformats.org/officeDocument/2006/relationships/hyperlink" Target="https://www.israelhayom.co.il/sport/israeli-basketball/article/19103537" TargetMode="External"/><Relationship Id="rId1664" Type="http://schemas.openxmlformats.org/officeDocument/2006/relationships/hyperlink" Target="https://www.israelhayom.co.il/sport/israeli-basketball/article/12574969" TargetMode="External"/><Relationship Id="rId1665" Type="http://schemas.openxmlformats.org/officeDocument/2006/relationships/hyperlink" Target="https://x.com/yakovmeir1/status/1553636789386100737" TargetMode="External"/><Relationship Id="rId1666" Type="http://schemas.openxmlformats.org/officeDocument/2006/relationships/hyperlink" Target="https://www.israelhayom.co.il/sport/israeli-basketball/article/12574969" TargetMode="External"/><Relationship Id="rId1667" Type="http://schemas.openxmlformats.org/officeDocument/2006/relationships/hyperlink" Target="https://x.com/yakovmeir1/status/1553636789386100737" TargetMode="External"/><Relationship Id="rId1668" Type="http://schemas.openxmlformats.org/officeDocument/2006/relationships/hyperlink" Target="https://www.israelhayom.co.il/sport/israeli-basketball/article/12574969" TargetMode="External"/><Relationship Id="rId1669" Type="http://schemas.openxmlformats.org/officeDocument/2006/relationships/hyperlink" Target="https://x.com/yakovmeir1/status/1553636789386100737" TargetMode="External"/><Relationship Id="rId839" Type="http://schemas.openxmlformats.org/officeDocument/2006/relationships/hyperlink" Target="https://www.israelhayom.co.il/sport/israeli-basketball/article/18915099" TargetMode="External"/><Relationship Id="rId838" Type="http://schemas.openxmlformats.org/officeDocument/2006/relationships/hyperlink" Target="https://www.israelhayom.co.il/sport/israeli-basketball/article/18915099" TargetMode="External"/><Relationship Id="rId833" Type="http://schemas.openxmlformats.org/officeDocument/2006/relationships/hyperlink" Target="https://www.sport5.co.il/articles.aspx?FolderID=11840&amp;docID=518857" TargetMode="External"/><Relationship Id="rId832" Type="http://schemas.openxmlformats.org/officeDocument/2006/relationships/hyperlink" Target="https://www.sport5.co.il/articles.aspx?FolderID=11840&amp;docID=518857" TargetMode="External"/><Relationship Id="rId831" Type="http://schemas.openxmlformats.org/officeDocument/2006/relationships/hyperlink" Target="https://www.sport5.co.il/articles.aspx?FolderID=11840&amp;docID=518857" TargetMode="External"/><Relationship Id="rId830" Type="http://schemas.openxmlformats.org/officeDocument/2006/relationships/hyperlink" Target="https://www.sport5.co.il/articles.aspx?FolderID=11840&amp;docID=518857" TargetMode="External"/><Relationship Id="rId837" Type="http://schemas.openxmlformats.org/officeDocument/2006/relationships/hyperlink" Target="https://www.sport5.co.il/articles.aspx?FolderID=11840&amp;docID=518857" TargetMode="External"/><Relationship Id="rId836" Type="http://schemas.openxmlformats.org/officeDocument/2006/relationships/hyperlink" Target="https://www.sport5.co.il/articles.aspx?FolderID=11840&amp;docID=527819" TargetMode="External"/><Relationship Id="rId835" Type="http://schemas.openxmlformats.org/officeDocument/2006/relationships/hyperlink" Target="https://www.sport5.co.il/articles.aspx?FolderID=11840&amp;docID=518857" TargetMode="External"/><Relationship Id="rId834" Type="http://schemas.openxmlformats.org/officeDocument/2006/relationships/hyperlink" Target="https://www.sport5.co.il/articles.aspx?FolderID=11840&amp;docID=518857" TargetMode="External"/><Relationship Id="rId1660" Type="http://schemas.openxmlformats.org/officeDocument/2006/relationships/hyperlink" Target="https://www.israelhayom.co.il/sport/israeli-basketball/article/12574969" TargetMode="External"/><Relationship Id="rId1661" Type="http://schemas.openxmlformats.org/officeDocument/2006/relationships/hyperlink" Target="https://x.com/yakovmeir1/status/1553636789386100737" TargetMode="External"/><Relationship Id="rId1662" Type="http://schemas.openxmlformats.org/officeDocument/2006/relationships/hyperlink" Target="https://www.israelhayom.co.il/sport/israeli-basketball/article/12574969" TargetMode="External"/><Relationship Id="rId1663" Type="http://schemas.openxmlformats.org/officeDocument/2006/relationships/hyperlink" Target="https://x.com/yakovmeir1/status/1553636789386100737" TargetMode="External"/><Relationship Id="rId2148" Type="http://schemas.openxmlformats.org/officeDocument/2006/relationships/hyperlink" Target="https://x.com/baekpd1983/status/2069012468333228124" TargetMode="External"/><Relationship Id="rId2149" Type="http://schemas.openxmlformats.org/officeDocument/2006/relationships/hyperlink" Target="https://x.com/baekpd1983/status/2069283852850205101" TargetMode="External"/><Relationship Id="rId469" Type="http://schemas.openxmlformats.org/officeDocument/2006/relationships/hyperlink" Target="https://www.15min.lt/naujiena/prenumerata/ivykiai/top-30-geriausiai-apmokamu-lkl-zaideju-zalgirieciu-dominavimas-ir-svarbios-detales-1226-1370624" TargetMode="External"/><Relationship Id="rId468" Type="http://schemas.openxmlformats.org/officeDocument/2006/relationships/hyperlink" Target="https://www.15min.lt/naujiena/prenumerata/ivykiai/top-30-geriausiai-apmokamu-lkl-zaideju-zalgirieciu-dominavimas-ir-svarbios-detales-1226-1370624" TargetMode="External"/><Relationship Id="rId467" Type="http://schemas.openxmlformats.org/officeDocument/2006/relationships/hyperlink" Target="https://www.15min.lt/naujiena/prenumerata/ivykiai/top-30-geriausiai-apmokamu-lkl-zaideju-zalgirieciu-dominavimas-ir-svarbios-detales-1226-1370624" TargetMode="External"/><Relationship Id="rId1290" Type="http://schemas.openxmlformats.org/officeDocument/2006/relationships/hyperlink" Target="https://www.fosonline.gr/basket/ellada/article/311731/aek-ypegrapse-o-xeil-to-poso-toy-symvolaioy-toy" TargetMode="External"/><Relationship Id="rId1291" Type="http://schemas.openxmlformats.org/officeDocument/2006/relationships/hyperlink" Target="https://assets.fiba.basketball/image/upload/v1779182271/xxps23fxlzme8oj478bo.pdf" TargetMode="External"/><Relationship Id="rId1292" Type="http://schemas.openxmlformats.org/officeDocument/2006/relationships/hyperlink" Target="https://assets.fiba.basketball/image/upload/v1779182271/xxps23fxlzme8oj478bo.pdf" TargetMode="External"/><Relationship Id="rId462" Type="http://schemas.openxmlformats.org/officeDocument/2006/relationships/hyperlink" Target="https://www.15min.lt/naujiena/prenumerata/ivykiai/top-30-geriausiai-apmokamu-lkl-zaideju-zalgirieciu-dominavimas-ir-svarbios-detales-1226-1370624" TargetMode="External"/><Relationship Id="rId1293" Type="http://schemas.openxmlformats.org/officeDocument/2006/relationships/hyperlink" Target="https://www.sportal.gr/basket/article/aek-to-paraskinio-tis-paramonis-toy-midaoygas-koyzminskas-2024071512093613180" TargetMode="External"/><Relationship Id="rId2140" Type="http://schemas.openxmlformats.org/officeDocument/2006/relationships/hyperlink" Target="https://www.athletiko.gr/epesan-oi-ypografes-gia-toliopoylo-kai-episima-paiktis-toy-ari-90759" TargetMode="External"/><Relationship Id="rId461" Type="http://schemas.openxmlformats.org/officeDocument/2006/relationships/hyperlink" Target="https://www.15min.lt/24sek/naujiena/lietuva/vertinami-ir-svetur-ir-lietuvoje-geriausiai-apmokamu-lietuvos-krepsininku-top-30-875-1641654" TargetMode="External"/><Relationship Id="rId1294" Type="http://schemas.openxmlformats.org/officeDocument/2006/relationships/hyperlink" Target="https://assets.fiba.basketball/image/upload/v1775131857/jy8fwsxlublmvbke3ket.pdf" TargetMode="External"/><Relationship Id="rId2141" Type="http://schemas.openxmlformats.org/officeDocument/2006/relationships/hyperlink" Target="https://www.athletiko.gr/to-all-in-toy-toliopoyloy-gia-ton-ari-evale-400-000-eyro-apo-tin-tsepi-toy-gia-na-epistrepsei-90286" TargetMode="External"/><Relationship Id="rId460" Type="http://schemas.openxmlformats.org/officeDocument/2006/relationships/hyperlink" Target="https://www.15min.lt/naujiena/prenumerata/ivykiai/top-30-geriausiai-apmokamu-lkl-zaideju-zalgirieciu-dominavimas-ir-svarbios-detales-1226-1370624" TargetMode="External"/><Relationship Id="rId1295" Type="http://schemas.openxmlformats.org/officeDocument/2006/relationships/hyperlink" Target="https://assets.fiba.basketball/image/upload/v1775131857/jy8fwsxlublmvbke3ket.pdf" TargetMode="External"/><Relationship Id="rId2142" Type="http://schemas.openxmlformats.org/officeDocument/2006/relationships/hyperlink" Target="https://www.athletiko.gr/ta-chrimata-poy-vgazei-o-panathinaikos-apo-toliopoylo-kai-osman-90327" TargetMode="External"/><Relationship Id="rId1296" Type="http://schemas.openxmlformats.org/officeDocument/2006/relationships/hyperlink" Target="https://assets.fiba.basketball/image/upload/v1775131857/jy8fwsxlublmvbke3ket.pdf" TargetMode="External"/><Relationship Id="rId2143" Type="http://schemas.openxmlformats.org/officeDocument/2006/relationships/hyperlink" Target="https://x.com/Andrea__Calzoni/status/2078075444860002652" TargetMode="External"/><Relationship Id="rId466" Type="http://schemas.openxmlformats.org/officeDocument/2006/relationships/hyperlink" Target="https://www.15min.lt/naujiena/prenumerata/ivykiai/top-30-geriausiai-apmokamu-lkl-zaideju-zalgirieciu-dominavimas-ir-svarbios-detales-1226-1370624" TargetMode="External"/><Relationship Id="rId1297" Type="http://schemas.openxmlformats.org/officeDocument/2006/relationships/hyperlink" Target="https://assets.fiba.basketball/image/upload/v1762269871/e8dhjevrw5atkyemlpbr.pdf" TargetMode="External"/><Relationship Id="rId2144" Type="http://schemas.openxmlformats.org/officeDocument/2006/relationships/hyperlink" Target="https://x.com/baekpd1983/status/2069012468333228124" TargetMode="External"/><Relationship Id="rId465" Type="http://schemas.openxmlformats.org/officeDocument/2006/relationships/hyperlink" Target="https://www.15min.lt/naujiena/prenumerata/ivykiai/top-30-geriausiai-apmokamu-lkl-zaideju-zalgirieciu-dominavimas-ir-svarbios-detales-1226-1370624" TargetMode="External"/><Relationship Id="rId1298" Type="http://schemas.openxmlformats.org/officeDocument/2006/relationships/hyperlink" Target="https://assets.fiba.basketball/image/upload/v1747647141/isewjrrpwdhgh8l25jk8.pdf" TargetMode="External"/><Relationship Id="rId2145" Type="http://schemas.openxmlformats.org/officeDocument/2006/relationships/hyperlink" Target="https://x.com/baekpd1983/status/2087036918940979263" TargetMode="External"/><Relationship Id="rId464" Type="http://schemas.openxmlformats.org/officeDocument/2006/relationships/hyperlink" Target="https://www.15min.lt/24sek/naujiena/lietuva/zalgirieciu-dominavimas-daugiausiai-uzdirbanciu-lkl-zaideju-top-40-875-1641660" TargetMode="External"/><Relationship Id="rId1299" Type="http://schemas.openxmlformats.org/officeDocument/2006/relationships/hyperlink" Target="https://assets.fiba.basketball/image/upload/v1747646985/drrpzv8qkz78day3eidt.pdf" TargetMode="External"/><Relationship Id="rId2146" Type="http://schemas.openxmlformats.org/officeDocument/2006/relationships/hyperlink" Target="https://x.com/baekpd1983/status/2087036918940979263" TargetMode="External"/><Relationship Id="rId463" Type="http://schemas.openxmlformats.org/officeDocument/2006/relationships/hyperlink" Target="https://www.basketnews.lt/news-166796-labiausiai-verte-pasikele-lkl-zaidejai-dabartine-alga-ir-ko-tiketis-vasara.html" TargetMode="External"/><Relationship Id="rId2147" Type="http://schemas.openxmlformats.org/officeDocument/2006/relationships/hyperlink" Target="https://x.com/baekpd1983/status/2087036918940979263" TargetMode="External"/><Relationship Id="rId2137" Type="http://schemas.openxmlformats.org/officeDocument/2006/relationships/hyperlink" Target="https://www.athletiko.gr/ayto-einai-to-neo-symvolaio-toy-choyantso-ernagkometh-ston-panathinaiko-90226" TargetMode="External"/><Relationship Id="rId2138" Type="http://schemas.openxmlformats.org/officeDocument/2006/relationships/hyperlink" Target="https://www.athletiko.gr/krisimo-48oro-gia-noya-kai-rompison-erl-stin-teliki-eytheia-oi-dyo-ypotheseis-gia-ton-ari-89861" TargetMode="External"/><Relationship Id="rId2139" Type="http://schemas.openxmlformats.org/officeDocument/2006/relationships/hyperlink" Target="https://www.athletiko.gr/to-chryso-deal-toy-ari-me-ton-rompinson-erl-oi-oroi-toy-symvolaioy-90276" TargetMode="External"/><Relationship Id="rId459" Type="http://schemas.openxmlformats.org/officeDocument/2006/relationships/hyperlink" Target="https://www.15min.lt/24sek/naujiena/lietuva/zalgirieciu-dominavimas-daugiausiai-uzdirbanciu-lkl-zaideju-top-40-875-1641660" TargetMode="External"/><Relationship Id="rId458" Type="http://schemas.openxmlformats.org/officeDocument/2006/relationships/hyperlink" Target="https://www.krepsinis.net/naujiena/rytas-turi-laikytis-krypties-kuri-atnese-titula/320084?utm_source=copy&amp;utm_medium=txt&amp;utm_campaign=copy-txt" TargetMode="External"/><Relationship Id="rId457" Type="http://schemas.openxmlformats.org/officeDocument/2006/relationships/hyperlink" Target="https://www.15min.lt/naujiena/prenumerata/ivykiai/top-30-geriausiai-apmokamu-lkl-zaideju-zalgirieciu-dominavimas-ir-svarbios-detales-1226-1370624" TargetMode="External"/><Relationship Id="rId456" Type="http://schemas.openxmlformats.org/officeDocument/2006/relationships/hyperlink" Target="https://www.15min.lt/24sek/naujiena/lietuva/zalgirieciu-dominavimas-daugiausiai-uzdirbanciu-lkl-zaideju-top-40-875-1641660" TargetMode="External"/><Relationship Id="rId1280" Type="http://schemas.openxmlformats.org/officeDocument/2006/relationships/hyperlink" Target="https://www.gazzetta.gr/basketball/euroleague/article/1560947/pos-htizeis-enan-paikti-euroleague-me-3500-dolaria-ton-mina" TargetMode="External"/><Relationship Id="rId1281" Type="http://schemas.openxmlformats.org/officeDocument/2006/relationships/hyperlink" Target="https://www.pianetabasket.com/legabasket-serie-a/mercato-lba-varese-e-nico-mannion-operazione-da-200k-289657" TargetMode="External"/><Relationship Id="rId451" Type="http://schemas.openxmlformats.org/officeDocument/2006/relationships/hyperlink" Target="https://www.basketnews.lt/news-150204-labiausiai-verte-pasikele-lkl-krepsininkai-ir-kokiu-pinigu-jie-gali-tiketis-vasara.html" TargetMode="External"/><Relationship Id="rId1282" Type="http://schemas.openxmlformats.org/officeDocument/2006/relationships/hyperlink" Target="https://sportbild.bild.de/sportmix/basketball/sport-mix/sein-gehalt-sein-ritual-die-geheimnisse-von-bbl-topscorer-jackson-86206680.sport.html" TargetMode="External"/><Relationship Id="rId450" Type="http://schemas.openxmlformats.org/officeDocument/2006/relationships/hyperlink" Target="https://www.15min.lt/24sek/naujiena/lietuva/vertinami-ir-svetur-ir-lietuvoje-geriausiai-apmokamu-lietuvos-krepsininku-top-30-875-1641654" TargetMode="External"/><Relationship Id="rId1283" Type="http://schemas.openxmlformats.org/officeDocument/2006/relationships/hyperlink" Target="https://www.bild.de/sport/mehr-sport/wuerzburg-star-zac-seljaas-mehr-geld-fuer-den-vokuhila-mann-661fc8ba56b4320eb37664e0" TargetMode="External"/><Relationship Id="rId2130" Type="http://schemas.openxmlformats.org/officeDocument/2006/relationships/hyperlink" Target="https://www.sport24.gr/basket/euroleague-basketball/olimpiakos-i-pio-akrivi-omada-olon-ton-epoxon-afta-einai-ta-xrisa-simvolaia-ton-erithrolefkon/" TargetMode="External"/><Relationship Id="rId1284" Type="http://schemas.openxmlformats.org/officeDocument/2006/relationships/hyperlink" Target="https://www.bild.de/sport/mehr-sport/basketball/bbl-topscorer-kuhse-grosse-klubs-koennen-sein-gehalt-locker-verdoppeln-86556168.bild.html" TargetMode="External"/><Relationship Id="rId2131" Type="http://schemas.openxmlformats.org/officeDocument/2006/relationships/hyperlink" Target="https://basketnews.com/news-255434-top-10-highest-paid-euroleague-players-2026-27-season.html" TargetMode="External"/><Relationship Id="rId1285" Type="http://schemas.openxmlformats.org/officeDocument/2006/relationships/hyperlink" Target="https://www.schoenen-dunk.de/topic/128592/gehalt-bbl-spieler/56?lang=en-US&amp;page=2" TargetMode="External"/><Relationship Id="rId2132" Type="http://schemas.openxmlformats.org/officeDocument/2006/relationships/hyperlink" Target="https://www.eurohoops.net/en/trademarks/2008414/the-top-10-euroleague-salaries-of-2026-27-the-32m-line-is-official/" TargetMode="External"/><Relationship Id="rId455" Type="http://schemas.openxmlformats.org/officeDocument/2006/relationships/hyperlink" Target="https://www.15min.lt/24sek/naujiena/lietuva/vertinami-ir-svetur-ir-lietuvoje-geriausiai-apmokamu-lietuvos-krepsininku-top-30-875-1641654" TargetMode="External"/><Relationship Id="rId1286" Type="http://schemas.openxmlformats.org/officeDocument/2006/relationships/hyperlink" Target="https://sportbild.bild.de/sportmix/basketball/basketball-das-verdienen-die-stars-in-der-nba-euroleague-und-bbl-6731d3d6ebdb8724738ee30b" TargetMode="External"/><Relationship Id="rId2133" Type="http://schemas.openxmlformats.org/officeDocument/2006/relationships/hyperlink" Target="https://encestando.es/el-barcelona-anuncia-a-nebo-y-tiene-cinco-millones-para-los-dos-refuerzos-que-faltan-en-la-pintura/" TargetMode="External"/><Relationship Id="rId454" Type="http://schemas.openxmlformats.org/officeDocument/2006/relationships/hyperlink" Target="https://www.15min.lt/24sek/naujiena/lietuva/vertinami-ir-svetur-ir-lietuvoje-geriausiai-apmokamu-lietuvos-krepsininku-top-30-875-1641654" TargetMode="External"/><Relationship Id="rId1287" Type="http://schemas.openxmlformats.org/officeDocument/2006/relationships/hyperlink" Target="https://sportbild.bild.de/sportmix/basketball/bayerns-obst-ist-top-verdiener-der-gehaltsreport-der-basketball-bundesliga-6a1fee13aa3fa782d1470161" TargetMode="External"/><Relationship Id="rId2134" Type="http://schemas.openxmlformats.org/officeDocument/2006/relationships/hyperlink" Target="https://x.com/MalCulerisme/status/2077350164847616091" TargetMode="External"/><Relationship Id="rId453" Type="http://schemas.openxmlformats.org/officeDocument/2006/relationships/hyperlink" Target="https://www.basketnews.lt/news-150204-labiausiai-verte-pasikele-lkl-krepsininkai-ir-kokiu-pinigu-jie-gali-tiketis-vasara.html" TargetMode="External"/><Relationship Id="rId1288" Type="http://schemas.openxmlformats.org/officeDocument/2006/relationships/hyperlink" Target="https://sportbild.bild.de/sportmix/basketball/bbl-wuerzburg-baskets-mvp-jhivvan-jackson-ueberrascht-mit-neuem-verein-68777ae775e6eb6eedf7f0ff" TargetMode="External"/><Relationship Id="rId2135" Type="http://schemas.openxmlformats.org/officeDocument/2006/relationships/hyperlink" Target="https://x.com/Andrea__Calzoni/status/2077370930230133071" TargetMode="External"/><Relationship Id="rId452" Type="http://schemas.openxmlformats.org/officeDocument/2006/relationships/hyperlink" Target="https://www.basketnews.lt/news-150204-labiausiai-verte-pasikele-lkl-krepsininkai-ir-kokiu-pinigu-jie-gali-tiketis-vasara.html" TargetMode="External"/><Relationship Id="rId1289" Type="http://schemas.openxmlformats.org/officeDocument/2006/relationships/hyperlink" Target="https://assets.fiba.basketball/image/upload/v1726051060/Corporate%20Images/HQ%20Departments/Legal/BAT%20Awards/1734-21.pdf" TargetMode="External"/><Relationship Id="rId2136" Type="http://schemas.openxmlformats.org/officeDocument/2006/relationships/hyperlink" Target="https://basketnews.com/news-251564-jonas-valanciunas-return-europe-zalgiris-deal-contract.html" TargetMode="External"/><Relationship Id="rId491" Type="http://schemas.openxmlformats.org/officeDocument/2006/relationships/hyperlink" Target="https://www.15min.lt/24sek/naujiena/lietuva/zalgirieciu-dominavimas-daugiausiai-uzdirbanciu-lkl-zaideju-top-40-875-1641660" TargetMode="External"/><Relationship Id="rId490" Type="http://schemas.openxmlformats.org/officeDocument/2006/relationships/hyperlink" Target="https://www.tv3.lt/naujiena/sportas/krepsinio-zvaigzdziu-milijonai-kiek-uzdirba-lietuvos-rinktines-nariai-n1010742" TargetMode="External"/><Relationship Id="rId489" Type="http://schemas.openxmlformats.org/officeDocument/2006/relationships/hyperlink" Target="https://www.15min.lt/24sek/naujiena/lietuva/zalgirieciu-dominavimas-daugiausiai-uzdirbanciu-lkl-zaideju-top-40-875-1641660" TargetMode="External"/><Relationship Id="rId2160" Type="http://schemas.openxmlformats.org/officeDocument/2006/relationships/hyperlink" Target="https://x.com/baekpd1983/status/2072212539300323456" TargetMode="External"/><Relationship Id="rId2161" Type="http://schemas.openxmlformats.org/officeDocument/2006/relationships/hyperlink" Target="https://x.com/baekpd1983/status/2072245665166762061" TargetMode="External"/><Relationship Id="rId484" Type="http://schemas.openxmlformats.org/officeDocument/2006/relationships/hyperlink" Target="https://www.15min.lt/24sek/naujiena/lietuva/zalgirieciu-dominavimas-daugiausiai-uzdirbanciu-lkl-zaideju-top-40-875-1641660" TargetMode="External"/><Relationship Id="rId2162" Type="http://schemas.openxmlformats.org/officeDocument/2006/relationships/hyperlink" Target="https://x.com/baekpd1983/status/2072245665166762061" TargetMode="External"/><Relationship Id="rId483" Type="http://schemas.openxmlformats.org/officeDocument/2006/relationships/hyperlink" Target="https://www.15min.lt/24sek/naujiena/lietuva/zalgirieciu-dominavimas-daugiausiai-uzdirbanciu-lkl-zaideju-top-40-875-1641660" TargetMode="External"/><Relationship Id="rId2163" Type="http://schemas.openxmlformats.org/officeDocument/2006/relationships/hyperlink" Target="https://x.com/baekpd1983/status/2072245665166762061" TargetMode="External"/><Relationship Id="rId482" Type="http://schemas.openxmlformats.org/officeDocument/2006/relationships/hyperlink" Target="https://www.15min.lt/24sek/naujiena/lietuva/zalgirieciu-dominavimas-daugiausiai-uzdirbanciu-lkl-zaideju-top-40-875-1641660" TargetMode="External"/><Relationship Id="rId2164" Type="http://schemas.openxmlformats.org/officeDocument/2006/relationships/hyperlink" Target="https://x.com/baekpd1983/status/2072245665166762061" TargetMode="External"/><Relationship Id="rId481" Type="http://schemas.openxmlformats.org/officeDocument/2006/relationships/hyperlink" Target="https://www.15min.lt/24sek/naujiena/lietuva/zalgirieciu-dominavimas-daugiausiai-uzdirbanciu-lkl-zaideju-top-40-875-1641660" TargetMode="External"/><Relationship Id="rId2165" Type="http://schemas.openxmlformats.org/officeDocument/2006/relationships/hyperlink" Target="https://x.com/baekpd1983/status/2072245665166762061" TargetMode="External"/><Relationship Id="rId488" Type="http://schemas.openxmlformats.org/officeDocument/2006/relationships/hyperlink" Target="https://www.15min.lt/24sek/naujiena/lietuva/zalgirieciu-dominavimas-daugiausiai-uzdirbanciu-lkl-zaideju-top-40-875-1641660" TargetMode="External"/><Relationship Id="rId2166" Type="http://schemas.openxmlformats.org/officeDocument/2006/relationships/hyperlink" Target="https://x.com/baekpd1983/status/2070821656130699341" TargetMode="External"/><Relationship Id="rId487" Type="http://schemas.openxmlformats.org/officeDocument/2006/relationships/hyperlink" Target="https://www.15min.lt/24sek/naujiena/lietuva/zalgirieciu-dominavimas-daugiausiai-uzdirbanciu-lkl-zaideju-top-40-875-1641660" TargetMode="External"/><Relationship Id="rId2167" Type="http://schemas.openxmlformats.org/officeDocument/2006/relationships/hyperlink" Target="https://x.com/baekpd1983/status/2075472394144411895" TargetMode="External"/><Relationship Id="rId486" Type="http://schemas.openxmlformats.org/officeDocument/2006/relationships/hyperlink" Target="https://www.15min.lt/24sek/naujiena/lietuva/zalgirieciu-dominavimas-daugiausiai-uzdirbanciu-lkl-zaideju-top-40-875-1641660" TargetMode="External"/><Relationship Id="rId2168" Type="http://schemas.openxmlformats.org/officeDocument/2006/relationships/hyperlink" Target="https://x.com/baekpd1983/status/2075472394144411895" TargetMode="External"/><Relationship Id="rId485" Type="http://schemas.openxmlformats.org/officeDocument/2006/relationships/hyperlink" Target="https://www.15min.lt/24sek/naujiena/lietuva/zalgirieciu-dominavimas-daugiausiai-uzdirbanciu-lkl-zaideju-top-40-875-1641660" TargetMode="External"/><Relationship Id="rId2169" Type="http://schemas.openxmlformats.org/officeDocument/2006/relationships/hyperlink" Target="https://x.com/baekpd1983/status/2077937367072284872" TargetMode="External"/><Relationship Id="rId2159" Type="http://schemas.openxmlformats.org/officeDocument/2006/relationships/hyperlink" Target="https://x.com/baekpd1983/status/2070442096130163031" TargetMode="External"/><Relationship Id="rId480" Type="http://schemas.openxmlformats.org/officeDocument/2006/relationships/hyperlink" Target="https://www.15min.lt/24sek/naujiena/lietuva/zalgirieciu-dominavimas-daugiausiai-uzdirbanciu-lkl-zaideju-top-40-875-1641660" TargetMode="External"/><Relationship Id="rId479" Type="http://schemas.openxmlformats.org/officeDocument/2006/relationships/hyperlink" Target="https://www.15min.lt/24sek/naujiena/lietuva/zalgirieciu-dominavimas-daugiausiai-uzdirbanciu-lkl-zaideju-top-40-875-1641660" TargetMode="External"/><Relationship Id="rId478" Type="http://schemas.openxmlformats.org/officeDocument/2006/relationships/hyperlink" Target="https://www.15min.lt/24sek/naujiena/lietuva/zalgirieciu-dominavimas-daugiausiai-uzdirbanciu-lkl-zaideju-top-40-875-1641660" TargetMode="External"/><Relationship Id="rId2150" Type="http://schemas.openxmlformats.org/officeDocument/2006/relationships/hyperlink" Target="https://x.com/baekpd1983/status/2065269640323117058" TargetMode="External"/><Relationship Id="rId473" Type="http://schemas.openxmlformats.org/officeDocument/2006/relationships/hyperlink" Target="https://www.15min.lt/naujiena/prenumerata/ivykiai/top-30-geriausiai-apmokamu-lkl-zaideju-zalgirieciu-dominavimas-ir-svarbios-detales-1226-1370624" TargetMode="External"/><Relationship Id="rId2151" Type="http://schemas.openxmlformats.org/officeDocument/2006/relationships/hyperlink" Target="https://x.com/baekpd1983/status/2069283852850205101" TargetMode="External"/><Relationship Id="rId472" Type="http://schemas.openxmlformats.org/officeDocument/2006/relationships/hyperlink" Target="https://www.15min.lt/naujiena/prenumerata/ivykiai/top-30-geriausiai-apmokamu-lkl-zaideju-zalgirieciu-dominavimas-ir-svarbios-detales-1226-1370624" TargetMode="External"/><Relationship Id="rId2152" Type="http://schemas.openxmlformats.org/officeDocument/2006/relationships/hyperlink" Target="https://x.com/baekpd1983/status/2069283852850205101" TargetMode="External"/><Relationship Id="rId471" Type="http://schemas.openxmlformats.org/officeDocument/2006/relationships/hyperlink" Target="https://www.15min.lt/naujiena/prenumerata/ivykiai/top-30-geriausiai-apmokamu-lkl-zaideju-zalgirieciu-dominavimas-ir-svarbios-detales-1226-1370624" TargetMode="External"/><Relationship Id="rId2153" Type="http://schemas.openxmlformats.org/officeDocument/2006/relationships/hyperlink" Target="https://x.com/baekpd1983/status/2069283852850205101" TargetMode="External"/><Relationship Id="rId470" Type="http://schemas.openxmlformats.org/officeDocument/2006/relationships/hyperlink" Target="https://www.15min.lt/naujiena/prenumerata/ivykiai/top-30-geriausiai-apmokamu-lkl-zaideju-zalgirieciu-dominavimas-ir-svarbios-detales-1226-1370624" TargetMode="External"/><Relationship Id="rId2154" Type="http://schemas.openxmlformats.org/officeDocument/2006/relationships/hyperlink" Target="https://x.com/baekpd1983/status/2060902536975208601" TargetMode="External"/><Relationship Id="rId477" Type="http://schemas.openxmlformats.org/officeDocument/2006/relationships/hyperlink" Target="https://www.15min.lt/24sek/naujiena/lietuva/zalgirieciu-dominavimas-daugiausiai-uzdirbanciu-lkl-zaideju-top-40-875-1641660" TargetMode="External"/><Relationship Id="rId2155" Type="http://schemas.openxmlformats.org/officeDocument/2006/relationships/hyperlink" Target="https://x.com/baekpd1983/status/2069283852850205101" TargetMode="External"/><Relationship Id="rId476" Type="http://schemas.openxmlformats.org/officeDocument/2006/relationships/hyperlink" Target="https://www.15min.lt/24sek/naujiena/lietuva/vertinami-ir-svetur-ir-lietuvoje-geriausiai-apmokamu-lietuvos-krepsininku-top-30-875-1641654" TargetMode="External"/><Relationship Id="rId2156" Type="http://schemas.openxmlformats.org/officeDocument/2006/relationships/hyperlink" Target="https://x.com/baekpd1983/status/2069283852850205101" TargetMode="External"/><Relationship Id="rId475" Type="http://schemas.openxmlformats.org/officeDocument/2006/relationships/hyperlink" Target="https://www.basketnews.lt/news-150204-labiausiai-verte-pasikele-lkl-krepsininkai-ir-kokiu-pinigu-jie-gali-tiketis-vasara.html" TargetMode="External"/><Relationship Id="rId2157" Type="http://schemas.openxmlformats.org/officeDocument/2006/relationships/hyperlink" Target="https://x.com/baekpd1983/status/2060902536975208601" TargetMode="External"/><Relationship Id="rId474" Type="http://schemas.openxmlformats.org/officeDocument/2006/relationships/hyperlink" Target="https://www.basketnews.lt/news-150204-labiausiai-verte-pasikele-lkl-krepsininkai-ir-kokiu-pinigu-jie-gali-tiketis-vasara.html" TargetMode="External"/><Relationship Id="rId2158" Type="http://schemas.openxmlformats.org/officeDocument/2006/relationships/hyperlink" Target="https://x.com/baekpd1983/status/2070411232876863606" TargetMode="External"/><Relationship Id="rId1257" Type="http://schemas.openxmlformats.org/officeDocument/2006/relationships/hyperlink" Target="https://basketnews.com/news-167250-daniel-hackett-officialy-joins-virtus-bologna.html" TargetMode="External"/><Relationship Id="rId2104" Type="http://schemas.openxmlformats.org/officeDocument/2006/relationships/hyperlink" Target="https://x.com/mstef80/status/2069850454993834163" TargetMode="External"/><Relationship Id="rId1258" Type="http://schemas.openxmlformats.org/officeDocument/2006/relationships/hyperlink" Target="https://basketballgeneration.it/stipendi-giocatori-virtus-bologna" TargetMode="External"/><Relationship Id="rId2105" Type="http://schemas.openxmlformats.org/officeDocument/2006/relationships/hyperlink" Target="https://basketnews.com/news-250552-moustapha-falls-salary-at-panathinaikos-revealed.html" TargetMode="External"/><Relationship Id="rId1259" Type="http://schemas.openxmlformats.org/officeDocument/2006/relationships/hyperlink" Target="https://basketballgeneration.it/stipendi-giocatori-virtus-bologna" TargetMode="External"/><Relationship Id="rId2106" Type="http://schemas.openxmlformats.org/officeDocument/2006/relationships/hyperlink" Target="https://basketballsphere.com/en/panathinaikos-salaries-2026-27/" TargetMode="External"/><Relationship Id="rId2107" Type="http://schemas.openxmlformats.org/officeDocument/2006/relationships/hyperlink" Target="https://www.sport5.co.il/articles.aspx?FolderID=11840&amp;docID=551764" TargetMode="External"/><Relationship Id="rId2108" Type="http://schemas.openxmlformats.org/officeDocument/2006/relationships/hyperlink" Target="https://basketballsphere.com/en/panathinaikos-salaries-2026-27/" TargetMode="External"/><Relationship Id="rId2109" Type="http://schemas.openxmlformats.org/officeDocument/2006/relationships/hyperlink" Target="https://www.sport5.co.il/articles.aspx?FolderID=11840&amp;docID=551764" TargetMode="External"/><Relationship Id="rId426" Type="http://schemas.openxmlformats.org/officeDocument/2006/relationships/hyperlink" Target="https://www.15min.lt/24sek/naujiena/lietuva/top-30-atlyginimu-lietuvoje-antrajame-desimtuke-ryto-lietuviu-kompanija-875-1036584?c=24sek" TargetMode="External"/><Relationship Id="rId425" Type="http://schemas.openxmlformats.org/officeDocument/2006/relationships/hyperlink" Target="https://www.15min.lt/24sek/naujiena/lietuva/top-30-atlyginimu-lietuvoje-treciasis-daugiausiai-uzdirbanciu-zaideju-desimtukas-875-1034940" TargetMode="External"/><Relationship Id="rId424" Type="http://schemas.openxmlformats.org/officeDocument/2006/relationships/hyperlink" Target="https://www.15min.lt/24sek/naujiena/lietuva/top-30-atlyginimu-lietuvoje-treciasis-daugiausiai-uzdirbanciu-zaideju-desimtukas-875-1034940" TargetMode="External"/><Relationship Id="rId423" Type="http://schemas.openxmlformats.org/officeDocument/2006/relationships/hyperlink" Target="https://www.15min.lt/24sek/naujiena/lietuva/top-30-atlyginimu-lietuvoje-treciasis-daugiausiai-uzdirbanciu-zaideju-desimtukas-875-1034940" TargetMode="External"/><Relationship Id="rId429" Type="http://schemas.openxmlformats.org/officeDocument/2006/relationships/hyperlink" Target="https://www.15min.lt/24sek/naujiena/lietuva/top-30-atlyginimu-lietuvoje-antrajame-desimtuke-ryto-lietuviu-kompanija-875-1036584?c=24sek" TargetMode="External"/><Relationship Id="rId428" Type="http://schemas.openxmlformats.org/officeDocument/2006/relationships/hyperlink" Target="https://www.15min.lt/24sek/naujiena/lietuva/top-30-atlyginimu-lietuvoje-antrajame-desimtuke-ryto-lietuviu-kompanija-875-1036584?c=24sek" TargetMode="External"/><Relationship Id="rId427" Type="http://schemas.openxmlformats.org/officeDocument/2006/relationships/hyperlink" Target="https://www.15min.lt/24sek/naujiena/lietuva/top-30-atlyginimu-lietuvoje-antrajame-desimtuke-ryto-lietuviu-kompanija-875-1036584?c=24sek" TargetMode="External"/><Relationship Id="rId1250" Type="http://schemas.openxmlformats.org/officeDocument/2006/relationships/hyperlink" Target="https://www.protothema.gr/blogs/fotis-pliakos/article/1838836/to-triplo-metagrafiko-htupima-tou-ari-bettson-deihnei-polla/AMP/" TargetMode="External"/><Relationship Id="rId1251" Type="http://schemas.openxmlformats.org/officeDocument/2006/relationships/hyperlink" Target="https://basketballgeneration.it/stipendi-giocatori-virtus-bologna" TargetMode="External"/><Relationship Id="rId1252" Type="http://schemas.openxmlformats.org/officeDocument/2006/relationships/hyperlink" Target="https://basketballgeneration.it/stipendi-giocatori-virtus-bologna" TargetMode="External"/><Relationship Id="rId422" Type="http://schemas.openxmlformats.org/officeDocument/2006/relationships/hyperlink" Target="https://www.15min.lt/24sek/naujiena/lietuva/top-30-atlyginimu-lietuvoje-treciasis-daugiausiai-uzdirbanciu-zaideju-desimtukas-875-1034940" TargetMode="External"/><Relationship Id="rId1253" Type="http://schemas.openxmlformats.org/officeDocument/2006/relationships/hyperlink" Target="https://basketballgeneration.it/stipendi-giocatori-virtus-bologna" TargetMode="External"/><Relationship Id="rId2100" Type="http://schemas.openxmlformats.org/officeDocument/2006/relationships/hyperlink" Target="https://www.israelhayom.co.il/sport/israeli-basketball/article/21157555" TargetMode="External"/><Relationship Id="rId421" Type="http://schemas.openxmlformats.org/officeDocument/2006/relationships/hyperlink" Target="https://www.15min.lt/24sek/naujiena/lietuva/top-30-atlyginimu-lietuvoje-treciasis-daugiausiai-uzdirbanciu-zaideju-desimtukas-875-1034940" TargetMode="External"/><Relationship Id="rId1254" Type="http://schemas.openxmlformats.org/officeDocument/2006/relationships/hyperlink" Target="https://www.nbapassion.com/nba/clyburn-virtus-bologna-barcellona-mercato-lba-news-306050/" TargetMode="External"/><Relationship Id="rId2101" Type="http://schemas.openxmlformats.org/officeDocument/2006/relationships/hyperlink" Target="https://zurnal.politika.rs/scc/clanak/239967/kosarka/partizan/mijailovic-nikad-vise-plata-preko-1-500-000-evra" TargetMode="External"/><Relationship Id="rId420" Type="http://schemas.openxmlformats.org/officeDocument/2006/relationships/hyperlink" Target="https://www.15min.lt/24sek/naujiena/lietuva/top-30-atlyginimu-lietuvoje-treciasis-daugiausiai-uzdirbanciu-zaideju-desimtukas-875-1034940" TargetMode="External"/><Relationship Id="rId1255" Type="http://schemas.openxmlformats.org/officeDocument/2006/relationships/hyperlink" Target="https://basketballgeneration.it/stipendi-giocatori-virtus-bologna" TargetMode="External"/><Relationship Id="rId2102" Type="http://schemas.openxmlformats.org/officeDocument/2006/relationships/hyperlink" Target="https://basketballsphere.com/en/panathinaikos-salaries-2026-27/" TargetMode="External"/><Relationship Id="rId1256" Type="http://schemas.openxmlformats.org/officeDocument/2006/relationships/hyperlink" Target="https://basketnews.com/news-167250-daniel-hackett-officialy-joins-virtus-bologna.html" TargetMode="External"/><Relationship Id="rId2103" Type="http://schemas.openxmlformats.org/officeDocument/2006/relationships/hyperlink" Target="https://www.sport5.co.il/articles.aspx?FolderID=11840&amp;docID=551764" TargetMode="External"/><Relationship Id="rId1246" Type="http://schemas.openxmlformats.org/officeDocument/2006/relationships/hyperlink" Target="https://www.athletiko.gr/oi-leptomereies-toy-deal-vilntoza-kai-to-mellon-toy-li-15381" TargetMode="External"/><Relationship Id="rId1247" Type="http://schemas.openxmlformats.org/officeDocument/2006/relationships/hyperlink" Target="https://x.com/matty_vanpersie/status/1937821531322691626" TargetMode="External"/><Relationship Id="rId1248" Type="http://schemas.openxmlformats.org/officeDocument/2006/relationships/hyperlink" Target="https://basketballgeneration.it/stipendi-giocatori-virtus-bologna" TargetMode="External"/><Relationship Id="rId1249" Type="http://schemas.openxmlformats.org/officeDocument/2006/relationships/hyperlink" Target="https://www.vunerebologna.it/mercato/virtus-bologna-addio-morgan-distanza-sulle-cifre-e-fari-puntati-su-notae-e-steward/" TargetMode="External"/><Relationship Id="rId415" Type="http://schemas.openxmlformats.org/officeDocument/2006/relationships/hyperlink" Target="https://www.15min.lt/24sek/naujiena/lietuva/top-30-atlyginimu-lietuvoje-daugiausiai-uzdirbanciuju-desimtuke-burys-zalgirieciu-875-1036762" TargetMode="External"/><Relationship Id="rId899" Type="http://schemas.openxmlformats.org/officeDocument/2006/relationships/hyperlink" Target="https://zurnal.politika.rs/scc/clanak/239967/kosarka/partizan/mijailovic-nikad-vise-plata-preko-1-500-000-evra" TargetMode="External"/><Relationship Id="rId414" Type="http://schemas.openxmlformats.org/officeDocument/2006/relationships/hyperlink" Target="https://www.15min.lt/24sek/naujiena/lietuva/top-30-atlyginimu-lietuvoje-daugiausiai-uzdirbanciuju-desimtuke-burys-zalgirieciu-875-1036762" TargetMode="External"/><Relationship Id="rId898" Type="http://schemas.openxmlformats.org/officeDocument/2006/relationships/hyperlink" Target="https://basketballsphere.com/en/done-deal-bruno-fernando-and-partizan-contract-details/" TargetMode="External"/><Relationship Id="rId413" Type="http://schemas.openxmlformats.org/officeDocument/2006/relationships/hyperlink" Target="https://www.15min.lt/24sek/naujiena/lietuva/top-30-atlyginimu-lietuvoje-daugiausiai-uzdirbanciuju-desimtuke-burys-zalgirieciu-875-1036762" TargetMode="External"/><Relationship Id="rId897" Type="http://schemas.openxmlformats.org/officeDocument/2006/relationships/hyperlink" Target="https://x.com/Andrea__Calzoni/status/2069074312913363121" TargetMode="External"/><Relationship Id="rId412" Type="http://schemas.openxmlformats.org/officeDocument/2006/relationships/hyperlink" Target="https://www.15min.lt/24sek/naujiena/lietuva/top-30-atlyginimu-lietuvoje-daugiausiai-uzdirbanciuju-desimtuke-burys-zalgirieciu-875-1036762" TargetMode="External"/><Relationship Id="rId896" Type="http://schemas.openxmlformats.org/officeDocument/2006/relationships/hyperlink" Target="https://zurnal.politika.rs/scc/clanak/239967/kosarka/partizan/mijailovic-nikad-vise-plata-preko-1-500-000-evra" TargetMode="External"/><Relationship Id="rId419" Type="http://schemas.openxmlformats.org/officeDocument/2006/relationships/hyperlink" Target="https://www.15min.lt/24sek/naujiena/lietuva/top-30-atlyginimu-lietuvoje-treciasis-daugiausiai-uzdirbanciu-zaideju-desimtukas-875-1034940" TargetMode="External"/><Relationship Id="rId418" Type="http://schemas.openxmlformats.org/officeDocument/2006/relationships/hyperlink" Target="https://www.15min.lt/24sek/naujiena/lietuva/top-30-atlyginimu-lietuvoje-treciasis-daugiausiai-uzdirbanciu-zaideju-desimtukas-875-1034940" TargetMode="External"/><Relationship Id="rId417" Type="http://schemas.openxmlformats.org/officeDocument/2006/relationships/hyperlink" Target="https://www.15min.lt/24sek/naujiena/lietuva/top-30-atlyginimu-lietuvoje-treciasis-daugiausiai-uzdirbanciu-zaideju-desimtukas-875-1034940" TargetMode="External"/><Relationship Id="rId416" Type="http://schemas.openxmlformats.org/officeDocument/2006/relationships/hyperlink" Target="https://www.15min.lt/naujiena/prenumerata/ivykiai/top-30-geriausiai-apmokamu-lkl-zaideju-zalgirieciu-dominavimas-ir-svarbios-detales-1226-1370624" TargetMode="External"/><Relationship Id="rId891" Type="http://schemas.openxmlformats.org/officeDocument/2006/relationships/hyperlink" Target="https://www.tv3.lt/naujiena/sportas/20-eurolygos-komandu-zaidejai-kuriu-kainos-kokybes-santykis-prasciausias-n1493354" TargetMode="External"/><Relationship Id="rId890" Type="http://schemas.openxmlformats.org/officeDocument/2006/relationships/hyperlink" Target="https://x.com/hizlihucum/status/1950228065847853431" TargetMode="External"/><Relationship Id="rId1240" Type="http://schemas.openxmlformats.org/officeDocument/2006/relationships/hyperlink" Target="https://www.israelhayom.co.il/sport/israeli-basketball/article/16015710" TargetMode="External"/><Relationship Id="rId1241" Type="http://schemas.openxmlformats.org/officeDocument/2006/relationships/hyperlink" Target="https://www.eurodevotion.com/news/480435932678/fuori-mirotic-dentro-guduric-e-poi-il-mercato-dell-olimpia" TargetMode="External"/><Relationship Id="rId411" Type="http://schemas.openxmlformats.org/officeDocument/2006/relationships/hyperlink" Target="https://www.15min.lt/24sek/naujiena/lietuva/top-30-atlyginimu-lietuvoje-daugiausiai-uzdirbanciuju-desimtuke-burys-zalgirieciu-875-1036762" TargetMode="External"/><Relationship Id="rId895" Type="http://schemas.openxmlformats.org/officeDocument/2006/relationships/hyperlink" Target="https://cronicavasca.elespanol.com/deportes/20251111/howard-encabeza-escala-salarial-baskonia-cuarto-acb/1003742706116_0.html" TargetMode="External"/><Relationship Id="rId1242" Type="http://schemas.openxmlformats.org/officeDocument/2006/relationships/hyperlink" Target="https://www.eurodevotion.com/news/480435932678/fuori-mirotic-dentro-guduric-e-poi-il-mercato-dell-olimpia" TargetMode="External"/><Relationship Id="rId410" Type="http://schemas.openxmlformats.org/officeDocument/2006/relationships/hyperlink" Target="https://www.15min.lt/24sek/naujiena/lietuva/top-30-atlyginimu-lietuvoje-daugiausiai-uzdirbanciuju-desimtuke-burys-zalgirieciu-875-1036762" TargetMode="External"/><Relationship Id="rId894" Type="http://schemas.openxmlformats.org/officeDocument/2006/relationships/hyperlink" Target="https://piratasdelbasket.net/acb-los-contratos-mas-elevados-de-la-liga-endesa" TargetMode="External"/><Relationship Id="rId1243" Type="http://schemas.openxmlformats.org/officeDocument/2006/relationships/hyperlink" Target="https://basketballgeneration.it/stipendi-giocatori-virtus-bologna" TargetMode="External"/><Relationship Id="rId893" Type="http://schemas.openxmlformats.org/officeDocument/2006/relationships/hyperlink" Target="https://www.schoenen-dunk.de/topic/128592/gehalt-bbl-spieler/39" TargetMode="External"/><Relationship Id="rId1244" Type="http://schemas.openxmlformats.org/officeDocument/2006/relationships/hyperlink" Target="https://www.pianetabasket.com/legabasket-serie-a/mercato-lba-virtus-bologna-i-dettagli-del-colpo-carsen-edwards-336348" TargetMode="External"/><Relationship Id="rId892" Type="http://schemas.openxmlformats.org/officeDocument/2006/relationships/hyperlink" Target="https://x.com/hizlihucum/status/1942643943709270246" TargetMode="External"/><Relationship Id="rId1245" Type="http://schemas.openxmlformats.org/officeDocument/2006/relationships/hyperlink" Target="https://x.com/hizlihucum/status/1944037591172473120" TargetMode="External"/><Relationship Id="rId1279" Type="http://schemas.openxmlformats.org/officeDocument/2006/relationships/hyperlink" Target="https://takingthecharge.substack.com/p/follow-the-money-why-germanys-top" TargetMode="External"/><Relationship Id="rId2126" Type="http://schemas.openxmlformats.org/officeDocument/2006/relationships/hyperlink" Target="https://x.com/AlessandroMagg4/status/2037890087019516253" TargetMode="External"/><Relationship Id="rId2127" Type="http://schemas.openxmlformats.org/officeDocument/2006/relationships/hyperlink" Target="https://www.sport5.co.il/articles.aspx?FolderID=274&amp;docID=552785" TargetMode="External"/><Relationship Id="rId2128" Type="http://schemas.openxmlformats.org/officeDocument/2006/relationships/hyperlink" Target="https://www.pianetabasket.com/euroleague/il-maccabi-tel-aviv-stava-per-soffiare-nebo-al-barca-e-aprire-un-caso-come-wright" TargetMode="External"/><Relationship Id="rId2129" Type="http://schemas.openxmlformats.org/officeDocument/2006/relationships/hyperlink" Target="https://x.com/souvess/status/2077100403531956263" TargetMode="External"/><Relationship Id="rId448" Type="http://schemas.openxmlformats.org/officeDocument/2006/relationships/hyperlink" Target="https://www.krepsinis.net/naujiena/10-uzsienyje-zaidzianciu-lietuviu-kurie-uzdirba-daugiausiai/308899" TargetMode="External"/><Relationship Id="rId447" Type="http://schemas.openxmlformats.org/officeDocument/2006/relationships/hyperlink" Target="https://www.15min.lt/24sek/naujiena/lietuva/vertinami-ir-svetur-ir-lietuvoje-geriausiai-apmokamu-lietuvos-krepsininku-top-30-875-1641654" TargetMode="External"/><Relationship Id="rId446" Type="http://schemas.openxmlformats.org/officeDocument/2006/relationships/hyperlink" Target="https://www.basketnews.lt/news-150204-labiausiai-verte-pasikele-lkl-krepsininkai-ir-kokiu-pinigu-jie-gali-tiketis-vasara.html" TargetMode="External"/><Relationship Id="rId445" Type="http://schemas.openxmlformats.org/officeDocument/2006/relationships/hyperlink" Target="https://www.basketnews.lt/news-150204-labiausiai-verte-pasikele-lkl-krepsininkai-ir-kokiu-pinigu-jie-gali-tiketis-vasara.html" TargetMode="External"/><Relationship Id="rId449" Type="http://schemas.openxmlformats.org/officeDocument/2006/relationships/hyperlink" Target="https://www.basketnews.lt/news-150204-labiausiai-verte-pasikele-lkl-krepsininkai-ir-kokiu-pinigu-jie-gali-tiketis-vasara.html" TargetMode="External"/><Relationship Id="rId1270" Type="http://schemas.openxmlformats.org/officeDocument/2006/relationships/hyperlink" Target="https://www.krepsinis.net/naujiena/zalgirio-vaira-perimantis-italas-priestaringa-asmenybe-ir-platus-taktinis-bagazas/332431" TargetMode="External"/><Relationship Id="rId440" Type="http://schemas.openxmlformats.org/officeDocument/2006/relationships/hyperlink" Target="https://www.basketnews.lt/news-133679-geriausiai-apmokami-lkl-zaidejai-desimt-brangiausiuju-zalgiryje.html" TargetMode="External"/><Relationship Id="rId1271" Type="http://schemas.openxmlformats.org/officeDocument/2006/relationships/hyperlink" Target="https://sportbild.bild.de/sportmix/basketball/sport-mix/basketball-bbl-mvp-tj-shorts-verlaesst-die-telekom-baskets-bonn-84753534.sport.html" TargetMode="External"/><Relationship Id="rId1272" Type="http://schemas.openxmlformats.org/officeDocument/2006/relationships/hyperlink" Target="https://www.krepsinis.net/naujiena/zalgirio-vaira-perimantis-italas-priestaringa-asmenybe-ir-platus-taktinis-bagazas/332431" TargetMode="External"/><Relationship Id="rId1273" Type="http://schemas.openxmlformats.org/officeDocument/2006/relationships/hyperlink" Target="https://sportbild.bild.de/sportmix/basketball/basketball-das-verdienen-die-stars-in-der-nba-euroleague-und-bbl-6731d3d6ebdb8724738ee30b" TargetMode="External"/><Relationship Id="rId2120" Type="http://schemas.openxmlformats.org/officeDocument/2006/relationships/hyperlink" Target="https://basketballsphere.com/en/panathinaikos-salaries-2026-27/" TargetMode="External"/><Relationship Id="rId1274" Type="http://schemas.openxmlformats.org/officeDocument/2006/relationships/hyperlink" Target="https://sportbild.bild.de/sportmix/basketball/bbl-der-naechste-mvp-haut-ab-665724cd8eb2f931f8496627" TargetMode="External"/><Relationship Id="rId2121" Type="http://schemas.openxmlformats.org/officeDocument/2006/relationships/hyperlink" Target="https://www.sport5.co.il/articles.aspx?FolderID=11840&amp;docID=551764" TargetMode="External"/><Relationship Id="rId444" Type="http://schemas.openxmlformats.org/officeDocument/2006/relationships/hyperlink" Target="https://www.basketnews.lt/news-150204-labiausiai-verte-pasikele-lkl-krepsininkai-ir-kokiu-pinigu-jie-gali-tiketis-vasara.html" TargetMode="External"/><Relationship Id="rId1275" Type="http://schemas.openxmlformats.org/officeDocument/2006/relationships/hyperlink" Target="https://www.eurohoops.net/el/trademarks-el/1747652/panathinaikos-olimpiakos-afta-ine-ta-simvolea-ton-dio-megaliteron-budget-stin-evroligka/" TargetMode="External"/><Relationship Id="rId2122" Type="http://schemas.openxmlformats.org/officeDocument/2006/relationships/hyperlink" Target="https://www.sport5.co.il/articles.aspx?FolderID=405&amp;docID=551781" TargetMode="External"/><Relationship Id="rId443" Type="http://schemas.openxmlformats.org/officeDocument/2006/relationships/hyperlink" Target="https://www.basketnews.lt/news-150204-labiausiai-verte-pasikele-lkl-krepsininkai-ir-kokiu-pinigu-jie-gali-tiketis-vasara.html" TargetMode="External"/><Relationship Id="rId1276" Type="http://schemas.openxmlformats.org/officeDocument/2006/relationships/hyperlink" Target="https://www.eurohoops.net/el/trademarks-el/1747652/panathinaikos-olimpiakos-afta-ine-ta-simvolea-ton-dio-megaliteron-budget-stin-evroligka/" TargetMode="External"/><Relationship Id="rId2123" Type="http://schemas.openxmlformats.org/officeDocument/2006/relationships/hyperlink" Target="https://x.com/hizlihucum/status/2051904797561807098" TargetMode="External"/><Relationship Id="rId442" Type="http://schemas.openxmlformats.org/officeDocument/2006/relationships/hyperlink" Target="https://www.basketnews.lt/news-133679-geriausiai-apmokami-lkl-zaidejai-desimt-brangiausiuju-zalgiryje.html" TargetMode="External"/><Relationship Id="rId1277" Type="http://schemas.openxmlformats.org/officeDocument/2006/relationships/hyperlink" Target="https://www.eurohoops.net/el/trademarks-el/1747652/panathinaikos-olimpiakos-afta-ine-ta-simvolea-ton-dio-megaliteron-budget-stin-evroligka/" TargetMode="External"/><Relationship Id="rId2124" Type="http://schemas.openxmlformats.org/officeDocument/2006/relationships/hyperlink" Target="https://sportklub.n1info.rs/kosarka/euroleague/kris-dzons-zvezda-transfer-ugovor-micic-madar/" TargetMode="External"/><Relationship Id="rId441" Type="http://schemas.openxmlformats.org/officeDocument/2006/relationships/hyperlink" Target="https://www.basketnews.lt/news-133679-geriausiai-apmokami-lkl-zaidejai-desimt-brangiausiuju-zalgiryje.html" TargetMode="External"/><Relationship Id="rId1278" Type="http://schemas.openxmlformats.org/officeDocument/2006/relationships/hyperlink" Target="https://www.eurohoops.net/el/trademarks-el/1747652/panathinaikos-olimpiakos-afta-ine-ta-simvolea-ton-dio-megaliteron-budget-stin-evroligka/" TargetMode="External"/><Relationship Id="rId2125" Type="http://schemas.openxmlformats.org/officeDocument/2006/relationships/hyperlink" Target="https://www.pianetabasket.com/mercato/varese-attende-evbuowman-sondaggio-per-newman-ii" TargetMode="External"/><Relationship Id="rId1268" Type="http://schemas.openxmlformats.org/officeDocument/2006/relationships/hyperlink" Target="https://www.basketnews.lt/news-167339-labiausiai-verte-pasikele-zaidejai-europoje-dabartine-alga-ir-ko-tiketis-vasara.html" TargetMode="External"/><Relationship Id="rId2115" Type="http://schemas.openxmlformats.org/officeDocument/2006/relationships/hyperlink" Target="https://www.sport5.co.il/articles.aspx?FolderID=11840&amp;docID=551764" TargetMode="External"/><Relationship Id="rId1269" Type="http://schemas.openxmlformats.org/officeDocument/2006/relationships/hyperlink" Target="https://www.schoenen-dunk.de/topic/128592/gehalt-bbl-spieler/39" TargetMode="External"/><Relationship Id="rId2116" Type="http://schemas.openxmlformats.org/officeDocument/2006/relationships/hyperlink" Target="https://basketballsphere.com/en/panathinaikos-salaries-2026-27/" TargetMode="External"/><Relationship Id="rId2117" Type="http://schemas.openxmlformats.org/officeDocument/2006/relationships/hyperlink" Target="https://www.sport5.co.il/articles.aspx?FolderID=11840&amp;docID=551764" TargetMode="External"/><Relationship Id="rId2118" Type="http://schemas.openxmlformats.org/officeDocument/2006/relationships/hyperlink" Target="https://basketballsphere.com/en/panathinaikos-salaries-2026-27/" TargetMode="External"/><Relationship Id="rId2119" Type="http://schemas.openxmlformats.org/officeDocument/2006/relationships/hyperlink" Target="https://www.sport5.co.il/articles.aspx?FolderID=11840&amp;docID=551764" TargetMode="External"/><Relationship Id="rId437" Type="http://schemas.openxmlformats.org/officeDocument/2006/relationships/hyperlink" Target="https://www.basketnews.lt/news-133679-geriausiai-apmokami-lkl-zaidejai-desimt-brangiausiuju-zalgiryje.html" TargetMode="External"/><Relationship Id="rId436" Type="http://schemas.openxmlformats.org/officeDocument/2006/relationships/hyperlink" Target="https://www.basketnews.lt/news-133679-geriausiai-apmokami-lkl-zaidejai-desimt-brangiausiuju-zalgiryje.html" TargetMode="External"/><Relationship Id="rId435" Type="http://schemas.openxmlformats.org/officeDocument/2006/relationships/hyperlink" Target="https://www.15min.lt/24sek/naujiena/lietuva/top-30-atlyginimu-lietuvoje-antrajame-desimtuke-ryto-lietuviu-kompanija-875-1036584?c=24sek" TargetMode="External"/><Relationship Id="rId434" Type="http://schemas.openxmlformats.org/officeDocument/2006/relationships/hyperlink" Target="https://www.15min.lt/24sek/naujiena/lietuva/top-30-atlyginimu-lietuvoje-antrajame-desimtuke-ryto-lietuviu-kompanija-875-1036584?c=24sek" TargetMode="External"/><Relationship Id="rId439" Type="http://schemas.openxmlformats.org/officeDocument/2006/relationships/hyperlink" Target="https://www.basketnews.lt/news-133679-geriausiai-apmokami-lkl-zaidejai-desimt-brangiausiuju-zalgiryje.html" TargetMode="External"/><Relationship Id="rId438" Type="http://schemas.openxmlformats.org/officeDocument/2006/relationships/hyperlink" Target="https://www.basketnews.lt/news-133679-geriausiai-apmokami-lkl-zaidejai-desimt-brangiausiuju-zalgiryje.html" TargetMode="External"/><Relationship Id="rId1260" Type="http://schemas.openxmlformats.org/officeDocument/2006/relationships/hyperlink" Target="https://basketballgeneration.it/stipendi-giocatori-virtus-bologna" TargetMode="External"/><Relationship Id="rId1261" Type="http://schemas.openxmlformats.org/officeDocument/2006/relationships/hyperlink" Target="https://basketballgeneration.it/stipendi-giocatori-virtus-bologna" TargetMode="External"/><Relationship Id="rId1262" Type="http://schemas.openxmlformats.org/officeDocument/2006/relationships/hyperlink" Target="https://basketballgeneration.it/stipendi-giocatori-virtus-bologna" TargetMode="External"/><Relationship Id="rId1263" Type="http://schemas.openxmlformats.org/officeDocument/2006/relationships/hyperlink" Target="https://basketballgeneration.it/stipendi-giocatori-virtus-bologna" TargetMode="External"/><Relationship Id="rId2110" Type="http://schemas.openxmlformats.org/officeDocument/2006/relationships/hyperlink" Target="https://x.com/Andrea__Calzoni/status/2070455895901773995" TargetMode="External"/><Relationship Id="rId433" Type="http://schemas.openxmlformats.org/officeDocument/2006/relationships/hyperlink" Target="https://www.15min.lt/24sek/naujiena/lietuva/top-30-atlyginimu-lietuvoje-antrajame-desimtuke-ryto-lietuviu-kompanija-875-1036584?c=24sek" TargetMode="External"/><Relationship Id="rId1264" Type="http://schemas.openxmlformats.org/officeDocument/2006/relationships/hyperlink" Target="https://basketballgeneration.it/stipendi-giocatori-aquila-basket" TargetMode="External"/><Relationship Id="rId2111" Type="http://schemas.openxmlformats.org/officeDocument/2006/relationships/hyperlink" Target="https://x.com/hoopsfthoughtgr/status/2070585410338607401" TargetMode="External"/><Relationship Id="rId432" Type="http://schemas.openxmlformats.org/officeDocument/2006/relationships/hyperlink" Target="https://www.15min.lt/naujiena/prenumerata/ivykiai/top-30-geriausiai-apmokamu-lkl-zaideju-zalgirieciu-dominavimas-ir-svarbios-detales-1226-1370624" TargetMode="External"/><Relationship Id="rId1265" Type="http://schemas.openxmlformats.org/officeDocument/2006/relationships/hyperlink" Target="https://basketballgeneration.it/stipendi-giocatori-aquila-basket" TargetMode="External"/><Relationship Id="rId2112" Type="http://schemas.openxmlformats.org/officeDocument/2006/relationships/hyperlink" Target="https://basketballsphere.com/en/panathinaikos-salaries-2026-27/" TargetMode="External"/><Relationship Id="rId431" Type="http://schemas.openxmlformats.org/officeDocument/2006/relationships/hyperlink" Target="https://www.15min.lt/naujiena/prenumerata/ivykiai/top-30-geriausiai-apmokamu-lkl-zaideju-zalgirieciu-dominavimas-ir-svarbios-detales-1226-1370624" TargetMode="External"/><Relationship Id="rId1266" Type="http://schemas.openxmlformats.org/officeDocument/2006/relationships/hyperlink" Target="https://www.15min.lt/24sek/naujiena/lietuva/vertinami-ir-svetur-ir-lietuvoje-geriausiai-apmokamu-lietuvos-krepsininku-top-30-875-1641654" TargetMode="External"/><Relationship Id="rId2113" Type="http://schemas.openxmlformats.org/officeDocument/2006/relationships/hyperlink" Target="https://www.sport5.co.il/articles.aspx?FolderID=11840&amp;docID=551764" TargetMode="External"/><Relationship Id="rId430" Type="http://schemas.openxmlformats.org/officeDocument/2006/relationships/hyperlink" Target="https://www.15min.lt/naujiena/prenumerata/ivykiai/top-30-geriausiai-apmokamu-lkl-zaideju-zalgirieciu-dominavimas-ir-svarbios-detales-1226-1370624" TargetMode="External"/><Relationship Id="rId1267" Type="http://schemas.openxmlformats.org/officeDocument/2006/relationships/hyperlink" Target="https://www.basketnews.lt/news-167339-labiausiai-verte-pasikele-zaidejai-europoje-dabartine-alga-ir-ko-tiketis-vasara.html" TargetMode="External"/><Relationship Id="rId2114" Type="http://schemas.openxmlformats.org/officeDocument/2006/relationships/hyperlink" Target="https://basketballsphere.com/en/panathinaikos-salaries-2026-27/"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ww.codesports.com.au/basketball/nbl/nbl-rich-list-the-leagues-highest-paid-player-revealed/news-story/7866be502730868a77169f1f2856db47" TargetMode="External"/><Relationship Id="rId2" Type="http://schemas.openxmlformats.org/officeDocument/2006/relationships/hyperlink" Target="https://www.codesports.com.au/basketball/nbl/nbl-bestfive-salaries-revealed-how-one-team-made-mockery-of-1m-pay-gap/news-story/11236aedcbe8c0e7de112b82d144ffe1" TargetMode="External"/><Relationship Id="rId3" Type="http://schemas.openxmlformats.org/officeDocument/2006/relationships/hyperlink" Target="https://www.codesports.com.au/basketball/nbl/the-true-cost-of-nbl-success-revealed-in-new-salary-cap-spending-figures/news-story/1c36297db11ed850a8217c70dafb8f92" TargetMode="External"/><Relationship Id="rId4" Type="http://schemas.openxmlformats.org/officeDocument/2006/relationships/hyperlink" Target="https://sports.walla.co.il/item/1656259" TargetMode="External"/><Relationship Id="rId9" Type="http://schemas.openxmlformats.org/officeDocument/2006/relationships/hyperlink" Target="https://www.basketnews.lt/news-132027-mindaugas-kupsas-keliasi-i-jeruzales-hapoel.html?fbclid=IwY2xjawSn9XRleHRuA2FlbQIxMQBicmlkETBRa2FRZjNJbGxOWWRyTHNzc3J0YwZhcHBfaWQQMjIyMDM5MTc4ODIwMDg5MgABHlm5BCQ9jSwT8P3jFbaUb1T0hNZeRWcXnY2RiFZPQk9Syf7avvwq6EYBjFFV_aem_iZGGco9Mo0F0VyMHyS3P-w" TargetMode="External"/><Relationship Id="rId5" Type="http://schemas.openxmlformats.org/officeDocument/2006/relationships/hyperlink" Target="https://www.globes.co.il/news/article.aspx?did=1000820527" TargetMode="External"/><Relationship Id="rId6" Type="http://schemas.openxmlformats.org/officeDocument/2006/relationships/hyperlink" Target="https://www.globes.co.il/news/article.aspx?did=1000483989" TargetMode="External"/><Relationship Id="rId7" Type="http://schemas.openxmlformats.org/officeDocument/2006/relationships/hyperlink" Target="https://www.globes.co.il/news/article.aspx?did=1001069020" TargetMode="External"/><Relationship Id="rId8" Type="http://schemas.openxmlformats.org/officeDocument/2006/relationships/hyperlink" Target="https://www.globes.co.il/news/article.aspx?did=1000867378" TargetMode="External"/><Relationship Id="rId20" Type="http://schemas.openxmlformats.org/officeDocument/2006/relationships/hyperlink" Target="https://www.mondiali.it/news/daniel-hackett-leuropeo-la-nuova-avventura-germania/" TargetMode="External"/><Relationship Id="rId22" Type="http://schemas.openxmlformats.org/officeDocument/2006/relationships/hyperlink" Target="https://www.gazzetta.gr/basketball/basket-league/2562318/mpartlei-allaxe-atzenti-poia-einai-i-protasi-tis-aek-gia-ananeosi" TargetMode="External"/><Relationship Id="rId21" Type="http://schemas.openxmlformats.org/officeDocument/2006/relationships/hyperlink" Target="https://www.athletiko.gr/ekleise-ton-plota-o-olympiakos-ayto-einai-to-symvolaio-toy-96277" TargetMode="External"/><Relationship Id="rId24" Type="http://schemas.openxmlformats.org/officeDocument/2006/relationships/hyperlink" Target="https://www.thitanews.gr/paktolos-ekatommyrion-sto-basket-tou-paok-tromazei-i-evropi/" TargetMode="External"/><Relationship Id="rId23" Type="http://schemas.openxmlformats.org/officeDocument/2006/relationships/hyperlink" Target="https://www.matchmoney.com.gr/athlitika-nea/mpatzet-paok-basket-2026-27/" TargetMode="External"/><Relationship Id="rId26" Type="http://schemas.openxmlformats.org/officeDocument/2006/relationships/hyperlink" Target="https://x.com/baekpd1983/status/2099695399590408689" TargetMode="External"/><Relationship Id="rId25" Type="http://schemas.openxmlformats.org/officeDocument/2006/relationships/hyperlink" Target="https://www.matchmoney.com.gr/athlitika-nea/mpatzet-aris-basket-2026-27/" TargetMode="External"/><Relationship Id="rId28" Type="http://schemas.openxmlformats.org/officeDocument/2006/relationships/drawing" Target="../drawings/drawing6.xml"/><Relationship Id="rId27" Type="http://schemas.openxmlformats.org/officeDocument/2006/relationships/hyperlink" Target="https://www.sport5.co.il/articles.aspx?FolderID=274&amp;docID=561038" TargetMode="External"/><Relationship Id="rId11" Type="http://schemas.openxmlformats.org/officeDocument/2006/relationships/hyperlink" Target="https://www.krepsinis.net/naujiena/o-samhanas-su-zalgiriu-buvo-sudares-1-4-mln-jav-doleriu-vertes-sutarti/238549" TargetMode="External"/><Relationship Id="rId10" Type="http://schemas.openxmlformats.org/officeDocument/2006/relationships/hyperlink" Target="https://www.krepsinis.net/naujiena/atskleistos-prancuzijos-lygos-zaideju-ir-treneriu-algos-tarp-kuriu-ir-d-motiejuno/317346" TargetMode="External"/><Relationship Id="rId13" Type="http://schemas.openxmlformats.org/officeDocument/2006/relationships/hyperlink" Target="https://x.com/Andrea__Calzoni/status/2069074312913363121" TargetMode="External"/><Relationship Id="rId12" Type="http://schemas.openxmlformats.org/officeDocument/2006/relationships/hyperlink" Target="https://sportando.basketball/cameron-hunt-unicaja-malaga-joventut/" TargetMode="External"/><Relationship Id="rId15" Type="http://schemas.openxmlformats.org/officeDocument/2006/relationships/hyperlink" Target="https://www.israelhayom.co.il/sport/israeli-basketball/article/20883979" TargetMode="External"/><Relationship Id="rId14" Type="http://schemas.openxmlformats.org/officeDocument/2006/relationships/hyperlink" Target="https://www.pianetabasket.com/euroleague/dubai-vuole-convincere-thomas-walkup-a-lasciare-lolympiacos" TargetMode="External"/><Relationship Id="rId17" Type="http://schemas.openxmlformats.org/officeDocument/2006/relationships/hyperlink" Target="https://x.com/salonika___/status/2082565566477283575" TargetMode="External"/><Relationship Id="rId16" Type="http://schemas.openxmlformats.org/officeDocument/2006/relationships/hyperlink" Target="https://www.sport5.co.il/articles.aspx?FolderID=274&amp;docID=550736" TargetMode="External"/><Relationship Id="rId19" Type="http://schemas.openxmlformats.org/officeDocument/2006/relationships/hyperlink" Target="https://x.com/fersudeniz/status/2076301931136336302" TargetMode="External"/><Relationship Id="rId18" Type="http://schemas.openxmlformats.org/officeDocument/2006/relationships/hyperlink" Target="https://x.com/NBA_Master_/status/2077316142629093815"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takingthecharge.substack.com/p/follow-the-money-why-germanys-top" TargetMode="External"/><Relationship Id="rId2" Type="http://schemas.openxmlformats.org/officeDocument/2006/relationships/hyperlink" Target="https://x.com/baekpd1983/status/2075466142232326546" TargetMode="External"/><Relationship Id="rId3"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8.56"/>
    <col customWidth="1" min="2" max="3" width="22.89"/>
    <col customWidth="1" min="4" max="4" width="13.11"/>
    <col customWidth="1" min="5" max="5" width="16.33"/>
    <col customWidth="1" min="6" max="6" width="17.33"/>
    <col customWidth="1" min="7" max="8" width="16.33"/>
    <col customWidth="1" min="9" max="9" width="50.78"/>
    <col customWidth="1" min="10" max="10" width="16.11"/>
    <col customWidth="1" min="11" max="36" width="8.56"/>
  </cols>
  <sheetData>
    <row r="1" ht="15.75" customHeight="1">
      <c r="J1" s="3"/>
    </row>
    <row r="2" ht="15.75" customHeight="1">
      <c r="J2" s="3"/>
    </row>
    <row r="3" ht="15.75" customHeight="1">
      <c r="B3" s="1" t="s">
        <v>2</v>
      </c>
      <c r="C3" s="2"/>
      <c r="D3" s="2"/>
      <c r="E3" s="2"/>
      <c r="F3" s="2"/>
      <c r="G3" s="2"/>
      <c r="H3" s="2"/>
      <c r="I3" s="4"/>
      <c r="J3" s="3"/>
    </row>
    <row r="4" ht="15.75" customHeight="1">
      <c r="B4" s="5" t="s">
        <v>1</v>
      </c>
      <c r="C4" s="5" t="s">
        <v>3</v>
      </c>
      <c r="D4" s="5" t="s">
        <v>4</v>
      </c>
      <c r="E4" s="5" t="s">
        <v>5</v>
      </c>
      <c r="F4" s="6" t="s">
        <v>6</v>
      </c>
      <c r="G4" s="6" t="s">
        <v>12</v>
      </c>
      <c r="H4" s="6" t="s">
        <v>7</v>
      </c>
      <c r="I4" s="6" t="s">
        <v>8</v>
      </c>
      <c r="J4" s="3"/>
    </row>
    <row r="5" ht="15.75" customHeight="1">
      <c r="B5" s="5" t="s">
        <v>13</v>
      </c>
      <c r="C5" s="12" t="s">
        <v>14</v>
      </c>
      <c r="D5" s="13"/>
      <c r="E5" s="13"/>
      <c r="F5" s="16" t="str">
        <f t="shared" ref="F5:F20" si="1">+E5/D5</f>
        <v>#DIV/0!</v>
      </c>
      <c r="G5" s="5"/>
      <c r="H5" s="5" t="s">
        <v>16</v>
      </c>
      <c r="I5" s="12" t="s">
        <v>16</v>
      </c>
      <c r="J5" s="3"/>
    </row>
    <row r="6" ht="15.75" customHeight="1">
      <c r="B6" s="5" t="s">
        <v>13</v>
      </c>
      <c r="C6" s="12" t="s">
        <v>19</v>
      </c>
      <c r="D6" s="13"/>
      <c r="E6" s="13"/>
      <c r="F6" s="16" t="str">
        <f t="shared" si="1"/>
        <v>#DIV/0!</v>
      </c>
      <c r="G6" s="5"/>
      <c r="H6" s="5" t="s">
        <v>16</v>
      </c>
      <c r="I6" s="12" t="s">
        <v>16</v>
      </c>
      <c r="J6" s="3"/>
    </row>
    <row r="7" ht="15.75" customHeight="1">
      <c r="B7" s="5" t="s">
        <v>13</v>
      </c>
      <c r="C7" s="12" t="s">
        <v>27</v>
      </c>
      <c r="D7" s="13"/>
      <c r="E7" s="13"/>
      <c r="F7" s="16" t="str">
        <f t="shared" si="1"/>
        <v>#DIV/0!</v>
      </c>
      <c r="G7" s="5"/>
      <c r="H7" s="5" t="s">
        <v>16</v>
      </c>
      <c r="I7" s="12" t="s">
        <v>16</v>
      </c>
      <c r="J7" s="3"/>
    </row>
    <row r="8" ht="15.75" customHeight="1">
      <c r="B8" s="5" t="s">
        <v>13</v>
      </c>
      <c r="C8" s="12" t="s">
        <v>30</v>
      </c>
      <c r="D8" s="13"/>
      <c r="E8" s="13"/>
      <c r="F8" s="16" t="str">
        <f t="shared" si="1"/>
        <v>#DIV/0!</v>
      </c>
      <c r="G8" s="5"/>
      <c r="H8" s="5" t="s">
        <v>16</v>
      </c>
      <c r="I8" s="12" t="s">
        <v>16</v>
      </c>
      <c r="J8" s="3"/>
    </row>
    <row r="9" ht="15.75" customHeight="1">
      <c r="B9" s="5" t="s">
        <v>13</v>
      </c>
      <c r="C9" s="12" t="s">
        <v>31</v>
      </c>
      <c r="D9" s="13"/>
      <c r="E9" s="13"/>
      <c r="F9" s="16" t="str">
        <f t="shared" si="1"/>
        <v>#DIV/0!</v>
      </c>
      <c r="G9" s="5"/>
      <c r="H9" s="5" t="s">
        <v>16</v>
      </c>
      <c r="I9" s="12" t="s">
        <v>16</v>
      </c>
      <c r="J9" s="3"/>
    </row>
    <row r="10" ht="15.75" customHeight="1">
      <c r="B10" s="5" t="s">
        <v>13</v>
      </c>
      <c r="C10" s="12" t="s">
        <v>34</v>
      </c>
      <c r="D10" s="13"/>
      <c r="E10" s="13"/>
      <c r="F10" s="16" t="str">
        <f t="shared" si="1"/>
        <v>#DIV/0!</v>
      </c>
      <c r="G10" s="5"/>
      <c r="H10" s="5" t="s">
        <v>16</v>
      </c>
      <c r="I10" s="12" t="s">
        <v>16</v>
      </c>
      <c r="J10" s="3"/>
    </row>
    <row r="11" ht="15.75" customHeight="1">
      <c r="B11" s="5" t="s">
        <v>13</v>
      </c>
      <c r="C11" s="12" t="s">
        <v>35</v>
      </c>
      <c r="D11" s="13"/>
      <c r="E11" s="13"/>
      <c r="F11" s="16" t="str">
        <f t="shared" si="1"/>
        <v>#DIV/0!</v>
      </c>
      <c r="G11" s="5"/>
      <c r="H11" s="5" t="s">
        <v>16</v>
      </c>
      <c r="I11" s="12" t="s">
        <v>16</v>
      </c>
      <c r="J11" s="3"/>
    </row>
    <row r="12" ht="15.75" customHeight="1">
      <c r="B12" s="5" t="s">
        <v>13</v>
      </c>
      <c r="C12" s="12" t="s">
        <v>38</v>
      </c>
      <c r="D12" s="13"/>
      <c r="E12" s="13"/>
      <c r="F12" s="16" t="str">
        <f t="shared" si="1"/>
        <v>#DIV/0!</v>
      </c>
      <c r="G12" s="5"/>
      <c r="H12" s="5" t="s">
        <v>16</v>
      </c>
      <c r="I12" s="12" t="s">
        <v>16</v>
      </c>
      <c r="J12" s="3"/>
    </row>
    <row r="13" ht="15.75" customHeight="1">
      <c r="B13" s="5" t="s">
        <v>13</v>
      </c>
      <c r="C13" s="12" t="s">
        <v>40</v>
      </c>
      <c r="D13" s="13"/>
      <c r="E13" s="13"/>
      <c r="F13" s="16" t="str">
        <f t="shared" si="1"/>
        <v>#DIV/0!</v>
      </c>
      <c r="G13" s="5"/>
      <c r="H13" s="5" t="s">
        <v>16</v>
      </c>
      <c r="I13" s="12" t="s">
        <v>16</v>
      </c>
      <c r="J13" s="3"/>
    </row>
    <row r="14" ht="15.75" customHeight="1">
      <c r="B14" s="5" t="s">
        <v>13</v>
      </c>
      <c r="C14" s="12" t="s">
        <v>42</v>
      </c>
      <c r="D14" s="13"/>
      <c r="E14" s="13"/>
      <c r="F14" s="16" t="str">
        <f t="shared" si="1"/>
        <v>#DIV/0!</v>
      </c>
      <c r="G14" s="5"/>
      <c r="H14" s="5" t="s">
        <v>16</v>
      </c>
      <c r="I14" s="12" t="s">
        <v>16</v>
      </c>
      <c r="J14" s="3"/>
    </row>
    <row r="15" ht="15.75" customHeight="1">
      <c r="B15" s="5" t="s">
        <v>13</v>
      </c>
      <c r="C15" s="12" t="s">
        <v>44</v>
      </c>
      <c r="D15" s="13"/>
      <c r="E15" s="13"/>
      <c r="F15" s="16" t="str">
        <f t="shared" si="1"/>
        <v>#DIV/0!</v>
      </c>
      <c r="G15" s="5"/>
      <c r="H15" s="5" t="s">
        <v>16</v>
      </c>
      <c r="I15" s="12" t="s">
        <v>16</v>
      </c>
      <c r="J15" s="3"/>
    </row>
    <row r="16" ht="15.75" customHeight="1">
      <c r="B16" s="5" t="s">
        <v>13</v>
      </c>
      <c r="C16" s="12" t="s">
        <v>46</v>
      </c>
      <c r="D16" s="13"/>
      <c r="E16" s="13"/>
      <c r="F16" s="16" t="str">
        <f t="shared" si="1"/>
        <v>#DIV/0!</v>
      </c>
      <c r="G16" s="5"/>
      <c r="H16" s="5" t="s">
        <v>16</v>
      </c>
      <c r="I16" s="12" t="s">
        <v>16</v>
      </c>
      <c r="J16" s="3"/>
    </row>
    <row r="17" ht="15.75" customHeight="1">
      <c r="B17" s="5" t="s">
        <v>13</v>
      </c>
      <c r="C17" s="12" t="s">
        <v>48</v>
      </c>
      <c r="D17" s="13"/>
      <c r="E17" s="13"/>
      <c r="F17" s="16" t="str">
        <f t="shared" si="1"/>
        <v>#DIV/0!</v>
      </c>
      <c r="G17" s="5"/>
      <c r="H17" s="5" t="s">
        <v>16</v>
      </c>
      <c r="I17" s="12" t="s">
        <v>16</v>
      </c>
      <c r="J17" s="3"/>
    </row>
    <row r="18" ht="15.75" customHeight="1">
      <c r="B18" s="5" t="s">
        <v>13</v>
      </c>
      <c r="C18" s="12" t="s">
        <v>53</v>
      </c>
      <c r="D18" s="13"/>
      <c r="E18" s="13"/>
      <c r="F18" s="16" t="str">
        <f t="shared" si="1"/>
        <v>#DIV/0!</v>
      </c>
      <c r="G18" s="5"/>
      <c r="H18" s="5" t="s">
        <v>16</v>
      </c>
      <c r="I18" s="12" t="s">
        <v>16</v>
      </c>
      <c r="J18" s="3"/>
    </row>
    <row r="19" ht="15.75" customHeight="1">
      <c r="B19" s="5" t="s">
        <v>13</v>
      </c>
      <c r="C19" s="12" t="s">
        <v>55</v>
      </c>
      <c r="D19" s="13"/>
      <c r="E19" s="13"/>
      <c r="F19" s="16" t="str">
        <f t="shared" si="1"/>
        <v>#DIV/0!</v>
      </c>
      <c r="G19" s="5"/>
      <c r="H19" s="5" t="s">
        <v>16</v>
      </c>
      <c r="I19" s="12" t="s">
        <v>16</v>
      </c>
      <c r="J19" s="3"/>
    </row>
    <row r="20" ht="15.75" customHeight="1">
      <c r="B20" s="5" t="s">
        <v>13</v>
      </c>
      <c r="C20" s="12" t="s">
        <v>58</v>
      </c>
      <c r="D20" s="13"/>
      <c r="E20" s="13"/>
      <c r="F20" s="16" t="str">
        <f t="shared" si="1"/>
        <v>#DIV/0!</v>
      </c>
      <c r="G20" s="5"/>
      <c r="H20" s="5" t="s">
        <v>16</v>
      </c>
      <c r="I20" s="12" t="s">
        <v>16</v>
      </c>
      <c r="J20" s="3"/>
    </row>
    <row r="21" ht="15.75" customHeight="1">
      <c r="B21" s="19"/>
      <c r="C21" s="19"/>
      <c r="D21" s="19"/>
      <c r="E21" s="21" t="s">
        <v>61</v>
      </c>
      <c r="F21" s="22" t="str">
        <f>average(F5:F20)</f>
        <v>#DIV/0!</v>
      </c>
      <c r="G21" s="19"/>
      <c r="H21" s="19"/>
      <c r="I21" s="19"/>
      <c r="J21" s="3"/>
    </row>
    <row r="22" ht="15.75" customHeight="1">
      <c r="J22" s="3"/>
    </row>
    <row r="23" ht="15.75" customHeight="1">
      <c r="B23" s="24" t="s">
        <v>66</v>
      </c>
      <c r="C23" s="2"/>
      <c r="D23" s="2"/>
      <c r="E23" s="2"/>
      <c r="F23" s="2"/>
      <c r="G23" s="2"/>
      <c r="H23" s="2"/>
      <c r="I23" s="4"/>
      <c r="J23" s="3"/>
    </row>
    <row r="24" ht="15.75" customHeight="1">
      <c r="B24" s="5" t="s">
        <v>1</v>
      </c>
      <c r="C24" s="5" t="s">
        <v>3</v>
      </c>
      <c r="D24" s="5" t="s">
        <v>4</v>
      </c>
      <c r="E24" s="5" t="s">
        <v>5</v>
      </c>
      <c r="F24" s="6" t="s">
        <v>6</v>
      </c>
      <c r="G24" s="6" t="s">
        <v>12</v>
      </c>
      <c r="H24" s="6" t="s">
        <v>7</v>
      </c>
      <c r="I24" s="6" t="s">
        <v>8</v>
      </c>
      <c r="J24" s="3"/>
    </row>
    <row r="25" ht="15.75" customHeight="1">
      <c r="B25" s="5" t="s">
        <v>71</v>
      </c>
      <c r="C25" s="12" t="s">
        <v>72</v>
      </c>
      <c r="D25" s="13"/>
      <c r="E25" s="13"/>
      <c r="F25" s="16" t="str">
        <f t="shared" ref="F25:F42" si="2">+E25/D25</f>
        <v>#DIV/0!</v>
      </c>
      <c r="G25" s="5"/>
      <c r="H25" s="5" t="s">
        <v>16</v>
      </c>
      <c r="I25" s="5" t="s">
        <v>16</v>
      </c>
      <c r="J25" s="3"/>
    </row>
    <row r="26" ht="15.75" customHeight="1">
      <c r="B26" s="5" t="s">
        <v>71</v>
      </c>
      <c r="C26" s="12" t="s">
        <v>79</v>
      </c>
      <c r="D26" s="13"/>
      <c r="E26" s="13"/>
      <c r="F26" s="16" t="str">
        <f t="shared" si="2"/>
        <v>#DIV/0!</v>
      </c>
      <c r="G26" s="5"/>
      <c r="H26" s="5" t="s">
        <v>16</v>
      </c>
      <c r="I26" s="5" t="s">
        <v>16</v>
      </c>
      <c r="J26" s="3"/>
    </row>
    <row r="27" ht="15.75" customHeight="1">
      <c r="B27" s="5" t="s">
        <v>71</v>
      </c>
      <c r="C27" s="12" t="s">
        <v>87</v>
      </c>
      <c r="D27" s="13"/>
      <c r="E27" s="13"/>
      <c r="F27" s="16" t="str">
        <f t="shared" si="2"/>
        <v>#DIV/0!</v>
      </c>
      <c r="G27" s="5"/>
      <c r="H27" s="5" t="s">
        <v>16</v>
      </c>
      <c r="I27" s="5" t="s">
        <v>16</v>
      </c>
      <c r="J27" s="3"/>
    </row>
    <row r="28" ht="15.75" customHeight="1">
      <c r="B28" s="5" t="s">
        <v>71</v>
      </c>
      <c r="C28" s="12" t="s">
        <v>93</v>
      </c>
      <c r="D28" s="13"/>
      <c r="E28" s="13"/>
      <c r="F28" s="16" t="str">
        <f t="shared" si="2"/>
        <v>#DIV/0!</v>
      </c>
      <c r="G28" s="5"/>
      <c r="H28" s="5" t="s">
        <v>16</v>
      </c>
      <c r="I28" s="5" t="s">
        <v>16</v>
      </c>
      <c r="J28" s="3"/>
    </row>
    <row r="29" ht="15.75" customHeight="1">
      <c r="B29" s="5" t="s">
        <v>71</v>
      </c>
      <c r="C29" s="12" t="s">
        <v>97</v>
      </c>
      <c r="D29" s="13"/>
      <c r="E29" s="13"/>
      <c r="F29" s="16" t="str">
        <f t="shared" si="2"/>
        <v>#DIV/0!</v>
      </c>
      <c r="G29" s="5"/>
      <c r="H29" s="5" t="s">
        <v>16</v>
      </c>
      <c r="I29" s="5" t="s">
        <v>16</v>
      </c>
      <c r="J29" s="3"/>
    </row>
    <row r="30" ht="15.75" customHeight="1">
      <c r="B30" s="5" t="s">
        <v>71</v>
      </c>
      <c r="C30" s="12" t="s">
        <v>100</v>
      </c>
      <c r="D30" s="13"/>
      <c r="E30" s="13"/>
      <c r="F30" s="16" t="str">
        <f t="shared" si="2"/>
        <v>#DIV/0!</v>
      </c>
      <c r="G30" s="5"/>
      <c r="H30" s="5" t="s">
        <v>16</v>
      </c>
      <c r="I30" s="5" t="s">
        <v>16</v>
      </c>
      <c r="J30" s="3"/>
    </row>
    <row r="31" ht="15.75" customHeight="1">
      <c r="B31" s="5" t="s">
        <v>71</v>
      </c>
      <c r="C31" s="12" t="s">
        <v>101</v>
      </c>
      <c r="D31" s="13"/>
      <c r="E31" s="13"/>
      <c r="F31" s="16" t="str">
        <f t="shared" si="2"/>
        <v>#DIV/0!</v>
      </c>
      <c r="G31" s="5"/>
      <c r="H31" s="5" t="s">
        <v>16</v>
      </c>
      <c r="I31" s="5" t="s">
        <v>16</v>
      </c>
      <c r="J31" s="3"/>
    </row>
    <row r="32" ht="15.75" customHeight="1">
      <c r="B32" s="5" t="s">
        <v>71</v>
      </c>
      <c r="C32" s="12" t="s">
        <v>103</v>
      </c>
      <c r="D32" s="13"/>
      <c r="E32" s="13"/>
      <c r="F32" s="16" t="str">
        <f t="shared" si="2"/>
        <v>#DIV/0!</v>
      </c>
      <c r="G32" s="5"/>
      <c r="H32" s="5" t="s">
        <v>16</v>
      </c>
      <c r="I32" s="5" t="s">
        <v>16</v>
      </c>
      <c r="J32" s="3"/>
    </row>
    <row r="33" ht="15.75" customHeight="1">
      <c r="B33" s="5" t="s">
        <v>71</v>
      </c>
      <c r="C33" s="12" t="s">
        <v>105</v>
      </c>
      <c r="D33" s="13"/>
      <c r="E33" s="13"/>
      <c r="F33" s="16" t="str">
        <f t="shared" si="2"/>
        <v>#DIV/0!</v>
      </c>
      <c r="G33" s="5"/>
      <c r="H33" s="5" t="s">
        <v>16</v>
      </c>
      <c r="I33" s="5" t="s">
        <v>16</v>
      </c>
      <c r="J33" s="3"/>
    </row>
    <row r="34" ht="15.75" customHeight="1">
      <c r="B34" s="5" t="s">
        <v>71</v>
      </c>
      <c r="C34" s="12" t="s">
        <v>108</v>
      </c>
      <c r="D34" s="13"/>
      <c r="E34" s="13"/>
      <c r="F34" s="16" t="str">
        <f t="shared" si="2"/>
        <v>#DIV/0!</v>
      </c>
      <c r="G34" s="5"/>
      <c r="H34" s="5" t="s">
        <v>16</v>
      </c>
      <c r="I34" s="5" t="s">
        <v>16</v>
      </c>
      <c r="J34" s="3"/>
    </row>
    <row r="35" ht="15.75" customHeight="1">
      <c r="B35" s="5" t="s">
        <v>71</v>
      </c>
      <c r="C35" s="12" t="s">
        <v>109</v>
      </c>
      <c r="D35" s="13"/>
      <c r="E35" s="13"/>
      <c r="F35" s="16" t="str">
        <f t="shared" si="2"/>
        <v>#DIV/0!</v>
      </c>
      <c r="G35" s="5"/>
      <c r="H35" s="5" t="s">
        <v>16</v>
      </c>
      <c r="I35" s="5" t="s">
        <v>16</v>
      </c>
      <c r="J35" s="3"/>
    </row>
    <row r="36" ht="15.75" customHeight="1">
      <c r="B36" s="5" t="s">
        <v>71</v>
      </c>
      <c r="C36" s="12" t="s">
        <v>111</v>
      </c>
      <c r="D36" s="13"/>
      <c r="E36" s="13"/>
      <c r="F36" s="16" t="str">
        <f t="shared" si="2"/>
        <v>#DIV/0!</v>
      </c>
      <c r="G36" s="5"/>
      <c r="H36" s="5" t="s">
        <v>16</v>
      </c>
      <c r="I36" s="5" t="s">
        <v>16</v>
      </c>
      <c r="J36" s="3"/>
    </row>
    <row r="37" ht="15.75" customHeight="1">
      <c r="B37" s="5" t="s">
        <v>71</v>
      </c>
      <c r="C37" s="12" t="s">
        <v>116</v>
      </c>
      <c r="D37" s="13"/>
      <c r="E37" s="13"/>
      <c r="F37" s="16" t="str">
        <f t="shared" si="2"/>
        <v>#DIV/0!</v>
      </c>
      <c r="G37" s="5"/>
      <c r="H37" s="5" t="s">
        <v>16</v>
      </c>
      <c r="I37" s="5" t="s">
        <v>16</v>
      </c>
      <c r="J37" s="3"/>
    </row>
    <row r="38" ht="15.75" customHeight="1">
      <c r="B38" s="5" t="s">
        <v>71</v>
      </c>
      <c r="C38" s="12" t="s">
        <v>117</v>
      </c>
      <c r="D38" s="13"/>
      <c r="E38" s="13"/>
      <c r="F38" s="16" t="str">
        <f t="shared" si="2"/>
        <v>#DIV/0!</v>
      </c>
      <c r="G38" s="5"/>
      <c r="H38" s="5" t="s">
        <v>16</v>
      </c>
      <c r="I38" s="5" t="s">
        <v>16</v>
      </c>
      <c r="J38" s="3"/>
    </row>
    <row r="39" ht="15.75" customHeight="1">
      <c r="B39" s="5" t="s">
        <v>71</v>
      </c>
      <c r="C39" s="12" t="s">
        <v>118</v>
      </c>
      <c r="D39" s="13"/>
      <c r="E39" s="13"/>
      <c r="F39" s="16" t="str">
        <f t="shared" si="2"/>
        <v>#DIV/0!</v>
      </c>
      <c r="G39" s="5"/>
      <c r="H39" s="5" t="s">
        <v>16</v>
      </c>
      <c r="I39" s="5" t="s">
        <v>16</v>
      </c>
      <c r="J39" s="3"/>
    </row>
    <row r="40" ht="15.75" customHeight="1">
      <c r="B40" s="5" t="s">
        <v>71</v>
      </c>
      <c r="C40" s="12" t="s">
        <v>120</v>
      </c>
      <c r="D40" s="13"/>
      <c r="E40" s="13"/>
      <c r="F40" s="16" t="str">
        <f t="shared" si="2"/>
        <v>#DIV/0!</v>
      </c>
      <c r="G40" s="5"/>
      <c r="H40" s="5" t="s">
        <v>16</v>
      </c>
      <c r="I40" s="5" t="s">
        <v>16</v>
      </c>
      <c r="J40" s="3"/>
    </row>
    <row r="41" ht="15.75" customHeight="1">
      <c r="B41" s="5" t="s">
        <v>71</v>
      </c>
      <c r="C41" s="12" t="s">
        <v>121</v>
      </c>
      <c r="D41" s="13"/>
      <c r="E41" s="13"/>
      <c r="F41" s="16" t="str">
        <f t="shared" si="2"/>
        <v>#DIV/0!</v>
      </c>
      <c r="G41" s="5"/>
      <c r="H41" s="5" t="s">
        <v>16</v>
      </c>
      <c r="I41" s="5" t="s">
        <v>16</v>
      </c>
      <c r="J41" s="3"/>
    </row>
    <row r="42" ht="15.75" customHeight="1">
      <c r="B42" s="5" t="s">
        <v>71</v>
      </c>
      <c r="C42" s="12" t="s">
        <v>124</v>
      </c>
      <c r="D42" s="13"/>
      <c r="E42" s="13"/>
      <c r="F42" s="16" t="str">
        <f t="shared" si="2"/>
        <v>#DIV/0!</v>
      </c>
      <c r="G42" s="5"/>
      <c r="H42" s="5" t="s">
        <v>16</v>
      </c>
      <c r="I42" s="5" t="s">
        <v>16</v>
      </c>
      <c r="J42" s="3"/>
      <c r="Q42" s="27"/>
    </row>
    <row r="43" ht="15.75" customHeight="1">
      <c r="E43" s="21" t="s">
        <v>61</v>
      </c>
      <c r="F43" s="22" t="str">
        <f>average(F25:F42)</f>
        <v>#DIV/0!</v>
      </c>
      <c r="J43" s="3"/>
    </row>
    <row r="44" ht="15.75" customHeight="1">
      <c r="J44" s="3"/>
    </row>
    <row r="45" ht="15.75" customHeight="1">
      <c r="B45" s="24" t="s">
        <v>130</v>
      </c>
      <c r="C45" s="2"/>
      <c r="D45" s="2"/>
      <c r="E45" s="2"/>
      <c r="F45" s="2"/>
      <c r="G45" s="2"/>
      <c r="H45" s="2"/>
      <c r="I45" s="4"/>
      <c r="J45" s="28"/>
    </row>
    <row r="46" ht="15.75" customHeight="1">
      <c r="B46" s="5" t="s">
        <v>1</v>
      </c>
      <c r="C46" s="5" t="s">
        <v>3</v>
      </c>
      <c r="D46" s="5" t="s">
        <v>4</v>
      </c>
      <c r="E46" s="5" t="s">
        <v>5</v>
      </c>
      <c r="F46" s="6" t="s">
        <v>6</v>
      </c>
      <c r="G46" s="6" t="s">
        <v>12</v>
      </c>
      <c r="H46" s="6" t="s">
        <v>7</v>
      </c>
      <c r="I46" s="6" t="s">
        <v>8</v>
      </c>
      <c r="J46" s="29" t="s">
        <v>135</v>
      </c>
      <c r="K46" s="12" t="s">
        <v>136</v>
      </c>
      <c r="L46" s="12" t="s">
        <v>137</v>
      </c>
    </row>
    <row r="47" ht="15.75" customHeight="1">
      <c r="A47" s="30" t="s">
        <v>139</v>
      </c>
      <c r="B47" s="5" t="s">
        <v>140</v>
      </c>
      <c r="C47" s="12" t="s">
        <v>141</v>
      </c>
      <c r="D47" s="9">
        <v>5.5E7</v>
      </c>
      <c r="E47" s="11">
        <v>4.0E7</v>
      </c>
      <c r="F47" s="16">
        <f t="shared" ref="F47:F64" si="3">+E47/D47</f>
        <v>0.7272727273</v>
      </c>
      <c r="G47" s="32">
        <f>(D47-'Budgets 2526'!D47)/'Budgets 2526'!D47</f>
        <v>0</v>
      </c>
      <c r="H47" s="5" t="s">
        <v>16</v>
      </c>
      <c r="I47" s="5" t="s">
        <v>16</v>
      </c>
      <c r="J47" s="33" t="s">
        <v>151</v>
      </c>
      <c r="K47" s="34"/>
      <c r="L47" s="34"/>
      <c r="M47" s="35"/>
    </row>
    <row r="48" ht="15.75" customHeight="1">
      <c r="A48" s="30" t="s">
        <v>139</v>
      </c>
      <c r="B48" s="5" t="s">
        <v>140</v>
      </c>
      <c r="C48" s="5" t="s">
        <v>164</v>
      </c>
      <c r="D48" s="9">
        <v>3.8E7</v>
      </c>
      <c r="E48" s="11">
        <v>2.0E7</v>
      </c>
      <c r="F48" s="16">
        <f t="shared" si="3"/>
        <v>0.5263157895</v>
      </c>
      <c r="G48" s="32">
        <f>(D48-'Budgets 2526'!D48)/'Budgets 2526'!D48</f>
        <v>0.08571428571</v>
      </c>
      <c r="H48" s="5" t="s">
        <v>16</v>
      </c>
      <c r="I48" s="5" t="s">
        <v>16</v>
      </c>
      <c r="J48" s="33" t="s">
        <v>169</v>
      </c>
      <c r="K48" s="38" t="s">
        <v>172</v>
      </c>
      <c r="L48" s="38" t="s">
        <v>151</v>
      </c>
      <c r="M48" s="35"/>
    </row>
    <row r="49" ht="15.75" customHeight="1">
      <c r="B49" s="5" t="s">
        <v>140</v>
      </c>
      <c r="C49" s="5" t="s">
        <v>180</v>
      </c>
      <c r="D49" s="9">
        <v>2.3E7</v>
      </c>
      <c r="E49" s="11">
        <v>1.5E7</v>
      </c>
      <c r="F49" s="16">
        <f t="shared" si="3"/>
        <v>0.652173913</v>
      </c>
      <c r="G49" s="32">
        <f>(D49-'Budgets 2526'!D49)/'Budgets 2526'!D49</f>
        <v>0.3529411765</v>
      </c>
      <c r="H49" s="5" t="s">
        <v>16</v>
      </c>
      <c r="I49" s="5" t="s">
        <v>16</v>
      </c>
      <c r="J49" s="33" t="s">
        <v>172</v>
      </c>
      <c r="K49" s="38" t="s">
        <v>151</v>
      </c>
      <c r="L49" s="39"/>
      <c r="M49" s="35"/>
    </row>
    <row r="50" ht="15.75" customHeight="1">
      <c r="B50" s="5" t="s">
        <v>140</v>
      </c>
      <c r="C50" s="12" t="s">
        <v>189</v>
      </c>
      <c r="D50" s="13"/>
      <c r="E50" s="13"/>
      <c r="F50" s="16" t="str">
        <f t="shared" si="3"/>
        <v>#DIV/0!</v>
      </c>
      <c r="G50" s="32">
        <f>(D50-'Budgets 2526'!D50)/'Budgets 2526'!D50</f>
        <v>-1</v>
      </c>
      <c r="H50" s="5" t="s">
        <v>16</v>
      </c>
      <c r="I50" s="5" t="s">
        <v>16</v>
      </c>
      <c r="J50" s="40"/>
      <c r="K50" s="39"/>
      <c r="L50" s="39"/>
      <c r="M50" s="35"/>
    </row>
    <row r="51" ht="15.75" customHeight="1">
      <c r="B51" s="5" t="s">
        <v>140</v>
      </c>
      <c r="C51" s="12" t="s">
        <v>194</v>
      </c>
      <c r="D51" s="9">
        <v>4.3E7</v>
      </c>
      <c r="E51" s="9">
        <v>3.5E7</v>
      </c>
      <c r="F51" s="16">
        <f t="shared" si="3"/>
        <v>0.8139534884</v>
      </c>
      <c r="G51" s="32">
        <f>(D51-'Budgets 2526'!D51)/'Budgets 2526'!D51</f>
        <v>0.06965174129</v>
      </c>
      <c r="H51" s="5" t="s">
        <v>16</v>
      </c>
      <c r="I51" s="5" t="s">
        <v>16</v>
      </c>
      <c r="J51" s="42" t="s">
        <v>201</v>
      </c>
      <c r="K51" s="43" t="s">
        <v>205</v>
      </c>
      <c r="L51" s="43" t="s">
        <v>211</v>
      </c>
      <c r="M51" s="35"/>
    </row>
    <row r="52" ht="15.75" customHeight="1">
      <c r="B52" s="5" t="s">
        <v>140</v>
      </c>
      <c r="C52" s="12" t="s">
        <v>217</v>
      </c>
      <c r="D52" s="13"/>
      <c r="E52" s="13"/>
      <c r="F52" s="16" t="str">
        <f t="shared" si="3"/>
        <v>#DIV/0!</v>
      </c>
      <c r="G52" s="32">
        <f>(D52-'Budgets 2526'!D52)/'Budgets 2526'!D52</f>
        <v>-1</v>
      </c>
      <c r="H52" s="5" t="s">
        <v>16</v>
      </c>
      <c r="I52" s="5" t="s">
        <v>16</v>
      </c>
      <c r="J52" s="40"/>
      <c r="K52" s="39"/>
      <c r="L52" s="38"/>
      <c r="M52" s="35"/>
    </row>
    <row r="53" ht="15.75" customHeight="1">
      <c r="B53" s="5" t="s">
        <v>140</v>
      </c>
      <c r="C53" s="5" t="s">
        <v>219</v>
      </c>
      <c r="D53" s="13"/>
      <c r="E53" s="13"/>
      <c r="F53" s="16" t="str">
        <f t="shared" si="3"/>
        <v>#DIV/0!</v>
      </c>
      <c r="G53" s="32">
        <f>(D53-'Budgets 2526'!D53)/'Budgets 2526'!D53</f>
        <v>-1</v>
      </c>
      <c r="H53" s="5" t="s">
        <v>16</v>
      </c>
      <c r="I53" s="5" t="s">
        <v>16</v>
      </c>
      <c r="J53" s="40"/>
      <c r="K53" s="39"/>
      <c r="L53" s="39"/>
      <c r="M53" s="35"/>
    </row>
    <row r="54" ht="15.75" customHeight="1">
      <c r="B54" s="5" t="s">
        <v>140</v>
      </c>
      <c r="C54" s="12" t="s">
        <v>221</v>
      </c>
      <c r="D54" s="13"/>
      <c r="E54" s="13"/>
      <c r="F54" s="16" t="str">
        <f t="shared" si="3"/>
        <v>#DIV/0!</v>
      </c>
      <c r="G54" s="32">
        <f>(D54-'Budgets 2526'!D54)/'Budgets 2526'!D54</f>
        <v>-1</v>
      </c>
      <c r="H54" s="5" t="s">
        <v>16</v>
      </c>
      <c r="I54" s="5" t="s">
        <v>16</v>
      </c>
      <c r="J54" s="40"/>
      <c r="K54" s="39"/>
      <c r="L54" s="41"/>
      <c r="M54" s="35"/>
    </row>
    <row r="55" ht="15.75" customHeight="1">
      <c r="B55" s="5" t="s">
        <v>140</v>
      </c>
      <c r="C55" s="5" t="s">
        <v>224</v>
      </c>
      <c r="D55" s="9">
        <v>1.9E7</v>
      </c>
      <c r="E55" s="11">
        <v>1.25E7</v>
      </c>
      <c r="F55" s="16">
        <f t="shared" si="3"/>
        <v>0.6578947368</v>
      </c>
      <c r="G55" s="32">
        <f>(D55-'Budgets 2526'!D55)/'Budgets 2526'!D55</f>
        <v>0.1728395062</v>
      </c>
      <c r="H55" s="5" t="s">
        <v>16</v>
      </c>
      <c r="I55" s="5" t="s">
        <v>16</v>
      </c>
      <c r="J55" s="33" t="s">
        <v>226</v>
      </c>
      <c r="K55" s="46" t="s">
        <v>172</v>
      </c>
      <c r="L55" s="43" t="s">
        <v>151</v>
      </c>
      <c r="M55" s="35"/>
    </row>
    <row r="56" ht="15.75" customHeight="1">
      <c r="B56" s="5" t="s">
        <v>140</v>
      </c>
      <c r="C56" s="5" t="s">
        <v>236</v>
      </c>
      <c r="D56" s="13"/>
      <c r="E56" s="13"/>
      <c r="F56" s="16" t="str">
        <f t="shared" si="3"/>
        <v>#DIV/0!</v>
      </c>
      <c r="G56" s="32">
        <f>(D56-'Budgets 2526'!D56)/'Budgets 2526'!D56</f>
        <v>-1</v>
      </c>
      <c r="H56" s="5" t="s">
        <v>16</v>
      </c>
      <c r="I56" s="5" t="s">
        <v>16</v>
      </c>
      <c r="J56" s="40"/>
      <c r="K56" s="47"/>
      <c r="L56" s="47"/>
      <c r="M56" s="35"/>
    </row>
    <row r="57" ht="15.75" customHeight="1">
      <c r="B57" s="5" t="s">
        <v>140</v>
      </c>
      <c r="C57" s="5" t="s">
        <v>241</v>
      </c>
      <c r="D57" s="13"/>
      <c r="E57" s="13"/>
      <c r="F57" s="16" t="str">
        <f t="shared" si="3"/>
        <v>#DIV/0!</v>
      </c>
      <c r="G57" s="32">
        <f>(D57-'Budgets 2526'!D57)/'Budgets 2526'!D57</f>
        <v>-1</v>
      </c>
      <c r="H57" s="5" t="s">
        <v>16</v>
      </c>
      <c r="I57" s="5" t="s">
        <v>16</v>
      </c>
      <c r="J57" s="40"/>
      <c r="K57" s="39"/>
      <c r="L57" s="41"/>
      <c r="M57" s="35"/>
    </row>
    <row r="58" ht="15.75" customHeight="1">
      <c r="B58" s="5" t="s">
        <v>140</v>
      </c>
      <c r="C58" s="5" t="s">
        <v>245</v>
      </c>
      <c r="D58" s="13"/>
      <c r="E58" s="13"/>
      <c r="F58" s="16" t="str">
        <f t="shared" si="3"/>
        <v>#DIV/0!</v>
      </c>
      <c r="G58" s="32">
        <f>(D58-'Budgets 2526'!D58)/'Budgets 2526'!D58</f>
        <v>-1</v>
      </c>
      <c r="H58" s="5" t="s">
        <v>16</v>
      </c>
      <c r="I58" s="5" t="s">
        <v>16</v>
      </c>
      <c r="J58" s="48"/>
      <c r="K58" s="39"/>
      <c r="L58" s="41"/>
      <c r="M58" s="35"/>
    </row>
    <row r="59" ht="15.75" customHeight="1">
      <c r="B59" s="5" t="s">
        <v>140</v>
      </c>
      <c r="C59" s="12" t="s">
        <v>235</v>
      </c>
      <c r="D59" s="25"/>
      <c r="E59" s="25"/>
      <c r="F59" s="16" t="str">
        <f t="shared" si="3"/>
        <v>#DIV/0!</v>
      </c>
      <c r="G59" s="32">
        <f>(D59-'Budgets 2526'!D59)/'Budgets 2526'!D59</f>
        <v>-1</v>
      </c>
      <c r="H59" s="5" t="s">
        <v>16</v>
      </c>
      <c r="I59" s="5" t="s">
        <v>16</v>
      </c>
      <c r="J59" s="49"/>
      <c r="K59" s="47"/>
      <c r="L59" s="47"/>
      <c r="M59" s="35"/>
    </row>
    <row r="60" ht="15.75" customHeight="1">
      <c r="B60" s="5" t="s">
        <v>140</v>
      </c>
      <c r="C60" s="5" t="s">
        <v>253</v>
      </c>
      <c r="D60" s="9">
        <v>6500000.0</v>
      </c>
      <c r="E60" s="9">
        <v>4000000.0</v>
      </c>
      <c r="F60" s="16">
        <f t="shared" si="3"/>
        <v>0.6153846154</v>
      </c>
      <c r="G60" s="32">
        <f>(D60-'Budgets 2526'!D60)/'Budgets 2526'!D60</f>
        <v>0.08333333333</v>
      </c>
      <c r="H60" s="5" t="s">
        <v>16</v>
      </c>
      <c r="I60" s="5" t="s">
        <v>16</v>
      </c>
      <c r="J60" s="33" t="s">
        <v>256</v>
      </c>
      <c r="K60" s="39"/>
      <c r="L60" s="41"/>
      <c r="M60" s="35"/>
    </row>
    <row r="61" ht="15.75" customHeight="1">
      <c r="B61" s="5" t="s">
        <v>140</v>
      </c>
      <c r="C61" s="5" t="s">
        <v>261</v>
      </c>
      <c r="D61" s="13"/>
      <c r="E61" s="13"/>
      <c r="F61" s="16" t="str">
        <f t="shared" si="3"/>
        <v>#DIV/0!</v>
      </c>
      <c r="G61" s="32">
        <f>(D61-'Budgets 2526'!D61)/'Budgets 2526'!D61</f>
        <v>-1</v>
      </c>
      <c r="H61" s="5" t="s">
        <v>16</v>
      </c>
      <c r="I61" s="5" t="s">
        <v>16</v>
      </c>
      <c r="J61" s="40"/>
      <c r="K61" s="47"/>
      <c r="L61" s="47"/>
      <c r="M61" s="35"/>
    </row>
    <row r="62" ht="15.75" customHeight="1">
      <c r="B62" s="5" t="s">
        <v>140</v>
      </c>
      <c r="C62" s="5" t="s">
        <v>264</v>
      </c>
      <c r="D62" s="13"/>
      <c r="E62" s="13"/>
      <c r="F62" s="16" t="str">
        <f t="shared" si="3"/>
        <v>#DIV/0!</v>
      </c>
      <c r="G62" s="32">
        <f>(D62-'Budgets 2526'!D62)/'Budgets 2526'!D62</f>
        <v>-1</v>
      </c>
      <c r="H62" s="5" t="s">
        <v>16</v>
      </c>
      <c r="I62" s="5" t="s">
        <v>16</v>
      </c>
      <c r="J62" s="40"/>
      <c r="K62" s="47"/>
      <c r="L62" s="47"/>
      <c r="M62" s="35"/>
    </row>
    <row r="63" ht="15.75" customHeight="1">
      <c r="B63" s="5" t="s">
        <v>140</v>
      </c>
      <c r="C63" s="5" t="s">
        <v>269</v>
      </c>
      <c r="D63" s="9">
        <v>5500000.0</v>
      </c>
      <c r="E63" s="11">
        <v>3250000.0</v>
      </c>
      <c r="F63" s="16">
        <f t="shared" si="3"/>
        <v>0.5909090909</v>
      </c>
      <c r="G63" s="32">
        <f>(D63-3300000)/3300000</f>
        <v>0.6666666667</v>
      </c>
      <c r="H63" s="5" t="s">
        <v>16</v>
      </c>
      <c r="I63" s="5" t="s">
        <v>16</v>
      </c>
      <c r="J63" s="33" t="s">
        <v>272</v>
      </c>
      <c r="K63" s="47"/>
      <c r="L63" s="47"/>
      <c r="M63" s="50"/>
    </row>
    <row r="64" ht="15.75" customHeight="1">
      <c r="B64" s="5" t="s">
        <v>140</v>
      </c>
      <c r="C64" s="5" t="s">
        <v>277</v>
      </c>
      <c r="D64" s="9">
        <v>4800000.0</v>
      </c>
      <c r="E64" s="9">
        <v>2800000.0</v>
      </c>
      <c r="F64" s="16">
        <f t="shared" si="3"/>
        <v>0.5833333333</v>
      </c>
      <c r="G64" s="5" t="s">
        <v>278</v>
      </c>
      <c r="H64" s="5" t="s">
        <v>16</v>
      </c>
      <c r="I64" s="5" t="s">
        <v>16</v>
      </c>
      <c r="J64" s="33" t="s">
        <v>280</v>
      </c>
      <c r="K64" s="41"/>
      <c r="L64" s="38"/>
      <c r="M64" s="51" t="s">
        <v>285</v>
      </c>
    </row>
    <row r="65" ht="15.75" customHeight="1">
      <c r="E65" s="21" t="s">
        <v>61</v>
      </c>
      <c r="F65" s="52" t="str">
        <f>average(F47:F64)</f>
        <v>#DIV/0!</v>
      </c>
      <c r="J65" s="3"/>
    </row>
    <row r="66" ht="15.75" customHeight="1">
      <c r="J66" s="3"/>
    </row>
    <row r="67" ht="15.75" customHeight="1">
      <c r="B67" s="24" t="s">
        <v>287</v>
      </c>
      <c r="C67" s="2"/>
      <c r="D67" s="2"/>
      <c r="E67" s="2"/>
      <c r="F67" s="2"/>
      <c r="G67" s="2"/>
      <c r="H67" s="2"/>
      <c r="I67" s="4"/>
      <c r="J67" s="3"/>
    </row>
    <row r="68" ht="15.75" customHeight="1">
      <c r="B68" s="5" t="s">
        <v>1</v>
      </c>
      <c r="C68" s="5" t="s">
        <v>3</v>
      </c>
      <c r="D68" s="5" t="s">
        <v>4</v>
      </c>
      <c r="E68" s="5" t="s">
        <v>5</v>
      </c>
      <c r="F68" s="6" t="s">
        <v>6</v>
      </c>
      <c r="G68" s="6" t="s">
        <v>12</v>
      </c>
      <c r="H68" s="6" t="s">
        <v>7</v>
      </c>
      <c r="I68" s="6" t="s">
        <v>8</v>
      </c>
      <c r="J68" s="29" t="s">
        <v>135</v>
      </c>
      <c r="K68" s="12" t="s">
        <v>136</v>
      </c>
      <c r="L68" s="12" t="s">
        <v>137</v>
      </c>
      <c r="M68" s="12" t="s">
        <v>288</v>
      </c>
    </row>
    <row r="69" ht="15.75" customHeight="1">
      <c r="B69" s="5" t="s">
        <v>222</v>
      </c>
      <c r="C69" s="12" t="s">
        <v>289</v>
      </c>
      <c r="D69" s="9">
        <v>2.5E7</v>
      </c>
      <c r="E69" s="53">
        <v>1.5E7</v>
      </c>
      <c r="F69" s="16">
        <f t="shared" ref="F69:F84" si="4">+E69/D69</f>
        <v>0.6</v>
      </c>
      <c r="G69" s="5"/>
      <c r="H69" s="5" t="s">
        <v>16</v>
      </c>
      <c r="I69" s="5" t="s">
        <v>16</v>
      </c>
      <c r="J69" s="33" t="s">
        <v>294</v>
      </c>
      <c r="K69" s="37"/>
      <c r="L69" s="34"/>
      <c r="M69" s="34"/>
      <c r="N69" s="55"/>
    </row>
    <row r="70" ht="15.75" customHeight="1">
      <c r="B70" s="5" t="s">
        <v>222</v>
      </c>
      <c r="C70" s="12" t="s">
        <v>299</v>
      </c>
      <c r="D70" s="13"/>
      <c r="E70" s="45"/>
      <c r="F70" s="16" t="str">
        <f t="shared" si="4"/>
        <v>#DIV/0!</v>
      </c>
      <c r="G70" s="5"/>
      <c r="H70" s="5" t="s">
        <v>16</v>
      </c>
      <c r="I70" s="5" t="s">
        <v>16</v>
      </c>
      <c r="J70" s="40"/>
      <c r="K70" s="34"/>
      <c r="L70" s="56"/>
      <c r="M70" s="37"/>
      <c r="N70" s="55"/>
    </row>
    <row r="71" ht="15.75" customHeight="1">
      <c r="B71" s="5" t="s">
        <v>222</v>
      </c>
      <c r="C71" s="12" t="s">
        <v>301</v>
      </c>
      <c r="D71" s="13"/>
      <c r="E71" s="45"/>
      <c r="F71" s="16" t="str">
        <f t="shared" si="4"/>
        <v>#DIV/0!</v>
      </c>
      <c r="G71" s="5"/>
      <c r="H71" s="5" t="s">
        <v>16</v>
      </c>
      <c r="I71" s="5" t="s">
        <v>16</v>
      </c>
      <c r="J71" s="40"/>
      <c r="K71" s="34"/>
      <c r="L71" s="34"/>
      <c r="M71" s="34"/>
      <c r="N71" s="55"/>
    </row>
    <row r="72" ht="15.75" customHeight="1">
      <c r="B72" s="5" t="s">
        <v>222</v>
      </c>
      <c r="C72" s="12" t="s">
        <v>304</v>
      </c>
      <c r="D72" s="9"/>
      <c r="E72" s="45"/>
      <c r="F72" s="16" t="str">
        <f t="shared" si="4"/>
        <v>#DIV/0!</v>
      </c>
      <c r="G72" s="5"/>
      <c r="H72" s="5" t="s">
        <v>16</v>
      </c>
      <c r="I72" s="5" t="s">
        <v>16</v>
      </c>
      <c r="J72" s="57"/>
      <c r="K72" s="34"/>
      <c r="L72" s="56"/>
      <c r="M72" s="37"/>
      <c r="N72" s="55"/>
    </row>
    <row r="73" ht="15.75" customHeight="1">
      <c r="B73" s="5" t="s">
        <v>222</v>
      </c>
      <c r="C73" s="12" t="s">
        <v>305</v>
      </c>
      <c r="D73" s="13"/>
      <c r="E73" s="45"/>
      <c r="F73" s="16" t="str">
        <f t="shared" si="4"/>
        <v>#DIV/0!</v>
      </c>
      <c r="G73" s="5"/>
      <c r="H73" s="5" t="s">
        <v>16</v>
      </c>
      <c r="I73" s="5" t="s">
        <v>16</v>
      </c>
      <c r="J73" s="40"/>
      <c r="K73" s="34"/>
      <c r="L73" s="37"/>
      <c r="M73" s="37"/>
      <c r="N73" s="55"/>
    </row>
    <row r="74" ht="15.75" customHeight="1">
      <c r="B74" s="5" t="s">
        <v>222</v>
      </c>
      <c r="C74" s="12" t="s">
        <v>307</v>
      </c>
      <c r="D74" s="13"/>
      <c r="E74" s="45"/>
      <c r="F74" s="16" t="str">
        <f t="shared" si="4"/>
        <v>#DIV/0!</v>
      </c>
      <c r="G74" s="5"/>
      <c r="H74" s="5" t="s">
        <v>16</v>
      </c>
      <c r="I74" s="5" t="s">
        <v>16</v>
      </c>
      <c r="J74" s="40"/>
      <c r="K74" s="37"/>
      <c r="L74" s="37"/>
      <c r="M74" s="37"/>
      <c r="N74" s="55"/>
    </row>
    <row r="75" ht="15.75" customHeight="1">
      <c r="B75" s="5" t="s">
        <v>222</v>
      </c>
      <c r="C75" s="12" t="s">
        <v>309</v>
      </c>
      <c r="D75" s="13"/>
      <c r="E75" s="45"/>
      <c r="F75" s="16" t="str">
        <f t="shared" si="4"/>
        <v>#DIV/0!</v>
      </c>
      <c r="G75" s="5"/>
      <c r="H75" s="5" t="s">
        <v>16</v>
      </c>
      <c r="I75" s="5" t="s">
        <v>16</v>
      </c>
      <c r="J75" s="40"/>
      <c r="K75" s="37"/>
      <c r="L75" s="37"/>
      <c r="M75" s="37"/>
      <c r="N75" s="55"/>
    </row>
    <row r="76" ht="15.75" customHeight="1">
      <c r="B76" s="5" t="s">
        <v>222</v>
      </c>
      <c r="C76" s="12" t="s">
        <v>310</v>
      </c>
      <c r="D76" s="13"/>
      <c r="E76" s="45"/>
      <c r="F76" s="16" t="str">
        <f t="shared" si="4"/>
        <v>#DIV/0!</v>
      </c>
      <c r="G76" s="5"/>
      <c r="H76" s="5" t="s">
        <v>16</v>
      </c>
      <c r="I76" s="5" t="s">
        <v>16</v>
      </c>
      <c r="J76" s="40"/>
      <c r="K76" s="34"/>
      <c r="L76" s="37"/>
      <c r="M76" s="37"/>
      <c r="N76" s="55"/>
    </row>
    <row r="77" ht="15.75" customHeight="1">
      <c r="B77" s="5" t="s">
        <v>222</v>
      </c>
      <c r="C77" s="12" t="s">
        <v>313</v>
      </c>
      <c r="D77" s="13"/>
      <c r="E77" s="45"/>
      <c r="F77" s="16" t="str">
        <f t="shared" si="4"/>
        <v>#DIV/0!</v>
      </c>
      <c r="G77" s="5"/>
      <c r="H77" s="5" t="s">
        <v>16</v>
      </c>
      <c r="I77" s="5" t="s">
        <v>16</v>
      </c>
      <c r="J77" s="40"/>
      <c r="K77" s="34"/>
      <c r="L77" s="37"/>
      <c r="M77" s="37"/>
      <c r="N77" s="55"/>
    </row>
    <row r="78" ht="15.75" customHeight="1">
      <c r="B78" s="5" t="s">
        <v>222</v>
      </c>
      <c r="C78" s="12" t="s">
        <v>318</v>
      </c>
      <c r="D78" s="13"/>
      <c r="E78" s="45"/>
      <c r="F78" s="16" t="str">
        <f t="shared" si="4"/>
        <v>#DIV/0!</v>
      </c>
      <c r="G78" s="5"/>
      <c r="H78" s="5" t="s">
        <v>16</v>
      </c>
      <c r="I78" s="5" t="s">
        <v>16</v>
      </c>
      <c r="J78" s="40"/>
      <c r="K78" s="37"/>
      <c r="L78" s="37"/>
      <c r="M78" s="37"/>
      <c r="N78" s="55"/>
    </row>
    <row r="79" ht="15.75" customHeight="1">
      <c r="B79" s="5" t="s">
        <v>222</v>
      </c>
      <c r="C79" s="12" t="s">
        <v>223</v>
      </c>
      <c r="D79" s="13"/>
      <c r="E79" s="45"/>
      <c r="F79" s="16" t="str">
        <f t="shared" si="4"/>
        <v>#DIV/0!</v>
      </c>
      <c r="G79" s="5"/>
      <c r="H79" s="5" t="s">
        <v>16</v>
      </c>
      <c r="I79" s="5" t="s">
        <v>16</v>
      </c>
      <c r="J79" s="59"/>
      <c r="K79" s="37"/>
      <c r="L79" s="37"/>
      <c r="M79" s="37"/>
      <c r="N79" s="55"/>
    </row>
    <row r="80" ht="15.75" customHeight="1">
      <c r="B80" s="5" t="s">
        <v>222</v>
      </c>
      <c r="C80" s="12" t="s">
        <v>314</v>
      </c>
      <c r="D80" s="13"/>
      <c r="E80" s="45"/>
      <c r="F80" s="16" t="str">
        <f t="shared" si="4"/>
        <v>#DIV/0!</v>
      </c>
      <c r="G80" s="5"/>
      <c r="H80" s="5" t="s">
        <v>16</v>
      </c>
      <c r="I80" s="5" t="s">
        <v>16</v>
      </c>
      <c r="J80" s="48"/>
      <c r="K80" s="37"/>
      <c r="L80" s="37"/>
      <c r="M80" s="37"/>
      <c r="N80" s="55"/>
    </row>
    <row r="81" ht="15.75" customHeight="1">
      <c r="B81" s="5" t="s">
        <v>222</v>
      </c>
      <c r="C81" s="12" t="s">
        <v>258</v>
      </c>
      <c r="D81" s="13"/>
      <c r="E81" s="45"/>
      <c r="F81" s="16" t="str">
        <f t="shared" si="4"/>
        <v>#DIV/0!</v>
      </c>
      <c r="G81" s="5"/>
      <c r="H81" s="5" t="s">
        <v>16</v>
      </c>
      <c r="I81" s="5" t="s">
        <v>16</v>
      </c>
      <c r="J81" s="59"/>
      <c r="K81" s="56"/>
      <c r="L81" s="37"/>
      <c r="M81" s="37"/>
      <c r="N81" s="55"/>
    </row>
    <row r="82" ht="15.75" customHeight="1">
      <c r="B82" s="5" t="s">
        <v>222</v>
      </c>
      <c r="C82" s="12" t="s">
        <v>286</v>
      </c>
      <c r="D82" s="13"/>
      <c r="E82" s="45"/>
      <c r="F82" s="16" t="str">
        <f t="shared" si="4"/>
        <v>#DIV/0!</v>
      </c>
      <c r="G82" s="5"/>
      <c r="H82" s="5" t="s">
        <v>16</v>
      </c>
      <c r="I82" s="5" t="s">
        <v>16</v>
      </c>
      <c r="J82" s="40"/>
      <c r="K82" s="37"/>
      <c r="L82" s="37"/>
      <c r="M82" s="37"/>
      <c r="N82" s="55"/>
    </row>
    <row r="83" ht="15.75" customHeight="1">
      <c r="B83" s="5" t="s">
        <v>222</v>
      </c>
      <c r="C83" s="12" t="s">
        <v>327</v>
      </c>
      <c r="D83" s="13"/>
      <c r="E83" s="45"/>
      <c r="F83" s="16" t="str">
        <f t="shared" si="4"/>
        <v>#DIV/0!</v>
      </c>
      <c r="G83" s="5"/>
      <c r="H83" s="5" t="s">
        <v>16</v>
      </c>
      <c r="I83" s="5" t="s">
        <v>16</v>
      </c>
      <c r="J83" s="40"/>
      <c r="K83" s="37"/>
      <c r="L83" s="37"/>
      <c r="M83" s="37"/>
      <c r="N83" s="55"/>
    </row>
    <row r="84" ht="15.75" customHeight="1">
      <c r="B84" s="5" t="s">
        <v>222</v>
      </c>
      <c r="C84" s="12" t="s">
        <v>312</v>
      </c>
      <c r="D84" s="25"/>
      <c r="E84" s="53"/>
      <c r="F84" s="16" t="str">
        <f t="shared" si="4"/>
        <v>#DIV/0!</v>
      </c>
      <c r="G84" s="5"/>
      <c r="H84" s="5" t="s">
        <v>16</v>
      </c>
      <c r="I84" s="5" t="s">
        <v>16</v>
      </c>
      <c r="J84" s="40"/>
      <c r="K84" s="37"/>
      <c r="L84" s="37"/>
      <c r="M84" s="37"/>
      <c r="N84" s="55"/>
    </row>
    <row r="85" ht="15.75" customHeight="1">
      <c r="E85" s="21" t="s">
        <v>61</v>
      </c>
      <c r="F85" s="21" t="str">
        <f>average(F69:F84)</f>
        <v>#DIV/0!</v>
      </c>
      <c r="J85" s="3"/>
    </row>
    <row r="86" ht="15.75" customHeight="1">
      <c r="J86" s="3"/>
    </row>
    <row r="87" ht="15.75" customHeight="1">
      <c r="B87" s="24" t="s">
        <v>330</v>
      </c>
      <c r="C87" s="2"/>
      <c r="D87" s="2"/>
      <c r="E87" s="2"/>
      <c r="F87" s="2"/>
      <c r="G87" s="2"/>
      <c r="H87" s="2"/>
      <c r="I87" s="4"/>
      <c r="J87" s="3"/>
    </row>
    <row r="88" ht="15.75" customHeight="1">
      <c r="B88" s="5" t="s">
        <v>1</v>
      </c>
      <c r="C88" s="5" t="s">
        <v>3</v>
      </c>
      <c r="D88" s="5" t="s">
        <v>4</v>
      </c>
      <c r="E88" s="5" t="s">
        <v>5</v>
      </c>
      <c r="F88" s="6" t="s">
        <v>6</v>
      </c>
      <c r="G88" s="6" t="s">
        <v>333</v>
      </c>
      <c r="H88" s="6" t="s">
        <v>7</v>
      </c>
      <c r="I88" s="6" t="s">
        <v>8</v>
      </c>
      <c r="J88" s="29" t="s">
        <v>135</v>
      </c>
      <c r="K88" s="12" t="s">
        <v>136</v>
      </c>
    </row>
    <row r="89" ht="15.75" customHeight="1">
      <c r="B89" s="5" t="s">
        <v>69</v>
      </c>
      <c r="C89" s="12" t="s">
        <v>335</v>
      </c>
      <c r="D89" s="11">
        <v>3.0E7</v>
      </c>
      <c r="E89" s="11">
        <v>2.0E7</v>
      </c>
      <c r="F89" s="16">
        <f t="shared" ref="F89:F98" si="5">+E89/D89</f>
        <v>0.6666666667</v>
      </c>
      <c r="G89" s="32">
        <f>(D89-'Budgets 2526'!D89)/'Budgets 2526'!D89</f>
        <v>0.3824884793</v>
      </c>
      <c r="H89" s="5" t="s">
        <v>16</v>
      </c>
      <c r="I89" s="5" t="s">
        <v>16</v>
      </c>
      <c r="J89" s="33" t="s">
        <v>341</v>
      </c>
      <c r="K89" s="38" t="s">
        <v>348</v>
      </c>
    </row>
    <row r="90" ht="15.75" customHeight="1">
      <c r="B90" s="5" t="s">
        <v>69</v>
      </c>
      <c r="C90" s="12" t="s">
        <v>351</v>
      </c>
      <c r="D90" s="9">
        <v>1.0535E7</v>
      </c>
      <c r="E90" s="9">
        <v>5320000.0</v>
      </c>
      <c r="F90" s="16">
        <f t="shared" si="5"/>
        <v>0.5049833887</v>
      </c>
      <c r="G90" s="32">
        <f>(D90-'Budgets 2526'!D90)/'Budgets 2526'!D90</f>
        <v>0.5415569213</v>
      </c>
      <c r="H90" s="5" t="s">
        <v>16</v>
      </c>
      <c r="I90" s="5" t="s">
        <v>16</v>
      </c>
      <c r="J90" s="33" t="s">
        <v>341</v>
      </c>
      <c r="K90" s="38" t="s">
        <v>348</v>
      </c>
    </row>
    <row r="91" ht="15.75" customHeight="1">
      <c r="B91" s="5" t="s">
        <v>69</v>
      </c>
      <c r="C91" s="12" t="s">
        <v>142</v>
      </c>
      <c r="D91" s="9">
        <v>3300000.0</v>
      </c>
      <c r="E91" s="11">
        <v>1900000.0</v>
      </c>
      <c r="F91" s="16">
        <f t="shared" si="5"/>
        <v>0.5757575758</v>
      </c>
      <c r="G91" s="32">
        <f>(D91-'Budgets 2526'!D91)/'Budgets 2526'!D91</f>
        <v>0.1785714286</v>
      </c>
      <c r="H91" s="5" t="s">
        <v>16</v>
      </c>
      <c r="I91" s="5" t="s">
        <v>16</v>
      </c>
      <c r="J91" s="33" t="s">
        <v>341</v>
      </c>
      <c r="K91" s="38" t="s">
        <v>348</v>
      </c>
    </row>
    <row r="92" ht="15.75" customHeight="1">
      <c r="B92" s="5" t="s">
        <v>69</v>
      </c>
      <c r="C92" s="12" t="s">
        <v>123</v>
      </c>
      <c r="D92" s="9">
        <v>2300000.0</v>
      </c>
      <c r="E92" s="11">
        <v>1200000.0</v>
      </c>
      <c r="F92" s="16">
        <f t="shared" si="5"/>
        <v>0.5217391304</v>
      </c>
      <c r="G92" s="32">
        <f>(D92-'Budgets 2526'!D92)/'Budgets 2526'!D92</f>
        <v>0.15</v>
      </c>
      <c r="H92" s="5" t="s">
        <v>16</v>
      </c>
      <c r="I92" s="5" t="s">
        <v>16</v>
      </c>
      <c r="J92" s="33" t="s">
        <v>341</v>
      </c>
      <c r="K92" s="38" t="s">
        <v>348</v>
      </c>
    </row>
    <row r="93" ht="15.75" customHeight="1">
      <c r="B93" s="5" t="s">
        <v>69</v>
      </c>
      <c r="C93" s="12" t="s">
        <v>131</v>
      </c>
      <c r="D93" s="13">
        <v>2600000.0</v>
      </c>
      <c r="E93" s="25">
        <v>1200000.0</v>
      </c>
      <c r="F93" s="16">
        <f t="shared" si="5"/>
        <v>0.4615384615</v>
      </c>
      <c r="G93" s="32">
        <f>(D93-'Budgets 2526'!D93)/'Budgets 2526'!D93</f>
        <v>0</v>
      </c>
      <c r="H93" s="5" t="s">
        <v>16</v>
      </c>
      <c r="I93" s="5" t="s">
        <v>16</v>
      </c>
      <c r="J93" s="33" t="s">
        <v>341</v>
      </c>
      <c r="K93" s="38" t="s">
        <v>348</v>
      </c>
    </row>
    <row r="94" ht="15.75" customHeight="1">
      <c r="B94" s="5" t="s">
        <v>69</v>
      </c>
      <c r="C94" s="12" t="s">
        <v>99</v>
      </c>
      <c r="D94" s="13">
        <v>1000000.0</v>
      </c>
      <c r="E94" s="11">
        <v>650000.0</v>
      </c>
      <c r="F94" s="16">
        <f t="shared" si="5"/>
        <v>0.65</v>
      </c>
      <c r="G94" s="32">
        <f>(D94-'Budgets 2526'!D94)/'Budgets 2526'!D94</f>
        <v>0</v>
      </c>
      <c r="H94" s="5" t="s">
        <v>16</v>
      </c>
      <c r="I94" s="5" t="s">
        <v>16</v>
      </c>
      <c r="J94" s="33" t="s">
        <v>341</v>
      </c>
      <c r="K94" s="38" t="s">
        <v>348</v>
      </c>
    </row>
    <row r="95" ht="15.75" customHeight="1">
      <c r="B95" s="5" t="s">
        <v>69</v>
      </c>
      <c r="C95" s="12" t="s">
        <v>106</v>
      </c>
      <c r="D95" s="9">
        <v>2200000.0</v>
      </c>
      <c r="E95" s="11">
        <v>1300000.0</v>
      </c>
      <c r="F95" s="16">
        <f t="shared" si="5"/>
        <v>0.5909090909</v>
      </c>
      <c r="G95" s="32">
        <f>(D95-'Budgets 2526'!D95)/'Budgets 2526'!D95</f>
        <v>0.375</v>
      </c>
      <c r="H95" s="5" t="s">
        <v>16</v>
      </c>
      <c r="I95" s="5" t="s">
        <v>16</v>
      </c>
      <c r="J95" s="33" t="s">
        <v>341</v>
      </c>
      <c r="K95" s="38" t="s">
        <v>348</v>
      </c>
    </row>
    <row r="96" ht="15.75" customHeight="1">
      <c r="B96" s="5" t="s">
        <v>69</v>
      </c>
      <c r="C96" s="12" t="s">
        <v>94</v>
      </c>
      <c r="D96" s="9">
        <v>1000000.0</v>
      </c>
      <c r="E96" s="11">
        <v>580000.0</v>
      </c>
      <c r="F96" s="16">
        <f t="shared" si="5"/>
        <v>0.58</v>
      </c>
      <c r="G96" s="32">
        <f>(D96-'Budgets 2526'!D96)/'Budgets 2526'!D96</f>
        <v>-0.1189427313</v>
      </c>
      <c r="H96" s="5" t="s">
        <v>16</v>
      </c>
      <c r="I96" s="5" t="s">
        <v>16</v>
      </c>
      <c r="J96" s="33" t="s">
        <v>341</v>
      </c>
      <c r="K96" s="38" t="s">
        <v>348</v>
      </c>
    </row>
    <row r="97" ht="15.75" customHeight="1">
      <c r="B97" s="5" t="s">
        <v>69</v>
      </c>
      <c r="C97" s="12" t="s">
        <v>70</v>
      </c>
      <c r="D97" s="13">
        <v>1000000.0</v>
      </c>
      <c r="E97" s="11">
        <v>580000.0</v>
      </c>
      <c r="F97" s="16">
        <f t="shared" si="5"/>
        <v>0.58</v>
      </c>
      <c r="G97" s="32">
        <f>(D97-'Budgets 2526'!D97)/'Budgets 2526'!D97</f>
        <v>0</v>
      </c>
      <c r="H97" s="5" t="s">
        <v>16</v>
      </c>
      <c r="I97" s="5" t="s">
        <v>16</v>
      </c>
      <c r="J97" s="33" t="s">
        <v>341</v>
      </c>
      <c r="K97" s="38" t="s">
        <v>348</v>
      </c>
    </row>
    <row r="98" ht="15.75" customHeight="1">
      <c r="B98" s="5" t="s">
        <v>69</v>
      </c>
      <c r="C98" s="5" t="s">
        <v>381</v>
      </c>
      <c r="D98" s="9">
        <v>1200000.0</v>
      </c>
      <c r="E98" s="11">
        <v>750000.0</v>
      </c>
      <c r="F98" s="16">
        <f t="shared" si="5"/>
        <v>0.625</v>
      </c>
      <c r="G98" s="32" t="str">
        <f>(D98-'Budgets 2526'!D98)/'Budgets 2526'!D98</f>
        <v>#DIV/0!</v>
      </c>
      <c r="H98" s="5" t="s">
        <v>16</v>
      </c>
      <c r="I98" s="5" t="s">
        <v>16</v>
      </c>
      <c r="J98" s="33" t="s">
        <v>341</v>
      </c>
      <c r="K98" s="38" t="s">
        <v>348</v>
      </c>
    </row>
    <row r="99" ht="15.75" customHeight="1">
      <c r="E99" s="21" t="s">
        <v>61</v>
      </c>
      <c r="F99" s="52">
        <f>average(F89:F97)</f>
        <v>0.570177146</v>
      </c>
      <c r="J99" s="3"/>
    </row>
    <row r="100" ht="15.75" customHeight="1">
      <c r="J100" s="3"/>
    </row>
    <row r="101" ht="15.75" customHeight="1">
      <c r="B101" s="24" t="s">
        <v>388</v>
      </c>
      <c r="C101" s="2"/>
      <c r="D101" s="2"/>
      <c r="E101" s="2"/>
      <c r="F101" s="2"/>
      <c r="G101" s="2"/>
      <c r="H101" s="2"/>
      <c r="I101" s="4"/>
      <c r="J101" s="8"/>
      <c r="K101" s="8"/>
    </row>
    <row r="102" ht="15.75" customHeight="1">
      <c r="B102" s="5" t="s">
        <v>1</v>
      </c>
      <c r="C102" s="5" t="s">
        <v>3</v>
      </c>
      <c r="D102" s="5" t="s">
        <v>4</v>
      </c>
      <c r="E102" s="5" t="s">
        <v>5</v>
      </c>
      <c r="F102" s="6" t="s">
        <v>6</v>
      </c>
      <c r="G102" s="6" t="s">
        <v>12</v>
      </c>
      <c r="H102" s="6" t="s">
        <v>7</v>
      </c>
      <c r="I102" s="6" t="s">
        <v>8</v>
      </c>
      <c r="J102" s="29" t="s">
        <v>135</v>
      </c>
      <c r="K102" s="8"/>
    </row>
    <row r="103" ht="15.75" customHeight="1">
      <c r="B103" s="5" t="s">
        <v>114</v>
      </c>
      <c r="C103" s="7" t="s">
        <v>389</v>
      </c>
      <c r="D103" s="9"/>
      <c r="E103" s="9"/>
      <c r="F103" s="16" t="str">
        <f t="shared" ref="F103:F115" si="6">+E103/D103</f>
        <v>#DIV/0!</v>
      </c>
      <c r="G103" s="32">
        <f>(D103-'Budgets 2526'!D102)/'Budgets 2526'!D102</f>
        <v>-1</v>
      </c>
      <c r="H103" s="5" t="s">
        <v>16</v>
      </c>
      <c r="I103" s="5" t="s">
        <v>16</v>
      </c>
      <c r="J103" s="62"/>
      <c r="K103" s="63"/>
      <c r="L103" s="64"/>
      <c r="M103" s="65"/>
    </row>
    <row r="104" ht="15.75" customHeight="1">
      <c r="B104" s="5" t="s">
        <v>114</v>
      </c>
      <c r="C104" s="7" t="s">
        <v>396</v>
      </c>
      <c r="D104" s="9">
        <v>6.0E7</v>
      </c>
      <c r="E104" s="9">
        <v>5.35E7</v>
      </c>
      <c r="F104" s="16">
        <f t="shared" si="6"/>
        <v>0.8916666667</v>
      </c>
      <c r="G104" s="32">
        <f>(D104-'Budgets 2526'!D103)/'Budgets 2526'!D103</f>
        <v>0.09090909091</v>
      </c>
      <c r="H104" s="5" t="s">
        <v>16</v>
      </c>
      <c r="I104" s="5" t="s">
        <v>16</v>
      </c>
      <c r="J104" s="66" t="s">
        <v>399</v>
      </c>
      <c r="K104" s="63"/>
      <c r="L104" s="64"/>
      <c r="M104" s="64"/>
    </row>
    <row r="105" ht="15.75" customHeight="1">
      <c r="B105" s="5" t="s">
        <v>114</v>
      </c>
      <c r="C105" s="7" t="s">
        <v>377</v>
      </c>
      <c r="D105" s="11"/>
      <c r="E105" s="9"/>
      <c r="F105" s="16" t="str">
        <f t="shared" si="6"/>
        <v>#DIV/0!</v>
      </c>
      <c r="G105" s="32">
        <f>(D105-'Budgets 2526'!D104)/'Budgets 2526'!D104</f>
        <v>-1</v>
      </c>
      <c r="H105" s="5" t="s">
        <v>16</v>
      </c>
      <c r="I105" s="5" t="s">
        <v>16</v>
      </c>
      <c r="J105" s="67"/>
      <c r="K105" s="63"/>
      <c r="L105" s="65"/>
      <c r="M105" s="65"/>
    </row>
    <row r="106" ht="15.75" customHeight="1">
      <c r="B106" s="5" t="s">
        <v>114</v>
      </c>
      <c r="C106" s="7" t="s">
        <v>370</v>
      </c>
      <c r="D106" s="11"/>
      <c r="E106" s="9"/>
      <c r="F106" s="16" t="str">
        <f t="shared" si="6"/>
        <v>#DIV/0!</v>
      </c>
      <c r="G106" s="32">
        <f>(D106-'Budgets 2526'!D105)/'Budgets 2526'!D105</f>
        <v>-1</v>
      </c>
      <c r="H106" s="5" t="s">
        <v>16</v>
      </c>
      <c r="I106" s="5" t="s">
        <v>16</v>
      </c>
      <c r="J106" s="67"/>
      <c r="K106" s="68"/>
      <c r="L106" s="64"/>
      <c r="M106" s="65"/>
    </row>
    <row r="107" ht="15.75" customHeight="1">
      <c r="B107" s="5" t="s">
        <v>114</v>
      </c>
      <c r="C107" s="7" t="s">
        <v>380</v>
      </c>
      <c r="D107" s="11"/>
      <c r="E107" s="9"/>
      <c r="F107" s="16" t="str">
        <f t="shared" si="6"/>
        <v>#DIV/0!</v>
      </c>
      <c r="G107" s="32">
        <f>(D107-'Budgets 2526'!D106)/'Budgets 2526'!D106</f>
        <v>-1</v>
      </c>
      <c r="H107" s="5" t="s">
        <v>16</v>
      </c>
      <c r="I107" s="5" t="s">
        <v>16</v>
      </c>
      <c r="J107" s="67"/>
      <c r="K107" s="63"/>
      <c r="L107" s="69"/>
      <c r="M107" s="65"/>
    </row>
    <row r="108" ht="15.75" customHeight="1">
      <c r="B108" s="5" t="s">
        <v>114</v>
      </c>
      <c r="C108" s="7" t="s">
        <v>157</v>
      </c>
      <c r="D108" s="11"/>
      <c r="E108" s="9"/>
      <c r="F108" s="16" t="str">
        <f t="shared" si="6"/>
        <v>#DIV/0!</v>
      </c>
      <c r="G108" s="32">
        <f>(D108-'Budgets 2526'!D107)/'Budgets 2526'!D107</f>
        <v>-1</v>
      </c>
      <c r="H108" s="5" t="s">
        <v>16</v>
      </c>
      <c r="I108" s="5" t="s">
        <v>16</v>
      </c>
      <c r="J108" s="67"/>
      <c r="K108" s="63"/>
      <c r="L108" s="64"/>
      <c r="M108" s="65"/>
    </row>
    <row r="109" ht="15.75" customHeight="1">
      <c r="B109" s="5" t="s">
        <v>114</v>
      </c>
      <c r="C109" s="7" t="s">
        <v>162</v>
      </c>
      <c r="D109" s="11"/>
      <c r="E109" s="9"/>
      <c r="F109" s="16" t="str">
        <f t="shared" si="6"/>
        <v>#DIV/0!</v>
      </c>
      <c r="G109" s="32">
        <f>(D109-'Budgets 2526'!D108)/'Budgets 2526'!D108</f>
        <v>-1</v>
      </c>
      <c r="H109" s="5" t="s">
        <v>16</v>
      </c>
      <c r="I109" s="5" t="s">
        <v>16</v>
      </c>
      <c r="J109" s="67"/>
      <c r="K109" s="63"/>
      <c r="L109" s="65"/>
      <c r="M109" s="65"/>
    </row>
    <row r="110" ht="15.75" customHeight="1">
      <c r="B110" s="5" t="s">
        <v>114</v>
      </c>
      <c r="C110" s="7" t="s">
        <v>198</v>
      </c>
      <c r="D110" s="11"/>
      <c r="E110" s="9"/>
      <c r="F110" s="16" t="str">
        <f t="shared" si="6"/>
        <v>#DIV/0!</v>
      </c>
      <c r="G110" s="32">
        <f>(D110-'Budgets 2526'!D109)/'Budgets 2526'!D109</f>
        <v>-1</v>
      </c>
      <c r="H110" s="5" t="s">
        <v>16</v>
      </c>
      <c r="I110" s="5" t="s">
        <v>16</v>
      </c>
      <c r="J110" s="67"/>
      <c r="K110" s="63"/>
      <c r="L110" s="65"/>
      <c r="M110" s="65"/>
    </row>
    <row r="111" ht="15.75" customHeight="1">
      <c r="B111" s="5" t="s">
        <v>114</v>
      </c>
      <c r="C111" s="7" t="s">
        <v>168</v>
      </c>
      <c r="D111" s="11"/>
      <c r="E111" s="9"/>
      <c r="F111" s="16" t="str">
        <f t="shared" si="6"/>
        <v>#DIV/0!</v>
      </c>
      <c r="G111" s="32">
        <f>(D111-'Budgets 2526'!D110)/'Budgets 2526'!D110</f>
        <v>-1</v>
      </c>
      <c r="H111" s="5" t="s">
        <v>16</v>
      </c>
      <c r="I111" s="5" t="s">
        <v>16</v>
      </c>
      <c r="J111" s="67"/>
      <c r="K111" s="63"/>
      <c r="L111" s="65"/>
      <c r="M111" s="65"/>
    </row>
    <row r="112" ht="15.75" customHeight="1">
      <c r="B112" s="5" t="s">
        <v>114</v>
      </c>
      <c r="C112" s="7" t="s">
        <v>214</v>
      </c>
      <c r="D112" s="11"/>
      <c r="E112" s="9"/>
      <c r="F112" s="16" t="str">
        <f t="shared" si="6"/>
        <v>#DIV/0!</v>
      </c>
      <c r="G112" s="32">
        <f>(D112-'Budgets 2526'!D111)/'Budgets 2526'!D111</f>
        <v>-1</v>
      </c>
      <c r="H112" s="5" t="s">
        <v>16</v>
      </c>
      <c r="I112" s="5" t="s">
        <v>16</v>
      </c>
      <c r="J112" s="67"/>
      <c r="K112" s="63"/>
      <c r="L112" s="64"/>
      <c r="M112" s="64"/>
    </row>
    <row r="113" ht="15.75" customHeight="1">
      <c r="B113" s="5" t="s">
        <v>114</v>
      </c>
      <c r="C113" s="7" t="s">
        <v>115</v>
      </c>
      <c r="D113" s="11"/>
      <c r="E113" s="9"/>
      <c r="F113" s="16" t="str">
        <f t="shared" si="6"/>
        <v>#DIV/0!</v>
      </c>
      <c r="G113" s="32">
        <f>(D113-'Budgets 2526'!D112)/'Budgets 2526'!D112</f>
        <v>-1</v>
      </c>
      <c r="H113" s="5" t="s">
        <v>16</v>
      </c>
      <c r="I113" s="5" t="s">
        <v>16</v>
      </c>
      <c r="J113" s="67"/>
      <c r="K113" s="63"/>
      <c r="L113" s="65"/>
      <c r="M113" s="65"/>
    </row>
    <row r="114" ht="15.75" customHeight="1">
      <c r="B114" s="5" t="s">
        <v>114</v>
      </c>
      <c r="C114" s="7" t="s">
        <v>279</v>
      </c>
      <c r="D114" s="11"/>
      <c r="E114" s="9"/>
      <c r="F114" s="16" t="str">
        <f t="shared" si="6"/>
        <v>#DIV/0!</v>
      </c>
      <c r="G114" s="32">
        <f>(D114-'Budgets 2526'!D113)/'Budgets 2526'!D113</f>
        <v>-1</v>
      </c>
      <c r="H114" s="5" t="s">
        <v>16</v>
      </c>
      <c r="I114" s="5" t="s">
        <v>16</v>
      </c>
      <c r="J114" s="67"/>
      <c r="K114" s="63"/>
      <c r="L114" s="65"/>
      <c r="M114" s="65"/>
    </row>
    <row r="115" ht="15.75" customHeight="1">
      <c r="B115" s="5" t="s">
        <v>114</v>
      </c>
      <c r="C115" s="7" t="s">
        <v>322</v>
      </c>
      <c r="D115" s="11"/>
      <c r="E115" s="9"/>
      <c r="F115" s="16" t="str">
        <f t="shared" si="6"/>
        <v>#DIV/0!</v>
      </c>
      <c r="G115" s="32">
        <f>(D115-'Budgets 2526'!D114)/'Budgets 2526'!D114</f>
        <v>-1</v>
      </c>
      <c r="H115" s="5" t="s">
        <v>16</v>
      </c>
      <c r="I115" s="5" t="s">
        <v>16</v>
      </c>
      <c r="J115" s="70"/>
      <c r="K115" s="68"/>
      <c r="L115" s="64"/>
      <c r="M115" s="65"/>
    </row>
    <row r="116" ht="15.75" customHeight="1">
      <c r="E116" s="21" t="s">
        <v>61</v>
      </c>
      <c r="F116" s="21" t="str">
        <f>average(F103:F115)</f>
        <v>#DIV/0!</v>
      </c>
      <c r="J116" s="3"/>
    </row>
    <row r="117" ht="15.75" customHeight="1">
      <c r="J117" s="3"/>
    </row>
    <row r="118" ht="15.75" customHeight="1">
      <c r="B118" s="24" t="s">
        <v>440</v>
      </c>
      <c r="C118" s="2"/>
      <c r="D118" s="2"/>
      <c r="E118" s="2"/>
      <c r="F118" s="2"/>
      <c r="G118" s="2"/>
      <c r="H118" s="2"/>
      <c r="I118" s="4"/>
      <c r="J118" s="3"/>
    </row>
    <row r="119" ht="15.75" customHeight="1">
      <c r="B119" s="5" t="s">
        <v>1</v>
      </c>
      <c r="C119" s="5" t="s">
        <v>3</v>
      </c>
      <c r="D119" s="5" t="s">
        <v>4</v>
      </c>
      <c r="E119" s="5" t="s">
        <v>5</v>
      </c>
      <c r="F119" s="6" t="s">
        <v>6</v>
      </c>
      <c r="G119" s="6" t="s">
        <v>12</v>
      </c>
      <c r="H119" s="6" t="s">
        <v>7</v>
      </c>
      <c r="I119" s="6" t="s">
        <v>8</v>
      </c>
      <c r="J119" s="29" t="s">
        <v>135</v>
      </c>
      <c r="K119" s="12" t="s">
        <v>136</v>
      </c>
      <c r="L119" s="5" t="s">
        <v>137</v>
      </c>
    </row>
    <row r="120" ht="15.75" customHeight="1">
      <c r="B120" s="5" t="s">
        <v>195</v>
      </c>
      <c r="C120" s="5" t="s">
        <v>432</v>
      </c>
      <c r="D120" s="9">
        <v>4.5E7</v>
      </c>
      <c r="E120" s="11">
        <v>2.5E7</v>
      </c>
      <c r="F120" s="16">
        <f t="shared" ref="F120:F135" si="7">+E120/D120</f>
        <v>0.5555555556</v>
      </c>
      <c r="G120" s="32">
        <f>(D120-'Budgets 2526'!D119)/'Budgets 2526'!D119</f>
        <v>0.25</v>
      </c>
      <c r="H120" s="5" t="s">
        <v>16</v>
      </c>
      <c r="I120" s="5" t="s">
        <v>16</v>
      </c>
      <c r="J120" s="71" t="s">
        <v>443</v>
      </c>
      <c r="K120" s="72" t="s">
        <v>447</v>
      </c>
      <c r="L120" s="72" t="s">
        <v>449</v>
      </c>
    </row>
    <row r="121" ht="15.75" customHeight="1">
      <c r="B121" s="5" t="s">
        <v>195</v>
      </c>
      <c r="C121" s="5" t="s">
        <v>408</v>
      </c>
      <c r="D121" s="9">
        <v>2.5E7</v>
      </c>
      <c r="E121" s="9">
        <v>1.75E7</v>
      </c>
      <c r="F121" s="16">
        <f t="shared" si="7"/>
        <v>0.7</v>
      </c>
      <c r="G121" s="32">
        <f>(D121-'Budgets 2526'!D120)/'Budgets 2526'!D120</f>
        <v>1.173913043</v>
      </c>
      <c r="H121" s="5" t="s">
        <v>16</v>
      </c>
      <c r="I121" s="5" t="s">
        <v>16</v>
      </c>
      <c r="J121" s="71" t="s">
        <v>452</v>
      </c>
      <c r="K121" s="73" t="s">
        <v>454</v>
      </c>
      <c r="L121" s="73"/>
    </row>
    <row r="122" ht="15.75" customHeight="1">
      <c r="B122" s="5" t="s">
        <v>195</v>
      </c>
      <c r="C122" s="5" t="s">
        <v>412</v>
      </c>
      <c r="D122" s="11"/>
      <c r="E122" s="11"/>
      <c r="F122" s="16" t="str">
        <f t="shared" si="7"/>
        <v>#DIV/0!</v>
      </c>
      <c r="G122" s="32">
        <f>(D122-'Budgets 2526'!D121)/'Budgets 2526'!D121</f>
        <v>-1</v>
      </c>
      <c r="H122" s="5" t="s">
        <v>16</v>
      </c>
      <c r="I122" s="5" t="s">
        <v>16</v>
      </c>
      <c r="J122" s="74"/>
      <c r="K122" s="75"/>
      <c r="L122" s="75"/>
    </row>
    <row r="123" ht="15.75" customHeight="1">
      <c r="B123" s="5" t="s">
        <v>195</v>
      </c>
      <c r="C123" s="5" t="s">
        <v>434</v>
      </c>
      <c r="D123" s="9"/>
      <c r="E123" s="9"/>
      <c r="F123" s="16" t="str">
        <f t="shared" si="7"/>
        <v>#DIV/0!</v>
      </c>
      <c r="G123" s="32">
        <f>(D123-'Budgets 2526'!D122)/'Budgets 2526'!D122</f>
        <v>-1</v>
      </c>
      <c r="H123" s="5" t="s">
        <v>16</v>
      </c>
      <c r="I123" s="5" t="s">
        <v>16</v>
      </c>
      <c r="J123" s="71"/>
      <c r="K123" s="34"/>
      <c r="L123" s="34"/>
    </row>
    <row r="124" ht="15.75" customHeight="1">
      <c r="B124" s="5" t="s">
        <v>195</v>
      </c>
      <c r="C124" s="5" t="s">
        <v>405</v>
      </c>
      <c r="D124" s="20"/>
      <c r="E124" s="20"/>
      <c r="F124" s="16" t="str">
        <f t="shared" si="7"/>
        <v>#DIV/0!</v>
      </c>
      <c r="G124" s="32">
        <f>(D124-'Budgets 2526'!D123)/'Budgets 2526'!D123</f>
        <v>-1</v>
      </c>
      <c r="H124" s="5" t="s">
        <v>16</v>
      </c>
      <c r="I124" s="5" t="s">
        <v>16</v>
      </c>
      <c r="J124" s="76"/>
      <c r="K124" s="75"/>
      <c r="L124" s="75"/>
    </row>
    <row r="125" ht="15.75" customHeight="1">
      <c r="B125" s="5" t="s">
        <v>195</v>
      </c>
      <c r="C125" s="5" t="s">
        <v>364</v>
      </c>
      <c r="D125" s="9"/>
      <c r="E125" s="11"/>
      <c r="F125" s="16" t="str">
        <f t="shared" si="7"/>
        <v>#DIV/0!</v>
      </c>
      <c r="G125" s="32">
        <f>(D125-'Budgets 2526'!D124)/'Budgets 2526'!D124</f>
        <v>-1</v>
      </c>
      <c r="H125" s="5" t="s">
        <v>16</v>
      </c>
      <c r="I125" s="5" t="s">
        <v>16</v>
      </c>
      <c r="J125" s="71"/>
      <c r="K125" s="56"/>
      <c r="L125" s="56"/>
    </row>
    <row r="126" ht="15.75" customHeight="1">
      <c r="B126" s="5" t="s">
        <v>195</v>
      </c>
      <c r="C126" s="5" t="s">
        <v>402</v>
      </c>
      <c r="D126" s="9"/>
      <c r="E126" s="9"/>
      <c r="F126" s="16" t="str">
        <f t="shared" si="7"/>
        <v>#DIV/0!</v>
      </c>
      <c r="G126" s="32">
        <f>(D126-'Budgets 2526'!D125)/'Budgets 2526'!D125</f>
        <v>-1</v>
      </c>
      <c r="H126" s="5" t="s">
        <v>16</v>
      </c>
      <c r="I126" s="5" t="s">
        <v>16</v>
      </c>
      <c r="J126" s="71"/>
      <c r="K126" s="72"/>
      <c r="L126" s="72"/>
    </row>
    <row r="127" ht="15.75" customHeight="1">
      <c r="B127" s="5" t="s">
        <v>195</v>
      </c>
      <c r="C127" s="5" t="s">
        <v>336</v>
      </c>
      <c r="D127" s="11"/>
      <c r="E127" s="11"/>
      <c r="F127" s="16" t="str">
        <f t="shared" si="7"/>
        <v>#DIV/0!</v>
      </c>
      <c r="G127" s="32">
        <f>(D127-'Budgets 2526'!D126)/'Budgets 2526'!D126</f>
        <v>-1</v>
      </c>
      <c r="H127" s="5" t="s">
        <v>16</v>
      </c>
      <c r="I127" s="5" t="s">
        <v>16</v>
      </c>
      <c r="J127" s="76"/>
      <c r="K127" s="75"/>
      <c r="L127" s="75"/>
    </row>
    <row r="128" ht="15.75" customHeight="1">
      <c r="B128" s="5" t="s">
        <v>195</v>
      </c>
      <c r="C128" s="5" t="s">
        <v>461</v>
      </c>
      <c r="D128" s="20"/>
      <c r="E128" s="20"/>
      <c r="F128" s="16" t="str">
        <f t="shared" si="7"/>
        <v>#DIV/0!</v>
      </c>
      <c r="G128" s="32">
        <f>(D128-'Budgets 2526'!D127)/'Budgets 2526'!D127</f>
        <v>-1</v>
      </c>
      <c r="H128" s="5" t="s">
        <v>16</v>
      </c>
      <c r="I128" s="5" t="s">
        <v>16</v>
      </c>
      <c r="J128" s="74"/>
      <c r="K128" s="75"/>
      <c r="L128" s="75"/>
    </row>
    <row r="129" ht="15.75" customHeight="1">
      <c r="B129" s="5" t="s">
        <v>195</v>
      </c>
      <c r="C129" s="5" t="s">
        <v>394</v>
      </c>
      <c r="D129" s="11"/>
      <c r="E129" s="11"/>
      <c r="F129" s="16" t="str">
        <f t="shared" si="7"/>
        <v>#DIV/0!</v>
      </c>
      <c r="G129" s="32">
        <f>(D129-'Budgets 2526'!D128)/'Budgets 2526'!D128</f>
        <v>-1</v>
      </c>
      <c r="H129" s="5" t="s">
        <v>16</v>
      </c>
      <c r="I129" s="5" t="s">
        <v>16</v>
      </c>
      <c r="J129" s="76"/>
      <c r="K129" s="75"/>
      <c r="L129" s="75"/>
    </row>
    <row r="130" ht="15.75" customHeight="1">
      <c r="B130" s="5" t="s">
        <v>195</v>
      </c>
      <c r="C130" s="5" t="s">
        <v>463</v>
      </c>
      <c r="D130" s="20"/>
      <c r="E130" s="20"/>
      <c r="F130" s="16" t="str">
        <f t="shared" si="7"/>
        <v>#DIV/0!</v>
      </c>
      <c r="G130" s="32">
        <f>(D130-'Budgets 2526'!D129)/'Budgets 2526'!D129</f>
        <v>-1</v>
      </c>
      <c r="H130" s="5" t="s">
        <v>16</v>
      </c>
      <c r="I130" s="5" t="s">
        <v>16</v>
      </c>
      <c r="J130" s="74"/>
      <c r="K130" s="78"/>
      <c r="L130" s="78"/>
    </row>
    <row r="131" ht="15.75" customHeight="1">
      <c r="B131" s="5" t="s">
        <v>195</v>
      </c>
      <c r="C131" s="5" t="s">
        <v>254</v>
      </c>
      <c r="D131" s="20"/>
      <c r="E131" s="20"/>
      <c r="F131" s="16" t="str">
        <f t="shared" si="7"/>
        <v>#DIV/0!</v>
      </c>
      <c r="G131" s="32">
        <f>(D131-'Budgets 2526'!D130)/'Budgets 2526'!D130</f>
        <v>-1</v>
      </c>
      <c r="H131" s="5" t="s">
        <v>16</v>
      </c>
      <c r="I131" s="5" t="s">
        <v>16</v>
      </c>
      <c r="J131" s="76"/>
      <c r="K131" s="75"/>
      <c r="L131" s="75"/>
    </row>
    <row r="132" ht="15.75" customHeight="1">
      <c r="B132" s="5" t="s">
        <v>195</v>
      </c>
      <c r="C132" s="5" t="s">
        <v>332</v>
      </c>
      <c r="D132" s="11"/>
      <c r="E132" s="11"/>
      <c r="F132" s="16" t="str">
        <f t="shared" si="7"/>
        <v>#DIV/0!</v>
      </c>
      <c r="G132" s="32">
        <f>(D132-'Budgets 2526'!D131)/'Budgets 2526'!D131</f>
        <v>-1</v>
      </c>
      <c r="H132" s="5" t="s">
        <v>16</v>
      </c>
      <c r="I132" s="5" t="s">
        <v>16</v>
      </c>
      <c r="J132" s="76"/>
      <c r="K132" s="75"/>
      <c r="L132" s="75"/>
    </row>
    <row r="133" ht="15.75" customHeight="1">
      <c r="B133" s="5" t="s">
        <v>195</v>
      </c>
      <c r="C133" s="5" t="s">
        <v>466</v>
      </c>
      <c r="D133" s="11"/>
      <c r="E133" s="11"/>
      <c r="F133" s="16" t="str">
        <f t="shared" si="7"/>
        <v>#DIV/0!</v>
      </c>
      <c r="G133" s="32">
        <f>(D133-'Budgets 2526'!D132)/'Budgets 2526'!D132</f>
        <v>-1</v>
      </c>
      <c r="H133" s="5" t="s">
        <v>16</v>
      </c>
      <c r="I133" s="5" t="s">
        <v>16</v>
      </c>
      <c r="J133" s="74"/>
      <c r="K133" s="75"/>
      <c r="L133" s="75"/>
    </row>
    <row r="134" ht="15.75" customHeight="1">
      <c r="B134" s="5" t="s">
        <v>195</v>
      </c>
      <c r="C134" s="5" t="s">
        <v>386</v>
      </c>
      <c r="D134" s="11"/>
      <c r="E134" s="11"/>
      <c r="F134" s="16" t="str">
        <f t="shared" si="7"/>
        <v>#DIV/0!</v>
      </c>
      <c r="G134" s="32">
        <f>(D134-'Budgets 2526'!D133)/'Budgets 2526'!D133</f>
        <v>-1</v>
      </c>
      <c r="H134" s="5" t="s">
        <v>16</v>
      </c>
      <c r="I134" s="5" t="s">
        <v>16</v>
      </c>
      <c r="J134" s="76"/>
      <c r="K134" s="75"/>
      <c r="L134" s="75"/>
    </row>
    <row r="135" ht="15.75" customHeight="1">
      <c r="B135" s="5" t="s">
        <v>195</v>
      </c>
      <c r="C135" s="5" t="s">
        <v>197</v>
      </c>
      <c r="D135" s="11"/>
      <c r="E135" s="11"/>
      <c r="F135" s="16" t="str">
        <f t="shared" si="7"/>
        <v>#DIV/0!</v>
      </c>
      <c r="G135" s="32">
        <f>(D135-'Budgets 2526'!D134)/'Budgets 2526'!D134</f>
        <v>-1</v>
      </c>
      <c r="H135" s="5" t="s">
        <v>16</v>
      </c>
      <c r="I135" s="5" t="s">
        <v>16</v>
      </c>
      <c r="J135" s="76"/>
      <c r="K135" s="75"/>
      <c r="L135" s="75"/>
    </row>
    <row r="136" ht="15.75" customHeight="1">
      <c r="E136" s="21" t="s">
        <v>61</v>
      </c>
      <c r="F136" s="21" t="str">
        <f>average(F120:F135)</f>
        <v>#DIV/0!</v>
      </c>
      <c r="G136" s="32" t="str">
        <f>(D136-'Budgets 2526'!D135)/'Budgets 2526'!D135</f>
        <v>#DIV/0!</v>
      </c>
      <c r="J136" s="79"/>
      <c r="K136" s="80"/>
      <c r="L136" s="80"/>
    </row>
    <row r="137" ht="15.75" customHeight="1">
      <c r="J137" s="3"/>
      <c r="L137" s="80"/>
    </row>
    <row r="138" ht="15.75" customHeight="1">
      <c r="B138" s="24" t="s">
        <v>469</v>
      </c>
      <c r="C138" s="2"/>
      <c r="D138" s="2"/>
      <c r="E138" s="2"/>
      <c r="F138" s="2"/>
      <c r="G138" s="2"/>
      <c r="H138" s="2"/>
      <c r="I138" s="4"/>
      <c r="J138" s="3"/>
      <c r="L138" s="80"/>
    </row>
    <row r="139" ht="15.75" customHeight="1">
      <c r="B139" s="5" t="s">
        <v>1</v>
      </c>
      <c r="C139" s="5" t="s">
        <v>3</v>
      </c>
      <c r="D139" s="5" t="s">
        <v>4</v>
      </c>
      <c r="E139" s="5" t="s">
        <v>5</v>
      </c>
      <c r="F139" s="6" t="s">
        <v>6</v>
      </c>
      <c r="G139" s="6" t="s">
        <v>12</v>
      </c>
      <c r="H139" s="6" t="s">
        <v>7</v>
      </c>
      <c r="I139" s="6" t="s">
        <v>8</v>
      </c>
      <c r="J139" s="29" t="s">
        <v>135</v>
      </c>
      <c r="K139" s="12" t="s">
        <v>136</v>
      </c>
      <c r="L139" s="80"/>
    </row>
    <row r="140" ht="15.75" customHeight="1">
      <c r="B140" s="5" t="s">
        <v>427</v>
      </c>
      <c r="C140" s="5" t="s">
        <v>428</v>
      </c>
      <c r="D140" s="11"/>
      <c r="E140" s="9"/>
      <c r="F140" s="16" t="str">
        <f t="shared" ref="F140:F157" si="8">+E140/D140</f>
        <v>#DIV/0!</v>
      </c>
      <c r="G140" s="32">
        <f>(D140-'Budgets 2526'!D139)/'Budgets 2526'!D139</f>
        <v>-1</v>
      </c>
      <c r="H140" s="5" t="s">
        <v>16</v>
      </c>
      <c r="I140" s="5" t="s">
        <v>16</v>
      </c>
      <c r="J140" s="71"/>
      <c r="K140" s="34"/>
      <c r="L140" s="80"/>
    </row>
    <row r="141" ht="15.75" customHeight="1">
      <c r="B141" s="5" t="s">
        <v>88</v>
      </c>
      <c r="C141" s="5" t="s">
        <v>422</v>
      </c>
      <c r="D141" s="9">
        <v>2.8E7</v>
      </c>
      <c r="E141" s="9">
        <v>1.8E7</v>
      </c>
      <c r="F141" s="16">
        <f t="shared" si="8"/>
        <v>0.6428571429</v>
      </c>
      <c r="G141" s="32">
        <f>(D141-'Budgets 2526'!D140)/'Budgets 2526'!D140</f>
        <v>0.03703703704</v>
      </c>
      <c r="H141" s="5" t="s">
        <v>16</v>
      </c>
      <c r="I141" s="5" t="s">
        <v>16</v>
      </c>
      <c r="J141" s="71" t="s">
        <v>472</v>
      </c>
      <c r="K141" s="72" t="s">
        <v>473</v>
      </c>
      <c r="L141" s="80"/>
    </row>
    <row r="142" ht="15.75" customHeight="1">
      <c r="B142" s="5" t="s">
        <v>88</v>
      </c>
      <c r="C142" s="5" t="s">
        <v>425</v>
      </c>
      <c r="D142" s="20">
        <v>2.0E7</v>
      </c>
      <c r="E142" s="20">
        <v>1.85E7</v>
      </c>
      <c r="F142" s="16">
        <f t="shared" si="8"/>
        <v>0.925</v>
      </c>
      <c r="G142" s="32">
        <f>(D142-'Budgets 2526'!D141)/'Budgets 2526'!D141</f>
        <v>0</v>
      </c>
      <c r="H142" s="5" t="s">
        <v>16</v>
      </c>
      <c r="I142" s="5" t="s">
        <v>16</v>
      </c>
      <c r="J142" s="87" t="s">
        <v>475</v>
      </c>
      <c r="K142" s="75"/>
      <c r="L142" s="80"/>
    </row>
    <row r="143" ht="15.75" customHeight="1">
      <c r="B143" s="5" t="s">
        <v>85</v>
      </c>
      <c r="C143" s="5" t="s">
        <v>361</v>
      </c>
      <c r="D143" s="20"/>
      <c r="E143" s="20"/>
      <c r="F143" s="16" t="str">
        <f t="shared" si="8"/>
        <v>#DIV/0!</v>
      </c>
      <c r="G143" s="32">
        <f>(D143-'Budgets 2526'!D142)/'Budgets 2526'!D142</f>
        <v>-1</v>
      </c>
      <c r="H143" s="5" t="s">
        <v>16</v>
      </c>
      <c r="I143" s="5" t="s">
        <v>16</v>
      </c>
      <c r="J143" s="76"/>
      <c r="K143" s="72"/>
      <c r="L143" s="80"/>
    </row>
    <row r="144" ht="15.75" customHeight="1">
      <c r="B144" s="5" t="s">
        <v>59</v>
      </c>
      <c r="C144" s="5" t="s">
        <v>356</v>
      </c>
      <c r="D144" s="9"/>
      <c r="E144" s="9"/>
      <c r="F144" s="16" t="str">
        <f t="shared" si="8"/>
        <v>#DIV/0!</v>
      </c>
      <c r="G144" s="32">
        <f>(D144-'Budgets 2526'!D143)/'Budgets 2526'!D143</f>
        <v>-1</v>
      </c>
      <c r="H144" s="5" t="s">
        <v>16</v>
      </c>
      <c r="I144" s="5" t="s">
        <v>16</v>
      </c>
      <c r="J144" s="71"/>
      <c r="K144" s="92"/>
      <c r="L144" s="80"/>
    </row>
    <row r="145" ht="15.75" customHeight="1">
      <c r="B145" s="5" t="s">
        <v>80</v>
      </c>
      <c r="C145" s="5" t="s">
        <v>368</v>
      </c>
      <c r="D145" s="20">
        <v>5200000.0</v>
      </c>
      <c r="E145" s="20">
        <v>3500000.0</v>
      </c>
      <c r="F145" s="16">
        <f t="shared" si="8"/>
        <v>0.6730769231</v>
      </c>
      <c r="G145" s="32">
        <f>(D145-'Budgets 2526'!D144)/'Budgets 2526'!D144</f>
        <v>-0.08771929825</v>
      </c>
      <c r="H145" s="5" t="s">
        <v>16</v>
      </c>
      <c r="I145" s="5" t="s">
        <v>16</v>
      </c>
      <c r="J145" s="71" t="s">
        <v>508</v>
      </c>
      <c r="K145" s="72"/>
      <c r="L145" s="80"/>
    </row>
    <row r="146" ht="15.75" customHeight="1">
      <c r="B146" s="5" t="s">
        <v>190</v>
      </c>
      <c r="C146" s="5" t="s">
        <v>191</v>
      </c>
      <c r="D146" s="20"/>
      <c r="E146" s="11"/>
      <c r="F146" s="16" t="str">
        <f t="shared" si="8"/>
        <v>#DIV/0!</v>
      </c>
      <c r="G146" s="32">
        <f>(D146-'Budgets 2526'!D145)/'Budgets 2526'!D145</f>
        <v>-1</v>
      </c>
      <c r="H146" s="5" t="s">
        <v>16</v>
      </c>
      <c r="I146" s="5" t="s">
        <v>16</v>
      </c>
      <c r="J146" s="71"/>
      <c r="K146" s="75"/>
      <c r="L146" s="80"/>
    </row>
    <row r="147" ht="15.75" customHeight="1">
      <c r="B147" s="5" t="s">
        <v>190</v>
      </c>
      <c r="C147" s="5" t="s">
        <v>273</v>
      </c>
      <c r="D147" s="20"/>
      <c r="E147" s="11"/>
      <c r="F147" s="16" t="str">
        <f t="shared" si="8"/>
        <v>#DIV/0!</v>
      </c>
      <c r="G147" s="32">
        <f>(D147-'Budgets 2526'!D146)/'Budgets 2526'!D146</f>
        <v>-1</v>
      </c>
      <c r="H147" s="5" t="s">
        <v>16</v>
      </c>
      <c r="I147" s="5" t="s">
        <v>16</v>
      </c>
      <c r="J147" s="74"/>
      <c r="K147" s="75"/>
      <c r="L147" s="80"/>
    </row>
    <row r="148" ht="15.75" customHeight="1">
      <c r="B148" s="5" t="s">
        <v>88</v>
      </c>
      <c r="C148" s="5" t="s">
        <v>317</v>
      </c>
      <c r="D148" s="20"/>
      <c r="E148" s="20"/>
      <c r="F148" s="16" t="str">
        <f t="shared" si="8"/>
        <v>#DIV/0!</v>
      </c>
      <c r="G148" s="32">
        <f>(D148-'Budgets 2526'!D147)/'Budgets 2526'!D147</f>
        <v>-1</v>
      </c>
      <c r="H148" s="5" t="s">
        <v>16</v>
      </c>
      <c r="I148" s="5" t="s">
        <v>16</v>
      </c>
      <c r="J148" s="71"/>
      <c r="K148" s="75"/>
      <c r="L148" s="80"/>
    </row>
    <row r="149" ht="15.75" customHeight="1">
      <c r="B149" s="5" t="s">
        <v>154</v>
      </c>
      <c r="C149" s="5" t="s">
        <v>155</v>
      </c>
      <c r="D149" s="20"/>
      <c r="E149" s="20"/>
      <c r="F149" s="16" t="str">
        <f t="shared" si="8"/>
        <v>#DIV/0!</v>
      </c>
      <c r="G149" s="32">
        <f>(D149-'Budgets 2526'!D148)/'Budgets 2526'!D148</f>
        <v>-1</v>
      </c>
      <c r="H149" s="5" t="s">
        <v>16</v>
      </c>
      <c r="I149" s="5" t="s">
        <v>16</v>
      </c>
      <c r="J149" s="71"/>
      <c r="K149" s="75"/>
      <c r="L149" s="64"/>
      <c r="M149" s="64"/>
    </row>
    <row r="150" ht="15.75" customHeight="1">
      <c r="B150" s="5" t="s">
        <v>88</v>
      </c>
      <c r="C150" s="5" t="s">
        <v>150</v>
      </c>
      <c r="D150" s="11"/>
      <c r="E150" s="20"/>
      <c r="F150" s="16" t="str">
        <f t="shared" si="8"/>
        <v>#DIV/0!</v>
      </c>
      <c r="G150" s="32">
        <f>(D150-'Budgets 2526'!D149)/'Budgets 2526'!D149</f>
        <v>-1</v>
      </c>
      <c r="H150" s="5" t="s">
        <v>16</v>
      </c>
      <c r="I150" s="5" t="s">
        <v>16</v>
      </c>
      <c r="J150" s="74"/>
      <c r="K150" s="78"/>
      <c r="L150" s="80"/>
    </row>
    <row r="151" ht="15.75" customHeight="1">
      <c r="B151" s="5" t="s">
        <v>88</v>
      </c>
      <c r="C151" s="5" t="s">
        <v>138</v>
      </c>
      <c r="D151" s="20"/>
      <c r="E151" s="11"/>
      <c r="F151" s="16" t="str">
        <f t="shared" si="8"/>
        <v>#DIV/0!</v>
      </c>
      <c r="G151" s="32">
        <f>(D151-'Budgets 2526'!D150)/'Budgets 2526'!D150</f>
        <v>-1</v>
      </c>
      <c r="H151" s="5" t="s">
        <v>16</v>
      </c>
      <c r="I151" s="5" t="s">
        <v>16</v>
      </c>
      <c r="J151" s="71"/>
      <c r="K151" s="72"/>
      <c r="L151" s="80"/>
    </row>
    <row r="152" ht="15.75" customHeight="1">
      <c r="B152" s="5" t="s">
        <v>80</v>
      </c>
      <c r="C152" s="5" t="s">
        <v>193</v>
      </c>
      <c r="D152" s="20"/>
      <c r="E152" s="20"/>
      <c r="F152" s="16" t="str">
        <f t="shared" si="8"/>
        <v>#DIV/0!</v>
      </c>
      <c r="G152" s="32">
        <f>(D152-'Budgets 2526'!D151)/'Budgets 2526'!D151</f>
        <v>-1</v>
      </c>
      <c r="H152" s="5" t="s">
        <v>16</v>
      </c>
      <c r="I152" s="5" t="s">
        <v>16</v>
      </c>
      <c r="J152" s="76"/>
      <c r="K152" s="75"/>
      <c r="L152" s="80"/>
    </row>
    <row r="153" ht="15.75" customHeight="1">
      <c r="B153" s="5" t="s">
        <v>80</v>
      </c>
      <c r="C153" s="5" t="s">
        <v>81</v>
      </c>
      <c r="D153" s="20"/>
      <c r="E153" s="11"/>
      <c r="F153" s="16" t="str">
        <f t="shared" si="8"/>
        <v>#DIV/0!</v>
      </c>
      <c r="G153" s="32">
        <f>(D153-'Budgets 2526'!D152)/'Budgets 2526'!D152</f>
        <v>-1</v>
      </c>
      <c r="H153" s="5" t="s">
        <v>16</v>
      </c>
      <c r="I153" s="5" t="s">
        <v>16</v>
      </c>
      <c r="J153" s="96"/>
      <c r="K153" s="75"/>
      <c r="L153" s="80"/>
    </row>
    <row r="154" ht="15.75" customHeight="1">
      <c r="B154" s="5" t="s">
        <v>85</v>
      </c>
      <c r="C154" s="5" t="s">
        <v>86</v>
      </c>
      <c r="D154" s="11"/>
      <c r="E154" s="11"/>
      <c r="F154" s="16" t="str">
        <f t="shared" si="8"/>
        <v>#DIV/0!</v>
      </c>
      <c r="G154" s="32">
        <f>(D154-'Budgets 2526'!D153)/'Budgets 2526'!D153</f>
        <v>-1</v>
      </c>
      <c r="H154" s="5" t="s">
        <v>16</v>
      </c>
      <c r="I154" s="5" t="s">
        <v>16</v>
      </c>
      <c r="J154" s="71"/>
      <c r="K154" s="56"/>
      <c r="L154" s="80"/>
    </row>
    <row r="155" ht="15.75" customHeight="1">
      <c r="B155" s="5" t="s">
        <v>187</v>
      </c>
      <c r="C155" s="5" t="s">
        <v>188</v>
      </c>
      <c r="D155" s="11"/>
      <c r="E155" s="11"/>
      <c r="F155" s="16" t="str">
        <f t="shared" si="8"/>
        <v>#DIV/0!</v>
      </c>
      <c r="G155" s="32">
        <f>(D155-'Budgets 2526'!D154)/'Budgets 2526'!D154</f>
        <v>-1</v>
      </c>
      <c r="H155" s="5" t="s">
        <v>16</v>
      </c>
      <c r="I155" s="5" t="s">
        <v>16</v>
      </c>
      <c r="J155" s="71"/>
      <c r="K155" s="75"/>
      <c r="L155" s="80"/>
    </row>
    <row r="156" ht="15.75" customHeight="1">
      <c r="B156" s="5" t="s">
        <v>88</v>
      </c>
      <c r="C156" s="5" t="s">
        <v>89</v>
      </c>
      <c r="D156" s="20"/>
      <c r="E156" s="11"/>
      <c r="F156" s="16" t="str">
        <f t="shared" si="8"/>
        <v>#DIV/0!</v>
      </c>
      <c r="G156" s="32">
        <f>(D156-'Budgets 2526'!D155)/'Budgets 2526'!D155</f>
        <v>-1</v>
      </c>
      <c r="H156" s="5" t="s">
        <v>16</v>
      </c>
      <c r="I156" s="5" t="s">
        <v>16</v>
      </c>
      <c r="J156" s="71"/>
      <c r="K156" s="75"/>
      <c r="L156" s="80"/>
    </row>
    <row r="157" ht="15.75" customHeight="1">
      <c r="B157" s="5" t="s">
        <v>154</v>
      </c>
      <c r="C157" s="5" t="s">
        <v>225</v>
      </c>
      <c r="D157" s="20"/>
      <c r="E157" s="11"/>
      <c r="F157" s="16" t="str">
        <f t="shared" si="8"/>
        <v>#DIV/0!</v>
      </c>
      <c r="G157" s="32">
        <f>(D157-'Budgets 2526'!D156)/'Budgets 2526'!D156</f>
        <v>-1</v>
      </c>
      <c r="H157" s="5" t="s">
        <v>16</v>
      </c>
      <c r="I157" s="5" t="s">
        <v>16</v>
      </c>
      <c r="J157" s="71"/>
      <c r="K157" s="75"/>
      <c r="L157" s="80"/>
    </row>
    <row r="158" ht="15.75" customHeight="1">
      <c r="E158" s="21" t="s">
        <v>61</v>
      </c>
      <c r="F158" s="21" t="str">
        <f>average(F140:F157)</f>
        <v>#DIV/0!</v>
      </c>
      <c r="J158" s="79"/>
      <c r="K158" s="80"/>
      <c r="L158" s="80"/>
    </row>
    <row r="159" ht="15.75" customHeight="1">
      <c r="J159" s="79"/>
      <c r="K159" s="80"/>
      <c r="L159" s="80"/>
    </row>
    <row r="160" ht="15.75" customHeight="1">
      <c r="B160" s="24" t="s">
        <v>540</v>
      </c>
      <c r="C160" s="2"/>
      <c r="D160" s="2"/>
      <c r="E160" s="2"/>
      <c r="F160" s="2"/>
      <c r="G160" s="2"/>
      <c r="H160" s="2"/>
      <c r="I160" s="2"/>
      <c r="J160" s="100"/>
      <c r="K160" s="102"/>
      <c r="L160" s="80"/>
    </row>
    <row r="161" ht="15.75" customHeight="1">
      <c r="B161" s="5" t="s">
        <v>1</v>
      </c>
      <c r="C161" s="5" t="s">
        <v>3</v>
      </c>
      <c r="D161" s="5" t="s">
        <v>4</v>
      </c>
      <c r="E161" s="5" t="s">
        <v>5</v>
      </c>
      <c r="F161" s="6" t="s">
        <v>6</v>
      </c>
      <c r="G161" s="6" t="s">
        <v>12</v>
      </c>
      <c r="H161" s="6" t="s">
        <v>7</v>
      </c>
      <c r="I161" s="6" t="s">
        <v>8</v>
      </c>
      <c r="J161" s="29" t="s">
        <v>135</v>
      </c>
      <c r="K161" s="12" t="s">
        <v>136</v>
      </c>
      <c r="L161" s="80"/>
    </row>
    <row r="162" ht="15.75" customHeight="1">
      <c r="B162" s="5" t="s">
        <v>174</v>
      </c>
      <c r="C162" s="5" t="s">
        <v>419</v>
      </c>
      <c r="D162" s="9">
        <f>0.88*32000000</f>
        <v>28160000</v>
      </c>
      <c r="E162" s="9"/>
      <c r="F162" s="16">
        <f t="shared" ref="F162:F175" si="9">+E162/D162</f>
        <v>0</v>
      </c>
      <c r="G162" s="5"/>
      <c r="H162" s="5" t="s">
        <v>16</v>
      </c>
      <c r="I162" s="5" t="s">
        <v>16</v>
      </c>
      <c r="J162" s="71" t="s">
        <v>546</v>
      </c>
      <c r="K162" s="98"/>
      <c r="L162" s="103"/>
    </row>
    <row r="163" ht="15.75" customHeight="1">
      <c r="B163" s="5" t="s">
        <v>174</v>
      </c>
      <c r="C163" s="5" t="s">
        <v>438</v>
      </c>
      <c r="D163" s="9"/>
      <c r="E163" s="9"/>
      <c r="F163" s="16" t="str">
        <f t="shared" si="9"/>
        <v>#DIV/0!</v>
      </c>
      <c r="G163" s="5"/>
      <c r="H163" s="5" t="s">
        <v>16</v>
      </c>
      <c r="I163" s="5" t="s">
        <v>16</v>
      </c>
      <c r="J163" s="71"/>
      <c r="K163" s="98"/>
      <c r="L163" s="103"/>
    </row>
    <row r="164" ht="15.75" customHeight="1">
      <c r="B164" s="5" t="s">
        <v>174</v>
      </c>
      <c r="C164" s="5" t="s">
        <v>411</v>
      </c>
      <c r="D164" s="20"/>
      <c r="E164" s="20"/>
      <c r="F164" s="16" t="str">
        <f t="shared" si="9"/>
        <v>#DIV/0!</v>
      </c>
      <c r="G164" s="5"/>
      <c r="H164" s="5" t="s">
        <v>16</v>
      </c>
      <c r="I164" s="5" t="s">
        <v>16</v>
      </c>
      <c r="J164" s="74"/>
      <c r="K164" s="78"/>
      <c r="L164" s="103"/>
    </row>
    <row r="165" ht="15.75" customHeight="1">
      <c r="B165" s="5" t="s">
        <v>174</v>
      </c>
      <c r="C165" s="5" t="s">
        <v>248</v>
      </c>
      <c r="D165" s="20"/>
      <c r="E165" s="11"/>
      <c r="F165" s="16" t="str">
        <f t="shared" si="9"/>
        <v>#DIV/0!</v>
      </c>
      <c r="G165" s="5"/>
      <c r="H165" s="5" t="s">
        <v>16</v>
      </c>
      <c r="I165" s="5" t="s">
        <v>16</v>
      </c>
      <c r="J165" s="104"/>
      <c r="K165" s="105"/>
      <c r="L165" s="103"/>
    </row>
    <row r="166" ht="15.75" customHeight="1">
      <c r="B166" s="5" t="s">
        <v>174</v>
      </c>
      <c r="C166" s="5" t="s">
        <v>373</v>
      </c>
      <c r="D166" s="9"/>
      <c r="E166" s="11"/>
      <c r="F166" s="16" t="str">
        <f t="shared" si="9"/>
        <v>#DIV/0!</v>
      </c>
      <c r="G166" s="5"/>
      <c r="H166" s="5" t="s">
        <v>16</v>
      </c>
      <c r="I166" s="5" t="s">
        <v>16</v>
      </c>
      <c r="J166" s="71"/>
      <c r="K166" s="92"/>
      <c r="L166" s="103"/>
    </row>
    <row r="167" ht="15.75" customHeight="1">
      <c r="B167" s="5" t="s">
        <v>174</v>
      </c>
      <c r="C167" s="5" t="s">
        <v>349</v>
      </c>
      <c r="D167" s="20"/>
      <c r="E167" s="11"/>
      <c r="F167" s="16" t="str">
        <f t="shared" si="9"/>
        <v>#DIV/0!</v>
      </c>
      <c r="G167" s="5"/>
      <c r="H167" s="5" t="s">
        <v>16</v>
      </c>
      <c r="I167" s="5" t="s">
        <v>16</v>
      </c>
      <c r="J167" s="71"/>
      <c r="K167" s="72"/>
      <c r="L167" s="103"/>
    </row>
    <row r="168" ht="15.75" customHeight="1">
      <c r="B168" s="5" t="s">
        <v>174</v>
      </c>
      <c r="C168" s="5" t="s">
        <v>251</v>
      </c>
      <c r="D168" s="20"/>
      <c r="E168" s="11"/>
      <c r="F168" s="16" t="str">
        <f t="shared" si="9"/>
        <v>#DIV/0!</v>
      </c>
      <c r="G168" s="5"/>
      <c r="H168" s="5" t="s">
        <v>16</v>
      </c>
      <c r="I168" s="5" t="s">
        <v>16</v>
      </c>
      <c r="J168" s="104"/>
      <c r="K168" s="98"/>
      <c r="L168" s="103"/>
    </row>
    <row r="169" ht="15.75" customHeight="1">
      <c r="B169" s="5" t="s">
        <v>174</v>
      </c>
      <c r="C169" s="5" t="s">
        <v>209</v>
      </c>
      <c r="D169" s="20"/>
      <c r="E169" s="11"/>
      <c r="F169" s="16" t="str">
        <f t="shared" si="9"/>
        <v>#DIV/0!</v>
      </c>
      <c r="G169" s="5"/>
      <c r="H169" s="5" t="s">
        <v>16</v>
      </c>
      <c r="I169" s="5" t="s">
        <v>16</v>
      </c>
      <c r="J169" s="104"/>
      <c r="K169" s="98"/>
      <c r="L169" s="103"/>
    </row>
    <row r="170" ht="15.75" customHeight="1">
      <c r="B170" s="5" t="s">
        <v>174</v>
      </c>
      <c r="C170" s="5" t="s">
        <v>230</v>
      </c>
      <c r="D170" s="20"/>
      <c r="E170" s="11"/>
      <c r="F170" s="16" t="str">
        <f t="shared" si="9"/>
        <v>#DIV/0!</v>
      </c>
      <c r="G170" s="5"/>
      <c r="H170" s="5" t="s">
        <v>16</v>
      </c>
      <c r="I170" s="5" t="s">
        <v>16</v>
      </c>
      <c r="J170" s="104"/>
      <c r="K170" s="98"/>
      <c r="L170" s="103"/>
    </row>
    <row r="171" ht="15.75" customHeight="1">
      <c r="B171" s="5" t="s">
        <v>174</v>
      </c>
      <c r="C171" s="5" t="s">
        <v>175</v>
      </c>
      <c r="D171" s="20"/>
      <c r="E171" s="11"/>
      <c r="F171" s="16" t="str">
        <f t="shared" si="9"/>
        <v>#DIV/0!</v>
      </c>
      <c r="G171" s="5"/>
      <c r="H171" s="5" t="s">
        <v>16</v>
      </c>
      <c r="I171" s="5" t="s">
        <v>16</v>
      </c>
      <c r="J171" s="104"/>
      <c r="K171" s="98"/>
      <c r="L171" s="103"/>
    </row>
    <row r="172" ht="15.75" customHeight="1">
      <c r="B172" s="5" t="s">
        <v>174</v>
      </c>
      <c r="C172" s="5" t="s">
        <v>306</v>
      </c>
      <c r="D172" s="20"/>
      <c r="E172" s="11"/>
      <c r="F172" s="16" t="str">
        <f t="shared" si="9"/>
        <v>#DIV/0!</v>
      </c>
      <c r="G172" s="5"/>
      <c r="H172" s="5" t="s">
        <v>16</v>
      </c>
      <c r="I172" s="5" t="s">
        <v>16</v>
      </c>
      <c r="J172" s="104"/>
      <c r="K172" s="98"/>
      <c r="L172" s="103"/>
    </row>
    <row r="173" ht="15.75" customHeight="1">
      <c r="B173" s="5" t="s">
        <v>174</v>
      </c>
      <c r="C173" s="5" t="s">
        <v>176</v>
      </c>
      <c r="D173" s="20"/>
      <c r="E173" s="11"/>
      <c r="F173" s="16" t="str">
        <f t="shared" si="9"/>
        <v>#DIV/0!</v>
      </c>
      <c r="G173" s="5"/>
      <c r="H173" s="5" t="s">
        <v>16</v>
      </c>
      <c r="I173" s="5" t="s">
        <v>16</v>
      </c>
      <c r="J173" s="104"/>
      <c r="K173" s="98"/>
      <c r="L173" s="103"/>
    </row>
    <row r="174" ht="15.75" customHeight="1">
      <c r="B174" s="5" t="s">
        <v>174</v>
      </c>
      <c r="C174" s="5" t="s">
        <v>210</v>
      </c>
      <c r="D174" s="20"/>
      <c r="E174" s="11"/>
      <c r="F174" s="16" t="str">
        <f t="shared" si="9"/>
        <v>#DIV/0!</v>
      </c>
      <c r="G174" s="5"/>
      <c r="H174" s="5" t="s">
        <v>16</v>
      </c>
      <c r="I174" s="5" t="s">
        <v>16</v>
      </c>
      <c r="J174" s="104"/>
      <c r="K174" s="98"/>
      <c r="L174" s="103"/>
    </row>
    <row r="175" ht="15.75" customHeight="1">
      <c r="B175" s="5" t="s">
        <v>174</v>
      </c>
      <c r="C175" s="5" t="s">
        <v>177</v>
      </c>
      <c r="D175" s="20"/>
      <c r="E175" s="11"/>
      <c r="F175" s="16" t="str">
        <f t="shared" si="9"/>
        <v>#DIV/0!</v>
      </c>
      <c r="G175" s="5"/>
      <c r="H175" s="5" t="s">
        <v>16</v>
      </c>
      <c r="I175" s="5" t="s">
        <v>16</v>
      </c>
      <c r="J175" s="104"/>
      <c r="K175" s="98"/>
      <c r="L175" s="103"/>
    </row>
    <row r="176" ht="15.75" customHeight="1">
      <c r="E176" s="21" t="s">
        <v>61</v>
      </c>
      <c r="F176" s="52" t="str">
        <f>average(F162:F175)</f>
        <v>#DIV/0!</v>
      </c>
      <c r="J176" s="79"/>
      <c r="K176" s="80"/>
      <c r="L176" s="80"/>
    </row>
    <row r="177" ht="15.75" customHeight="1">
      <c r="J177" s="3"/>
    </row>
    <row r="178" ht="15.75" customHeight="1">
      <c r="J178" s="3"/>
    </row>
    <row r="179" ht="15.75" customHeight="1">
      <c r="B179" s="24" t="s">
        <v>564</v>
      </c>
      <c r="C179" s="2"/>
      <c r="D179" s="2"/>
      <c r="E179" s="2"/>
      <c r="F179" s="2"/>
      <c r="G179" s="2"/>
      <c r="H179" s="2"/>
      <c r="I179" s="4"/>
      <c r="J179" s="3"/>
    </row>
    <row r="180" ht="15.75" customHeight="1">
      <c r="B180" s="5" t="s">
        <v>1</v>
      </c>
      <c r="C180" s="5" t="s">
        <v>3</v>
      </c>
      <c r="D180" s="5" t="s">
        <v>4</v>
      </c>
      <c r="E180" s="5" t="s">
        <v>5</v>
      </c>
      <c r="F180" s="6" t="s">
        <v>6</v>
      </c>
      <c r="G180" s="6" t="s">
        <v>12</v>
      </c>
      <c r="H180" s="6" t="s">
        <v>7</v>
      </c>
      <c r="I180" s="6" t="s">
        <v>8</v>
      </c>
      <c r="J180" s="29" t="s">
        <v>135</v>
      </c>
      <c r="K180" s="12" t="s">
        <v>136</v>
      </c>
    </row>
    <row r="181" ht="15.75" customHeight="1">
      <c r="B181" s="5" t="s">
        <v>152</v>
      </c>
      <c r="C181" s="5" t="s">
        <v>284</v>
      </c>
      <c r="D181" s="11"/>
      <c r="E181" s="20"/>
      <c r="F181" s="16" t="str">
        <f t="shared" ref="F181:F190" si="10">+E181/D181</f>
        <v>#DIV/0!</v>
      </c>
      <c r="G181" s="5"/>
      <c r="H181" s="5" t="s">
        <v>16</v>
      </c>
      <c r="I181" s="5" t="s">
        <v>16</v>
      </c>
      <c r="J181" s="108"/>
      <c r="K181" s="109"/>
    </row>
    <row r="182" ht="15.75" customHeight="1">
      <c r="B182" s="5" t="s">
        <v>152</v>
      </c>
      <c r="C182" s="5" t="s">
        <v>300</v>
      </c>
      <c r="D182" s="11"/>
      <c r="E182" s="20"/>
      <c r="F182" s="16" t="str">
        <f t="shared" si="10"/>
        <v>#DIV/0!</v>
      </c>
      <c r="G182" s="5"/>
      <c r="H182" s="5" t="s">
        <v>16</v>
      </c>
      <c r="I182" s="5" t="s">
        <v>16</v>
      </c>
      <c r="J182" s="108"/>
      <c r="K182" s="109"/>
    </row>
    <row r="183" ht="15.75" customHeight="1">
      <c r="B183" s="5" t="s">
        <v>152</v>
      </c>
      <c r="C183" s="5" t="s">
        <v>260</v>
      </c>
      <c r="D183" s="11"/>
      <c r="E183" s="20"/>
      <c r="F183" s="16" t="str">
        <f t="shared" si="10"/>
        <v>#DIV/0!</v>
      </c>
      <c r="G183" s="5"/>
      <c r="H183" s="5" t="s">
        <v>16</v>
      </c>
      <c r="I183" s="5" t="s">
        <v>16</v>
      </c>
      <c r="J183" s="108"/>
      <c r="K183" s="109"/>
    </row>
    <row r="184" ht="15.75" customHeight="1">
      <c r="B184" s="5" t="s">
        <v>152</v>
      </c>
      <c r="C184" s="5" t="s">
        <v>315</v>
      </c>
      <c r="D184" s="11"/>
      <c r="E184" s="20"/>
      <c r="F184" s="16" t="str">
        <f t="shared" si="10"/>
        <v>#DIV/0!</v>
      </c>
      <c r="G184" s="5"/>
      <c r="H184" s="5" t="s">
        <v>16</v>
      </c>
      <c r="I184" s="5" t="s">
        <v>16</v>
      </c>
      <c r="J184" s="108"/>
      <c r="K184" s="109"/>
    </row>
    <row r="185" ht="15.75" customHeight="1">
      <c r="B185" s="5" t="s">
        <v>152</v>
      </c>
      <c r="C185" s="5" t="s">
        <v>271</v>
      </c>
      <c r="D185" s="11"/>
      <c r="E185" s="20"/>
      <c r="F185" s="16" t="str">
        <f t="shared" si="10"/>
        <v>#DIV/0!</v>
      </c>
      <c r="G185" s="5"/>
      <c r="H185" s="5" t="s">
        <v>16</v>
      </c>
      <c r="I185" s="5" t="s">
        <v>16</v>
      </c>
      <c r="J185" s="108"/>
      <c r="K185" s="109"/>
    </row>
    <row r="186" ht="15.75" customHeight="1">
      <c r="B186" s="5" t="s">
        <v>152</v>
      </c>
      <c r="C186" s="5" t="s">
        <v>246</v>
      </c>
      <c r="D186" s="11"/>
      <c r="E186" s="20"/>
      <c r="F186" s="16" t="str">
        <f t="shared" si="10"/>
        <v>#DIV/0!</v>
      </c>
      <c r="G186" s="5"/>
      <c r="H186" s="5" t="s">
        <v>16</v>
      </c>
      <c r="I186" s="5" t="s">
        <v>16</v>
      </c>
      <c r="J186" s="108"/>
      <c r="K186" s="109"/>
    </row>
    <row r="187" ht="15.75" customHeight="1">
      <c r="B187" s="5" t="s">
        <v>152</v>
      </c>
      <c r="C187" s="5" t="s">
        <v>200</v>
      </c>
      <c r="D187" s="11"/>
      <c r="E187" s="20"/>
      <c r="F187" s="16" t="str">
        <f t="shared" si="10"/>
        <v>#DIV/0!</v>
      </c>
      <c r="G187" s="5"/>
      <c r="H187" s="5" t="s">
        <v>16</v>
      </c>
      <c r="I187" s="5" t="s">
        <v>16</v>
      </c>
      <c r="J187" s="108"/>
      <c r="K187" s="109"/>
    </row>
    <row r="188" ht="15.75" customHeight="1">
      <c r="B188" s="5" t="s">
        <v>152</v>
      </c>
      <c r="C188" s="5" t="s">
        <v>218</v>
      </c>
      <c r="D188" s="11"/>
      <c r="E188" s="20"/>
      <c r="F188" s="16" t="str">
        <f t="shared" si="10"/>
        <v>#DIV/0!</v>
      </c>
      <c r="G188" s="5"/>
      <c r="H188" s="5" t="s">
        <v>16</v>
      </c>
      <c r="I188" s="5" t="s">
        <v>16</v>
      </c>
      <c r="J188" s="108"/>
      <c r="K188" s="109"/>
    </row>
    <row r="189" ht="15.75" customHeight="1">
      <c r="B189" s="5" t="s">
        <v>152</v>
      </c>
      <c r="C189" s="5" t="s">
        <v>153</v>
      </c>
      <c r="D189" s="11"/>
      <c r="E189" s="20"/>
      <c r="F189" s="16" t="str">
        <f t="shared" si="10"/>
        <v>#DIV/0!</v>
      </c>
      <c r="G189" s="5"/>
      <c r="H189" s="5" t="s">
        <v>16</v>
      </c>
      <c r="I189" s="5" t="s">
        <v>16</v>
      </c>
      <c r="J189" s="108"/>
      <c r="K189" s="109"/>
    </row>
    <row r="190" ht="15.75" customHeight="1">
      <c r="B190" s="5" t="s">
        <v>152</v>
      </c>
      <c r="C190" s="5" t="s">
        <v>170</v>
      </c>
      <c r="D190" s="11"/>
      <c r="E190" s="20"/>
      <c r="F190" s="16" t="str">
        <f t="shared" si="10"/>
        <v>#DIV/0!</v>
      </c>
      <c r="G190" s="5"/>
      <c r="H190" s="5" t="s">
        <v>16</v>
      </c>
      <c r="I190" s="5" t="s">
        <v>16</v>
      </c>
      <c r="J190" s="108"/>
      <c r="K190" s="109"/>
    </row>
    <row r="191" ht="15.75" customHeight="1">
      <c r="E191" s="21" t="s">
        <v>61</v>
      </c>
      <c r="F191" s="52" t="str">
        <f>average(F181:F190)</f>
        <v>#DIV/0!</v>
      </c>
      <c r="J191" s="3"/>
    </row>
    <row r="192" ht="15.75" customHeight="1">
      <c r="J192" s="3"/>
    </row>
    <row r="193" ht="15.75" customHeight="1">
      <c r="B193" s="24" t="s">
        <v>590</v>
      </c>
      <c r="C193" s="2"/>
      <c r="D193" s="2"/>
      <c r="E193" s="2"/>
      <c r="F193" s="2"/>
      <c r="G193" s="2"/>
      <c r="H193" s="2"/>
      <c r="I193" s="4"/>
      <c r="J193" s="3"/>
    </row>
    <row r="194" ht="15.75" customHeight="1">
      <c r="B194" s="5" t="s">
        <v>1</v>
      </c>
      <c r="C194" s="5" t="s">
        <v>3</v>
      </c>
      <c r="D194" s="5" t="s">
        <v>4</v>
      </c>
      <c r="E194" s="5" t="s">
        <v>5</v>
      </c>
      <c r="F194" s="6" t="s">
        <v>6</v>
      </c>
      <c r="G194" s="6" t="s">
        <v>12</v>
      </c>
      <c r="H194" s="6" t="s">
        <v>7</v>
      </c>
      <c r="I194" s="6" t="s">
        <v>8</v>
      </c>
      <c r="J194" s="29" t="s">
        <v>135</v>
      </c>
      <c r="K194" s="12" t="s">
        <v>136</v>
      </c>
    </row>
    <row r="195" ht="15.75" customHeight="1">
      <c r="B195" s="5" t="s">
        <v>237</v>
      </c>
      <c r="C195" s="5" t="s">
        <v>407</v>
      </c>
      <c r="D195" s="20"/>
      <c r="E195" s="20"/>
      <c r="F195" s="16" t="str">
        <f t="shared" ref="F195:F218" si="11">+E195/D195</f>
        <v>#DIV/0!</v>
      </c>
      <c r="G195" s="5"/>
      <c r="H195" s="5" t="s">
        <v>16</v>
      </c>
      <c r="I195" s="5" t="s">
        <v>16</v>
      </c>
      <c r="J195" s="109" t="s">
        <v>16</v>
      </c>
      <c r="K195" s="109" t="s">
        <v>16</v>
      </c>
    </row>
    <row r="196" ht="15.75" customHeight="1">
      <c r="B196" s="5" t="s">
        <v>237</v>
      </c>
      <c r="C196" s="5" t="s">
        <v>375</v>
      </c>
      <c r="D196" s="20"/>
      <c r="E196" s="20"/>
      <c r="F196" s="16" t="str">
        <f t="shared" si="11"/>
        <v>#DIV/0!</v>
      </c>
      <c r="G196" s="5"/>
      <c r="H196" s="5" t="s">
        <v>16</v>
      </c>
      <c r="I196" s="5" t="s">
        <v>16</v>
      </c>
      <c r="J196" s="109" t="s">
        <v>16</v>
      </c>
      <c r="K196" s="109" t="s">
        <v>16</v>
      </c>
    </row>
    <row r="197" ht="15.75" customHeight="1">
      <c r="B197" s="5" t="s">
        <v>237</v>
      </c>
      <c r="C197" s="5" t="s">
        <v>395</v>
      </c>
      <c r="D197" s="20"/>
      <c r="E197" s="20"/>
      <c r="F197" s="16" t="str">
        <f t="shared" si="11"/>
        <v>#DIV/0!</v>
      </c>
      <c r="G197" s="5"/>
      <c r="H197" s="5" t="s">
        <v>16</v>
      </c>
      <c r="I197" s="5" t="s">
        <v>16</v>
      </c>
      <c r="J197" s="109" t="s">
        <v>16</v>
      </c>
      <c r="K197" s="109" t="s">
        <v>16</v>
      </c>
    </row>
    <row r="198" ht="15.75" customHeight="1">
      <c r="B198" s="5" t="s">
        <v>237</v>
      </c>
      <c r="C198" s="5" t="s">
        <v>413</v>
      </c>
      <c r="D198" s="20"/>
      <c r="E198" s="20"/>
      <c r="F198" s="16" t="str">
        <f t="shared" si="11"/>
        <v>#DIV/0!</v>
      </c>
      <c r="G198" s="5"/>
      <c r="H198" s="5" t="s">
        <v>16</v>
      </c>
      <c r="I198" s="5" t="s">
        <v>16</v>
      </c>
      <c r="J198" s="109" t="s">
        <v>16</v>
      </c>
      <c r="K198" s="109" t="s">
        <v>16</v>
      </c>
    </row>
    <row r="199" ht="15.75" customHeight="1">
      <c r="B199" s="5" t="s">
        <v>237</v>
      </c>
      <c r="C199" s="5" t="s">
        <v>414</v>
      </c>
      <c r="D199" s="20"/>
      <c r="E199" s="20"/>
      <c r="F199" s="16" t="str">
        <f t="shared" si="11"/>
        <v>#DIV/0!</v>
      </c>
      <c r="G199" s="5"/>
      <c r="H199" s="5" t="s">
        <v>16</v>
      </c>
      <c r="I199" s="5" t="s">
        <v>16</v>
      </c>
      <c r="J199" s="109" t="s">
        <v>16</v>
      </c>
      <c r="K199" s="109" t="s">
        <v>16</v>
      </c>
    </row>
    <row r="200" ht="15.75" customHeight="1">
      <c r="B200" s="5" t="s">
        <v>237</v>
      </c>
      <c r="C200" s="5" t="s">
        <v>404</v>
      </c>
      <c r="D200" s="20"/>
      <c r="E200" s="20"/>
      <c r="F200" s="16" t="str">
        <f t="shared" si="11"/>
        <v>#DIV/0!</v>
      </c>
      <c r="G200" s="5"/>
      <c r="H200" s="5" t="s">
        <v>16</v>
      </c>
      <c r="I200" s="5" t="s">
        <v>16</v>
      </c>
      <c r="J200" s="109" t="s">
        <v>16</v>
      </c>
      <c r="K200" s="109" t="s">
        <v>16</v>
      </c>
    </row>
    <row r="201" ht="15.75" customHeight="1">
      <c r="B201" s="5" t="s">
        <v>237</v>
      </c>
      <c r="C201" s="5" t="s">
        <v>410</v>
      </c>
      <c r="D201" s="20"/>
      <c r="E201" s="20"/>
      <c r="F201" s="16" t="str">
        <f t="shared" si="11"/>
        <v>#DIV/0!</v>
      </c>
      <c r="G201" s="5"/>
      <c r="H201" s="5" t="s">
        <v>16</v>
      </c>
      <c r="I201" s="5" t="s">
        <v>16</v>
      </c>
      <c r="J201" s="109" t="s">
        <v>16</v>
      </c>
      <c r="K201" s="109" t="s">
        <v>16</v>
      </c>
    </row>
    <row r="202" ht="15.75" customHeight="1">
      <c r="B202" s="5" t="s">
        <v>237</v>
      </c>
      <c r="C202" s="5" t="s">
        <v>383</v>
      </c>
      <c r="D202" s="20"/>
      <c r="E202" s="20"/>
      <c r="F202" s="16" t="str">
        <f t="shared" si="11"/>
        <v>#DIV/0!</v>
      </c>
      <c r="G202" s="5"/>
      <c r="H202" s="5" t="s">
        <v>16</v>
      </c>
      <c r="I202" s="5" t="s">
        <v>16</v>
      </c>
      <c r="J202" s="109" t="s">
        <v>16</v>
      </c>
      <c r="K202" s="109" t="s">
        <v>16</v>
      </c>
    </row>
    <row r="203" ht="15.75" customHeight="1">
      <c r="B203" s="5" t="s">
        <v>237</v>
      </c>
      <c r="C203" s="5" t="s">
        <v>397</v>
      </c>
      <c r="D203" s="20"/>
      <c r="E203" s="20"/>
      <c r="F203" s="16" t="str">
        <f t="shared" si="11"/>
        <v>#DIV/0!</v>
      </c>
      <c r="G203" s="5"/>
      <c r="H203" s="5" t="s">
        <v>16</v>
      </c>
      <c r="I203" s="5" t="s">
        <v>16</v>
      </c>
      <c r="J203" s="109" t="s">
        <v>16</v>
      </c>
      <c r="K203" s="109" t="s">
        <v>16</v>
      </c>
    </row>
    <row r="204" ht="15.75" customHeight="1">
      <c r="B204" s="5" t="s">
        <v>237</v>
      </c>
      <c r="C204" s="5" t="s">
        <v>367</v>
      </c>
      <c r="D204" s="20"/>
      <c r="E204" s="20"/>
      <c r="F204" s="16" t="str">
        <f t="shared" si="11"/>
        <v>#DIV/0!</v>
      </c>
      <c r="G204" s="5"/>
      <c r="H204" s="5" t="s">
        <v>16</v>
      </c>
      <c r="I204" s="5" t="s">
        <v>16</v>
      </c>
      <c r="J204" s="109" t="s">
        <v>16</v>
      </c>
      <c r="K204" s="109" t="s">
        <v>16</v>
      </c>
    </row>
    <row r="205" ht="15.75" customHeight="1">
      <c r="B205" s="5" t="s">
        <v>237</v>
      </c>
      <c r="C205" s="5" t="s">
        <v>400</v>
      </c>
      <c r="D205" s="20"/>
      <c r="E205" s="20"/>
      <c r="F205" s="16" t="str">
        <f t="shared" si="11"/>
        <v>#DIV/0!</v>
      </c>
      <c r="G205" s="5"/>
      <c r="H205" s="5" t="s">
        <v>16</v>
      </c>
      <c r="I205" s="5" t="s">
        <v>16</v>
      </c>
      <c r="J205" s="109" t="s">
        <v>16</v>
      </c>
      <c r="K205" s="109" t="s">
        <v>16</v>
      </c>
    </row>
    <row r="206" ht="15.75" customHeight="1">
      <c r="B206" s="5" t="s">
        <v>237</v>
      </c>
      <c r="C206" s="5" t="s">
        <v>393</v>
      </c>
      <c r="D206" s="20"/>
      <c r="E206" s="20"/>
      <c r="F206" s="16" t="str">
        <f t="shared" si="11"/>
        <v>#DIV/0!</v>
      </c>
      <c r="G206" s="5"/>
      <c r="H206" s="5" t="s">
        <v>16</v>
      </c>
      <c r="I206" s="5" t="s">
        <v>16</v>
      </c>
      <c r="J206" s="109" t="s">
        <v>16</v>
      </c>
      <c r="K206" s="109" t="s">
        <v>16</v>
      </c>
    </row>
    <row r="207" ht="15.75" customHeight="1">
      <c r="B207" s="5" t="s">
        <v>237</v>
      </c>
      <c r="C207" s="5" t="s">
        <v>355</v>
      </c>
      <c r="D207" s="20"/>
      <c r="E207" s="20"/>
      <c r="F207" s="16" t="str">
        <f t="shared" si="11"/>
        <v>#DIV/0!</v>
      </c>
      <c r="G207" s="5"/>
      <c r="H207" s="5" t="s">
        <v>16</v>
      </c>
      <c r="I207" s="5" t="s">
        <v>16</v>
      </c>
      <c r="J207" s="109" t="s">
        <v>16</v>
      </c>
      <c r="K207" s="109" t="s">
        <v>16</v>
      </c>
    </row>
    <row r="208" ht="15.75" customHeight="1">
      <c r="B208" s="5" t="s">
        <v>237</v>
      </c>
      <c r="C208" s="5" t="s">
        <v>384</v>
      </c>
      <c r="D208" s="20"/>
      <c r="E208" s="20"/>
      <c r="F208" s="16" t="str">
        <f t="shared" si="11"/>
        <v>#DIV/0!</v>
      </c>
      <c r="G208" s="5"/>
      <c r="H208" s="5" t="s">
        <v>16</v>
      </c>
      <c r="I208" s="5" t="s">
        <v>16</v>
      </c>
      <c r="J208" s="109" t="s">
        <v>16</v>
      </c>
      <c r="K208" s="109" t="s">
        <v>16</v>
      </c>
    </row>
    <row r="209" ht="15.75" customHeight="1">
      <c r="B209" s="5" t="s">
        <v>237</v>
      </c>
      <c r="C209" s="5" t="s">
        <v>390</v>
      </c>
      <c r="D209" s="20"/>
      <c r="E209" s="20"/>
      <c r="F209" s="16" t="str">
        <f t="shared" si="11"/>
        <v>#DIV/0!</v>
      </c>
      <c r="G209" s="5"/>
      <c r="H209" s="5" t="s">
        <v>16</v>
      </c>
      <c r="I209" s="5" t="s">
        <v>16</v>
      </c>
      <c r="J209" s="109" t="s">
        <v>16</v>
      </c>
      <c r="K209" s="109" t="s">
        <v>16</v>
      </c>
    </row>
    <row r="210" ht="15.75" customHeight="1">
      <c r="B210" s="5" t="s">
        <v>237</v>
      </c>
      <c r="C210" s="5" t="s">
        <v>403</v>
      </c>
      <c r="D210" s="20"/>
      <c r="E210" s="20"/>
      <c r="F210" s="16" t="str">
        <f t="shared" si="11"/>
        <v>#DIV/0!</v>
      </c>
      <c r="G210" s="5"/>
      <c r="H210" s="5" t="s">
        <v>16</v>
      </c>
      <c r="I210" s="5" t="s">
        <v>16</v>
      </c>
      <c r="J210" s="109" t="s">
        <v>16</v>
      </c>
      <c r="K210" s="109" t="s">
        <v>16</v>
      </c>
    </row>
    <row r="211" ht="15.75" customHeight="1">
      <c r="B211" s="5" t="s">
        <v>237</v>
      </c>
      <c r="C211" s="5" t="s">
        <v>398</v>
      </c>
      <c r="D211" s="20"/>
      <c r="E211" s="20"/>
      <c r="F211" s="16" t="str">
        <f t="shared" si="11"/>
        <v>#DIV/0!</v>
      </c>
      <c r="G211" s="5"/>
      <c r="H211" s="5" t="s">
        <v>16</v>
      </c>
      <c r="I211" s="5" t="s">
        <v>16</v>
      </c>
      <c r="J211" s="109" t="s">
        <v>16</v>
      </c>
      <c r="K211" s="109" t="s">
        <v>16</v>
      </c>
    </row>
    <row r="212" ht="15.75" customHeight="1">
      <c r="B212" s="5" t="s">
        <v>237</v>
      </c>
      <c r="C212" s="5" t="s">
        <v>295</v>
      </c>
      <c r="D212" s="20"/>
      <c r="E212" s="20"/>
      <c r="F212" s="16" t="str">
        <f t="shared" si="11"/>
        <v>#DIV/0!</v>
      </c>
      <c r="G212" s="5"/>
      <c r="H212" s="5" t="s">
        <v>16</v>
      </c>
      <c r="I212" s="5" t="s">
        <v>16</v>
      </c>
      <c r="J212" s="109" t="s">
        <v>16</v>
      </c>
      <c r="K212" s="109" t="s">
        <v>16</v>
      </c>
    </row>
    <row r="213" ht="15.75" customHeight="1">
      <c r="B213" s="5" t="s">
        <v>237</v>
      </c>
      <c r="C213" s="5" t="s">
        <v>340</v>
      </c>
      <c r="D213" s="20"/>
      <c r="E213" s="20"/>
      <c r="F213" s="16" t="str">
        <f t="shared" si="11"/>
        <v>#DIV/0!</v>
      </c>
      <c r="G213" s="5"/>
      <c r="H213" s="5" t="s">
        <v>16</v>
      </c>
      <c r="I213" s="5" t="s">
        <v>16</v>
      </c>
      <c r="J213" s="109" t="s">
        <v>16</v>
      </c>
      <c r="K213" s="109" t="s">
        <v>16</v>
      </c>
    </row>
    <row r="214" ht="15.75" customHeight="1">
      <c r="B214" s="5" t="s">
        <v>237</v>
      </c>
      <c r="C214" s="5" t="s">
        <v>354</v>
      </c>
      <c r="D214" s="20"/>
      <c r="E214" s="20"/>
      <c r="F214" s="16" t="str">
        <f t="shared" si="11"/>
        <v>#DIV/0!</v>
      </c>
      <c r="G214" s="5"/>
      <c r="H214" s="5" t="s">
        <v>16</v>
      </c>
      <c r="I214" s="5" t="s">
        <v>16</v>
      </c>
      <c r="J214" s="109" t="s">
        <v>16</v>
      </c>
      <c r="K214" s="109" t="s">
        <v>16</v>
      </c>
    </row>
    <row r="215" ht="15.75" customHeight="1">
      <c r="B215" s="5" t="s">
        <v>237</v>
      </c>
      <c r="C215" s="5" t="s">
        <v>391</v>
      </c>
      <c r="D215" s="20"/>
      <c r="E215" s="20"/>
      <c r="F215" s="16" t="str">
        <f t="shared" si="11"/>
        <v>#DIV/0!</v>
      </c>
      <c r="G215" s="5"/>
      <c r="H215" s="5" t="s">
        <v>16</v>
      </c>
      <c r="I215" s="5" t="s">
        <v>16</v>
      </c>
      <c r="J215" s="109" t="s">
        <v>16</v>
      </c>
      <c r="K215" s="109" t="s">
        <v>16</v>
      </c>
    </row>
    <row r="216" ht="15.75" customHeight="1">
      <c r="B216" s="5" t="s">
        <v>237</v>
      </c>
      <c r="C216" s="5" t="s">
        <v>376</v>
      </c>
      <c r="D216" s="20"/>
      <c r="E216" s="20"/>
      <c r="F216" s="16" t="str">
        <f t="shared" si="11"/>
        <v>#DIV/0!</v>
      </c>
      <c r="G216" s="5"/>
      <c r="H216" s="5" t="s">
        <v>16</v>
      </c>
      <c r="I216" s="5" t="s">
        <v>16</v>
      </c>
      <c r="J216" s="109" t="s">
        <v>16</v>
      </c>
      <c r="K216" s="109" t="s">
        <v>16</v>
      </c>
    </row>
    <row r="217" ht="15.75" customHeight="1">
      <c r="B217" s="5" t="s">
        <v>237</v>
      </c>
      <c r="C217" s="5" t="s">
        <v>252</v>
      </c>
      <c r="D217" s="20"/>
      <c r="E217" s="20"/>
      <c r="F217" s="16" t="str">
        <f t="shared" si="11"/>
        <v>#DIV/0!</v>
      </c>
      <c r="G217" s="5"/>
      <c r="H217" s="5" t="s">
        <v>16</v>
      </c>
      <c r="I217" s="5" t="s">
        <v>16</v>
      </c>
      <c r="J217" s="109" t="s">
        <v>16</v>
      </c>
      <c r="K217" s="109" t="s">
        <v>16</v>
      </c>
    </row>
    <row r="218" ht="15.75" customHeight="1">
      <c r="B218" s="5" t="s">
        <v>237</v>
      </c>
      <c r="C218" s="5" t="s">
        <v>238</v>
      </c>
      <c r="D218" s="20"/>
      <c r="E218" s="20"/>
      <c r="F218" s="16" t="str">
        <f t="shared" si="11"/>
        <v>#DIV/0!</v>
      </c>
      <c r="G218" s="5"/>
      <c r="H218" s="5" t="s">
        <v>16</v>
      </c>
      <c r="I218" s="5" t="s">
        <v>16</v>
      </c>
      <c r="J218" s="109" t="s">
        <v>16</v>
      </c>
      <c r="K218" s="109" t="s">
        <v>16</v>
      </c>
    </row>
    <row r="219" ht="15.75" customHeight="1">
      <c r="E219" s="21" t="s">
        <v>61</v>
      </c>
      <c r="F219" s="52" t="str">
        <f>average(F195:F218)</f>
        <v>#DIV/0!</v>
      </c>
      <c r="J219" s="3"/>
    </row>
    <row r="220" ht="15.75" customHeight="1">
      <c r="B220" s="113"/>
      <c r="C220" s="113"/>
      <c r="D220" s="113"/>
      <c r="E220" s="113"/>
      <c r="F220" s="113"/>
      <c r="G220" s="113"/>
      <c r="H220" s="113"/>
      <c r="I220" s="113"/>
      <c r="J220" s="3"/>
    </row>
    <row r="221" ht="15.75" customHeight="1">
      <c r="B221" s="61" t="s">
        <v>618</v>
      </c>
      <c r="C221" s="2"/>
      <c r="D221" s="2"/>
      <c r="E221" s="2"/>
      <c r="F221" s="2"/>
      <c r="G221" s="2"/>
      <c r="H221" s="2"/>
      <c r="I221" s="4"/>
      <c r="J221" s="3"/>
    </row>
    <row r="222" ht="15.75" customHeight="1">
      <c r="B222" s="5" t="s">
        <v>1</v>
      </c>
      <c r="C222" s="5" t="s">
        <v>3</v>
      </c>
      <c r="D222" s="5" t="s">
        <v>4</v>
      </c>
      <c r="E222" s="5" t="s">
        <v>5</v>
      </c>
      <c r="F222" s="6" t="s">
        <v>6</v>
      </c>
      <c r="G222" s="6" t="s">
        <v>12</v>
      </c>
      <c r="H222" s="6" t="s">
        <v>7</v>
      </c>
      <c r="I222" s="6" t="s">
        <v>8</v>
      </c>
      <c r="J222" s="29" t="s">
        <v>135</v>
      </c>
      <c r="K222" s="115" t="s">
        <v>136</v>
      </c>
    </row>
    <row r="223" ht="15.75" customHeight="1">
      <c r="B223" s="7" t="s">
        <v>232</v>
      </c>
      <c r="C223" s="7" t="s">
        <v>233</v>
      </c>
      <c r="D223" s="11"/>
      <c r="E223" s="9"/>
      <c r="F223" s="16" t="str">
        <f t="shared" ref="F223:F258" si="12">+E223/D223</f>
        <v>#DIV/0!</v>
      </c>
      <c r="G223" s="5"/>
      <c r="H223" s="5" t="s">
        <v>16</v>
      </c>
      <c r="I223" s="5" t="s">
        <v>16</v>
      </c>
      <c r="J223" s="117"/>
      <c r="K223" s="117"/>
    </row>
    <row r="224" ht="15.75" customHeight="1">
      <c r="B224" s="7" t="s">
        <v>232</v>
      </c>
      <c r="C224" s="7" t="s">
        <v>293</v>
      </c>
      <c r="D224" s="11"/>
      <c r="E224" s="9"/>
      <c r="F224" s="16" t="str">
        <f t="shared" si="12"/>
        <v>#DIV/0!</v>
      </c>
      <c r="G224" s="5"/>
      <c r="H224" s="5" t="s">
        <v>16</v>
      </c>
      <c r="I224" s="5" t="s">
        <v>16</v>
      </c>
      <c r="J224" s="117"/>
      <c r="K224" s="117"/>
    </row>
    <row r="225" ht="15.75" customHeight="1">
      <c r="B225" s="7" t="s">
        <v>50</v>
      </c>
      <c r="C225" s="7" t="s">
        <v>145</v>
      </c>
      <c r="D225" s="9"/>
      <c r="E225" s="11"/>
      <c r="F225" s="16" t="str">
        <f t="shared" si="12"/>
        <v>#DIV/0!</v>
      </c>
      <c r="G225" s="5"/>
      <c r="H225" s="5" t="s">
        <v>16</v>
      </c>
      <c r="I225" s="5" t="s">
        <v>16</v>
      </c>
      <c r="J225" s="62"/>
      <c r="K225" s="62"/>
    </row>
    <row r="226" ht="15.75" customHeight="1">
      <c r="B226" s="7" t="s">
        <v>50</v>
      </c>
      <c r="C226" s="7" t="s">
        <v>52</v>
      </c>
      <c r="D226" s="9"/>
      <c r="E226" s="11"/>
      <c r="F226" s="16" t="str">
        <f t="shared" si="12"/>
        <v>#DIV/0!</v>
      </c>
      <c r="G226" s="5"/>
      <c r="H226" s="5" t="s">
        <v>16</v>
      </c>
      <c r="I226" s="5" t="s">
        <v>16</v>
      </c>
      <c r="J226" s="117"/>
      <c r="K226" s="117"/>
    </row>
    <row r="227" ht="15.75" customHeight="1">
      <c r="B227" s="7" t="s">
        <v>184</v>
      </c>
      <c r="C227" s="7" t="s">
        <v>185</v>
      </c>
      <c r="D227" s="9"/>
      <c r="E227" s="9"/>
      <c r="F227" s="16" t="str">
        <f t="shared" si="12"/>
        <v>#DIV/0!</v>
      </c>
      <c r="G227" s="5"/>
      <c r="H227" s="5" t="s">
        <v>16</v>
      </c>
      <c r="I227" s="5" t="s">
        <v>16</v>
      </c>
      <c r="J227" s="117"/>
      <c r="K227" s="117"/>
      <c r="L227" s="64"/>
    </row>
    <row r="228" ht="15.75" customHeight="1">
      <c r="B228" s="7" t="s">
        <v>91</v>
      </c>
      <c r="C228" s="7" t="s">
        <v>104</v>
      </c>
      <c r="D228" s="9"/>
      <c r="E228" s="11"/>
      <c r="F228" s="16" t="str">
        <f t="shared" si="12"/>
        <v>#DIV/0!</v>
      </c>
      <c r="G228" s="5"/>
      <c r="H228" s="5" t="s">
        <v>16</v>
      </c>
      <c r="I228" s="5" t="s">
        <v>16</v>
      </c>
      <c r="J228" s="62"/>
      <c r="K228" s="62"/>
    </row>
    <row r="229" ht="15.75" customHeight="1">
      <c r="B229" s="7" t="s">
        <v>91</v>
      </c>
      <c r="C229" s="7" t="s">
        <v>92</v>
      </c>
      <c r="D229" s="9"/>
      <c r="E229" s="11"/>
      <c r="F229" s="16" t="str">
        <f t="shared" si="12"/>
        <v>#DIV/0!</v>
      </c>
      <c r="G229" s="5"/>
      <c r="H229" s="5" t="s">
        <v>16</v>
      </c>
      <c r="I229" s="5" t="s">
        <v>16</v>
      </c>
      <c r="J229" s="117"/>
      <c r="K229" s="117"/>
      <c r="L229" s="64"/>
    </row>
    <row r="230" ht="15.75" customHeight="1">
      <c r="B230" s="7" t="s">
        <v>20</v>
      </c>
      <c r="C230" s="7" t="s">
        <v>68</v>
      </c>
      <c r="D230" s="9"/>
      <c r="E230" s="9"/>
      <c r="F230" s="16" t="str">
        <f t="shared" si="12"/>
        <v>#DIV/0!</v>
      </c>
      <c r="G230" s="5"/>
      <c r="H230" s="5" t="s">
        <v>16</v>
      </c>
      <c r="I230" s="5" t="s">
        <v>16</v>
      </c>
      <c r="J230" s="117"/>
      <c r="K230" s="117"/>
      <c r="L230" s="64"/>
    </row>
    <row r="231" ht="15.75" customHeight="1">
      <c r="B231" s="7" t="s">
        <v>20</v>
      </c>
      <c r="C231" s="7" t="s">
        <v>29</v>
      </c>
      <c r="D231" s="9"/>
      <c r="E231" s="9"/>
      <c r="F231" s="16" t="str">
        <f t="shared" si="12"/>
        <v>#DIV/0!</v>
      </c>
      <c r="G231" s="5"/>
      <c r="H231" s="5" t="s">
        <v>16</v>
      </c>
      <c r="I231" s="5" t="s">
        <v>16</v>
      </c>
      <c r="J231" s="117"/>
      <c r="K231" s="117"/>
    </row>
    <row r="232" ht="15.75" customHeight="1">
      <c r="B232" s="7" t="s">
        <v>20</v>
      </c>
      <c r="C232" s="7" t="s">
        <v>82</v>
      </c>
      <c r="D232" s="9"/>
      <c r="E232" s="9"/>
      <c r="F232" s="16" t="str">
        <f t="shared" si="12"/>
        <v>#DIV/0!</v>
      </c>
      <c r="G232" s="5"/>
      <c r="H232" s="5" t="s">
        <v>16</v>
      </c>
      <c r="I232" s="5" t="s">
        <v>16</v>
      </c>
      <c r="J232" s="117"/>
      <c r="K232" s="117"/>
    </row>
    <row r="233" ht="15.75" customHeight="1">
      <c r="B233" s="7" t="s">
        <v>20</v>
      </c>
      <c r="C233" s="7" t="s">
        <v>63</v>
      </c>
      <c r="D233" s="9"/>
      <c r="E233" s="9"/>
      <c r="F233" s="16" t="str">
        <f t="shared" si="12"/>
        <v>#DIV/0!</v>
      </c>
      <c r="G233" s="5"/>
      <c r="H233" s="5" t="s">
        <v>16</v>
      </c>
      <c r="I233" s="5" t="s">
        <v>16</v>
      </c>
      <c r="J233" s="117"/>
      <c r="K233" s="117"/>
    </row>
    <row r="234" ht="15.75" customHeight="1">
      <c r="B234" s="7" t="s">
        <v>20</v>
      </c>
      <c r="C234" s="7" t="s">
        <v>67</v>
      </c>
      <c r="D234" s="9"/>
      <c r="E234" s="9"/>
      <c r="F234" s="16" t="str">
        <f t="shared" si="12"/>
        <v>#DIV/0!</v>
      </c>
      <c r="G234" s="5"/>
      <c r="H234" s="5" t="s">
        <v>16</v>
      </c>
      <c r="I234" s="5" t="s">
        <v>16</v>
      </c>
      <c r="J234" s="117"/>
      <c r="K234" s="117"/>
    </row>
    <row r="235" ht="15.75" customHeight="1">
      <c r="B235" s="7" t="s">
        <v>20</v>
      </c>
      <c r="C235" s="7" t="s">
        <v>41</v>
      </c>
      <c r="D235" s="9"/>
      <c r="E235" s="9"/>
      <c r="F235" s="16" t="str">
        <f t="shared" si="12"/>
        <v>#DIV/0!</v>
      </c>
      <c r="G235" s="5"/>
      <c r="H235" s="5" t="s">
        <v>16</v>
      </c>
      <c r="I235" s="5" t="s">
        <v>16</v>
      </c>
      <c r="J235" s="117"/>
      <c r="K235" s="117"/>
    </row>
    <row r="236">
      <c r="B236" s="7" t="s">
        <v>20</v>
      </c>
      <c r="C236" s="7" t="s">
        <v>21</v>
      </c>
      <c r="D236" s="9"/>
      <c r="E236" s="9"/>
      <c r="F236" s="16" t="str">
        <f t="shared" si="12"/>
        <v>#DIV/0!</v>
      </c>
      <c r="G236" s="5"/>
      <c r="H236" s="5" t="s">
        <v>16</v>
      </c>
      <c r="I236" s="5" t="s">
        <v>16</v>
      </c>
      <c r="J236" s="117"/>
      <c r="K236" s="117"/>
    </row>
    <row r="237" ht="15.75" customHeight="1">
      <c r="B237" s="7" t="s">
        <v>20</v>
      </c>
      <c r="C237" s="7" t="s">
        <v>37</v>
      </c>
      <c r="D237" s="9"/>
      <c r="E237" s="9"/>
      <c r="F237" s="16" t="str">
        <f t="shared" si="12"/>
        <v>#DIV/0!</v>
      </c>
      <c r="G237" s="5"/>
      <c r="H237" s="5" t="s">
        <v>16</v>
      </c>
      <c r="I237" s="5" t="s">
        <v>16</v>
      </c>
      <c r="J237" s="117"/>
      <c r="K237" s="117"/>
    </row>
    <row r="238" ht="15.75" customHeight="1">
      <c r="B238" s="7" t="s">
        <v>20</v>
      </c>
      <c r="C238" s="7" t="s">
        <v>45</v>
      </c>
      <c r="D238" s="9"/>
      <c r="E238" s="9"/>
      <c r="F238" s="16" t="str">
        <f t="shared" si="12"/>
        <v>#DIV/0!</v>
      </c>
      <c r="G238" s="5"/>
      <c r="H238" s="5" t="s">
        <v>16</v>
      </c>
      <c r="I238" s="5" t="s">
        <v>16</v>
      </c>
      <c r="J238" s="117"/>
      <c r="K238" s="117"/>
    </row>
    <row r="239" ht="15.75" customHeight="1">
      <c r="B239" s="7" t="s">
        <v>20</v>
      </c>
      <c r="C239" s="7" t="s">
        <v>62</v>
      </c>
      <c r="D239" s="9"/>
      <c r="E239" s="9"/>
      <c r="F239" s="16" t="str">
        <f t="shared" si="12"/>
        <v>#DIV/0!</v>
      </c>
      <c r="G239" s="5"/>
      <c r="H239" s="5" t="s">
        <v>16</v>
      </c>
      <c r="I239" s="5" t="s">
        <v>16</v>
      </c>
      <c r="J239" s="117"/>
      <c r="K239" s="117"/>
    </row>
    <row r="240" ht="15.75" customHeight="1">
      <c r="B240" s="7" t="s">
        <v>20</v>
      </c>
      <c r="C240" s="7" t="s">
        <v>32</v>
      </c>
      <c r="D240" s="9"/>
      <c r="E240" s="9"/>
      <c r="F240" s="16" t="str">
        <f t="shared" si="12"/>
        <v>#DIV/0!</v>
      </c>
      <c r="G240" s="5"/>
      <c r="H240" s="5" t="s">
        <v>16</v>
      </c>
      <c r="I240" s="5" t="s">
        <v>16</v>
      </c>
      <c r="J240" s="117"/>
      <c r="K240" s="117"/>
    </row>
    <row r="241" ht="15.75" customHeight="1">
      <c r="B241" s="7" t="s">
        <v>20</v>
      </c>
      <c r="C241" s="7" t="s">
        <v>47</v>
      </c>
      <c r="D241" s="9"/>
      <c r="E241" s="9"/>
      <c r="F241" s="16" t="str">
        <f t="shared" si="12"/>
        <v>#DIV/0!</v>
      </c>
      <c r="G241" s="5"/>
      <c r="H241" s="5" t="s">
        <v>16</v>
      </c>
      <c r="I241" s="5" t="s">
        <v>16</v>
      </c>
      <c r="J241" s="117"/>
      <c r="K241" s="117"/>
    </row>
    <row r="242" ht="15.75" customHeight="1">
      <c r="B242" s="7" t="s">
        <v>83</v>
      </c>
      <c r="C242" s="7" t="s">
        <v>207</v>
      </c>
      <c r="D242" s="9"/>
      <c r="E242" s="11"/>
      <c r="F242" s="16" t="str">
        <f t="shared" si="12"/>
        <v>#DIV/0!</v>
      </c>
      <c r="G242" s="5"/>
      <c r="H242" s="5" t="s">
        <v>16</v>
      </c>
      <c r="I242" s="5" t="s">
        <v>16</v>
      </c>
      <c r="J242" s="62"/>
      <c r="K242" s="62"/>
    </row>
    <row r="243" ht="15.75" customHeight="1">
      <c r="B243" s="7" t="s">
        <v>83</v>
      </c>
      <c r="C243" s="7" t="s">
        <v>192</v>
      </c>
      <c r="D243" s="9"/>
      <c r="E243" s="11"/>
      <c r="F243" s="16" t="str">
        <f t="shared" si="12"/>
        <v>#DIV/0!</v>
      </c>
      <c r="G243" s="5"/>
      <c r="H243" s="5" t="s">
        <v>16</v>
      </c>
      <c r="I243" s="5" t="s">
        <v>16</v>
      </c>
      <c r="J243" s="62"/>
      <c r="K243" s="62"/>
    </row>
    <row r="244" ht="15.75" customHeight="1">
      <c r="B244" s="7" t="s">
        <v>83</v>
      </c>
      <c r="C244" s="7" t="s">
        <v>119</v>
      </c>
      <c r="D244" s="9"/>
      <c r="E244" s="11"/>
      <c r="F244" s="16" t="str">
        <f t="shared" si="12"/>
        <v>#DIV/0!</v>
      </c>
      <c r="G244" s="5"/>
      <c r="H244" s="5" t="s">
        <v>16</v>
      </c>
      <c r="I244" s="5" t="s">
        <v>16</v>
      </c>
      <c r="J244" s="62"/>
      <c r="K244" s="62"/>
    </row>
    <row r="245" ht="15.75" customHeight="1">
      <c r="B245" s="7" t="s">
        <v>83</v>
      </c>
      <c r="C245" s="7" t="s">
        <v>84</v>
      </c>
      <c r="D245" s="9"/>
      <c r="E245" s="11"/>
      <c r="F245" s="16" t="str">
        <f t="shared" si="12"/>
        <v>#DIV/0!</v>
      </c>
      <c r="G245" s="5"/>
      <c r="H245" s="5" t="s">
        <v>16</v>
      </c>
      <c r="I245" s="5" t="s">
        <v>16</v>
      </c>
      <c r="J245" s="117"/>
      <c r="K245" s="117"/>
    </row>
    <row r="246" ht="15.75" customHeight="1">
      <c r="B246" s="7" t="s">
        <v>83</v>
      </c>
      <c r="C246" s="7" t="s">
        <v>173</v>
      </c>
      <c r="D246" s="9"/>
      <c r="E246" s="11"/>
      <c r="F246" s="16" t="str">
        <f t="shared" si="12"/>
        <v>#DIV/0!</v>
      </c>
      <c r="G246" s="5"/>
      <c r="H246" s="5" t="s">
        <v>16</v>
      </c>
      <c r="I246" s="5" t="s">
        <v>16</v>
      </c>
      <c r="J246" s="117"/>
      <c r="K246" s="117"/>
    </row>
    <row r="247" ht="15.75" customHeight="1">
      <c r="B247" s="7" t="s">
        <v>9</v>
      </c>
      <c r="C247" s="7" t="s">
        <v>73</v>
      </c>
      <c r="D247" s="9">
        <v>2500000.0</v>
      </c>
      <c r="E247" s="11">
        <v>1600000.0</v>
      </c>
      <c r="F247" s="16">
        <f t="shared" si="12"/>
        <v>0.64</v>
      </c>
      <c r="G247" s="5"/>
      <c r="H247" s="5" t="s">
        <v>16</v>
      </c>
      <c r="I247" s="5" t="s">
        <v>16</v>
      </c>
      <c r="J247" s="121" t="s">
        <v>649</v>
      </c>
      <c r="K247" s="117"/>
    </row>
    <row r="248" ht="15.75" customHeight="1">
      <c r="B248" s="7" t="s">
        <v>9</v>
      </c>
      <c r="C248" s="7" t="s">
        <v>96</v>
      </c>
      <c r="D248" s="9">
        <v>2300000.0</v>
      </c>
      <c r="E248" s="9">
        <v>1300000.0</v>
      </c>
      <c r="F248" s="16">
        <f t="shared" si="12"/>
        <v>0.5652173913</v>
      </c>
      <c r="G248" s="5"/>
      <c r="H248" s="5" t="s">
        <v>16</v>
      </c>
      <c r="I248" s="5" t="s">
        <v>16</v>
      </c>
      <c r="J248" s="42" t="s">
        <v>655</v>
      </c>
      <c r="K248" s="42" t="s">
        <v>657</v>
      </c>
      <c r="L248" s="64"/>
    </row>
    <row r="249" ht="16.5" customHeight="1">
      <c r="B249" s="7" t="s">
        <v>9</v>
      </c>
      <c r="C249" s="7" t="s">
        <v>75</v>
      </c>
      <c r="D249" s="9"/>
      <c r="E249" s="11"/>
      <c r="F249" s="16" t="str">
        <f t="shared" si="12"/>
        <v>#DIV/0!</v>
      </c>
      <c r="G249" s="5"/>
      <c r="H249" s="5" t="s">
        <v>16</v>
      </c>
      <c r="I249" s="5" t="s">
        <v>16</v>
      </c>
      <c r="J249" s="117"/>
      <c r="K249" s="117"/>
    </row>
    <row r="250" ht="16.5" customHeight="1">
      <c r="B250" s="7" t="s">
        <v>9</v>
      </c>
      <c r="C250" s="7" t="s">
        <v>54</v>
      </c>
      <c r="D250" s="9"/>
      <c r="E250" s="11"/>
      <c r="F250" s="16" t="str">
        <f t="shared" si="12"/>
        <v>#DIV/0!</v>
      </c>
      <c r="G250" s="5"/>
      <c r="H250" s="5" t="s">
        <v>16</v>
      </c>
      <c r="I250" s="5" t="s">
        <v>16</v>
      </c>
      <c r="J250" s="117"/>
      <c r="K250" s="117"/>
    </row>
    <row r="251" ht="16.5" customHeight="1">
      <c r="B251" s="7" t="s">
        <v>9</v>
      </c>
      <c r="C251" s="7" t="s">
        <v>49</v>
      </c>
      <c r="D251" s="9"/>
      <c r="E251" s="11"/>
      <c r="F251" s="16" t="str">
        <f t="shared" si="12"/>
        <v>#DIV/0!</v>
      </c>
      <c r="G251" s="5"/>
      <c r="H251" s="5" t="s">
        <v>16</v>
      </c>
      <c r="I251" s="5" t="s">
        <v>16</v>
      </c>
      <c r="J251" s="117"/>
      <c r="K251" s="117"/>
    </row>
    <row r="252" ht="16.5" customHeight="1">
      <c r="B252" s="7" t="s">
        <v>9</v>
      </c>
      <c r="C252" s="7" t="s">
        <v>28</v>
      </c>
      <c r="D252" s="9"/>
      <c r="E252" s="11"/>
      <c r="F252" s="16" t="str">
        <f t="shared" si="12"/>
        <v>#DIV/0!</v>
      </c>
      <c r="G252" s="5"/>
      <c r="H252" s="5" t="s">
        <v>16</v>
      </c>
      <c r="I252" s="5" t="s">
        <v>16</v>
      </c>
      <c r="J252" s="117"/>
      <c r="K252" s="117"/>
    </row>
    <row r="253" ht="16.5" customHeight="1">
      <c r="B253" s="7" t="s">
        <v>9</v>
      </c>
      <c r="C253" s="7" t="s">
        <v>10</v>
      </c>
      <c r="D253" s="9"/>
      <c r="E253" s="11"/>
      <c r="F253" s="16" t="str">
        <f t="shared" si="12"/>
        <v>#DIV/0!</v>
      </c>
      <c r="G253" s="5"/>
      <c r="H253" s="5" t="s">
        <v>16</v>
      </c>
      <c r="I253" s="5" t="s">
        <v>16</v>
      </c>
      <c r="J253" s="117"/>
      <c r="K253" s="117"/>
    </row>
    <row r="254" ht="16.5" customHeight="1">
      <c r="B254" s="7" t="s">
        <v>56</v>
      </c>
      <c r="C254" s="7" t="s">
        <v>57</v>
      </c>
      <c r="D254" s="9"/>
      <c r="E254" s="11"/>
      <c r="F254" s="16" t="str">
        <f t="shared" si="12"/>
        <v>#DIV/0!</v>
      </c>
      <c r="G254" s="5"/>
      <c r="H254" s="5" t="s">
        <v>16</v>
      </c>
      <c r="I254" s="5" t="s">
        <v>16</v>
      </c>
      <c r="J254" s="117"/>
      <c r="K254" s="117"/>
    </row>
    <row r="255" ht="16.5" customHeight="1">
      <c r="B255" s="7" t="s">
        <v>77</v>
      </c>
      <c r="C255" s="7" t="s">
        <v>444</v>
      </c>
      <c r="D255" s="9"/>
      <c r="E255" s="9"/>
      <c r="F255" s="16" t="str">
        <f t="shared" si="12"/>
        <v>#DIV/0!</v>
      </c>
      <c r="G255" s="5"/>
      <c r="H255" s="5" t="s">
        <v>16</v>
      </c>
      <c r="I255" s="5" t="s">
        <v>16</v>
      </c>
      <c r="J255" s="122"/>
      <c r="K255" s="122"/>
    </row>
    <row r="256" ht="16.5" customHeight="1">
      <c r="B256" s="7" t="s">
        <v>77</v>
      </c>
      <c r="C256" s="7" t="s">
        <v>239</v>
      </c>
      <c r="D256" s="9"/>
      <c r="E256" s="9"/>
      <c r="F256" s="16" t="str">
        <f t="shared" si="12"/>
        <v>#DIV/0!</v>
      </c>
      <c r="G256" s="5"/>
      <c r="H256" s="5" t="s">
        <v>16</v>
      </c>
      <c r="I256" s="5" t="s">
        <v>16</v>
      </c>
      <c r="J256" s="122"/>
      <c r="K256" s="122"/>
    </row>
    <row r="257" ht="16.5" customHeight="1">
      <c r="B257" s="7" t="s">
        <v>77</v>
      </c>
      <c r="C257" s="7" t="s">
        <v>242</v>
      </c>
      <c r="D257" s="9"/>
      <c r="E257" s="11"/>
      <c r="F257" s="16" t="str">
        <f t="shared" si="12"/>
        <v>#DIV/0!</v>
      </c>
      <c r="G257" s="5"/>
      <c r="H257" s="5" t="s">
        <v>16</v>
      </c>
      <c r="I257" s="5" t="s">
        <v>16</v>
      </c>
      <c r="J257" s="62"/>
      <c r="K257" s="62"/>
    </row>
    <row r="258" ht="16.5" customHeight="1">
      <c r="B258" s="7" t="s">
        <v>77</v>
      </c>
      <c r="C258" s="7" t="s">
        <v>147</v>
      </c>
      <c r="D258" s="123">
        <v>2350000.0</v>
      </c>
      <c r="E258" s="124">
        <v>1400000.0</v>
      </c>
      <c r="F258" s="16">
        <f t="shared" si="12"/>
        <v>0.5957446809</v>
      </c>
      <c r="G258" s="32">
        <f>(D258-'Budgets 2526'!D257)/'Budgets 2526'!D257</f>
        <v>0.1744455443</v>
      </c>
      <c r="H258" s="5" t="s">
        <v>16</v>
      </c>
      <c r="I258" s="5" t="s">
        <v>16</v>
      </c>
      <c r="J258" s="121" t="s">
        <v>670</v>
      </c>
      <c r="K258" s="117"/>
    </row>
    <row r="259" ht="16.5" customHeight="1">
      <c r="B259" s="7" t="s">
        <v>77</v>
      </c>
      <c r="C259" s="7" t="s">
        <v>674</v>
      </c>
      <c r="D259" s="9"/>
      <c r="E259" s="11"/>
      <c r="F259" s="16" t="str">
        <f>+E259/$D$259</f>
        <v>#DIV/0!</v>
      </c>
      <c r="G259" s="5"/>
      <c r="H259" s="5" t="s">
        <v>16</v>
      </c>
      <c r="I259" s="5" t="s">
        <v>16</v>
      </c>
      <c r="J259" s="62"/>
      <c r="K259" s="62"/>
    </row>
    <row r="260" ht="16.5" customHeight="1">
      <c r="B260" s="7" t="s">
        <v>77</v>
      </c>
      <c r="C260" s="7" t="s">
        <v>442</v>
      </c>
      <c r="D260" s="11"/>
      <c r="E260" s="20"/>
      <c r="F260" s="16" t="str">
        <f>++E260/D260</f>
        <v>#DIV/0!</v>
      </c>
      <c r="G260" s="5"/>
      <c r="H260" s="5" t="s">
        <v>16</v>
      </c>
      <c r="I260" s="5" t="s">
        <v>16</v>
      </c>
      <c r="J260" s="117"/>
      <c r="K260" s="117"/>
    </row>
    <row r="261" ht="16.5" customHeight="1">
      <c r="B261" s="7" t="s">
        <v>77</v>
      </c>
      <c r="C261" s="7" t="s">
        <v>126</v>
      </c>
      <c r="D261" s="9"/>
      <c r="E261" s="11"/>
      <c r="F261" s="16" t="str">
        <f t="shared" ref="F261:F272" si="13">+E261/D261</f>
        <v>#DIV/0!</v>
      </c>
      <c r="G261" s="5"/>
      <c r="H261" s="5" t="s">
        <v>16</v>
      </c>
      <c r="I261" s="5" t="s">
        <v>16</v>
      </c>
      <c r="J261" s="117"/>
      <c r="K261" s="117"/>
    </row>
    <row r="262" ht="16.5" customHeight="1">
      <c r="B262" s="7" t="s">
        <v>77</v>
      </c>
      <c r="C262" s="7" t="s">
        <v>181</v>
      </c>
      <c r="D262" s="9"/>
      <c r="E262" s="20"/>
      <c r="F262" s="16" t="str">
        <f t="shared" si="13"/>
        <v>#DIV/0!</v>
      </c>
      <c r="G262" s="5"/>
      <c r="H262" s="5" t="s">
        <v>16</v>
      </c>
      <c r="I262" s="5" t="s">
        <v>16</v>
      </c>
      <c r="J262" s="117"/>
      <c r="K262" s="117"/>
    </row>
    <row r="263" ht="16.5" customHeight="1">
      <c r="B263" s="7" t="s">
        <v>77</v>
      </c>
      <c r="C263" s="7" t="s">
        <v>163</v>
      </c>
      <c r="D263" s="11"/>
      <c r="E263" s="11"/>
      <c r="F263" s="16" t="str">
        <f t="shared" si="13"/>
        <v>#DIV/0!</v>
      </c>
      <c r="G263" s="5"/>
      <c r="H263" s="5" t="s">
        <v>16</v>
      </c>
      <c r="I263" s="5" t="s">
        <v>16</v>
      </c>
      <c r="J263" s="117"/>
      <c r="K263" s="117"/>
    </row>
    <row r="264" ht="16.5" customHeight="1">
      <c r="B264" s="7" t="s">
        <v>77</v>
      </c>
      <c r="C264" s="7" t="s">
        <v>134</v>
      </c>
      <c r="D264" s="11"/>
      <c r="E264" s="11"/>
      <c r="F264" s="16" t="str">
        <f t="shared" si="13"/>
        <v>#DIV/0!</v>
      </c>
      <c r="G264" s="5"/>
      <c r="H264" s="5" t="s">
        <v>16</v>
      </c>
      <c r="I264" s="5" t="s">
        <v>16</v>
      </c>
      <c r="J264" s="117"/>
      <c r="K264" s="117"/>
    </row>
    <row r="265" ht="16.5" customHeight="1">
      <c r="B265" s="7" t="s">
        <v>212</v>
      </c>
      <c r="C265" s="7" t="s">
        <v>244</v>
      </c>
      <c r="D265" s="9"/>
      <c r="E265" s="11"/>
      <c r="F265" s="16" t="str">
        <f t="shared" si="13"/>
        <v>#DIV/0!</v>
      </c>
      <c r="G265" s="5"/>
      <c r="H265" s="5" t="s">
        <v>16</v>
      </c>
      <c r="I265" s="5" t="s">
        <v>16</v>
      </c>
      <c r="J265" s="117"/>
      <c r="K265" s="117"/>
    </row>
    <row r="266" ht="16.5" customHeight="1">
      <c r="B266" s="7" t="s">
        <v>212</v>
      </c>
      <c r="C266" s="7" t="s">
        <v>213</v>
      </c>
      <c r="D266" s="9"/>
      <c r="E266" s="11"/>
      <c r="F266" s="16" t="str">
        <f t="shared" si="13"/>
        <v>#DIV/0!</v>
      </c>
      <c r="G266" s="5"/>
      <c r="H266" s="5" t="s">
        <v>16</v>
      </c>
      <c r="I266" s="5" t="s">
        <v>16</v>
      </c>
      <c r="J266" s="117"/>
      <c r="K266" s="117"/>
    </row>
    <row r="267" ht="16.5" customHeight="1">
      <c r="B267" s="7" t="s">
        <v>59</v>
      </c>
      <c r="C267" s="7" t="s">
        <v>110</v>
      </c>
      <c r="D267" s="9"/>
      <c r="E267" s="9"/>
      <c r="F267" s="16" t="str">
        <f t="shared" si="13"/>
        <v>#DIV/0!</v>
      </c>
      <c r="G267" s="5"/>
      <c r="H267" s="5" t="s">
        <v>16</v>
      </c>
      <c r="I267" s="5" t="s">
        <v>16</v>
      </c>
      <c r="J267" s="117"/>
      <c r="K267" s="117"/>
      <c r="L267" s="64"/>
    </row>
    <row r="268" ht="16.5" customHeight="1">
      <c r="B268" s="7" t="s">
        <v>59</v>
      </c>
      <c r="C268" s="7" t="s">
        <v>266</v>
      </c>
      <c r="D268" s="11"/>
      <c r="E268" s="11"/>
      <c r="F268" s="16" t="str">
        <f t="shared" si="13"/>
        <v>#DIV/0!</v>
      </c>
      <c r="G268" s="5"/>
      <c r="H268" s="5" t="s">
        <v>16</v>
      </c>
      <c r="I268" s="5" t="s">
        <v>16</v>
      </c>
      <c r="J268" s="62"/>
      <c r="K268" s="62"/>
    </row>
    <row r="269" ht="16.5" customHeight="1">
      <c r="B269" s="7" t="s">
        <v>59</v>
      </c>
      <c r="C269" s="7" t="s">
        <v>60</v>
      </c>
      <c r="D269" s="20"/>
      <c r="E269" s="11"/>
      <c r="F269" s="16" t="str">
        <f t="shared" si="13"/>
        <v>#DIV/0!</v>
      </c>
      <c r="G269" s="5"/>
      <c r="H269" s="5" t="s">
        <v>16</v>
      </c>
      <c r="I269" s="5" t="s">
        <v>16</v>
      </c>
      <c r="J269" s="117"/>
      <c r="K269" s="117"/>
    </row>
    <row r="270" ht="16.5" customHeight="1">
      <c r="B270" s="7" t="s">
        <v>59</v>
      </c>
      <c r="C270" s="7" t="s">
        <v>128</v>
      </c>
      <c r="D270" s="20"/>
      <c r="E270" s="11"/>
      <c r="F270" s="16" t="str">
        <f t="shared" si="13"/>
        <v>#DIV/0!</v>
      </c>
      <c r="G270" s="5"/>
      <c r="H270" s="5" t="s">
        <v>16</v>
      </c>
      <c r="I270" s="5" t="s">
        <v>16</v>
      </c>
      <c r="J270" s="62"/>
      <c r="K270" s="62"/>
    </row>
    <row r="271" ht="16.5" customHeight="1">
      <c r="B271" s="7" t="s">
        <v>64</v>
      </c>
      <c r="C271" s="7" t="s">
        <v>65</v>
      </c>
      <c r="D271" s="9"/>
      <c r="E271" s="11"/>
      <c r="F271" s="16" t="str">
        <f t="shared" si="13"/>
        <v>#DIV/0!</v>
      </c>
      <c r="G271" s="5"/>
      <c r="H271" s="5" t="s">
        <v>16</v>
      </c>
      <c r="I271" s="5" t="s">
        <v>16</v>
      </c>
      <c r="J271" s="62"/>
      <c r="K271" s="62"/>
    </row>
    <row r="272" ht="16.5" customHeight="1">
      <c r="B272" s="7" t="s">
        <v>343</v>
      </c>
      <c r="C272" s="7" t="s">
        <v>344</v>
      </c>
      <c r="D272" s="9"/>
      <c r="E272" s="11"/>
      <c r="F272" s="16" t="str">
        <f t="shared" si="13"/>
        <v>#DIV/0!</v>
      </c>
      <c r="G272" s="5"/>
      <c r="H272" s="5" t="s">
        <v>16</v>
      </c>
      <c r="I272" s="5" t="s">
        <v>16</v>
      </c>
      <c r="J272" s="117"/>
      <c r="K272" s="117"/>
    </row>
    <row r="273" ht="16.5" customHeight="1">
      <c r="J273" s="3"/>
    </row>
    <row r="274" ht="15.75" customHeight="1">
      <c r="B274" s="113"/>
      <c r="C274" s="61" t="s">
        <v>685</v>
      </c>
      <c r="D274" s="2"/>
      <c r="E274" s="2"/>
      <c r="F274" s="2"/>
      <c r="G274" s="2"/>
      <c r="H274" s="2"/>
      <c r="I274" s="4"/>
      <c r="J274" s="3"/>
    </row>
    <row r="275" ht="15.75" customHeight="1">
      <c r="B275" s="125"/>
      <c r="C275" s="12" t="s">
        <v>18</v>
      </c>
      <c r="D275" s="12" t="s">
        <v>688</v>
      </c>
      <c r="E275" s="12" t="s">
        <v>689</v>
      </c>
      <c r="F275" s="12" t="s">
        <v>690</v>
      </c>
      <c r="G275" s="6" t="s">
        <v>12</v>
      </c>
      <c r="H275" s="126" t="s">
        <v>25</v>
      </c>
      <c r="I275" s="126" t="s">
        <v>692</v>
      </c>
      <c r="J275" s="29" t="s">
        <v>135</v>
      </c>
      <c r="K275" s="115" t="s">
        <v>136</v>
      </c>
    </row>
    <row r="276" ht="15.75" customHeight="1">
      <c r="B276" s="127"/>
      <c r="C276" s="7"/>
      <c r="D276" s="9"/>
      <c r="E276" s="11"/>
      <c r="F276" s="16"/>
      <c r="G276" s="7"/>
      <c r="H276" s="7"/>
      <c r="I276" s="7" t="s">
        <v>16</v>
      </c>
      <c r="J276" s="62"/>
      <c r="K276" s="62"/>
    </row>
    <row r="277" ht="15.75" customHeight="1">
      <c r="B277" s="127"/>
      <c r="C277" s="7" t="s">
        <v>694</v>
      </c>
      <c r="D277" s="9">
        <v>1.0E7</v>
      </c>
      <c r="E277" s="9">
        <v>6000000.0</v>
      </c>
      <c r="F277" s="16">
        <f t="shared" ref="F277:F279" si="14">+E277/D277</f>
        <v>0.6</v>
      </c>
      <c r="G277" s="7"/>
      <c r="H277" s="7"/>
      <c r="I277" s="7" t="s">
        <v>16</v>
      </c>
      <c r="J277" s="42" t="s">
        <v>697</v>
      </c>
      <c r="K277" s="62"/>
    </row>
    <row r="278" ht="15.75" customHeight="1">
      <c r="B278" s="127"/>
      <c r="C278" s="7" t="s">
        <v>702</v>
      </c>
      <c r="D278" s="11">
        <v>1.6E7</v>
      </c>
      <c r="E278" s="9">
        <v>1.0E7</v>
      </c>
      <c r="F278" s="16">
        <f t="shared" si="14"/>
        <v>0.625</v>
      </c>
      <c r="G278" s="7"/>
      <c r="H278" s="7"/>
      <c r="I278" s="7" t="s">
        <v>16</v>
      </c>
      <c r="J278" s="42" t="s">
        <v>703</v>
      </c>
      <c r="K278" s="62"/>
    </row>
    <row r="279" ht="15.75" customHeight="1">
      <c r="B279" s="127"/>
      <c r="C279" s="7" t="s">
        <v>707</v>
      </c>
      <c r="D279" s="11">
        <v>1.8E7</v>
      </c>
      <c r="E279" s="9">
        <v>1.2E7</v>
      </c>
      <c r="F279" s="16">
        <f t="shared" si="14"/>
        <v>0.6666666667</v>
      </c>
      <c r="G279" s="7"/>
      <c r="H279" s="7"/>
      <c r="I279" s="7" t="s">
        <v>16</v>
      </c>
      <c r="J279" s="42" t="s">
        <v>709</v>
      </c>
      <c r="K279" s="62"/>
    </row>
    <row r="280" ht="15.75" customHeight="1">
      <c r="B280" s="127"/>
      <c r="C280" s="7"/>
      <c r="D280" s="9"/>
      <c r="E280" s="9"/>
      <c r="F280" s="16"/>
      <c r="G280" s="7"/>
      <c r="H280" s="7"/>
      <c r="I280" s="7"/>
      <c r="J280" s="62"/>
      <c r="K280" s="62"/>
    </row>
    <row r="281" ht="15.75" customHeight="1">
      <c r="B281" s="127"/>
      <c r="C281" s="7" t="s">
        <v>713</v>
      </c>
      <c r="D281" s="11">
        <v>1350000.0</v>
      </c>
      <c r="E281" s="9">
        <v>880000.0</v>
      </c>
      <c r="F281" s="16">
        <f>+E281/D281</f>
        <v>0.6518518519</v>
      </c>
      <c r="G281" s="7"/>
      <c r="H281" s="7" t="s">
        <v>16</v>
      </c>
      <c r="I281" s="5" t="s">
        <v>16</v>
      </c>
      <c r="J281" s="122" t="s">
        <v>715</v>
      </c>
      <c r="K281" s="122"/>
    </row>
    <row r="282" ht="15.75" customHeight="1">
      <c r="B282" s="127"/>
      <c r="C282" s="7"/>
      <c r="D282" s="9"/>
      <c r="E282" s="9"/>
      <c r="F282" s="16"/>
      <c r="G282" s="7"/>
      <c r="H282" s="7"/>
      <c r="I282" s="7"/>
      <c r="J282" s="62"/>
      <c r="K282" s="62"/>
    </row>
    <row r="283" ht="15.75" customHeight="1">
      <c r="C283" s="7"/>
      <c r="D283" s="9"/>
      <c r="E283" s="9"/>
      <c r="F283" s="16"/>
      <c r="G283" s="7"/>
      <c r="H283" s="7"/>
      <c r="I283" s="7"/>
      <c r="J283" s="62"/>
      <c r="K283" s="62"/>
    </row>
    <row r="284" ht="15.75" customHeight="1">
      <c r="C284" s="7"/>
      <c r="D284" s="9"/>
      <c r="E284" s="11"/>
      <c r="F284" s="16"/>
      <c r="G284" s="7"/>
      <c r="H284" s="7"/>
      <c r="I284" s="7"/>
      <c r="J284" s="62"/>
      <c r="K284" s="62"/>
    </row>
    <row r="285" ht="15.75" customHeight="1">
      <c r="C285" s="7"/>
      <c r="D285" s="11"/>
      <c r="E285" s="20"/>
      <c r="F285" s="16"/>
      <c r="G285" s="7"/>
      <c r="H285" s="7"/>
      <c r="I285" s="5"/>
      <c r="J285" s="117"/>
      <c r="K285" s="117"/>
    </row>
    <row r="286" ht="15.75" customHeight="1">
      <c r="C286" s="7"/>
      <c r="D286" s="9"/>
      <c r="E286" s="11"/>
      <c r="F286" s="16"/>
      <c r="G286" s="16"/>
      <c r="H286" s="16"/>
      <c r="I286" s="7"/>
      <c r="J286" s="62"/>
      <c r="K286" s="62"/>
    </row>
    <row r="287" ht="15.75" customHeight="1">
      <c r="C287" s="5"/>
      <c r="D287" s="9"/>
      <c r="E287" s="11"/>
      <c r="F287" s="16"/>
      <c r="G287" s="5"/>
      <c r="H287" s="5"/>
      <c r="I287" s="7"/>
      <c r="J287" s="62"/>
      <c r="K287" s="62"/>
    </row>
    <row r="288" ht="15.75" customHeight="1">
      <c r="C288" s="5"/>
      <c r="D288" s="9"/>
      <c r="E288" s="9"/>
      <c r="F288" s="16"/>
      <c r="G288" s="5"/>
      <c r="H288" s="5"/>
      <c r="I288" s="5"/>
      <c r="J288" s="128"/>
      <c r="K288" s="62"/>
    </row>
    <row r="289" ht="15.75" customHeight="1">
      <c r="C289" s="5"/>
      <c r="D289" s="9"/>
      <c r="E289" s="11"/>
      <c r="F289" s="16"/>
      <c r="G289" s="5"/>
      <c r="H289" s="5"/>
      <c r="I289" s="7"/>
      <c r="J289" s="128"/>
      <c r="K289" s="62"/>
    </row>
    <row r="290" ht="15.75" customHeight="1">
      <c r="J290" s="129" t="s">
        <v>721</v>
      </c>
    </row>
    <row r="291" ht="15.75" customHeight="1">
      <c r="J291" s="129" t="s">
        <v>294</v>
      </c>
    </row>
    <row r="292" ht="15.75" customHeight="1">
      <c r="J292" s="129" t="s">
        <v>723</v>
      </c>
    </row>
    <row r="293" ht="15.75" customHeight="1">
      <c r="J293" s="129" t="s">
        <v>725</v>
      </c>
    </row>
    <row r="294" ht="15.75" customHeight="1">
      <c r="J294" s="128" t="s">
        <v>729</v>
      </c>
    </row>
    <row r="295" ht="15.75" customHeight="1">
      <c r="J295" s="129" t="s">
        <v>730</v>
      </c>
    </row>
    <row r="296" ht="15.75" customHeight="1">
      <c r="J296" s="129" t="s">
        <v>731</v>
      </c>
      <c r="K296" s="110" t="s">
        <v>601</v>
      </c>
    </row>
    <row r="297" ht="15.75" customHeight="1">
      <c r="J297" s="129" t="s">
        <v>733</v>
      </c>
    </row>
    <row r="298" ht="15.75" customHeight="1">
      <c r="J298" s="129" t="s">
        <v>736</v>
      </c>
    </row>
    <row r="299" ht="15.75" customHeight="1">
      <c r="J299" s="129" t="s">
        <v>737</v>
      </c>
    </row>
    <row r="300" ht="15.75" customHeight="1">
      <c r="J300" s="110" t="s">
        <v>743</v>
      </c>
    </row>
    <row r="301" ht="15.75" customHeight="1">
      <c r="J301" s="129" t="s">
        <v>746</v>
      </c>
    </row>
    <row r="302" ht="15.75" customHeight="1">
      <c r="J302" s="129" t="s">
        <v>749</v>
      </c>
    </row>
    <row r="303" ht="15.75" customHeight="1">
      <c r="J303" s="129" t="s">
        <v>755</v>
      </c>
    </row>
    <row r="304" ht="15.75" customHeight="1">
      <c r="J304" s="129" t="s">
        <v>757</v>
      </c>
    </row>
    <row r="305" ht="15.75" customHeight="1">
      <c r="J305" s="129" t="s">
        <v>760</v>
      </c>
    </row>
    <row r="306" ht="15.75" customHeight="1">
      <c r="J306" s="129" t="s">
        <v>761</v>
      </c>
    </row>
    <row r="307" ht="15.75" customHeight="1">
      <c r="J307" s="129" t="s">
        <v>765</v>
      </c>
    </row>
    <row r="308" ht="15.75" customHeight="1">
      <c r="J308" s="129" t="s">
        <v>767</v>
      </c>
    </row>
    <row r="309" ht="15.75" customHeight="1">
      <c r="J309" s="129" t="s">
        <v>769</v>
      </c>
    </row>
    <row r="310" ht="15.75" customHeight="1">
      <c r="J310" s="129" t="s">
        <v>769</v>
      </c>
    </row>
    <row r="311" ht="15.75" customHeight="1">
      <c r="J311" s="129" t="s">
        <v>774</v>
      </c>
    </row>
    <row r="312" ht="15.75" customHeight="1">
      <c r="J312" s="3"/>
    </row>
    <row r="313" ht="15.75" customHeight="1">
      <c r="J313" s="3"/>
    </row>
    <row r="314" ht="15.75" customHeight="1">
      <c r="J314" s="3"/>
    </row>
    <row r="315" ht="15.75" customHeight="1">
      <c r="J315" s="3"/>
    </row>
    <row r="316" ht="15.75" customHeight="1">
      <c r="J316" s="3"/>
    </row>
    <row r="317" ht="15.75" customHeight="1">
      <c r="J317" s="3"/>
    </row>
    <row r="318" ht="15.75" customHeight="1">
      <c r="J318" s="3"/>
    </row>
    <row r="319" ht="15.75" customHeight="1">
      <c r="J319" s="3"/>
    </row>
    <row r="320" ht="15.75" customHeight="1">
      <c r="J320" s="3"/>
    </row>
    <row r="321" ht="15.75" customHeight="1">
      <c r="J321" s="3"/>
    </row>
    <row r="322" ht="15.75" customHeight="1">
      <c r="J322" s="3"/>
    </row>
    <row r="323" ht="15.75" customHeight="1">
      <c r="J323" s="3"/>
    </row>
    <row r="324" ht="15.75" customHeight="1">
      <c r="J324" s="3"/>
    </row>
    <row r="325" ht="15.75" customHeight="1">
      <c r="J325" s="3"/>
    </row>
    <row r="326" ht="15.75" customHeight="1">
      <c r="J326" s="3"/>
    </row>
    <row r="327" ht="15.75" customHeight="1">
      <c r="J327" s="3"/>
    </row>
    <row r="328" ht="15.75" customHeight="1">
      <c r="J328" s="3"/>
    </row>
    <row r="329" ht="15.75" customHeight="1">
      <c r="J329" s="3"/>
    </row>
    <row r="330" ht="15.75" customHeight="1">
      <c r="J330" s="3"/>
    </row>
    <row r="331" ht="15.75" customHeight="1">
      <c r="J331" s="3"/>
    </row>
    <row r="332" ht="15.75" customHeight="1">
      <c r="J332" s="3"/>
    </row>
    <row r="333" ht="15.75" customHeight="1">
      <c r="J333" s="3"/>
    </row>
    <row r="334" ht="15.75" customHeight="1">
      <c r="J334" s="3"/>
    </row>
    <row r="335" ht="15.75" customHeight="1">
      <c r="J335" s="3"/>
    </row>
    <row r="336" ht="15.75" customHeight="1">
      <c r="J336" s="3"/>
    </row>
    <row r="337" ht="15.75" customHeight="1">
      <c r="J337" s="3"/>
    </row>
    <row r="338" ht="15.75" customHeight="1">
      <c r="J338" s="3"/>
    </row>
    <row r="339" ht="15.75" customHeight="1">
      <c r="J339" s="3"/>
    </row>
    <row r="340" ht="15.75" customHeight="1">
      <c r="J340" s="3"/>
    </row>
    <row r="341" ht="15.75" customHeight="1">
      <c r="J341" s="3"/>
    </row>
    <row r="342" ht="15.75" customHeight="1">
      <c r="J342" s="3"/>
    </row>
    <row r="343" ht="15.75" customHeight="1">
      <c r="J343" s="3"/>
    </row>
    <row r="344" ht="15.75" customHeight="1">
      <c r="J344" s="3"/>
    </row>
    <row r="345" ht="15.75" customHeight="1">
      <c r="J345" s="3"/>
    </row>
    <row r="346" ht="15.75" customHeight="1">
      <c r="J346" s="3"/>
    </row>
    <row r="347" ht="15.75" customHeight="1">
      <c r="J347" s="3"/>
    </row>
    <row r="348" ht="15.75" customHeight="1">
      <c r="J348" s="3"/>
    </row>
    <row r="349" ht="15.75" customHeight="1">
      <c r="J349" s="3"/>
    </row>
    <row r="350" ht="15.75" customHeight="1">
      <c r="J350" s="3"/>
    </row>
    <row r="351" ht="15.75" customHeight="1">
      <c r="J351" s="3"/>
    </row>
    <row r="352" ht="15.75" customHeight="1">
      <c r="J352" s="3"/>
    </row>
    <row r="353" ht="15.75" customHeight="1">
      <c r="J353" s="3"/>
    </row>
    <row r="354" ht="15.75" customHeight="1">
      <c r="J354" s="3"/>
    </row>
    <row r="355" ht="15.75" customHeight="1">
      <c r="J355" s="3"/>
    </row>
    <row r="356" ht="15.75" customHeight="1">
      <c r="J356" s="3"/>
    </row>
    <row r="357" ht="15.75" customHeight="1">
      <c r="J357" s="3"/>
    </row>
    <row r="358" ht="15.75" customHeight="1">
      <c r="J358" s="3"/>
    </row>
    <row r="359" ht="15.75" customHeight="1">
      <c r="J359" s="3"/>
    </row>
    <row r="360" ht="15.75" customHeight="1">
      <c r="J360" s="3"/>
    </row>
    <row r="361" ht="15.75" customHeight="1">
      <c r="J361" s="3"/>
    </row>
    <row r="362" ht="15.75" customHeight="1">
      <c r="J362" s="3"/>
    </row>
    <row r="363" ht="15.75" customHeight="1">
      <c r="J363" s="3"/>
    </row>
    <row r="364" ht="15.75" customHeight="1">
      <c r="J364" s="3"/>
    </row>
    <row r="365" ht="15.75" customHeight="1">
      <c r="J365" s="3"/>
    </row>
    <row r="366" ht="15.75" customHeight="1">
      <c r="J366" s="3"/>
    </row>
    <row r="367" ht="15.75" customHeight="1">
      <c r="J367" s="3"/>
    </row>
    <row r="368" ht="15.75" customHeight="1">
      <c r="J368" s="3"/>
    </row>
    <row r="369" ht="15.75" customHeight="1">
      <c r="J369" s="3"/>
    </row>
    <row r="370" ht="15.75" customHeight="1">
      <c r="J370" s="3"/>
    </row>
    <row r="371" ht="15.75" customHeight="1">
      <c r="J371" s="3"/>
    </row>
    <row r="372" ht="15.75" customHeight="1">
      <c r="J372" s="3"/>
    </row>
    <row r="373" ht="15.75" customHeight="1">
      <c r="J373" s="3"/>
    </row>
    <row r="374" ht="15.75" customHeight="1">
      <c r="J374" s="3"/>
    </row>
    <row r="375" ht="15.75" customHeight="1">
      <c r="J375" s="3"/>
    </row>
    <row r="376" ht="15.75" customHeight="1">
      <c r="J376" s="3"/>
    </row>
    <row r="377" ht="15.75" customHeight="1">
      <c r="J377" s="3"/>
    </row>
    <row r="378" ht="15.75" customHeight="1">
      <c r="J378" s="3"/>
    </row>
    <row r="379" ht="15.75" customHeight="1">
      <c r="J379" s="3"/>
    </row>
    <row r="380" ht="15.75" customHeight="1">
      <c r="J380" s="3"/>
    </row>
    <row r="381" ht="15.75" customHeight="1">
      <c r="J381" s="3"/>
    </row>
    <row r="382" ht="15.75" customHeight="1">
      <c r="J382" s="3"/>
    </row>
    <row r="383" ht="15.75" customHeight="1">
      <c r="J383" s="3"/>
    </row>
    <row r="384" ht="15.75" customHeight="1">
      <c r="J384" s="3"/>
    </row>
    <row r="385" ht="15.75" customHeight="1">
      <c r="J385" s="3"/>
    </row>
    <row r="386" ht="15.75" customHeight="1">
      <c r="J386" s="3"/>
    </row>
    <row r="387" ht="15.75" customHeight="1">
      <c r="J387" s="3"/>
    </row>
    <row r="388" ht="15.75" customHeight="1">
      <c r="J388" s="3"/>
    </row>
    <row r="389" ht="15.75" customHeight="1">
      <c r="J389" s="3"/>
    </row>
    <row r="390" ht="15.75" customHeight="1">
      <c r="J390" s="3"/>
    </row>
    <row r="391" ht="15.75" customHeight="1">
      <c r="J391" s="3"/>
    </row>
    <row r="392" ht="15.75" customHeight="1">
      <c r="J392" s="3"/>
    </row>
    <row r="393" ht="15.75" customHeight="1">
      <c r="J393" s="3"/>
    </row>
    <row r="394" ht="15.75" customHeight="1">
      <c r="J394" s="3"/>
    </row>
    <row r="395" ht="15.75" customHeight="1">
      <c r="J395" s="3"/>
    </row>
    <row r="396" ht="15.75" customHeight="1">
      <c r="J396" s="3"/>
    </row>
    <row r="397" ht="15.75" customHeight="1">
      <c r="J397" s="3"/>
    </row>
    <row r="398" ht="15.75" customHeight="1">
      <c r="J398" s="3"/>
    </row>
    <row r="399" ht="15.75" customHeight="1">
      <c r="J399" s="3"/>
    </row>
    <row r="400" ht="15.75" customHeight="1">
      <c r="J400" s="3"/>
    </row>
    <row r="401" ht="15.75" customHeight="1">
      <c r="J401" s="3"/>
    </row>
    <row r="402" ht="15.75" customHeight="1">
      <c r="J402" s="3"/>
    </row>
    <row r="403" ht="15.75" customHeight="1">
      <c r="J403" s="3"/>
    </row>
    <row r="404" ht="15.75" customHeight="1">
      <c r="J404" s="3"/>
    </row>
    <row r="405" ht="15.75" customHeight="1">
      <c r="J405" s="3"/>
    </row>
    <row r="406" ht="15.75" customHeight="1">
      <c r="J406" s="3"/>
    </row>
    <row r="407" ht="15.75" customHeight="1">
      <c r="J407" s="3"/>
    </row>
    <row r="408" ht="15.75" customHeight="1">
      <c r="J408" s="3"/>
    </row>
    <row r="409" ht="15.75" customHeight="1">
      <c r="J409" s="3"/>
    </row>
    <row r="410" ht="15.75" customHeight="1">
      <c r="J410" s="3"/>
    </row>
    <row r="411" ht="15.75" customHeight="1">
      <c r="J411" s="3"/>
    </row>
    <row r="412" ht="15.75" customHeight="1">
      <c r="J412" s="3"/>
    </row>
    <row r="413" ht="15.75" customHeight="1">
      <c r="J413" s="3"/>
    </row>
    <row r="414" ht="15.75" customHeight="1">
      <c r="J414" s="3"/>
    </row>
    <row r="415" ht="15.75" customHeight="1">
      <c r="J415" s="3"/>
    </row>
    <row r="416" ht="15.75" customHeight="1">
      <c r="J416" s="3"/>
    </row>
    <row r="417" ht="15.75" customHeight="1">
      <c r="J417" s="3"/>
    </row>
    <row r="418" ht="15.75" customHeight="1">
      <c r="J418" s="3"/>
    </row>
    <row r="419" ht="15.75" customHeight="1">
      <c r="J419" s="3"/>
    </row>
    <row r="420" ht="15.75" customHeight="1">
      <c r="J420" s="3"/>
    </row>
    <row r="421" ht="15.75" customHeight="1">
      <c r="J421" s="3"/>
    </row>
    <row r="422" ht="15.75" customHeight="1">
      <c r="J422" s="3"/>
    </row>
    <row r="423" ht="15.75" customHeight="1">
      <c r="J423" s="3"/>
    </row>
    <row r="424" ht="15.75" customHeight="1">
      <c r="J424" s="3"/>
    </row>
    <row r="425" ht="15.75" customHeight="1">
      <c r="J425" s="3"/>
    </row>
    <row r="426" ht="15.75" customHeight="1">
      <c r="J426" s="3"/>
    </row>
    <row r="427" ht="15.75" customHeight="1">
      <c r="J427" s="3"/>
    </row>
    <row r="428" ht="15.75" customHeight="1">
      <c r="J428" s="3"/>
    </row>
    <row r="429" ht="15.75" customHeight="1">
      <c r="J429" s="3"/>
    </row>
    <row r="430" ht="15.75" customHeight="1">
      <c r="J430" s="3"/>
    </row>
    <row r="431" ht="15.75" customHeight="1">
      <c r="J431" s="3"/>
    </row>
    <row r="432" ht="15.75" customHeight="1">
      <c r="J432" s="3"/>
    </row>
    <row r="433" ht="15.75" customHeight="1">
      <c r="J433" s="3"/>
    </row>
    <row r="434" ht="15.75" customHeight="1">
      <c r="J434" s="3"/>
    </row>
    <row r="435" ht="15.75" customHeight="1">
      <c r="J435" s="3"/>
    </row>
    <row r="436" ht="15.75" customHeight="1">
      <c r="J436" s="3"/>
    </row>
    <row r="437" ht="15.75" customHeight="1">
      <c r="J437" s="3"/>
    </row>
    <row r="438" ht="15.75" customHeight="1">
      <c r="J438" s="3"/>
    </row>
    <row r="439" ht="15.75" customHeight="1">
      <c r="J439" s="3"/>
    </row>
    <row r="440" ht="15.75" customHeight="1">
      <c r="J440" s="3"/>
    </row>
    <row r="441" ht="15.75" customHeight="1">
      <c r="J441" s="3"/>
    </row>
    <row r="442" ht="15.75" customHeight="1">
      <c r="J442" s="3"/>
    </row>
    <row r="443" ht="15.75" customHeight="1">
      <c r="J443" s="3"/>
    </row>
    <row r="444" ht="15.75" customHeight="1">
      <c r="J444" s="3"/>
    </row>
    <row r="445" ht="15.75" customHeight="1">
      <c r="J445" s="3"/>
    </row>
    <row r="446" ht="15.75" customHeight="1">
      <c r="J446" s="3"/>
    </row>
    <row r="447" ht="15.75" customHeight="1">
      <c r="J447" s="3"/>
    </row>
    <row r="448" ht="15.75" customHeight="1">
      <c r="J448" s="3"/>
    </row>
    <row r="449" ht="15.75" customHeight="1">
      <c r="J449" s="3"/>
    </row>
    <row r="450" ht="15.75" customHeight="1">
      <c r="J450" s="3"/>
    </row>
    <row r="451" ht="15.75" customHeight="1">
      <c r="J451" s="3"/>
    </row>
    <row r="452" ht="15.75" customHeight="1">
      <c r="J452" s="3"/>
    </row>
    <row r="453" ht="15.75" customHeight="1">
      <c r="J453" s="3"/>
    </row>
    <row r="454" ht="15.75" customHeight="1">
      <c r="J454" s="3"/>
    </row>
    <row r="455" ht="15.75" customHeight="1">
      <c r="J455" s="3"/>
    </row>
    <row r="456" ht="15.75" customHeight="1">
      <c r="J456" s="3"/>
    </row>
    <row r="457" ht="15.75" customHeight="1">
      <c r="J457" s="3"/>
    </row>
    <row r="458" ht="15.75" customHeight="1">
      <c r="J458" s="3"/>
    </row>
    <row r="459" ht="15.75" customHeight="1">
      <c r="J459" s="3"/>
    </row>
    <row r="460" ht="15.75" customHeight="1">
      <c r="J460" s="3"/>
    </row>
    <row r="461" ht="15.75" customHeight="1">
      <c r="J461" s="3"/>
    </row>
    <row r="462" ht="15.75" customHeight="1">
      <c r="J462" s="3"/>
    </row>
    <row r="463" ht="15.75" customHeight="1">
      <c r="J463" s="3"/>
    </row>
    <row r="464" ht="15.75" customHeight="1">
      <c r="J464" s="3"/>
    </row>
    <row r="465" ht="15.75" customHeight="1">
      <c r="J465" s="3"/>
    </row>
    <row r="466" ht="15.75" customHeight="1">
      <c r="J466" s="3"/>
    </row>
    <row r="467" ht="15.75" customHeight="1">
      <c r="J467" s="3"/>
    </row>
    <row r="468" ht="15.75" customHeight="1">
      <c r="J468" s="3"/>
    </row>
    <row r="469" ht="15.75" customHeight="1">
      <c r="J469" s="3"/>
    </row>
    <row r="470" ht="15.75" customHeight="1">
      <c r="J470" s="3"/>
    </row>
    <row r="471" ht="15.75" customHeight="1">
      <c r="J471" s="3"/>
    </row>
    <row r="472" ht="15.75" customHeight="1">
      <c r="J472" s="3"/>
    </row>
    <row r="473" ht="15.75" customHeight="1">
      <c r="J473" s="3"/>
    </row>
    <row r="474" ht="15.75" customHeight="1">
      <c r="J474" s="3"/>
    </row>
    <row r="475" ht="15.75" customHeight="1">
      <c r="J475" s="3"/>
    </row>
    <row r="476" ht="15.75" customHeight="1">
      <c r="J476" s="3"/>
    </row>
    <row r="477" ht="15.75" customHeight="1">
      <c r="J477" s="3"/>
    </row>
    <row r="478" ht="15.75" customHeight="1">
      <c r="J478" s="3"/>
    </row>
    <row r="479" ht="15.75" customHeight="1">
      <c r="J479" s="3"/>
    </row>
    <row r="480" ht="15.75" customHeight="1">
      <c r="J480" s="3"/>
    </row>
    <row r="481" ht="15.75" customHeight="1">
      <c r="J481" s="3"/>
    </row>
    <row r="482" ht="15.75" customHeight="1">
      <c r="J482" s="3"/>
    </row>
    <row r="483" ht="15.75" customHeight="1">
      <c r="J483" s="3"/>
    </row>
    <row r="484" ht="15.75" customHeight="1">
      <c r="J484" s="3"/>
    </row>
    <row r="485" ht="15.75" customHeight="1">
      <c r="J485" s="3"/>
    </row>
    <row r="486" ht="15.75" customHeight="1">
      <c r="J486" s="3"/>
    </row>
    <row r="487" ht="15.75" customHeight="1">
      <c r="J487" s="3"/>
    </row>
    <row r="488" ht="15.75" customHeight="1">
      <c r="J488" s="3"/>
    </row>
    <row r="489" ht="15.75" customHeight="1">
      <c r="J489" s="3"/>
    </row>
    <row r="490" ht="15.75" customHeight="1">
      <c r="J490" s="3"/>
    </row>
    <row r="491" ht="15.75" customHeight="1">
      <c r="J491" s="3"/>
    </row>
    <row r="492" ht="15.75" customHeight="1">
      <c r="J492" s="3"/>
    </row>
    <row r="493" ht="15.75" customHeight="1">
      <c r="J493" s="3"/>
    </row>
    <row r="494" ht="15.75" customHeight="1">
      <c r="J494" s="3"/>
    </row>
    <row r="495" ht="15.75" customHeight="1">
      <c r="J495" s="3"/>
    </row>
    <row r="496" ht="15.75" customHeight="1">
      <c r="J496" s="3"/>
    </row>
    <row r="497" ht="15.75" customHeight="1">
      <c r="J497" s="3"/>
    </row>
    <row r="498" ht="15.75" customHeight="1">
      <c r="J498" s="3"/>
    </row>
    <row r="499" ht="15.75" customHeight="1">
      <c r="J499" s="3"/>
    </row>
    <row r="500" ht="15.75" customHeight="1">
      <c r="J500" s="3"/>
    </row>
    <row r="501" ht="15.75" customHeight="1">
      <c r="J501" s="3"/>
    </row>
    <row r="502" ht="15.75" customHeight="1">
      <c r="J502" s="3"/>
    </row>
    <row r="503" ht="15.75" customHeight="1">
      <c r="J503" s="3"/>
    </row>
    <row r="504" ht="15.75" customHeight="1">
      <c r="J504" s="3"/>
    </row>
    <row r="505" ht="15.75" customHeight="1">
      <c r="J505" s="3"/>
    </row>
    <row r="506" ht="15.75" customHeight="1">
      <c r="J506" s="3"/>
    </row>
    <row r="507" ht="15.75" customHeight="1">
      <c r="J507" s="3"/>
    </row>
    <row r="508" ht="15.75" customHeight="1">
      <c r="J508" s="3"/>
    </row>
    <row r="509" ht="15.75" customHeight="1">
      <c r="J509" s="3"/>
    </row>
    <row r="510" ht="15.75" customHeight="1">
      <c r="J510" s="3"/>
    </row>
    <row r="511" ht="15.75" customHeight="1">
      <c r="J511" s="3"/>
    </row>
    <row r="512" ht="15.75" customHeight="1">
      <c r="J512" s="3"/>
    </row>
    <row r="513" ht="15.75" customHeight="1">
      <c r="J513" s="3"/>
    </row>
    <row r="514" ht="15.75" customHeight="1">
      <c r="J514" s="3"/>
    </row>
    <row r="515" ht="15.75" customHeight="1">
      <c r="J515" s="3"/>
    </row>
    <row r="516" ht="15.75" customHeight="1">
      <c r="J516" s="3"/>
    </row>
    <row r="517" ht="15.75" customHeight="1">
      <c r="J517" s="3"/>
    </row>
    <row r="518" ht="15.75" customHeight="1">
      <c r="J518" s="3"/>
    </row>
    <row r="519" ht="15.75" customHeight="1">
      <c r="J519" s="3"/>
    </row>
    <row r="520" ht="15.75" customHeight="1">
      <c r="J520" s="3"/>
    </row>
    <row r="521" ht="15.75" customHeight="1">
      <c r="J521" s="3"/>
    </row>
    <row r="522" ht="15.75" customHeight="1">
      <c r="J522" s="3"/>
    </row>
    <row r="523" ht="15.75" customHeight="1">
      <c r="J523" s="3"/>
    </row>
    <row r="524" ht="15.75" customHeight="1">
      <c r="J524" s="3"/>
    </row>
    <row r="525" ht="15.75" customHeight="1">
      <c r="J525" s="3"/>
    </row>
    <row r="526" ht="15.75" customHeight="1">
      <c r="J526" s="3"/>
    </row>
    <row r="527" ht="15.75" customHeight="1">
      <c r="J527" s="3"/>
    </row>
    <row r="528" ht="15.75" customHeight="1">
      <c r="J528" s="3"/>
    </row>
    <row r="529" ht="15.75" customHeight="1">
      <c r="J529" s="3"/>
    </row>
    <row r="530" ht="15.75" customHeight="1">
      <c r="J530" s="3"/>
    </row>
    <row r="531" ht="15.75" customHeight="1">
      <c r="J531" s="3"/>
    </row>
    <row r="532" ht="15.75" customHeight="1">
      <c r="J532" s="3"/>
    </row>
    <row r="533" ht="15.75" customHeight="1">
      <c r="J533" s="3"/>
    </row>
    <row r="534" ht="15.75" customHeight="1">
      <c r="J534" s="3"/>
    </row>
    <row r="535" ht="15.75" customHeight="1">
      <c r="J535" s="3"/>
    </row>
    <row r="536" ht="15.75" customHeight="1">
      <c r="J536" s="3"/>
    </row>
    <row r="537" ht="15.75" customHeight="1">
      <c r="J537" s="3"/>
    </row>
    <row r="538" ht="15.75" customHeight="1">
      <c r="J538" s="3"/>
    </row>
    <row r="539" ht="15.75" customHeight="1">
      <c r="J539" s="3"/>
    </row>
    <row r="540" ht="15.75" customHeight="1">
      <c r="J540" s="3"/>
    </row>
    <row r="541" ht="15.75" customHeight="1">
      <c r="J541" s="3"/>
    </row>
    <row r="542" ht="15.75" customHeight="1">
      <c r="J542" s="3"/>
    </row>
    <row r="543" ht="15.75" customHeight="1">
      <c r="J543" s="3"/>
    </row>
    <row r="544" ht="15.75" customHeight="1">
      <c r="J544" s="3"/>
    </row>
    <row r="545" ht="15.75" customHeight="1">
      <c r="J545" s="3"/>
    </row>
    <row r="546" ht="15.75" customHeight="1">
      <c r="J546" s="3"/>
    </row>
    <row r="547" ht="15.75" customHeight="1">
      <c r="J547" s="3"/>
    </row>
    <row r="548" ht="15.75" customHeight="1">
      <c r="J548" s="3"/>
    </row>
    <row r="549" ht="15.75" customHeight="1">
      <c r="J549" s="3"/>
    </row>
    <row r="550" ht="15.75" customHeight="1">
      <c r="J550" s="3"/>
    </row>
    <row r="551" ht="15.75" customHeight="1">
      <c r="J551" s="3"/>
    </row>
    <row r="552" ht="15.75" customHeight="1">
      <c r="J552" s="3"/>
    </row>
    <row r="553" ht="15.75" customHeight="1">
      <c r="J553" s="3"/>
    </row>
    <row r="554" ht="15.75" customHeight="1">
      <c r="J554" s="3"/>
    </row>
    <row r="555" ht="15.75" customHeight="1">
      <c r="J555" s="3"/>
    </row>
    <row r="556" ht="15.75" customHeight="1">
      <c r="J556" s="3"/>
    </row>
    <row r="557" ht="15.75" customHeight="1">
      <c r="J557" s="3"/>
    </row>
    <row r="558" ht="15.75" customHeight="1">
      <c r="J558" s="3"/>
    </row>
    <row r="559" ht="15.75" customHeight="1">
      <c r="J559" s="3"/>
    </row>
    <row r="560" ht="15.75" customHeight="1">
      <c r="J560" s="3"/>
    </row>
    <row r="561" ht="15.75" customHeight="1">
      <c r="J561" s="3"/>
    </row>
    <row r="562" ht="15.75" customHeight="1">
      <c r="J562" s="3"/>
    </row>
    <row r="563" ht="15.75" customHeight="1">
      <c r="J563" s="3"/>
    </row>
    <row r="564" ht="15.75" customHeight="1">
      <c r="J564" s="3"/>
    </row>
    <row r="565" ht="15.75" customHeight="1">
      <c r="J565" s="3"/>
    </row>
    <row r="566" ht="15.75" customHeight="1">
      <c r="J566" s="3"/>
    </row>
    <row r="567" ht="15.75" customHeight="1">
      <c r="J567" s="3"/>
    </row>
    <row r="568" ht="15.75" customHeight="1">
      <c r="J568" s="3"/>
    </row>
    <row r="569" ht="15.75" customHeight="1">
      <c r="J569" s="3"/>
    </row>
    <row r="570" ht="15.75" customHeight="1">
      <c r="J570" s="3"/>
    </row>
    <row r="571" ht="15.75" customHeight="1">
      <c r="J571" s="3"/>
    </row>
    <row r="572" ht="15.75" customHeight="1">
      <c r="J572" s="3"/>
    </row>
    <row r="573" ht="15.75" customHeight="1">
      <c r="J573" s="3"/>
    </row>
    <row r="574" ht="15.75" customHeight="1">
      <c r="J574" s="3"/>
    </row>
    <row r="575" ht="15.75" customHeight="1">
      <c r="J575" s="3"/>
    </row>
    <row r="576" ht="15.75" customHeight="1">
      <c r="J576" s="3"/>
    </row>
    <row r="577" ht="15.75" customHeight="1">
      <c r="J577" s="3"/>
    </row>
    <row r="578" ht="15.75" customHeight="1">
      <c r="J578" s="3"/>
    </row>
    <row r="579" ht="15.75" customHeight="1">
      <c r="J579" s="3"/>
    </row>
    <row r="580" ht="15.75" customHeight="1">
      <c r="J580" s="3"/>
    </row>
    <row r="581" ht="15.75" customHeight="1">
      <c r="J581" s="3"/>
    </row>
    <row r="582" ht="15.75" customHeight="1">
      <c r="J582" s="3"/>
    </row>
    <row r="583" ht="15.75" customHeight="1">
      <c r="J583" s="3"/>
    </row>
    <row r="584" ht="15.75" customHeight="1">
      <c r="J584" s="3"/>
    </row>
    <row r="585" ht="15.75" customHeight="1">
      <c r="J585" s="3"/>
    </row>
    <row r="586" ht="15.75" customHeight="1">
      <c r="J586" s="3"/>
    </row>
    <row r="587" ht="15.75" customHeight="1">
      <c r="J587" s="3"/>
    </row>
    <row r="588" ht="15.75" customHeight="1">
      <c r="J588" s="3"/>
    </row>
    <row r="589" ht="15.75" customHeight="1">
      <c r="J589" s="3"/>
    </row>
    <row r="590" ht="15.75" customHeight="1">
      <c r="J590" s="3"/>
    </row>
    <row r="591" ht="15.75" customHeight="1">
      <c r="J591" s="3"/>
    </row>
    <row r="592" ht="15.75" customHeight="1">
      <c r="J592" s="3"/>
    </row>
    <row r="593" ht="15.75" customHeight="1">
      <c r="J593" s="3"/>
    </row>
    <row r="594" ht="15.75" customHeight="1">
      <c r="J594" s="3"/>
    </row>
    <row r="595" ht="15.75" customHeight="1">
      <c r="J595" s="3"/>
    </row>
    <row r="596" ht="15.75" customHeight="1">
      <c r="J596" s="3"/>
    </row>
    <row r="597" ht="15.75" customHeight="1">
      <c r="J597" s="3"/>
    </row>
    <row r="598" ht="15.75" customHeight="1">
      <c r="J598" s="3"/>
    </row>
    <row r="599" ht="15.75" customHeight="1">
      <c r="J599" s="3"/>
    </row>
    <row r="600" ht="15.75" customHeight="1">
      <c r="J600" s="3"/>
    </row>
    <row r="601" ht="15.75" customHeight="1">
      <c r="J601" s="3"/>
    </row>
    <row r="602" ht="15.75" customHeight="1">
      <c r="J602" s="3"/>
    </row>
    <row r="603" ht="15.75" customHeight="1">
      <c r="J603" s="3"/>
    </row>
    <row r="604" ht="15.75" customHeight="1">
      <c r="J604" s="3"/>
    </row>
    <row r="605" ht="15.75" customHeight="1">
      <c r="J605" s="3"/>
    </row>
    <row r="606" ht="15.75" customHeight="1">
      <c r="J606" s="3"/>
    </row>
    <row r="607" ht="15.75" customHeight="1">
      <c r="J607" s="3"/>
    </row>
    <row r="608" ht="15.75" customHeight="1">
      <c r="J608" s="3"/>
    </row>
    <row r="609" ht="15.75" customHeight="1">
      <c r="J609" s="3"/>
    </row>
    <row r="610" ht="15.75" customHeight="1">
      <c r="J610" s="3"/>
    </row>
    <row r="611" ht="15.75" customHeight="1">
      <c r="J611" s="3"/>
    </row>
    <row r="612" ht="15.75" customHeight="1">
      <c r="J612" s="3"/>
    </row>
    <row r="613" ht="15.75" customHeight="1">
      <c r="J613" s="3"/>
    </row>
    <row r="614" ht="15.75" customHeight="1">
      <c r="J614" s="3"/>
    </row>
    <row r="615" ht="15.75" customHeight="1">
      <c r="J615" s="3"/>
    </row>
    <row r="616" ht="15.75" customHeight="1">
      <c r="J616" s="3"/>
    </row>
    <row r="617" ht="15.75" customHeight="1">
      <c r="J617" s="3"/>
    </row>
    <row r="618" ht="15.75" customHeight="1">
      <c r="J618" s="3"/>
    </row>
    <row r="619" ht="15.75" customHeight="1">
      <c r="J619" s="3"/>
    </row>
    <row r="620" ht="15.75" customHeight="1">
      <c r="J620" s="3"/>
    </row>
    <row r="621" ht="15.75" customHeight="1">
      <c r="J621" s="3"/>
    </row>
    <row r="622" ht="15.75" customHeight="1">
      <c r="J622" s="3"/>
    </row>
    <row r="623" ht="15.75" customHeight="1">
      <c r="J623" s="3"/>
    </row>
    <row r="624" ht="15.75" customHeight="1">
      <c r="J624" s="3"/>
    </row>
    <row r="625" ht="15.75" customHeight="1">
      <c r="J625" s="3"/>
    </row>
    <row r="626" ht="15.75" customHeight="1">
      <c r="J626" s="3"/>
    </row>
    <row r="627" ht="15.75" customHeight="1">
      <c r="J627" s="3"/>
    </row>
    <row r="628" ht="15.75" customHeight="1">
      <c r="J628" s="3"/>
    </row>
    <row r="629" ht="15.75" customHeight="1">
      <c r="J629" s="3"/>
    </row>
    <row r="630" ht="15.75" customHeight="1">
      <c r="J630" s="3"/>
    </row>
    <row r="631" ht="15.75" customHeight="1">
      <c r="J631" s="3"/>
    </row>
    <row r="632" ht="15.75" customHeight="1">
      <c r="J632" s="3"/>
    </row>
    <row r="633" ht="15.75" customHeight="1">
      <c r="J633" s="3"/>
    </row>
    <row r="634" ht="15.75" customHeight="1">
      <c r="J634" s="3"/>
    </row>
    <row r="635" ht="15.75" customHeight="1">
      <c r="J635" s="3"/>
    </row>
    <row r="636" ht="15.75" customHeight="1">
      <c r="J636" s="3"/>
    </row>
    <row r="637" ht="15.75" customHeight="1">
      <c r="J637" s="3"/>
    </row>
    <row r="638" ht="15.75" customHeight="1">
      <c r="J638" s="3"/>
    </row>
    <row r="639" ht="15.75" customHeight="1">
      <c r="J639" s="3"/>
    </row>
    <row r="640" ht="15.75" customHeight="1">
      <c r="J640" s="3"/>
    </row>
    <row r="641" ht="15.75" customHeight="1">
      <c r="J641" s="3"/>
    </row>
    <row r="642" ht="15.75" customHeight="1">
      <c r="J642" s="3"/>
    </row>
    <row r="643" ht="15.75" customHeight="1">
      <c r="J643" s="3"/>
    </row>
    <row r="644" ht="15.75" customHeight="1">
      <c r="J644" s="3"/>
    </row>
    <row r="645" ht="15.75" customHeight="1">
      <c r="J645" s="3"/>
    </row>
    <row r="646" ht="15.75" customHeight="1">
      <c r="J646" s="3"/>
    </row>
    <row r="647" ht="15.75" customHeight="1">
      <c r="J647" s="3"/>
    </row>
    <row r="648" ht="15.75" customHeight="1">
      <c r="J648" s="3"/>
    </row>
    <row r="649" ht="15.75" customHeight="1">
      <c r="J649" s="3"/>
    </row>
    <row r="650" ht="15.75" customHeight="1">
      <c r="J650" s="3"/>
    </row>
    <row r="651" ht="15.75" customHeight="1">
      <c r="J651" s="3"/>
    </row>
    <row r="652" ht="15.75" customHeight="1">
      <c r="J652" s="3"/>
    </row>
    <row r="653" ht="15.75" customHeight="1">
      <c r="J653" s="3"/>
    </row>
    <row r="654" ht="15.75" customHeight="1">
      <c r="J654" s="3"/>
    </row>
    <row r="655" ht="15.75" customHeight="1">
      <c r="J655" s="3"/>
    </row>
    <row r="656" ht="15.75" customHeight="1">
      <c r="J656" s="3"/>
    </row>
    <row r="657" ht="15.75" customHeight="1">
      <c r="J657" s="3"/>
    </row>
    <row r="658" ht="15.75" customHeight="1">
      <c r="J658" s="3"/>
    </row>
    <row r="659" ht="15.75" customHeight="1">
      <c r="J659" s="3"/>
    </row>
    <row r="660" ht="15.75" customHeight="1">
      <c r="J660" s="3"/>
    </row>
    <row r="661" ht="15.75" customHeight="1">
      <c r="J661" s="3"/>
    </row>
    <row r="662" ht="15.75" customHeight="1">
      <c r="J662" s="3"/>
    </row>
    <row r="663" ht="15.75" customHeight="1">
      <c r="J663" s="3"/>
    </row>
    <row r="664" ht="15.75" customHeight="1">
      <c r="J664" s="3"/>
    </row>
    <row r="665" ht="15.75" customHeight="1">
      <c r="J665" s="3"/>
    </row>
    <row r="666" ht="15.75" customHeight="1">
      <c r="J666" s="3"/>
    </row>
    <row r="667" ht="15.75" customHeight="1">
      <c r="J667" s="3"/>
    </row>
    <row r="668" ht="15.75" customHeight="1">
      <c r="J668" s="3"/>
    </row>
    <row r="669" ht="15.75" customHeight="1">
      <c r="J669" s="3"/>
    </row>
    <row r="670" ht="15.75" customHeight="1">
      <c r="J670" s="3"/>
    </row>
    <row r="671" ht="15.75" customHeight="1">
      <c r="J671" s="3"/>
    </row>
    <row r="672" ht="15.75" customHeight="1">
      <c r="J672" s="3"/>
    </row>
    <row r="673" ht="15.75" customHeight="1">
      <c r="J673" s="3"/>
    </row>
    <row r="674" ht="15.75" customHeight="1">
      <c r="J674" s="3"/>
    </row>
    <row r="675" ht="15.75" customHeight="1">
      <c r="J675" s="3"/>
    </row>
    <row r="676" ht="15.75" customHeight="1">
      <c r="J676" s="3"/>
    </row>
    <row r="677" ht="15.75" customHeight="1">
      <c r="J677" s="3"/>
    </row>
    <row r="678" ht="15.75" customHeight="1">
      <c r="J678" s="3"/>
    </row>
    <row r="679" ht="15.75" customHeight="1">
      <c r="J679" s="3"/>
    </row>
    <row r="680" ht="15.75" customHeight="1">
      <c r="J680" s="3"/>
    </row>
    <row r="681" ht="15.75" customHeight="1">
      <c r="J681" s="3"/>
    </row>
    <row r="682" ht="15.75" customHeight="1">
      <c r="J682" s="3"/>
    </row>
    <row r="683" ht="15.75" customHeight="1">
      <c r="J683" s="3"/>
    </row>
    <row r="684" ht="15.75" customHeight="1">
      <c r="J684" s="3"/>
    </row>
    <row r="685" ht="15.75" customHeight="1">
      <c r="J685" s="3"/>
    </row>
    <row r="686" ht="15.75" customHeight="1">
      <c r="J686" s="3"/>
    </row>
    <row r="687" ht="15.75" customHeight="1">
      <c r="J687" s="3"/>
    </row>
    <row r="688" ht="15.75" customHeight="1">
      <c r="J688" s="3"/>
    </row>
    <row r="689" ht="15.75" customHeight="1">
      <c r="J689" s="3"/>
    </row>
    <row r="690" ht="15.75" customHeight="1">
      <c r="J690" s="3"/>
    </row>
    <row r="691" ht="15.75" customHeight="1">
      <c r="J691" s="3"/>
    </row>
    <row r="692" ht="15.75" customHeight="1">
      <c r="J692" s="3"/>
    </row>
    <row r="693" ht="15.75" customHeight="1">
      <c r="J693" s="3"/>
    </row>
    <row r="694" ht="15.75" customHeight="1">
      <c r="J694" s="3"/>
    </row>
    <row r="695" ht="15.75" customHeight="1">
      <c r="J695" s="3"/>
    </row>
    <row r="696" ht="15.75" customHeight="1">
      <c r="J696" s="3"/>
    </row>
    <row r="697" ht="15.75" customHeight="1">
      <c r="J697" s="3"/>
    </row>
    <row r="698" ht="15.75" customHeight="1">
      <c r="J698" s="3"/>
    </row>
    <row r="699" ht="15.75" customHeight="1">
      <c r="J699" s="3"/>
    </row>
    <row r="700" ht="15.75" customHeight="1">
      <c r="J700" s="3"/>
    </row>
    <row r="701" ht="15.75" customHeight="1">
      <c r="J701" s="3"/>
    </row>
    <row r="702" ht="15.75" customHeight="1">
      <c r="J702" s="3"/>
    </row>
    <row r="703" ht="15.75" customHeight="1">
      <c r="J703" s="3"/>
    </row>
    <row r="704" ht="15.75" customHeight="1">
      <c r="J704" s="3"/>
    </row>
    <row r="705" ht="15.75" customHeight="1">
      <c r="J705" s="3"/>
    </row>
    <row r="706" ht="15.75" customHeight="1">
      <c r="J706" s="3"/>
    </row>
    <row r="707" ht="15.75" customHeight="1">
      <c r="J707" s="3"/>
    </row>
    <row r="708" ht="15.75" customHeight="1">
      <c r="J708" s="3"/>
    </row>
    <row r="709" ht="15.75" customHeight="1">
      <c r="J709" s="3"/>
    </row>
    <row r="710" ht="15.75" customHeight="1">
      <c r="J710" s="3"/>
    </row>
    <row r="711" ht="15.75" customHeight="1">
      <c r="J711" s="3"/>
    </row>
    <row r="712" ht="15.75" customHeight="1">
      <c r="J712" s="3"/>
    </row>
    <row r="713" ht="15.75" customHeight="1">
      <c r="J713" s="3"/>
    </row>
    <row r="714" ht="15.75" customHeight="1">
      <c r="J714" s="3"/>
    </row>
    <row r="715" ht="15.75" customHeight="1">
      <c r="J715" s="3"/>
    </row>
    <row r="716" ht="15.75" customHeight="1">
      <c r="J716" s="3"/>
    </row>
    <row r="717" ht="15.75" customHeight="1">
      <c r="J717" s="3"/>
    </row>
    <row r="718" ht="15.75" customHeight="1">
      <c r="J718" s="3"/>
    </row>
    <row r="719" ht="15.75" customHeight="1">
      <c r="J719" s="3"/>
    </row>
    <row r="720" ht="15.75" customHeight="1">
      <c r="J720" s="3"/>
    </row>
    <row r="721" ht="15.75" customHeight="1">
      <c r="J721" s="3"/>
    </row>
    <row r="722" ht="15.75" customHeight="1">
      <c r="J722" s="3"/>
    </row>
    <row r="723" ht="15.75" customHeight="1">
      <c r="J723" s="3"/>
    </row>
    <row r="724" ht="15.75" customHeight="1">
      <c r="J724" s="3"/>
    </row>
    <row r="725" ht="15.75" customHeight="1">
      <c r="J725" s="3"/>
    </row>
    <row r="726" ht="15.75" customHeight="1">
      <c r="J726" s="3"/>
    </row>
    <row r="727" ht="15.75" customHeight="1">
      <c r="J727" s="3"/>
    </row>
    <row r="728" ht="15.75" customHeight="1">
      <c r="J728" s="3"/>
    </row>
    <row r="729" ht="15.75" customHeight="1">
      <c r="J729" s="3"/>
    </row>
    <row r="730" ht="15.75" customHeight="1">
      <c r="J730" s="3"/>
    </row>
    <row r="731" ht="15.75" customHeight="1">
      <c r="J731" s="3"/>
    </row>
    <row r="732" ht="15.75" customHeight="1">
      <c r="J732" s="3"/>
    </row>
    <row r="733" ht="15.75" customHeight="1">
      <c r="J733" s="3"/>
    </row>
    <row r="734" ht="15.75" customHeight="1">
      <c r="J734" s="3"/>
    </row>
    <row r="735" ht="15.75" customHeight="1">
      <c r="J735" s="3"/>
    </row>
    <row r="736" ht="15.75" customHeight="1">
      <c r="J736" s="3"/>
    </row>
    <row r="737" ht="15.75" customHeight="1">
      <c r="J737" s="3"/>
    </row>
    <row r="738" ht="15.75" customHeight="1">
      <c r="J738" s="3"/>
    </row>
    <row r="739" ht="15.75" customHeight="1">
      <c r="J739" s="3"/>
    </row>
    <row r="740" ht="15.75" customHeight="1">
      <c r="J740" s="3"/>
    </row>
    <row r="741" ht="15.75" customHeight="1">
      <c r="J741" s="3"/>
    </row>
    <row r="742" ht="15.75" customHeight="1">
      <c r="J742" s="3"/>
    </row>
    <row r="743" ht="15.75" customHeight="1">
      <c r="J743" s="3"/>
    </row>
    <row r="744" ht="15.75" customHeight="1">
      <c r="J744" s="3"/>
    </row>
    <row r="745" ht="15.75" customHeight="1">
      <c r="J745" s="3"/>
    </row>
    <row r="746" ht="15.75" customHeight="1">
      <c r="J746" s="3"/>
    </row>
    <row r="747" ht="15.75" customHeight="1">
      <c r="J747" s="3"/>
    </row>
    <row r="748" ht="15.75" customHeight="1">
      <c r="J748" s="3"/>
    </row>
    <row r="749" ht="15.75" customHeight="1">
      <c r="J749" s="3"/>
    </row>
    <row r="750" ht="15.75" customHeight="1">
      <c r="J750" s="3"/>
    </row>
    <row r="751" ht="15.75" customHeight="1">
      <c r="J751" s="3"/>
    </row>
    <row r="752" ht="15.75" customHeight="1">
      <c r="J752" s="3"/>
    </row>
    <row r="753" ht="15.75" customHeight="1">
      <c r="J753" s="3"/>
    </row>
    <row r="754" ht="15.75" customHeight="1">
      <c r="J754" s="3"/>
    </row>
    <row r="755" ht="15.75" customHeight="1">
      <c r="J755" s="3"/>
    </row>
    <row r="756" ht="15.75" customHeight="1">
      <c r="J756" s="3"/>
    </row>
    <row r="757" ht="15.75" customHeight="1">
      <c r="J757" s="3"/>
    </row>
    <row r="758" ht="15.75" customHeight="1">
      <c r="J758" s="3"/>
    </row>
    <row r="759" ht="15.75" customHeight="1">
      <c r="J759" s="3"/>
    </row>
    <row r="760" ht="15.75" customHeight="1">
      <c r="J760" s="3"/>
    </row>
    <row r="761" ht="15.75" customHeight="1">
      <c r="J761" s="3"/>
    </row>
    <row r="762" ht="15.75" customHeight="1">
      <c r="J762" s="3"/>
    </row>
    <row r="763" ht="15.75" customHeight="1">
      <c r="J763" s="3"/>
    </row>
    <row r="764" ht="15.75" customHeight="1">
      <c r="J764" s="3"/>
    </row>
    <row r="765" ht="15.75" customHeight="1">
      <c r="J765" s="3"/>
    </row>
    <row r="766" ht="15.75" customHeight="1">
      <c r="J766" s="3"/>
    </row>
    <row r="767" ht="15.75" customHeight="1">
      <c r="J767" s="3"/>
    </row>
    <row r="768" ht="15.75" customHeight="1">
      <c r="J768" s="3"/>
    </row>
    <row r="769" ht="15.75" customHeight="1">
      <c r="J769" s="3"/>
    </row>
    <row r="770" ht="15.75" customHeight="1">
      <c r="J770" s="3"/>
    </row>
    <row r="771" ht="15.75" customHeight="1">
      <c r="J771" s="3"/>
    </row>
    <row r="772" ht="15.75" customHeight="1">
      <c r="J772" s="3"/>
    </row>
    <row r="773" ht="15.75" customHeight="1">
      <c r="J773" s="3"/>
    </row>
    <row r="774" ht="15.75" customHeight="1">
      <c r="J774" s="3"/>
    </row>
    <row r="775" ht="15.75" customHeight="1">
      <c r="J775" s="3"/>
    </row>
    <row r="776" ht="15.75" customHeight="1">
      <c r="J776" s="3"/>
    </row>
    <row r="777" ht="15.75" customHeight="1">
      <c r="J777" s="3"/>
    </row>
    <row r="778" ht="15.75" customHeight="1">
      <c r="J778" s="3"/>
    </row>
    <row r="779" ht="15.75" customHeight="1">
      <c r="J779" s="3"/>
    </row>
    <row r="780" ht="15.75" customHeight="1">
      <c r="J780" s="3"/>
    </row>
    <row r="781" ht="15.75" customHeight="1">
      <c r="J781" s="3"/>
    </row>
    <row r="782" ht="15.75" customHeight="1">
      <c r="J782" s="3"/>
    </row>
    <row r="783" ht="15.75" customHeight="1">
      <c r="J783" s="3"/>
    </row>
    <row r="784" ht="15.75" customHeight="1">
      <c r="J784" s="3"/>
    </row>
    <row r="785" ht="15.75" customHeight="1">
      <c r="J785" s="3"/>
    </row>
    <row r="786" ht="15.75" customHeight="1">
      <c r="J786" s="3"/>
    </row>
    <row r="787" ht="15.75" customHeight="1">
      <c r="J787" s="3"/>
    </row>
    <row r="788" ht="15.75" customHeight="1">
      <c r="J788" s="3"/>
    </row>
    <row r="789" ht="15.75" customHeight="1">
      <c r="J789" s="3"/>
    </row>
    <row r="790" ht="15.75" customHeight="1">
      <c r="J790" s="3"/>
    </row>
    <row r="791" ht="15.75" customHeight="1">
      <c r="J791" s="3"/>
    </row>
    <row r="792" ht="15.75" customHeight="1">
      <c r="J792" s="3"/>
    </row>
    <row r="793" ht="15.75" customHeight="1">
      <c r="J793" s="3"/>
    </row>
    <row r="794" ht="15.75" customHeight="1">
      <c r="J794" s="3"/>
    </row>
    <row r="795" ht="15.75" customHeight="1">
      <c r="J795" s="3"/>
    </row>
    <row r="796" ht="15.75" customHeight="1">
      <c r="J796" s="3"/>
    </row>
    <row r="797" ht="15.75" customHeight="1">
      <c r="J797" s="3"/>
    </row>
    <row r="798" ht="15.75" customHeight="1">
      <c r="J798" s="3"/>
    </row>
    <row r="799" ht="15.75" customHeight="1">
      <c r="J799" s="3"/>
    </row>
    <row r="800" ht="15.75" customHeight="1">
      <c r="J800" s="3"/>
    </row>
    <row r="801" ht="15.75" customHeight="1">
      <c r="J801" s="3"/>
    </row>
    <row r="802" ht="15.75" customHeight="1">
      <c r="J802" s="3"/>
    </row>
    <row r="803" ht="15.75" customHeight="1">
      <c r="J803" s="3"/>
    </row>
    <row r="804" ht="15.75" customHeight="1">
      <c r="J804" s="3"/>
    </row>
    <row r="805" ht="15.75" customHeight="1">
      <c r="J805" s="3"/>
    </row>
    <row r="806" ht="15.75" customHeight="1">
      <c r="J806" s="3"/>
    </row>
    <row r="807" ht="15.75" customHeight="1">
      <c r="J807" s="3"/>
    </row>
    <row r="808" ht="15.75" customHeight="1">
      <c r="J808" s="3"/>
    </row>
    <row r="809" ht="15.75" customHeight="1">
      <c r="J809" s="3"/>
    </row>
    <row r="810" ht="15.75" customHeight="1">
      <c r="J810" s="3"/>
    </row>
    <row r="811" ht="15.75" customHeight="1">
      <c r="J811" s="3"/>
    </row>
    <row r="812" ht="15.75" customHeight="1">
      <c r="J812" s="3"/>
    </row>
    <row r="813" ht="15.75" customHeight="1">
      <c r="J813" s="3"/>
    </row>
    <row r="814" ht="15.75" customHeight="1">
      <c r="J814" s="3"/>
    </row>
    <row r="815" ht="15.75" customHeight="1">
      <c r="J815" s="3"/>
    </row>
    <row r="816" ht="15.75" customHeight="1">
      <c r="J816" s="3"/>
    </row>
    <row r="817" ht="15.75" customHeight="1">
      <c r="J817" s="3"/>
    </row>
    <row r="818" ht="15.75" customHeight="1">
      <c r="J818" s="3"/>
    </row>
    <row r="819" ht="15.75" customHeight="1">
      <c r="J819" s="3"/>
    </row>
    <row r="820" ht="15.75" customHeight="1">
      <c r="J820" s="3"/>
    </row>
    <row r="821" ht="15.75" customHeight="1">
      <c r="J821" s="3"/>
    </row>
    <row r="822" ht="15.75" customHeight="1">
      <c r="J822" s="3"/>
    </row>
    <row r="823" ht="15.75" customHeight="1">
      <c r="J823" s="3"/>
    </row>
    <row r="824" ht="15.75" customHeight="1">
      <c r="J824" s="3"/>
    </row>
    <row r="825" ht="15.75" customHeight="1">
      <c r="J825" s="3"/>
    </row>
    <row r="826" ht="15.75" customHeight="1">
      <c r="J826" s="3"/>
    </row>
    <row r="827" ht="15.75" customHeight="1">
      <c r="J827" s="3"/>
    </row>
    <row r="828" ht="15.75" customHeight="1">
      <c r="J828" s="3"/>
    </row>
    <row r="829" ht="15.75" customHeight="1">
      <c r="J829" s="3"/>
    </row>
    <row r="830" ht="15.75" customHeight="1">
      <c r="J830" s="3"/>
    </row>
    <row r="831" ht="15.75" customHeight="1">
      <c r="J831" s="3"/>
    </row>
    <row r="832" ht="15.75" customHeight="1">
      <c r="J832" s="3"/>
    </row>
    <row r="833" ht="15.75" customHeight="1">
      <c r="J833" s="3"/>
    </row>
    <row r="834" ht="15.75" customHeight="1">
      <c r="J834" s="3"/>
    </row>
    <row r="835" ht="15.75" customHeight="1">
      <c r="J835" s="3"/>
    </row>
    <row r="836" ht="15.75" customHeight="1">
      <c r="J836" s="3"/>
    </row>
    <row r="837" ht="15.75" customHeight="1">
      <c r="J837" s="3"/>
    </row>
    <row r="838" ht="15.75" customHeight="1">
      <c r="J838" s="3"/>
    </row>
    <row r="839" ht="15.75" customHeight="1">
      <c r="J839" s="3"/>
    </row>
    <row r="840" ht="15.75" customHeight="1">
      <c r="J840" s="3"/>
    </row>
    <row r="841" ht="15.75" customHeight="1">
      <c r="J841" s="3"/>
    </row>
    <row r="842" ht="15.75" customHeight="1">
      <c r="J842" s="3"/>
    </row>
    <row r="843" ht="15.75" customHeight="1">
      <c r="J843" s="3"/>
    </row>
    <row r="844" ht="15.75" customHeight="1">
      <c r="J844" s="3"/>
    </row>
    <row r="845" ht="15.75" customHeight="1">
      <c r="J845" s="3"/>
    </row>
    <row r="846" ht="15.75" customHeight="1">
      <c r="J846" s="3"/>
    </row>
    <row r="847" ht="15.75" customHeight="1">
      <c r="J847" s="3"/>
    </row>
    <row r="848" ht="15.75" customHeight="1">
      <c r="J848" s="3"/>
    </row>
    <row r="849" ht="15.75" customHeight="1">
      <c r="J849" s="3"/>
    </row>
    <row r="850" ht="15.75" customHeight="1">
      <c r="J850" s="3"/>
    </row>
    <row r="851" ht="15.75" customHeight="1">
      <c r="J851" s="3"/>
    </row>
    <row r="852" ht="15.75" customHeight="1">
      <c r="J852" s="3"/>
    </row>
    <row r="853" ht="15.75" customHeight="1">
      <c r="J853" s="3"/>
    </row>
    <row r="854" ht="15.75" customHeight="1">
      <c r="J854" s="3"/>
    </row>
    <row r="855" ht="15.75" customHeight="1">
      <c r="J855" s="3"/>
    </row>
    <row r="856" ht="15.75" customHeight="1">
      <c r="J856" s="3"/>
    </row>
    <row r="857" ht="15.75" customHeight="1">
      <c r="J857" s="3"/>
    </row>
    <row r="858" ht="15.75" customHeight="1">
      <c r="J858" s="3"/>
    </row>
    <row r="859" ht="15.75" customHeight="1">
      <c r="J859" s="3"/>
    </row>
    <row r="860" ht="15.75" customHeight="1">
      <c r="J860" s="3"/>
    </row>
    <row r="861" ht="15.75" customHeight="1">
      <c r="J861" s="3"/>
    </row>
    <row r="862" ht="15.75" customHeight="1">
      <c r="J862" s="3"/>
    </row>
    <row r="863" ht="15.75" customHeight="1">
      <c r="J863" s="3"/>
    </row>
    <row r="864" ht="15.75" customHeight="1">
      <c r="J864" s="3"/>
    </row>
    <row r="865" ht="15.75" customHeight="1">
      <c r="J865" s="3"/>
    </row>
    <row r="866" ht="15.75" customHeight="1">
      <c r="J866" s="3"/>
    </row>
    <row r="867" ht="15.75" customHeight="1">
      <c r="J867" s="3"/>
    </row>
    <row r="868" ht="15.75" customHeight="1">
      <c r="J868" s="3"/>
    </row>
    <row r="869" ht="15.75" customHeight="1">
      <c r="J869" s="3"/>
    </row>
    <row r="870" ht="15.75" customHeight="1">
      <c r="J870" s="3"/>
    </row>
    <row r="871" ht="15.75" customHeight="1">
      <c r="J871" s="3"/>
    </row>
    <row r="872" ht="15.75" customHeight="1">
      <c r="J872" s="3"/>
    </row>
    <row r="873" ht="15.75" customHeight="1">
      <c r="J873" s="3"/>
    </row>
    <row r="874" ht="15.75" customHeight="1">
      <c r="J874" s="3"/>
    </row>
    <row r="875" ht="15.75" customHeight="1">
      <c r="J875" s="3"/>
    </row>
    <row r="876" ht="15.75" customHeight="1">
      <c r="J876" s="3"/>
    </row>
    <row r="877" ht="15.75" customHeight="1">
      <c r="J877" s="3"/>
    </row>
    <row r="878" ht="15.75" customHeight="1">
      <c r="J878" s="3"/>
    </row>
    <row r="879" ht="15.75" customHeight="1">
      <c r="J879" s="3"/>
    </row>
    <row r="880" ht="15.75" customHeight="1">
      <c r="J880" s="3"/>
    </row>
    <row r="881" ht="15.75" customHeight="1">
      <c r="J881" s="3"/>
    </row>
    <row r="882" ht="15.75" customHeight="1">
      <c r="J882" s="3"/>
    </row>
    <row r="883" ht="15.75" customHeight="1">
      <c r="J883" s="3"/>
    </row>
    <row r="884" ht="15.75" customHeight="1">
      <c r="J884" s="3"/>
    </row>
    <row r="885" ht="15.75" customHeight="1">
      <c r="J885" s="3"/>
    </row>
    <row r="886" ht="15.75" customHeight="1">
      <c r="J886" s="3"/>
    </row>
    <row r="887" ht="15.75" customHeight="1">
      <c r="J887" s="3"/>
    </row>
    <row r="888" ht="15.75" customHeight="1">
      <c r="J888" s="3"/>
    </row>
    <row r="889" ht="15.75" customHeight="1">
      <c r="J889" s="3"/>
    </row>
    <row r="890" ht="15.75" customHeight="1">
      <c r="J890" s="3"/>
    </row>
    <row r="891" ht="15.75" customHeight="1">
      <c r="J891" s="3"/>
    </row>
    <row r="892" ht="15.75" customHeight="1">
      <c r="J892" s="3"/>
    </row>
    <row r="893" ht="15.75" customHeight="1">
      <c r="J893" s="3"/>
    </row>
    <row r="894" ht="15.75" customHeight="1">
      <c r="J894" s="3"/>
    </row>
    <row r="895" ht="15.75" customHeight="1">
      <c r="J895" s="3"/>
    </row>
    <row r="896" ht="15.75" customHeight="1">
      <c r="J896" s="3"/>
    </row>
    <row r="897" ht="15.75" customHeight="1">
      <c r="J897" s="3"/>
    </row>
    <row r="898" ht="15.75" customHeight="1">
      <c r="J898" s="3"/>
    </row>
    <row r="899" ht="15.75" customHeight="1">
      <c r="J899" s="3"/>
    </row>
    <row r="900" ht="15.75" customHeight="1">
      <c r="J900" s="3"/>
    </row>
    <row r="901" ht="15.75" customHeight="1">
      <c r="J901" s="3"/>
    </row>
    <row r="902" ht="15.75" customHeight="1">
      <c r="J902" s="3"/>
    </row>
    <row r="903" ht="15.75" customHeight="1">
      <c r="J903" s="3"/>
    </row>
    <row r="904" ht="15.75" customHeight="1">
      <c r="J904" s="3"/>
    </row>
    <row r="905" ht="15.75" customHeight="1">
      <c r="J905" s="3"/>
    </row>
    <row r="906" ht="15.75" customHeight="1">
      <c r="J906" s="3"/>
    </row>
    <row r="907" ht="15.75" customHeight="1">
      <c r="J907" s="3"/>
    </row>
    <row r="908" ht="15.75" customHeight="1">
      <c r="J908" s="3"/>
    </row>
    <row r="909" ht="15.75" customHeight="1">
      <c r="J909" s="3"/>
    </row>
    <row r="910" ht="15.75" customHeight="1">
      <c r="J910" s="3"/>
    </row>
    <row r="911" ht="15.75" customHeight="1">
      <c r="J911" s="3"/>
    </row>
    <row r="912" ht="15.75" customHeight="1">
      <c r="J912" s="3"/>
    </row>
    <row r="913" ht="15.75" customHeight="1">
      <c r="J913" s="3"/>
    </row>
    <row r="914" ht="15.75" customHeight="1">
      <c r="J914" s="3"/>
    </row>
    <row r="915" ht="15.75" customHeight="1">
      <c r="J915" s="3"/>
    </row>
    <row r="916" ht="15.75" customHeight="1">
      <c r="J916" s="3"/>
    </row>
    <row r="917" ht="15.75" customHeight="1">
      <c r="J917" s="3"/>
    </row>
    <row r="918" ht="15.75" customHeight="1">
      <c r="J918" s="3"/>
    </row>
    <row r="919" ht="15.75" customHeight="1">
      <c r="J919" s="3"/>
    </row>
    <row r="920" ht="15.75" customHeight="1">
      <c r="J920" s="3"/>
    </row>
    <row r="921" ht="15.75" customHeight="1">
      <c r="J921" s="3"/>
    </row>
    <row r="922" ht="15.75" customHeight="1">
      <c r="J922" s="3"/>
    </row>
    <row r="923" ht="15.75" customHeight="1">
      <c r="J923" s="3"/>
    </row>
    <row r="924" ht="15.75" customHeight="1">
      <c r="J924" s="3"/>
    </row>
    <row r="925" ht="15.75" customHeight="1">
      <c r="J925" s="3"/>
    </row>
    <row r="926" ht="15.75" customHeight="1">
      <c r="J926" s="3"/>
    </row>
    <row r="927" ht="15.75" customHeight="1">
      <c r="J927" s="3"/>
    </row>
    <row r="928" ht="15.75" customHeight="1">
      <c r="J928" s="3"/>
    </row>
    <row r="929" ht="15.75" customHeight="1">
      <c r="J929" s="3"/>
    </row>
    <row r="930" ht="15.75" customHeight="1">
      <c r="J930" s="3"/>
    </row>
    <row r="931" ht="15.75" customHeight="1">
      <c r="J931" s="3"/>
    </row>
    <row r="932" ht="15.75" customHeight="1">
      <c r="J932" s="3"/>
    </row>
    <row r="933" ht="15.75" customHeight="1">
      <c r="J933" s="3"/>
    </row>
    <row r="934" ht="15.75" customHeight="1">
      <c r="J934" s="3"/>
    </row>
    <row r="935" ht="15.75" customHeight="1">
      <c r="J935" s="3"/>
    </row>
    <row r="936" ht="15.75" customHeight="1">
      <c r="J936" s="3"/>
    </row>
    <row r="937" ht="15.75" customHeight="1">
      <c r="J937" s="3"/>
    </row>
    <row r="938" ht="15.75" customHeight="1">
      <c r="J938" s="3"/>
    </row>
    <row r="939" ht="15.75" customHeight="1">
      <c r="J939" s="3"/>
    </row>
    <row r="940" ht="15.75" customHeight="1">
      <c r="J940" s="3"/>
    </row>
    <row r="941" ht="15.75" customHeight="1">
      <c r="J941" s="3"/>
    </row>
    <row r="942" ht="15.75" customHeight="1">
      <c r="J942" s="3"/>
    </row>
    <row r="943" ht="15.75" customHeight="1">
      <c r="J943" s="3"/>
    </row>
    <row r="944" ht="15.75" customHeight="1">
      <c r="J944" s="3"/>
    </row>
    <row r="945" ht="15.75" customHeight="1">
      <c r="J945" s="3"/>
    </row>
    <row r="946" ht="15.75" customHeight="1">
      <c r="J946" s="3"/>
    </row>
    <row r="947" ht="15.75" customHeight="1">
      <c r="J947" s="3"/>
    </row>
    <row r="948" ht="15.75" customHeight="1">
      <c r="J948" s="3"/>
    </row>
    <row r="949" ht="15.75" customHeight="1">
      <c r="J949" s="3"/>
    </row>
    <row r="950" ht="15.75" customHeight="1">
      <c r="J950" s="3"/>
    </row>
    <row r="951" ht="15.75" customHeight="1">
      <c r="J951" s="3"/>
    </row>
    <row r="952" ht="15.75" customHeight="1">
      <c r="J952" s="3"/>
    </row>
    <row r="953" ht="15.75" customHeight="1">
      <c r="J953" s="3"/>
    </row>
    <row r="954" ht="15.75" customHeight="1">
      <c r="J954" s="3"/>
    </row>
    <row r="955" ht="15.75" customHeight="1">
      <c r="J955" s="3"/>
    </row>
    <row r="956" ht="15.75" customHeight="1">
      <c r="J956" s="3"/>
    </row>
    <row r="957" ht="15.75" customHeight="1">
      <c r="J957" s="3"/>
    </row>
    <row r="958" ht="15.75" customHeight="1">
      <c r="J958" s="3"/>
    </row>
    <row r="959" ht="15.75" customHeight="1">
      <c r="J959" s="3"/>
    </row>
    <row r="960" ht="15.75" customHeight="1">
      <c r="J960" s="3"/>
    </row>
    <row r="961" ht="15.75" customHeight="1">
      <c r="J961" s="3"/>
    </row>
    <row r="962" ht="15.75" customHeight="1">
      <c r="J962" s="3"/>
    </row>
    <row r="963" ht="15.75" customHeight="1">
      <c r="J963" s="3"/>
    </row>
    <row r="964" ht="15.75" customHeight="1">
      <c r="J964" s="3"/>
    </row>
    <row r="965" ht="15.75" customHeight="1">
      <c r="J965" s="3"/>
    </row>
    <row r="966" ht="15.75" customHeight="1">
      <c r="J966" s="3"/>
    </row>
    <row r="967" ht="15.75" customHeight="1">
      <c r="J967" s="3"/>
    </row>
    <row r="968" ht="15.75" customHeight="1">
      <c r="J968" s="3"/>
    </row>
    <row r="969" ht="15.75" customHeight="1">
      <c r="J969" s="3"/>
    </row>
    <row r="970" ht="15.75" customHeight="1">
      <c r="J970" s="3"/>
    </row>
    <row r="971" ht="15.75" customHeight="1">
      <c r="J971" s="3"/>
    </row>
    <row r="972" ht="15.75" customHeight="1">
      <c r="J972" s="3"/>
    </row>
    <row r="973" ht="15.75" customHeight="1">
      <c r="J973" s="3"/>
    </row>
    <row r="974" ht="15.75" customHeight="1">
      <c r="J974" s="3"/>
    </row>
    <row r="975" ht="15.75" customHeight="1">
      <c r="J975" s="3"/>
    </row>
    <row r="976" ht="15.75" customHeight="1">
      <c r="J976" s="3"/>
    </row>
    <row r="977" ht="15.75" customHeight="1">
      <c r="J977" s="3"/>
    </row>
    <row r="978" ht="15.75" customHeight="1">
      <c r="J978" s="3"/>
    </row>
    <row r="979" ht="15.75" customHeight="1">
      <c r="J979" s="3"/>
    </row>
    <row r="980" ht="15.75" customHeight="1">
      <c r="J980" s="3"/>
    </row>
    <row r="981" ht="15.75" customHeight="1">
      <c r="J981" s="3"/>
    </row>
    <row r="982" ht="15.75" customHeight="1">
      <c r="J982" s="3"/>
    </row>
    <row r="983" ht="15.75" customHeight="1">
      <c r="J983" s="3"/>
    </row>
    <row r="984" ht="15.75" customHeight="1">
      <c r="J984" s="3"/>
    </row>
    <row r="985" ht="15.75" customHeight="1">
      <c r="J985" s="3"/>
    </row>
    <row r="986" ht="15.75" customHeight="1">
      <c r="J986" s="3"/>
    </row>
    <row r="987" ht="15.75" customHeight="1">
      <c r="J987" s="3"/>
    </row>
    <row r="988" ht="15.75" customHeight="1">
      <c r="J988" s="3"/>
    </row>
    <row r="989" ht="15.75" customHeight="1">
      <c r="J989" s="3"/>
    </row>
    <row r="990" ht="15.75" customHeight="1">
      <c r="J990" s="3"/>
    </row>
    <row r="991" ht="15.75" customHeight="1">
      <c r="J991" s="3"/>
    </row>
    <row r="992" ht="15.75" customHeight="1">
      <c r="J992" s="3"/>
    </row>
    <row r="993" ht="15.75" customHeight="1">
      <c r="J993" s="3"/>
    </row>
    <row r="994" ht="15.75" customHeight="1">
      <c r="J994" s="3"/>
    </row>
    <row r="995" ht="15.75" customHeight="1">
      <c r="J995" s="3"/>
    </row>
    <row r="996" ht="15.75" customHeight="1">
      <c r="J996" s="3"/>
    </row>
    <row r="997" ht="15.75" customHeight="1">
      <c r="J997" s="3"/>
    </row>
    <row r="998" ht="15.75" customHeight="1">
      <c r="J998" s="3"/>
    </row>
    <row r="999" ht="15.75" customHeight="1">
      <c r="J999" s="3"/>
    </row>
    <row r="1000" ht="15.75" customHeight="1">
      <c r="J1000" s="3"/>
    </row>
    <row r="1001" ht="15.75" customHeight="1">
      <c r="J1001" s="3"/>
    </row>
    <row r="1002" ht="15.75" customHeight="1">
      <c r="J1002" s="3"/>
    </row>
    <row r="1003" ht="15.75" customHeight="1">
      <c r="J1003" s="3"/>
    </row>
    <row r="1004" ht="15.75" customHeight="1">
      <c r="J1004" s="3"/>
    </row>
    <row r="1005" ht="15.75" customHeight="1">
      <c r="J1005" s="3"/>
    </row>
    <row r="1006" ht="15.75" customHeight="1">
      <c r="J1006" s="3"/>
    </row>
    <row r="1007" ht="15.75" customHeight="1">
      <c r="J1007" s="3"/>
    </row>
    <row r="1008" ht="15.75" customHeight="1">
      <c r="J1008" s="3"/>
    </row>
    <row r="1009" ht="15.75" customHeight="1">
      <c r="J1009" s="3"/>
    </row>
    <row r="1010" ht="15.75" customHeight="1">
      <c r="J1010" s="3"/>
    </row>
    <row r="1011" ht="15.75" customHeight="1">
      <c r="J1011" s="3"/>
    </row>
    <row r="1012" ht="15.75" customHeight="1">
      <c r="J1012" s="3"/>
    </row>
    <row r="1013" ht="15.75" customHeight="1">
      <c r="J1013" s="3"/>
    </row>
    <row r="1014" ht="15.75" customHeight="1">
      <c r="J1014" s="3"/>
    </row>
    <row r="1015" ht="15.75" customHeight="1">
      <c r="J1015" s="3"/>
    </row>
    <row r="1016" ht="15.75" customHeight="1">
      <c r="J1016" s="3"/>
    </row>
    <row r="1017" ht="15.75" customHeight="1">
      <c r="J1017" s="3"/>
    </row>
    <row r="1018" ht="15.75" customHeight="1">
      <c r="J1018" s="3"/>
    </row>
    <row r="1019" ht="15.75" customHeight="1">
      <c r="J1019" s="3"/>
    </row>
    <row r="1020" ht="15.75" customHeight="1">
      <c r="J1020" s="3"/>
    </row>
    <row r="1021" ht="15.75" customHeight="1">
      <c r="J1021" s="3"/>
    </row>
    <row r="1022" ht="15.75" customHeight="1">
      <c r="J1022" s="3"/>
    </row>
    <row r="1023" ht="15.75" customHeight="1">
      <c r="J1023" s="3"/>
    </row>
    <row r="1024" ht="15.75" customHeight="1">
      <c r="J1024" s="3"/>
    </row>
    <row r="1025" ht="15.75" customHeight="1">
      <c r="J1025" s="3"/>
    </row>
    <row r="1026" ht="15.75" customHeight="1">
      <c r="J1026" s="3"/>
    </row>
    <row r="1027" ht="15.75" customHeight="1">
      <c r="J1027" s="3"/>
    </row>
    <row r="1028" ht="15.75" customHeight="1">
      <c r="J1028" s="3"/>
    </row>
    <row r="1029" ht="15.75" customHeight="1">
      <c r="J1029" s="3"/>
    </row>
    <row r="1030" ht="15.75" customHeight="1">
      <c r="J1030" s="3"/>
    </row>
    <row r="1031" ht="15.75" customHeight="1">
      <c r="J1031" s="3"/>
    </row>
    <row r="1032" ht="15.75" customHeight="1">
      <c r="J1032" s="3"/>
    </row>
    <row r="1033" ht="15.75" customHeight="1">
      <c r="J1033" s="3"/>
    </row>
    <row r="1034" ht="15.75" customHeight="1">
      <c r="J1034" s="3"/>
    </row>
    <row r="1035" ht="15.75" customHeight="1">
      <c r="J1035" s="3"/>
    </row>
    <row r="1036" ht="15.75" customHeight="1">
      <c r="J1036" s="3"/>
    </row>
    <row r="1037" ht="15.75" customHeight="1">
      <c r="J1037" s="3"/>
    </row>
    <row r="1038" ht="15.75" customHeight="1">
      <c r="J1038" s="3"/>
    </row>
    <row r="1039" ht="15.75" customHeight="1">
      <c r="J1039" s="3"/>
    </row>
    <row r="1040" ht="15.75" customHeight="1">
      <c r="J1040" s="3"/>
    </row>
    <row r="1041" ht="15.75" customHeight="1">
      <c r="J1041" s="3"/>
    </row>
    <row r="1042" ht="15.75" customHeight="1">
      <c r="J1042" s="3"/>
    </row>
    <row r="1043" ht="15.75" customHeight="1">
      <c r="J1043" s="3"/>
    </row>
    <row r="1044" ht="15.75" customHeight="1">
      <c r="J1044" s="3"/>
    </row>
    <row r="1045" ht="15.75" customHeight="1">
      <c r="J1045" s="3"/>
    </row>
    <row r="1046" ht="15.75" customHeight="1">
      <c r="J1046" s="3"/>
    </row>
    <row r="1047" ht="15.75" customHeight="1">
      <c r="J1047" s="3"/>
    </row>
    <row r="1048" ht="15.75" customHeight="1">
      <c r="J1048" s="3"/>
    </row>
    <row r="1049" ht="15.75" customHeight="1">
      <c r="J1049" s="3"/>
    </row>
    <row r="1050" ht="15.75" customHeight="1">
      <c r="J1050" s="3"/>
    </row>
    <row r="1051" ht="15.75" customHeight="1">
      <c r="J1051" s="3"/>
    </row>
    <row r="1052" ht="15.75" customHeight="1">
      <c r="J1052" s="3"/>
    </row>
    <row r="1053" ht="15.75" customHeight="1">
      <c r="J1053" s="3"/>
    </row>
    <row r="1054" ht="15.75" customHeight="1">
      <c r="J1054" s="3"/>
    </row>
    <row r="1055" ht="15.75" customHeight="1">
      <c r="J1055" s="3"/>
    </row>
    <row r="1056" ht="15.75" customHeight="1">
      <c r="J1056" s="3"/>
    </row>
    <row r="1057" ht="15.75" customHeight="1">
      <c r="J1057" s="3"/>
    </row>
    <row r="1058" ht="15.75" customHeight="1">
      <c r="J1058" s="3"/>
    </row>
    <row r="1059" ht="15.75" customHeight="1">
      <c r="J1059" s="3"/>
    </row>
    <row r="1060" ht="15.75" customHeight="1">
      <c r="J1060" s="3"/>
    </row>
    <row r="1061" ht="15.75" customHeight="1">
      <c r="J1061" s="3"/>
    </row>
    <row r="1062" ht="15.75" customHeight="1">
      <c r="J1062" s="3"/>
    </row>
    <row r="1063" ht="15.75" customHeight="1">
      <c r="J1063" s="3"/>
    </row>
    <row r="1064" ht="15.75" customHeight="1">
      <c r="J1064" s="3"/>
    </row>
    <row r="1065" ht="15.75" customHeight="1">
      <c r="J1065" s="3"/>
    </row>
    <row r="1066" ht="15.75" customHeight="1">
      <c r="J1066" s="3"/>
    </row>
    <row r="1067" ht="15.75" customHeight="1">
      <c r="J1067" s="3"/>
    </row>
    <row r="1068" ht="15.75" customHeight="1">
      <c r="J1068" s="3"/>
    </row>
    <row r="1069" ht="15.75" customHeight="1">
      <c r="J1069" s="3"/>
    </row>
    <row r="1070" ht="15.75" customHeight="1">
      <c r="J1070" s="3"/>
    </row>
    <row r="1071" ht="15.75" customHeight="1">
      <c r="J1071" s="3"/>
    </row>
    <row r="1072" ht="15.75" customHeight="1">
      <c r="J1072" s="3"/>
    </row>
    <row r="1073" ht="15.75" customHeight="1">
      <c r="J1073" s="3"/>
    </row>
    <row r="1074" ht="15.75" customHeight="1">
      <c r="J1074" s="3"/>
    </row>
    <row r="1075" ht="15.75" customHeight="1">
      <c r="J1075" s="3"/>
    </row>
    <row r="1076" ht="15.75" customHeight="1">
      <c r="J1076" s="3"/>
    </row>
    <row r="1077" ht="15.75" customHeight="1">
      <c r="J1077" s="3"/>
    </row>
    <row r="1078" ht="15.75" customHeight="1">
      <c r="J1078" s="3"/>
    </row>
    <row r="1079" ht="15.75" customHeight="1">
      <c r="J1079" s="3"/>
    </row>
    <row r="1080" ht="15.75" customHeight="1">
      <c r="J1080" s="3"/>
    </row>
    <row r="1081" ht="15.75" customHeight="1">
      <c r="J1081" s="3"/>
    </row>
    <row r="1082" ht="15.75" customHeight="1">
      <c r="J1082" s="3"/>
    </row>
    <row r="1083" ht="15.75" customHeight="1">
      <c r="J1083" s="3"/>
    </row>
    <row r="1084" ht="15.75" customHeight="1">
      <c r="J1084" s="3"/>
    </row>
    <row r="1085" ht="15.75" customHeight="1">
      <c r="J1085" s="3"/>
    </row>
    <row r="1086" ht="15.75" customHeight="1">
      <c r="J1086" s="3"/>
    </row>
    <row r="1087" ht="15.75" customHeight="1">
      <c r="J1087" s="3"/>
    </row>
    <row r="1088" ht="15.75" customHeight="1">
      <c r="J1088" s="3"/>
    </row>
    <row r="1089" ht="15.75" customHeight="1">
      <c r="J1089" s="3"/>
    </row>
    <row r="1090" ht="15.75" customHeight="1">
      <c r="J1090" s="3"/>
    </row>
    <row r="1091" ht="15.75" customHeight="1">
      <c r="J1091" s="3"/>
    </row>
    <row r="1092" ht="15.75" customHeight="1">
      <c r="J1092" s="3"/>
    </row>
    <row r="1093" ht="15.75" customHeight="1">
      <c r="J1093" s="3"/>
    </row>
    <row r="1094" ht="15.75" customHeight="1">
      <c r="J1094" s="3"/>
    </row>
    <row r="1095" ht="15.75" customHeight="1">
      <c r="J1095" s="3"/>
    </row>
    <row r="1096" ht="15.75" customHeight="1">
      <c r="J1096" s="3"/>
    </row>
    <row r="1097" ht="15.75" customHeight="1">
      <c r="J1097" s="3"/>
    </row>
    <row r="1098" ht="15.75" customHeight="1">
      <c r="J1098" s="3"/>
    </row>
    <row r="1099" ht="15.75" customHeight="1">
      <c r="J1099" s="3"/>
    </row>
    <row r="1100" ht="15.75" customHeight="1">
      <c r="J1100" s="3"/>
    </row>
    <row r="1101" ht="15.75" customHeight="1">
      <c r="J1101" s="3"/>
    </row>
    <row r="1102" ht="15.75" customHeight="1">
      <c r="J1102" s="3"/>
    </row>
    <row r="1103" ht="15.75" customHeight="1">
      <c r="J1103" s="3"/>
    </row>
    <row r="1104" ht="15.75" customHeight="1">
      <c r="J1104" s="3"/>
    </row>
    <row r="1105" ht="15.75" customHeight="1">
      <c r="J1105" s="3"/>
    </row>
    <row r="1106" ht="15.75" customHeight="1">
      <c r="J1106" s="3"/>
    </row>
    <row r="1107" ht="15.75" customHeight="1">
      <c r="J1107" s="3"/>
    </row>
    <row r="1108" ht="15.75" customHeight="1">
      <c r="J1108" s="3"/>
    </row>
    <row r="1109" ht="15.75" customHeight="1">
      <c r="J1109" s="3"/>
    </row>
    <row r="1110" ht="15.75" customHeight="1">
      <c r="J1110" s="3"/>
    </row>
    <row r="1111" ht="15.75" customHeight="1">
      <c r="J1111" s="3"/>
    </row>
    <row r="1112" ht="15.75" customHeight="1">
      <c r="J1112" s="3"/>
    </row>
    <row r="1113" ht="15.75" customHeight="1">
      <c r="J1113" s="3"/>
    </row>
    <row r="1114" ht="15.75" customHeight="1">
      <c r="J1114" s="3"/>
    </row>
    <row r="1115" ht="15.75" customHeight="1">
      <c r="J1115" s="3"/>
    </row>
    <row r="1116" ht="15.75" customHeight="1">
      <c r="J1116" s="3"/>
    </row>
    <row r="1117" ht="15.75" customHeight="1">
      <c r="J1117" s="3"/>
    </row>
    <row r="1118" ht="15.75" customHeight="1">
      <c r="J1118" s="3"/>
    </row>
    <row r="1119" ht="15.75" customHeight="1">
      <c r="J1119" s="3"/>
    </row>
    <row r="1120" ht="15.75" customHeight="1">
      <c r="J1120" s="3"/>
    </row>
    <row r="1121" ht="15.75" customHeight="1">
      <c r="J1121" s="3"/>
    </row>
    <row r="1122" ht="15.75" customHeight="1">
      <c r="J1122" s="3"/>
    </row>
    <row r="1123" ht="15.75" customHeight="1">
      <c r="J1123" s="3"/>
    </row>
    <row r="1124" ht="15.75" customHeight="1">
      <c r="J1124" s="3"/>
    </row>
    <row r="1125" ht="15.75" customHeight="1">
      <c r="J1125" s="3"/>
    </row>
    <row r="1126" ht="15.75" customHeight="1">
      <c r="J1126" s="3"/>
    </row>
    <row r="1127" ht="15.75" customHeight="1">
      <c r="J1127" s="3"/>
    </row>
    <row r="1128" ht="15.75" customHeight="1">
      <c r="J1128" s="3"/>
    </row>
    <row r="1129" ht="15.75" customHeight="1">
      <c r="J1129" s="3"/>
    </row>
    <row r="1130" ht="15.75" customHeight="1">
      <c r="J1130" s="3"/>
    </row>
    <row r="1131" ht="15.75" customHeight="1">
      <c r="J1131" s="3"/>
    </row>
    <row r="1132" ht="15.75" customHeight="1">
      <c r="J1132" s="3"/>
    </row>
    <row r="1133" ht="15.75" customHeight="1">
      <c r="J1133" s="3"/>
    </row>
    <row r="1134" ht="15.75" customHeight="1">
      <c r="J1134" s="3"/>
    </row>
    <row r="1135" ht="15.75" customHeight="1">
      <c r="J1135" s="3"/>
    </row>
    <row r="1136" ht="15.75" customHeight="1">
      <c r="J1136" s="3"/>
    </row>
    <row r="1137" ht="15.75" customHeight="1">
      <c r="J1137" s="3"/>
    </row>
    <row r="1138" ht="15.75" customHeight="1">
      <c r="J1138" s="3"/>
    </row>
    <row r="1139" ht="15.75" customHeight="1">
      <c r="J1139" s="3"/>
    </row>
    <row r="1140" ht="15.75" customHeight="1">
      <c r="J1140" s="3"/>
    </row>
    <row r="1141" ht="15.75" customHeight="1">
      <c r="J1141" s="3"/>
    </row>
    <row r="1142" ht="15.75" customHeight="1">
      <c r="J1142" s="3"/>
    </row>
  </sheetData>
  <mergeCells count="13">
    <mergeCell ref="B138:I138"/>
    <mergeCell ref="B160:I160"/>
    <mergeCell ref="B179:I179"/>
    <mergeCell ref="B193:I193"/>
    <mergeCell ref="B221:I221"/>
    <mergeCell ref="C274:I274"/>
    <mergeCell ref="B3:I3"/>
    <mergeCell ref="B23:I23"/>
    <mergeCell ref="B45:I45"/>
    <mergeCell ref="B67:I67"/>
    <mergeCell ref="B87:I87"/>
    <mergeCell ref="B101:I101"/>
    <mergeCell ref="B118:I118"/>
  </mergeCells>
  <hyperlinks>
    <hyperlink r:id="rId1" ref="J47"/>
    <hyperlink r:id="rId2" location="vca=fixed-btn&amp;vso=rrss&amp;vmc=tw&amp;vli=unicaja" ref="J48"/>
    <hyperlink r:id="rId3" ref="K48"/>
    <hyperlink r:id="rId4" ref="L48"/>
    <hyperlink r:id="rId5" ref="J49"/>
    <hyperlink r:id="rId6" ref="K49"/>
    <hyperlink r:id="rId7" ref="J51"/>
    <hyperlink r:id="rId8" ref="K51"/>
    <hyperlink r:id="rId9" ref="L51"/>
    <hyperlink r:id="rId10" ref="J55"/>
    <hyperlink r:id="rId11" ref="K55"/>
    <hyperlink r:id="rId12" ref="L55"/>
    <hyperlink r:id="rId13" ref="J60"/>
    <hyperlink r:id="rId14" ref="J63"/>
    <hyperlink r:id="rId15" ref="J64"/>
    <hyperlink r:id="rId16" ref="J69"/>
    <hyperlink r:id="rId17" ref="J89"/>
    <hyperlink r:id="rId18" ref="K89"/>
    <hyperlink r:id="rId19" ref="J90"/>
    <hyperlink r:id="rId20" ref="K90"/>
    <hyperlink r:id="rId21" ref="J91"/>
    <hyperlink r:id="rId22" ref="K91"/>
    <hyperlink r:id="rId23" ref="J92"/>
    <hyperlink r:id="rId24" ref="K92"/>
    <hyperlink r:id="rId25" ref="J93"/>
    <hyperlink r:id="rId26" ref="K93"/>
    <hyperlink r:id="rId27" ref="J94"/>
    <hyperlink r:id="rId28" ref="K94"/>
    <hyperlink r:id="rId29" ref="J95"/>
    <hyperlink r:id="rId30" ref="K95"/>
    <hyperlink r:id="rId31" ref="J96"/>
    <hyperlink r:id="rId32" ref="K96"/>
    <hyperlink r:id="rId33" ref="J97"/>
    <hyperlink r:id="rId34" ref="K97"/>
    <hyperlink r:id="rId35" ref="J98"/>
    <hyperlink r:id="rId36" ref="K98"/>
    <hyperlink r:id="rId37" ref="J104"/>
    <hyperlink r:id="rId38" ref="J120"/>
    <hyperlink r:id="rId39" ref="K120"/>
    <hyperlink r:id="rId40" ref="L120"/>
    <hyperlink r:id="rId41" ref="J121"/>
    <hyperlink r:id="rId42" ref="K121"/>
    <hyperlink r:id="rId43" ref="J141"/>
    <hyperlink r:id="rId44" ref="K141"/>
    <hyperlink r:id="rId45" ref="J142"/>
    <hyperlink r:id="rId46" ref="J145"/>
    <hyperlink r:id="rId47" ref="J162"/>
    <hyperlink r:id="rId48" ref="J247"/>
    <hyperlink r:id="rId49" ref="J248"/>
    <hyperlink r:id="rId50" ref="K248"/>
    <hyperlink r:id="rId51" ref="J258"/>
    <hyperlink r:id="rId52" ref="J277"/>
    <hyperlink r:id="rId53" ref="J278"/>
    <hyperlink r:id="rId54" ref="J279"/>
    <hyperlink r:id="rId55" ref="J281"/>
    <hyperlink r:id="rId56" ref="J290"/>
    <hyperlink r:id="rId57" ref="J291"/>
    <hyperlink r:id="rId58" ref="J292"/>
    <hyperlink r:id="rId59" ref="J293"/>
    <hyperlink r:id="rId60" ref="J295"/>
    <hyperlink r:id="rId61" location=":~:text=BasketNews%20sources%20say%20the%20Turkish,of%20nearly%20%E2%82%AC17%20million.&amp;text=Fenerbahce%20Beko%20Istanbul%20have%20completed,27%20season%2C%20BasketNews%20sources%20confirmed." ref="J296"/>
    <hyperlink r:id="rId62" ref="K296"/>
    <hyperlink r:id="rId63" ref="J297"/>
    <hyperlink r:id="rId64" location=":~:text=El%20presupuesto%20m%C3%A1s%20alto%20de,de%20la%20Euroliga%20en%20Atenas." ref="J298"/>
    <hyperlink r:id="rId65" ref="J299"/>
    <hyperlink r:id="rId66" ref="J300"/>
    <hyperlink r:id="rId67" ref="J301"/>
    <hyperlink r:id="rId68" ref="J302"/>
    <hyperlink r:id="rId69" ref="J303"/>
    <hyperlink r:id="rId70" ref="J304"/>
    <hyperlink r:id="rId71" ref="J305"/>
    <hyperlink r:id="rId72" ref="J306"/>
    <hyperlink r:id="rId73" ref="J307"/>
    <hyperlink r:id="rId74" ref="J308"/>
    <hyperlink r:id="rId75" ref="J309"/>
    <hyperlink r:id="rId76" ref="J310"/>
    <hyperlink r:id="rId77" ref="J311"/>
  </hyperlinks>
  <printOptions/>
  <pageMargins bottom="0.75" footer="0.0" header="0.0" left="0.7" right="0.7" top="0.75"/>
  <pageSetup paperSize="9" orientation="portrait"/>
  <drawing r:id="rId7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8.56"/>
    <col customWidth="1" min="2" max="3" width="22.89"/>
    <col customWidth="1" min="4" max="4" width="13.11"/>
    <col customWidth="1" min="5" max="5" width="16.33"/>
    <col customWidth="1" min="6" max="6" width="17.33"/>
    <col customWidth="1" min="7" max="7" width="16.33"/>
    <col customWidth="1" min="8" max="8" width="50.78"/>
    <col customWidth="1" min="9" max="9" width="16.11"/>
    <col customWidth="1" min="10" max="35" width="8.56"/>
  </cols>
  <sheetData>
    <row r="1" ht="15.75" customHeight="1">
      <c r="I1" s="3"/>
    </row>
    <row r="2" ht="15.75" customHeight="1">
      <c r="I2" s="3"/>
    </row>
    <row r="3" ht="15.75" customHeight="1">
      <c r="B3" s="1" t="s">
        <v>2</v>
      </c>
      <c r="C3" s="2"/>
      <c r="D3" s="2"/>
      <c r="E3" s="2"/>
      <c r="F3" s="2"/>
      <c r="G3" s="2"/>
      <c r="H3" s="4"/>
      <c r="I3" s="3"/>
    </row>
    <row r="4" ht="15.75" customHeight="1">
      <c r="B4" s="5" t="s">
        <v>1</v>
      </c>
      <c r="C4" s="5" t="s">
        <v>3</v>
      </c>
      <c r="D4" s="5" t="s">
        <v>4</v>
      </c>
      <c r="E4" s="5" t="s">
        <v>5</v>
      </c>
      <c r="F4" s="6" t="s">
        <v>6</v>
      </c>
      <c r="G4" s="6" t="s">
        <v>7</v>
      </c>
      <c r="H4" s="6" t="s">
        <v>8</v>
      </c>
      <c r="I4" s="3"/>
    </row>
    <row r="5" ht="15.75" customHeight="1">
      <c r="B5" s="5" t="s">
        <v>13</v>
      </c>
      <c r="C5" s="12" t="s">
        <v>14</v>
      </c>
      <c r="D5" s="13">
        <v>2.8883E7</v>
      </c>
      <c r="E5" s="13">
        <v>7970000.0</v>
      </c>
      <c r="F5" s="16">
        <f t="shared" ref="F5:F20" si="1">+E5/D5</f>
        <v>0.2759408649</v>
      </c>
      <c r="G5" s="12">
        <v>1.0</v>
      </c>
      <c r="H5" s="5" t="s">
        <v>17</v>
      </c>
      <c r="I5" s="3"/>
    </row>
    <row r="6" ht="15.75" customHeight="1">
      <c r="B6" s="5" t="s">
        <v>13</v>
      </c>
      <c r="C6" s="12" t="s">
        <v>19</v>
      </c>
      <c r="D6" s="13">
        <v>3.8715E7</v>
      </c>
      <c r="E6" s="13">
        <v>2.0134E7</v>
      </c>
      <c r="F6" s="16">
        <f t="shared" si="1"/>
        <v>0.5200568255</v>
      </c>
      <c r="G6" s="12">
        <v>2.0</v>
      </c>
      <c r="H6" s="5" t="s">
        <v>26</v>
      </c>
      <c r="I6" s="3"/>
    </row>
    <row r="7" ht="15.75" customHeight="1">
      <c r="B7" s="5" t="s">
        <v>13</v>
      </c>
      <c r="C7" s="12" t="s">
        <v>27</v>
      </c>
      <c r="D7" s="13">
        <v>5627000.0</v>
      </c>
      <c r="E7" s="13">
        <v>1598000.0</v>
      </c>
      <c r="F7" s="16">
        <f t="shared" si="1"/>
        <v>0.2839879154</v>
      </c>
      <c r="G7" s="12">
        <v>3.0</v>
      </c>
      <c r="H7" s="12" t="s">
        <v>16</v>
      </c>
      <c r="I7" s="3"/>
    </row>
    <row r="8" ht="15.75" customHeight="1">
      <c r="B8" s="5" t="s">
        <v>13</v>
      </c>
      <c r="C8" s="12" t="s">
        <v>30</v>
      </c>
      <c r="D8" s="13">
        <v>1.8689E7</v>
      </c>
      <c r="E8" s="13">
        <v>4546000.0</v>
      </c>
      <c r="F8" s="16">
        <f t="shared" si="1"/>
        <v>0.2432446894</v>
      </c>
      <c r="G8" s="12">
        <v>4.0</v>
      </c>
      <c r="H8" s="5" t="s">
        <v>33</v>
      </c>
      <c r="I8" s="3"/>
    </row>
    <row r="9" ht="15.75" customHeight="1">
      <c r="B9" s="5" t="s">
        <v>13</v>
      </c>
      <c r="C9" s="12" t="s">
        <v>31</v>
      </c>
      <c r="D9" s="13">
        <v>6460000.0</v>
      </c>
      <c r="E9" s="13">
        <v>1631000.0</v>
      </c>
      <c r="F9" s="16">
        <f t="shared" si="1"/>
        <v>0.2524767802</v>
      </c>
      <c r="G9" s="12">
        <v>5.0</v>
      </c>
      <c r="H9" s="5" t="s">
        <v>36</v>
      </c>
      <c r="I9" s="3"/>
    </row>
    <row r="10" ht="15.75" customHeight="1">
      <c r="B10" s="5" t="s">
        <v>13</v>
      </c>
      <c r="C10" s="12" t="s">
        <v>34</v>
      </c>
      <c r="D10" s="13">
        <v>7510000.0</v>
      </c>
      <c r="E10" s="13">
        <v>2282000.0</v>
      </c>
      <c r="F10" s="16">
        <f t="shared" si="1"/>
        <v>0.303861518</v>
      </c>
      <c r="G10" s="12">
        <v>6.0</v>
      </c>
      <c r="H10" s="5" t="s">
        <v>39</v>
      </c>
      <c r="I10" s="3"/>
    </row>
    <row r="11" ht="15.75" customHeight="1">
      <c r="B11" s="5" t="s">
        <v>13</v>
      </c>
      <c r="C11" s="12" t="s">
        <v>35</v>
      </c>
      <c r="D11" s="13">
        <v>8122000.0</v>
      </c>
      <c r="E11" s="13">
        <v>2300000.0</v>
      </c>
      <c r="F11" s="16">
        <f t="shared" si="1"/>
        <v>0.2831814824</v>
      </c>
      <c r="G11" s="12">
        <v>7.0</v>
      </c>
      <c r="H11" s="5" t="s">
        <v>43</v>
      </c>
      <c r="I11" s="3"/>
    </row>
    <row r="12" ht="15.75" customHeight="1">
      <c r="B12" s="5" t="s">
        <v>13</v>
      </c>
      <c r="C12" s="12" t="s">
        <v>38</v>
      </c>
      <c r="D12" s="13">
        <v>7071000.0</v>
      </c>
      <c r="E12" s="13">
        <v>2898000.0</v>
      </c>
      <c r="F12" s="16">
        <f t="shared" si="1"/>
        <v>0.4098430208</v>
      </c>
      <c r="G12" s="12">
        <v>8.0</v>
      </c>
      <c r="H12" s="12" t="s">
        <v>16</v>
      </c>
      <c r="I12" s="3"/>
    </row>
    <row r="13" ht="15.75" customHeight="1">
      <c r="B13" s="5" t="s">
        <v>13</v>
      </c>
      <c r="C13" s="12" t="s">
        <v>40</v>
      </c>
      <c r="D13" s="13">
        <v>7188000.0</v>
      </c>
      <c r="E13" s="13">
        <v>2034000.0</v>
      </c>
      <c r="F13" s="16">
        <f t="shared" si="1"/>
        <v>0.2829716194</v>
      </c>
      <c r="G13" s="12">
        <v>9.0</v>
      </c>
      <c r="H13" s="5" t="s">
        <v>39</v>
      </c>
      <c r="I13" s="3"/>
    </row>
    <row r="14" ht="15.75" customHeight="1">
      <c r="B14" s="5" t="s">
        <v>13</v>
      </c>
      <c r="C14" s="12" t="s">
        <v>42</v>
      </c>
      <c r="D14" s="13">
        <v>5836000.0</v>
      </c>
      <c r="E14" s="13">
        <v>1733000.0</v>
      </c>
      <c r="F14" s="16">
        <f t="shared" si="1"/>
        <v>0.2969499657</v>
      </c>
      <c r="G14" s="12">
        <v>10.0</v>
      </c>
      <c r="H14" s="12" t="s">
        <v>16</v>
      </c>
      <c r="I14" s="3"/>
    </row>
    <row r="15" ht="15.75" customHeight="1">
      <c r="B15" s="5" t="s">
        <v>13</v>
      </c>
      <c r="C15" s="12" t="s">
        <v>44</v>
      </c>
      <c r="D15" s="13">
        <v>6370000.0</v>
      </c>
      <c r="E15" s="13">
        <v>1965000.0</v>
      </c>
      <c r="F15" s="16">
        <f t="shared" si="1"/>
        <v>0.308477237</v>
      </c>
      <c r="G15" s="12">
        <v>11.0</v>
      </c>
      <c r="H15" s="5" t="s">
        <v>51</v>
      </c>
      <c r="I15" s="3"/>
    </row>
    <row r="16" ht="15.75" customHeight="1">
      <c r="B16" s="5" t="s">
        <v>13</v>
      </c>
      <c r="C16" s="12" t="s">
        <v>46</v>
      </c>
      <c r="D16" s="13">
        <v>3853000.0</v>
      </c>
      <c r="E16" s="13">
        <v>1242000.0</v>
      </c>
      <c r="F16" s="16">
        <f t="shared" si="1"/>
        <v>0.3223462237</v>
      </c>
      <c r="G16" s="12">
        <v>12.0</v>
      </c>
      <c r="H16" s="12" t="s">
        <v>16</v>
      </c>
      <c r="I16" s="3"/>
    </row>
    <row r="17" ht="15.75" customHeight="1">
      <c r="B17" s="5" t="s">
        <v>13</v>
      </c>
      <c r="C17" s="12" t="s">
        <v>48</v>
      </c>
      <c r="D17" s="13">
        <v>6180000.0</v>
      </c>
      <c r="E17" s="13">
        <v>1850000.0</v>
      </c>
      <c r="F17" s="16">
        <f t="shared" si="1"/>
        <v>0.2993527508</v>
      </c>
      <c r="G17" s="12">
        <v>13.0</v>
      </c>
      <c r="H17" s="12" t="s">
        <v>16</v>
      </c>
      <c r="I17" s="3"/>
    </row>
    <row r="18" ht="15.75" customHeight="1">
      <c r="B18" s="5" t="s">
        <v>13</v>
      </c>
      <c r="C18" s="12" t="s">
        <v>53</v>
      </c>
      <c r="D18" s="13">
        <v>5858000.0</v>
      </c>
      <c r="E18" s="13">
        <v>1778000.0</v>
      </c>
      <c r="F18" s="16">
        <f t="shared" si="1"/>
        <v>0.3035165586</v>
      </c>
      <c r="G18" s="12">
        <v>14.0</v>
      </c>
      <c r="H18" s="12" t="s">
        <v>16</v>
      </c>
      <c r="I18" s="3"/>
    </row>
    <row r="19" ht="15.75" customHeight="1">
      <c r="B19" s="5" t="s">
        <v>13</v>
      </c>
      <c r="C19" s="12" t="s">
        <v>55</v>
      </c>
      <c r="D19" s="13">
        <v>4138000.0</v>
      </c>
      <c r="E19" s="13">
        <v>1663000.0</v>
      </c>
      <c r="F19" s="16">
        <f t="shared" si="1"/>
        <v>0.4018849686</v>
      </c>
      <c r="G19" s="12">
        <v>15.0</v>
      </c>
      <c r="H19" s="12" t="s">
        <v>16</v>
      </c>
      <c r="I19" s="3"/>
    </row>
    <row r="20" ht="15.75" customHeight="1">
      <c r="B20" s="5" t="s">
        <v>13</v>
      </c>
      <c r="C20" s="12" t="s">
        <v>58</v>
      </c>
      <c r="D20" s="13">
        <v>3741000.0</v>
      </c>
      <c r="E20" s="13">
        <v>968000.0</v>
      </c>
      <c r="F20" s="16">
        <f t="shared" si="1"/>
        <v>0.2587543438</v>
      </c>
      <c r="G20" s="12">
        <v>16.0</v>
      </c>
      <c r="H20" s="12" t="s">
        <v>16</v>
      </c>
      <c r="I20" s="3"/>
    </row>
    <row r="21" ht="15.75" customHeight="1">
      <c r="B21" s="19"/>
      <c r="C21" s="19"/>
      <c r="D21" s="19"/>
      <c r="E21" s="21" t="s">
        <v>61</v>
      </c>
      <c r="F21" s="23">
        <f>average(F5:F20)</f>
        <v>0.3154279228</v>
      </c>
      <c r="G21" s="19"/>
      <c r="H21" s="19"/>
      <c r="I21" s="3"/>
    </row>
    <row r="22" ht="15.75" customHeight="1">
      <c r="I22" s="3"/>
    </row>
    <row r="23" ht="15.75" customHeight="1">
      <c r="B23" s="24" t="s">
        <v>66</v>
      </c>
      <c r="C23" s="2"/>
      <c r="D23" s="2"/>
      <c r="E23" s="2"/>
      <c r="F23" s="2"/>
      <c r="G23" s="2"/>
      <c r="H23" s="4"/>
      <c r="I23" s="3"/>
    </row>
    <row r="24" ht="15.75" customHeight="1">
      <c r="B24" s="5" t="s">
        <v>1</v>
      </c>
      <c r="C24" s="5" t="s">
        <v>3</v>
      </c>
      <c r="D24" s="5" t="s">
        <v>4</v>
      </c>
      <c r="E24" s="5" t="s">
        <v>5</v>
      </c>
      <c r="F24" s="6" t="s">
        <v>6</v>
      </c>
      <c r="G24" s="6" t="s">
        <v>7</v>
      </c>
      <c r="H24" s="6" t="s">
        <v>8</v>
      </c>
      <c r="I24" s="3"/>
    </row>
    <row r="25" ht="15.75" customHeight="1">
      <c r="B25" s="5" t="s">
        <v>71</v>
      </c>
      <c r="C25" s="12" t="s">
        <v>72</v>
      </c>
      <c r="D25" s="13">
        <v>4.842E7</v>
      </c>
      <c r="E25" s="13">
        <v>1.803E7</v>
      </c>
      <c r="F25" s="16">
        <f t="shared" ref="F25:F42" si="2">+E25/D25</f>
        <v>0.3723667906</v>
      </c>
      <c r="G25" s="12">
        <v>1.0</v>
      </c>
      <c r="H25" s="5" t="s">
        <v>90</v>
      </c>
      <c r="I25" s="3"/>
    </row>
    <row r="26" ht="15.75" customHeight="1">
      <c r="B26" s="5" t="s">
        <v>71</v>
      </c>
      <c r="C26" s="12" t="s">
        <v>79</v>
      </c>
      <c r="D26" s="13">
        <v>1.142E7</v>
      </c>
      <c r="E26" s="13">
        <v>4690000.0</v>
      </c>
      <c r="F26" s="16">
        <f t="shared" si="2"/>
        <v>0.4106830123</v>
      </c>
      <c r="G26" s="12">
        <v>2.0</v>
      </c>
      <c r="H26" s="5" t="s">
        <v>95</v>
      </c>
      <c r="I26" s="3"/>
    </row>
    <row r="27" ht="15.75" customHeight="1">
      <c r="B27" s="5" t="s">
        <v>71</v>
      </c>
      <c r="C27" s="12" t="s">
        <v>87</v>
      </c>
      <c r="D27" s="13">
        <v>5580000.0</v>
      </c>
      <c r="E27" s="13">
        <v>1460000.0</v>
      </c>
      <c r="F27" s="16">
        <f t="shared" si="2"/>
        <v>0.2616487455</v>
      </c>
      <c r="G27" s="12">
        <v>3.0</v>
      </c>
      <c r="H27" s="12" t="s">
        <v>16</v>
      </c>
      <c r="I27" s="3"/>
    </row>
    <row r="28" ht="15.75" customHeight="1">
      <c r="B28" s="5" t="s">
        <v>71</v>
      </c>
      <c r="C28" s="12" t="s">
        <v>93</v>
      </c>
      <c r="D28" s="13">
        <v>9160000.0</v>
      </c>
      <c r="E28" s="13">
        <v>3240000.0</v>
      </c>
      <c r="F28" s="16">
        <f t="shared" si="2"/>
        <v>0.3537117904</v>
      </c>
      <c r="G28" s="12">
        <v>4.0</v>
      </c>
      <c r="H28" s="12" t="s">
        <v>16</v>
      </c>
      <c r="I28" s="3"/>
    </row>
    <row r="29" ht="15.75" customHeight="1">
      <c r="B29" s="5" t="s">
        <v>71</v>
      </c>
      <c r="C29" s="12" t="s">
        <v>97</v>
      </c>
      <c r="D29" s="13">
        <v>6730000.0</v>
      </c>
      <c r="E29" s="13">
        <v>2750000.0</v>
      </c>
      <c r="F29" s="16">
        <f t="shared" si="2"/>
        <v>0.4086181278</v>
      </c>
      <c r="G29" s="12">
        <v>5.0</v>
      </c>
      <c r="H29" s="12" t="s">
        <v>102</v>
      </c>
      <c r="I29" s="3"/>
    </row>
    <row r="30" ht="15.75" customHeight="1">
      <c r="B30" s="5" t="s">
        <v>71</v>
      </c>
      <c r="C30" s="12" t="s">
        <v>100</v>
      </c>
      <c r="D30" s="13">
        <v>9210000.0</v>
      </c>
      <c r="E30" s="13">
        <v>3000000.0</v>
      </c>
      <c r="F30" s="16">
        <f t="shared" si="2"/>
        <v>0.325732899</v>
      </c>
      <c r="G30" s="12">
        <v>6.0</v>
      </c>
      <c r="H30" s="5" t="s">
        <v>107</v>
      </c>
      <c r="I30" s="3"/>
    </row>
    <row r="31" ht="15.75" customHeight="1">
      <c r="B31" s="5" t="s">
        <v>71</v>
      </c>
      <c r="C31" s="12" t="s">
        <v>101</v>
      </c>
      <c r="D31" s="13">
        <v>5680000.0</v>
      </c>
      <c r="E31" s="13">
        <v>2460000.0</v>
      </c>
      <c r="F31" s="16">
        <f t="shared" si="2"/>
        <v>0.4330985915</v>
      </c>
      <c r="G31" s="12">
        <v>7.0</v>
      </c>
      <c r="H31" s="5" t="s">
        <v>51</v>
      </c>
      <c r="I31" s="3"/>
    </row>
    <row r="32" ht="15.75" customHeight="1">
      <c r="B32" s="5" t="s">
        <v>71</v>
      </c>
      <c r="C32" s="12" t="s">
        <v>103</v>
      </c>
      <c r="D32" s="13">
        <v>4620000.0</v>
      </c>
      <c r="E32" s="13">
        <v>1560000.0</v>
      </c>
      <c r="F32" s="16">
        <f t="shared" si="2"/>
        <v>0.3376623377</v>
      </c>
      <c r="G32" s="12">
        <v>8.0</v>
      </c>
      <c r="H32" s="12" t="s">
        <v>16</v>
      </c>
      <c r="I32" s="3"/>
    </row>
    <row r="33" ht="15.75" customHeight="1">
      <c r="B33" s="5" t="s">
        <v>71</v>
      </c>
      <c r="C33" s="12" t="s">
        <v>105</v>
      </c>
      <c r="D33" s="13">
        <v>7040000.0</v>
      </c>
      <c r="E33" s="13">
        <v>2110000.0</v>
      </c>
      <c r="F33" s="16">
        <f t="shared" si="2"/>
        <v>0.2997159091</v>
      </c>
      <c r="G33" s="12">
        <v>9.0</v>
      </c>
      <c r="H33" s="12" t="s">
        <v>113</v>
      </c>
      <c r="I33" s="3"/>
    </row>
    <row r="34" ht="15.75" customHeight="1">
      <c r="B34" s="5" t="s">
        <v>71</v>
      </c>
      <c r="C34" s="12" t="s">
        <v>108</v>
      </c>
      <c r="D34" s="13">
        <v>5740000.0</v>
      </c>
      <c r="E34" s="13">
        <v>2520000.0</v>
      </c>
      <c r="F34" s="16">
        <f t="shared" si="2"/>
        <v>0.4390243902</v>
      </c>
      <c r="G34" s="12">
        <v>10.0</v>
      </c>
      <c r="H34" s="12" t="s">
        <v>16</v>
      </c>
      <c r="I34" s="3"/>
    </row>
    <row r="35" ht="15.75" customHeight="1">
      <c r="B35" s="5" t="s">
        <v>71</v>
      </c>
      <c r="C35" s="12" t="s">
        <v>109</v>
      </c>
      <c r="D35" s="13">
        <v>9080000.0</v>
      </c>
      <c r="E35" s="13">
        <v>3170000.0</v>
      </c>
      <c r="F35" s="16">
        <f t="shared" si="2"/>
        <v>0.3491189427</v>
      </c>
      <c r="G35" s="12">
        <v>11.0</v>
      </c>
      <c r="H35" s="12" t="s">
        <v>16</v>
      </c>
      <c r="I35" s="3"/>
    </row>
    <row r="36" ht="15.75" customHeight="1">
      <c r="B36" s="5" t="s">
        <v>71</v>
      </c>
      <c r="C36" s="12" t="s">
        <v>111</v>
      </c>
      <c r="D36" s="13">
        <v>7510000.0</v>
      </c>
      <c r="E36" s="13">
        <v>2760000.0</v>
      </c>
      <c r="F36" s="16">
        <f t="shared" si="2"/>
        <v>0.3675099867</v>
      </c>
      <c r="G36" s="12">
        <v>12.0</v>
      </c>
      <c r="H36" s="5" t="s">
        <v>122</v>
      </c>
      <c r="I36" s="3"/>
    </row>
    <row r="37" ht="15.75" customHeight="1">
      <c r="B37" s="5" t="s">
        <v>71</v>
      </c>
      <c r="C37" s="12" t="s">
        <v>116</v>
      </c>
      <c r="D37" s="13">
        <v>4610000.0</v>
      </c>
      <c r="E37" s="13">
        <v>1470000.0</v>
      </c>
      <c r="F37" s="16">
        <f t="shared" si="2"/>
        <v>0.3188720174</v>
      </c>
      <c r="G37" s="12">
        <v>13.0</v>
      </c>
      <c r="H37" s="5" t="s">
        <v>127</v>
      </c>
      <c r="I37" s="3"/>
    </row>
    <row r="38" ht="15.75" customHeight="1">
      <c r="B38" s="5" t="s">
        <v>71</v>
      </c>
      <c r="C38" s="12" t="s">
        <v>117</v>
      </c>
      <c r="D38" s="13">
        <v>6630000.0</v>
      </c>
      <c r="E38" s="13">
        <v>2080000.0</v>
      </c>
      <c r="F38" s="16">
        <f t="shared" si="2"/>
        <v>0.3137254902</v>
      </c>
      <c r="G38" s="12">
        <v>14.0</v>
      </c>
      <c r="H38" s="5" t="s">
        <v>129</v>
      </c>
      <c r="I38" s="3"/>
    </row>
    <row r="39" ht="15.75" customHeight="1">
      <c r="B39" s="5" t="s">
        <v>71</v>
      </c>
      <c r="C39" s="12" t="s">
        <v>118</v>
      </c>
      <c r="D39" s="13">
        <v>6380000.0</v>
      </c>
      <c r="E39" s="13">
        <v>2210000.0</v>
      </c>
      <c r="F39" s="16">
        <f t="shared" si="2"/>
        <v>0.3463949843</v>
      </c>
      <c r="G39" s="12">
        <v>15.0</v>
      </c>
      <c r="H39" s="12" t="s">
        <v>16</v>
      </c>
      <c r="I39" s="3"/>
    </row>
    <row r="40" ht="15.75" customHeight="1">
      <c r="B40" s="5" t="s">
        <v>71</v>
      </c>
      <c r="C40" s="12" t="s">
        <v>120</v>
      </c>
      <c r="D40" s="13">
        <v>4260000.0</v>
      </c>
      <c r="E40" s="13">
        <v>1570000.0</v>
      </c>
      <c r="F40" s="16">
        <f t="shared" si="2"/>
        <v>0.3685446009</v>
      </c>
      <c r="G40" s="12">
        <v>16.0</v>
      </c>
      <c r="H40" s="12" t="s">
        <v>16</v>
      </c>
      <c r="I40" s="3"/>
    </row>
    <row r="41" ht="15.75" customHeight="1">
      <c r="B41" s="5" t="s">
        <v>71</v>
      </c>
      <c r="C41" s="12" t="s">
        <v>121</v>
      </c>
      <c r="D41" s="13">
        <v>6680000.0</v>
      </c>
      <c r="E41" s="13">
        <v>1860000.0</v>
      </c>
      <c r="F41" s="16">
        <f t="shared" si="2"/>
        <v>0.2784431138</v>
      </c>
      <c r="G41" s="12">
        <v>17.0</v>
      </c>
      <c r="H41" s="5" t="s">
        <v>51</v>
      </c>
      <c r="I41" s="3"/>
    </row>
    <row r="42" ht="15.75" customHeight="1">
      <c r="B42" s="5" t="s">
        <v>71</v>
      </c>
      <c r="C42" s="12" t="s">
        <v>124</v>
      </c>
      <c r="D42" s="13">
        <v>6020000.0</v>
      </c>
      <c r="E42" s="13">
        <v>2200000.0</v>
      </c>
      <c r="F42" s="16">
        <f t="shared" si="2"/>
        <v>0.365448505</v>
      </c>
      <c r="G42" s="12">
        <v>18.0</v>
      </c>
      <c r="H42" s="5" t="s">
        <v>36</v>
      </c>
      <c r="I42" s="3"/>
      <c r="P42" s="27" t="s">
        <v>144</v>
      </c>
    </row>
    <row r="43" ht="15.75" customHeight="1">
      <c r="E43" s="21" t="s">
        <v>61</v>
      </c>
      <c r="F43" s="23">
        <f>average(F25:F42)</f>
        <v>0.3527955686</v>
      </c>
      <c r="I43" s="3"/>
    </row>
    <row r="44" ht="15.75" customHeight="1">
      <c r="I44" s="3"/>
    </row>
    <row r="45" ht="15.75" customHeight="1">
      <c r="B45" s="24" t="s">
        <v>130</v>
      </c>
      <c r="C45" s="2"/>
      <c r="D45" s="2"/>
      <c r="E45" s="2"/>
      <c r="F45" s="2"/>
      <c r="G45" s="2"/>
      <c r="H45" s="4"/>
      <c r="I45" s="28"/>
    </row>
    <row r="46" ht="15.75" customHeight="1">
      <c r="B46" s="5" t="s">
        <v>1</v>
      </c>
      <c r="C46" s="5" t="s">
        <v>3</v>
      </c>
      <c r="D46" s="5" t="s">
        <v>4</v>
      </c>
      <c r="E46" s="5" t="s">
        <v>5</v>
      </c>
      <c r="F46" s="6" t="s">
        <v>6</v>
      </c>
      <c r="G46" s="6" t="s">
        <v>7</v>
      </c>
      <c r="H46" s="6" t="s">
        <v>8</v>
      </c>
      <c r="I46" s="29" t="s">
        <v>135</v>
      </c>
      <c r="J46" s="12" t="s">
        <v>136</v>
      </c>
      <c r="K46" s="12" t="s">
        <v>137</v>
      </c>
    </row>
    <row r="47" ht="15.75" customHeight="1">
      <c r="A47" s="30" t="s">
        <v>139</v>
      </c>
      <c r="B47" s="5" t="s">
        <v>140</v>
      </c>
      <c r="C47" s="12" t="s">
        <v>141</v>
      </c>
      <c r="D47" s="13">
        <v>5.5E7</v>
      </c>
      <c r="E47" s="9">
        <v>3.43E7</v>
      </c>
      <c r="F47" s="16">
        <f t="shared" ref="F47:F64" si="3">+E47/D47</f>
        <v>0.6236363636</v>
      </c>
      <c r="G47" s="5">
        <v>1.0</v>
      </c>
      <c r="H47" s="5" t="s">
        <v>158</v>
      </c>
      <c r="I47" s="36" t="s">
        <v>159</v>
      </c>
      <c r="J47" s="37" t="s">
        <v>167</v>
      </c>
      <c r="K47" s="37" t="s">
        <v>171</v>
      </c>
      <c r="L47" s="35"/>
    </row>
    <row r="48" ht="15.75" customHeight="1">
      <c r="A48" s="30" t="s">
        <v>139</v>
      </c>
      <c r="B48" s="5" t="s">
        <v>140</v>
      </c>
      <c r="C48" s="12" t="s">
        <v>178</v>
      </c>
      <c r="D48" s="13">
        <v>3.5E7</v>
      </c>
      <c r="E48" s="13">
        <v>1.9E7</v>
      </c>
      <c r="F48" s="16">
        <f t="shared" si="3"/>
        <v>0.5428571429</v>
      </c>
      <c r="G48" s="5">
        <v>2.0</v>
      </c>
      <c r="H48" s="5" t="s">
        <v>182</v>
      </c>
      <c r="I48" s="36" t="s">
        <v>183</v>
      </c>
      <c r="J48" s="41" t="s">
        <v>186</v>
      </c>
      <c r="K48" s="41" t="s">
        <v>199</v>
      </c>
      <c r="L48" s="35"/>
    </row>
    <row r="49" ht="15.75" customHeight="1">
      <c r="B49" s="5" t="s">
        <v>140</v>
      </c>
      <c r="C49" s="12" t="s">
        <v>203</v>
      </c>
      <c r="D49" s="13">
        <v>1.7E7</v>
      </c>
      <c r="E49" s="13">
        <v>1.2E7</v>
      </c>
      <c r="F49" s="16">
        <f t="shared" si="3"/>
        <v>0.7058823529</v>
      </c>
      <c r="G49" s="5">
        <v>3.0</v>
      </c>
      <c r="H49" s="5" t="s">
        <v>204</v>
      </c>
      <c r="I49" s="36" t="s">
        <v>206</v>
      </c>
      <c r="J49" s="41" t="s">
        <v>216</v>
      </c>
      <c r="K49" s="41" t="s">
        <v>220</v>
      </c>
      <c r="L49" s="35"/>
    </row>
    <row r="50" ht="15.75" customHeight="1">
      <c r="B50" s="5" t="s">
        <v>140</v>
      </c>
      <c r="C50" s="12" t="s">
        <v>189</v>
      </c>
      <c r="D50" s="13">
        <v>6000000.0</v>
      </c>
      <c r="E50" s="13">
        <v>3900000.0</v>
      </c>
      <c r="F50" s="16">
        <f t="shared" si="3"/>
        <v>0.65</v>
      </c>
      <c r="G50" s="5">
        <v>4.0</v>
      </c>
      <c r="H50" s="5" t="s">
        <v>228</v>
      </c>
      <c r="I50" s="36" t="s">
        <v>229</v>
      </c>
      <c r="J50" s="41" t="s">
        <v>234</v>
      </c>
      <c r="K50" s="41" t="s">
        <v>240</v>
      </c>
      <c r="L50" s="35"/>
    </row>
    <row r="51" ht="15.75" customHeight="1">
      <c r="B51" s="5" t="s">
        <v>140</v>
      </c>
      <c r="C51" s="12" t="s">
        <v>194</v>
      </c>
      <c r="D51" s="13">
        <v>4.02E7</v>
      </c>
      <c r="E51" s="13">
        <v>2.925E7</v>
      </c>
      <c r="F51" s="16">
        <f t="shared" si="3"/>
        <v>0.7276119403</v>
      </c>
      <c r="G51" s="5">
        <v>5.0</v>
      </c>
      <c r="H51" s="5" t="s">
        <v>249</v>
      </c>
      <c r="I51" s="36" t="s">
        <v>250</v>
      </c>
      <c r="J51" s="47" t="s">
        <v>16</v>
      </c>
      <c r="K51" s="47"/>
      <c r="L51" s="35"/>
    </row>
    <row r="52" ht="15.75" customHeight="1">
      <c r="B52" s="5" t="s">
        <v>140</v>
      </c>
      <c r="C52" s="12" t="s">
        <v>217</v>
      </c>
      <c r="D52" s="13">
        <v>9000000.0</v>
      </c>
      <c r="E52" s="13">
        <v>6000000.0</v>
      </c>
      <c r="F52" s="16">
        <f t="shared" si="3"/>
        <v>0.6666666667</v>
      </c>
      <c r="G52" s="5">
        <v>6.0</v>
      </c>
      <c r="H52" s="5" t="s">
        <v>95</v>
      </c>
      <c r="I52" s="36" t="s">
        <v>257</v>
      </c>
      <c r="J52" s="41" t="s">
        <v>263</v>
      </c>
      <c r="K52" s="38" t="s">
        <v>268</v>
      </c>
      <c r="L52" s="35"/>
    </row>
    <row r="53" ht="15.75" customHeight="1">
      <c r="B53" s="5" t="s">
        <v>140</v>
      </c>
      <c r="C53" s="12" t="s">
        <v>243</v>
      </c>
      <c r="D53" s="13">
        <v>5400000.0</v>
      </c>
      <c r="E53" s="13">
        <v>2392576.0</v>
      </c>
      <c r="F53" s="16">
        <f t="shared" si="3"/>
        <v>0.4430696296</v>
      </c>
      <c r="G53" s="5">
        <v>7.0</v>
      </c>
      <c r="H53" s="5" t="s">
        <v>274</v>
      </c>
      <c r="I53" s="36" t="s">
        <v>275</v>
      </c>
      <c r="J53" s="41" t="s">
        <v>281</v>
      </c>
      <c r="K53" s="41" t="s">
        <v>283</v>
      </c>
      <c r="L53" s="35"/>
    </row>
    <row r="54" ht="15.75" customHeight="1">
      <c r="B54" s="5" t="s">
        <v>140</v>
      </c>
      <c r="C54" s="12" t="s">
        <v>221</v>
      </c>
      <c r="D54" s="13">
        <v>1.07E7</v>
      </c>
      <c r="E54" s="13">
        <v>7800000.0</v>
      </c>
      <c r="F54" s="16">
        <f t="shared" si="3"/>
        <v>0.7289719626</v>
      </c>
      <c r="G54" s="5">
        <v>8.0</v>
      </c>
      <c r="H54" s="5" t="s">
        <v>290</v>
      </c>
      <c r="I54" s="36" t="s">
        <v>291</v>
      </c>
      <c r="J54" s="41" t="s">
        <v>296</v>
      </c>
      <c r="K54" s="41"/>
      <c r="L54" s="35"/>
    </row>
    <row r="55" ht="15.75" customHeight="1">
      <c r="B55" s="5" t="s">
        <v>140</v>
      </c>
      <c r="C55" s="12" t="s">
        <v>227</v>
      </c>
      <c r="D55" s="13">
        <v>1.62E7</v>
      </c>
      <c r="E55" s="13">
        <v>1.1E7</v>
      </c>
      <c r="F55" s="16">
        <f t="shared" si="3"/>
        <v>0.6790123457</v>
      </c>
      <c r="G55" s="5">
        <v>9.0</v>
      </c>
      <c r="H55" s="5" t="s">
        <v>302</v>
      </c>
      <c r="I55" s="36" t="s">
        <v>303</v>
      </c>
      <c r="J55" s="46" t="s">
        <v>308</v>
      </c>
      <c r="K55" s="47"/>
      <c r="L55" s="35"/>
    </row>
    <row r="56" ht="15.75" customHeight="1">
      <c r="B56" s="5" t="s">
        <v>140</v>
      </c>
      <c r="C56" s="12" t="s">
        <v>276</v>
      </c>
      <c r="D56" s="13">
        <v>4100000.0</v>
      </c>
      <c r="E56" s="13">
        <v>2800000.0</v>
      </c>
      <c r="F56" s="16">
        <f t="shared" si="3"/>
        <v>0.6829268293</v>
      </c>
      <c r="G56" s="5">
        <v>10.0</v>
      </c>
      <c r="H56" s="5" t="s">
        <v>122</v>
      </c>
      <c r="I56" s="36" t="s">
        <v>316</v>
      </c>
      <c r="J56" s="47" t="s">
        <v>16</v>
      </c>
      <c r="K56" s="47"/>
      <c r="L56" s="35"/>
    </row>
    <row r="57" ht="15.75" customHeight="1">
      <c r="B57" s="5" t="s">
        <v>140</v>
      </c>
      <c r="C57" s="5" t="s">
        <v>241</v>
      </c>
      <c r="D57" s="13">
        <v>4500000.0</v>
      </c>
      <c r="E57" s="13">
        <v>3025000.0</v>
      </c>
      <c r="F57" s="16">
        <f t="shared" si="3"/>
        <v>0.6722222222</v>
      </c>
      <c r="G57" s="5">
        <v>11.0</v>
      </c>
      <c r="H57" s="12" t="s">
        <v>16</v>
      </c>
      <c r="I57" s="36" t="s">
        <v>324</v>
      </c>
      <c r="J57" s="41" t="s">
        <v>329</v>
      </c>
      <c r="K57" s="41"/>
      <c r="L57" s="35"/>
    </row>
    <row r="58" ht="15.75" customHeight="1">
      <c r="B58" s="5" t="s">
        <v>140</v>
      </c>
      <c r="C58" s="12" t="s">
        <v>270</v>
      </c>
      <c r="D58" s="13">
        <v>4200000.0</v>
      </c>
      <c r="E58" s="13">
        <v>2400000.0</v>
      </c>
      <c r="F58" s="16">
        <f t="shared" si="3"/>
        <v>0.5714285714</v>
      </c>
      <c r="G58" s="5">
        <v>12.0</v>
      </c>
      <c r="H58" s="12" t="s">
        <v>16</v>
      </c>
      <c r="I58" s="60" t="s">
        <v>339</v>
      </c>
      <c r="J58" s="41" t="s">
        <v>347</v>
      </c>
      <c r="K58" s="41"/>
      <c r="L58" s="35"/>
    </row>
    <row r="59" ht="15.75" customHeight="1">
      <c r="B59" s="5" t="s">
        <v>140</v>
      </c>
      <c r="C59" s="12" t="s">
        <v>235</v>
      </c>
      <c r="D59" s="25">
        <v>4200000.0</v>
      </c>
      <c r="E59" s="25">
        <v>2600000.0</v>
      </c>
      <c r="F59" s="16">
        <f t="shared" si="3"/>
        <v>0.619047619</v>
      </c>
      <c r="G59" s="5">
        <v>13.0</v>
      </c>
      <c r="H59" s="12" t="s">
        <v>16</v>
      </c>
      <c r="I59" s="49" t="s">
        <v>16</v>
      </c>
      <c r="J59" s="47" t="s">
        <v>16</v>
      </c>
      <c r="K59" s="47"/>
      <c r="L59" s="35"/>
    </row>
    <row r="60" ht="15.75" customHeight="1">
      <c r="B60" s="5" t="s">
        <v>140</v>
      </c>
      <c r="C60" s="12" t="s">
        <v>262</v>
      </c>
      <c r="D60" s="13">
        <v>6000000.0</v>
      </c>
      <c r="E60" s="13">
        <v>3500000.0</v>
      </c>
      <c r="F60" s="16">
        <f t="shared" si="3"/>
        <v>0.5833333333</v>
      </c>
      <c r="G60" s="5">
        <v>14.0</v>
      </c>
      <c r="H60" s="12" t="s">
        <v>16</v>
      </c>
      <c r="I60" s="36" t="s">
        <v>359</v>
      </c>
      <c r="J60" s="41" t="s">
        <v>363</v>
      </c>
      <c r="K60" s="41"/>
      <c r="L60" s="35"/>
    </row>
    <row r="61" ht="15.75" customHeight="1">
      <c r="B61" s="5" t="s">
        <v>140</v>
      </c>
      <c r="C61" s="5" t="s">
        <v>261</v>
      </c>
      <c r="D61" s="13">
        <v>3900000.0</v>
      </c>
      <c r="E61" s="13">
        <v>2500000.0</v>
      </c>
      <c r="F61" s="16">
        <f t="shared" si="3"/>
        <v>0.641025641</v>
      </c>
      <c r="G61" s="5">
        <v>15.0</v>
      </c>
      <c r="H61" s="12" t="s">
        <v>113</v>
      </c>
      <c r="I61" s="36" t="s">
        <v>374</v>
      </c>
      <c r="J61" s="47" t="s">
        <v>16</v>
      </c>
      <c r="K61" s="47"/>
      <c r="L61" s="35"/>
    </row>
    <row r="62" ht="15.75" customHeight="1">
      <c r="B62" s="5" t="s">
        <v>140</v>
      </c>
      <c r="C62" s="12" t="s">
        <v>282</v>
      </c>
      <c r="D62" s="13">
        <v>5900000.0</v>
      </c>
      <c r="E62" s="13">
        <v>3500000.0</v>
      </c>
      <c r="F62" s="16">
        <f t="shared" si="3"/>
        <v>0.593220339</v>
      </c>
      <c r="G62" s="5">
        <v>16.0</v>
      </c>
      <c r="H62" s="12" t="s">
        <v>16</v>
      </c>
      <c r="I62" s="36" t="s">
        <v>379</v>
      </c>
      <c r="J62" s="47" t="s">
        <v>16</v>
      </c>
      <c r="K62" s="47"/>
      <c r="L62" s="35"/>
    </row>
    <row r="63" ht="15.75" customHeight="1">
      <c r="B63" s="5" t="s">
        <v>140</v>
      </c>
      <c r="C63" s="12" t="s">
        <v>259</v>
      </c>
      <c r="D63" s="13">
        <v>1.08E7</v>
      </c>
      <c r="E63" s="13">
        <v>6200000.0</v>
      </c>
      <c r="F63" s="16">
        <f t="shared" si="3"/>
        <v>0.5740740741</v>
      </c>
      <c r="G63" s="5">
        <v>17.0</v>
      </c>
      <c r="H63" s="12" t="s">
        <v>102</v>
      </c>
      <c r="I63" s="36" t="s">
        <v>387</v>
      </c>
      <c r="J63" s="47" t="s">
        <v>16</v>
      </c>
      <c r="K63" s="47"/>
      <c r="L63" s="50"/>
    </row>
    <row r="64" ht="15.75" customHeight="1">
      <c r="B64" s="5" t="s">
        <v>140</v>
      </c>
      <c r="C64" s="12" t="s">
        <v>255</v>
      </c>
      <c r="D64" s="13">
        <v>4650000.0</v>
      </c>
      <c r="E64" s="13">
        <v>2100000.0</v>
      </c>
      <c r="F64" s="16">
        <f t="shared" si="3"/>
        <v>0.4516129032</v>
      </c>
      <c r="G64" s="5">
        <v>18.0</v>
      </c>
      <c r="H64" s="12" t="s">
        <v>16</v>
      </c>
      <c r="I64" s="36" t="s">
        <v>392</v>
      </c>
      <c r="J64" s="41" t="s">
        <v>16</v>
      </c>
      <c r="K64" s="38" t="s">
        <v>401</v>
      </c>
      <c r="L64" s="51" t="s">
        <v>285</v>
      </c>
    </row>
    <row r="65" ht="15.75" customHeight="1">
      <c r="E65" s="21" t="s">
        <v>61</v>
      </c>
      <c r="F65" s="52">
        <f>average(F47:F64)</f>
        <v>0.6198111076</v>
      </c>
      <c r="I65" s="3"/>
    </row>
    <row r="66" ht="15.75" customHeight="1">
      <c r="I66" s="3"/>
    </row>
    <row r="67" ht="15.75" customHeight="1">
      <c r="B67" s="24" t="s">
        <v>287</v>
      </c>
      <c r="C67" s="2"/>
      <c r="D67" s="2"/>
      <c r="E67" s="2"/>
      <c r="F67" s="2"/>
      <c r="G67" s="2"/>
      <c r="H67" s="4"/>
      <c r="I67" s="3"/>
    </row>
    <row r="68" ht="15.75" customHeight="1">
      <c r="B68" s="5" t="s">
        <v>1</v>
      </c>
      <c r="C68" s="5" t="s">
        <v>3</v>
      </c>
      <c r="D68" s="5" t="s">
        <v>4</v>
      </c>
      <c r="E68" s="5" t="s">
        <v>5</v>
      </c>
      <c r="F68" s="6" t="s">
        <v>6</v>
      </c>
      <c r="G68" s="6" t="s">
        <v>7</v>
      </c>
      <c r="H68" s="6" t="s">
        <v>8</v>
      </c>
      <c r="I68" s="29" t="s">
        <v>135</v>
      </c>
      <c r="J68" s="12" t="s">
        <v>136</v>
      </c>
      <c r="K68" s="12" t="s">
        <v>137</v>
      </c>
      <c r="L68" s="12" t="s">
        <v>288</v>
      </c>
    </row>
    <row r="69" ht="15.75" customHeight="1">
      <c r="B69" s="5" t="s">
        <v>222</v>
      </c>
      <c r="C69" s="12" t="s">
        <v>289</v>
      </c>
      <c r="D69" s="13">
        <v>2.1E7</v>
      </c>
      <c r="E69" s="45">
        <v>1.33E7</v>
      </c>
      <c r="F69" s="16">
        <f t="shared" ref="F69:F84" si="4">+E69/D69</f>
        <v>0.6333333333</v>
      </c>
      <c r="G69" s="12">
        <v>1.0</v>
      </c>
      <c r="H69" s="5" t="s">
        <v>415</v>
      </c>
      <c r="I69" s="36" t="s">
        <v>416</v>
      </c>
      <c r="J69" s="37" t="s">
        <v>417</v>
      </c>
      <c r="K69" s="37" t="s">
        <v>418</v>
      </c>
      <c r="L69" s="37" t="s">
        <v>420</v>
      </c>
      <c r="M69" s="55"/>
    </row>
    <row r="70" ht="15.75" customHeight="1">
      <c r="B70" s="5" t="s">
        <v>222</v>
      </c>
      <c r="C70" s="12" t="s">
        <v>299</v>
      </c>
      <c r="D70" s="13">
        <f>9090000</f>
        <v>9090000</v>
      </c>
      <c r="E70" s="45">
        <v>4600000.0</v>
      </c>
      <c r="F70" s="16">
        <f t="shared" si="4"/>
        <v>0.5060506051</v>
      </c>
      <c r="G70" s="12">
        <v>2.0</v>
      </c>
      <c r="H70" s="12" t="s">
        <v>16</v>
      </c>
      <c r="I70" s="36" t="s">
        <v>424</v>
      </c>
      <c r="J70" s="37" t="s">
        <v>430</v>
      </c>
      <c r="K70" s="56" t="s">
        <v>433</v>
      </c>
      <c r="L70" s="37" t="s">
        <v>16</v>
      </c>
      <c r="M70" s="55"/>
    </row>
    <row r="71" ht="15.75" customHeight="1">
      <c r="B71" s="5" t="s">
        <v>222</v>
      </c>
      <c r="C71" s="12" t="s">
        <v>301</v>
      </c>
      <c r="D71" s="13">
        <v>4.0511E7</v>
      </c>
      <c r="E71" s="45">
        <v>2.25E7</v>
      </c>
      <c r="F71" s="16">
        <f t="shared" si="4"/>
        <v>0.5554047049</v>
      </c>
      <c r="G71" s="12">
        <v>3.0</v>
      </c>
      <c r="H71" s="5" t="s">
        <v>431</v>
      </c>
      <c r="I71" s="36" t="s">
        <v>437</v>
      </c>
      <c r="J71" s="37" t="s">
        <v>418</v>
      </c>
      <c r="K71" s="37" t="s">
        <v>416</v>
      </c>
      <c r="L71" s="37" t="s">
        <v>441</v>
      </c>
      <c r="M71" s="55"/>
    </row>
    <row r="72" ht="15.75" customHeight="1">
      <c r="B72" s="5" t="s">
        <v>222</v>
      </c>
      <c r="C72" s="12" t="s">
        <v>304</v>
      </c>
      <c r="D72" s="9">
        <v>1.2E7</v>
      </c>
      <c r="E72" s="45">
        <v>7800000.0</v>
      </c>
      <c r="F72" s="16">
        <f t="shared" si="4"/>
        <v>0.65</v>
      </c>
      <c r="G72" s="12">
        <v>4.0</v>
      </c>
      <c r="H72" s="5" t="s">
        <v>122</v>
      </c>
      <c r="I72" s="57" t="s">
        <v>445</v>
      </c>
      <c r="J72" s="37" t="s">
        <v>446</v>
      </c>
      <c r="K72" s="56" t="s">
        <v>448</v>
      </c>
      <c r="L72" s="37" t="s">
        <v>16</v>
      </c>
      <c r="M72" s="55"/>
    </row>
    <row r="73" ht="15.75" customHeight="1">
      <c r="B73" s="5" t="s">
        <v>222</v>
      </c>
      <c r="C73" s="12" t="s">
        <v>305</v>
      </c>
      <c r="D73" s="13">
        <v>1.31E7</v>
      </c>
      <c r="E73" s="45">
        <v>8000000.0</v>
      </c>
      <c r="F73" s="16">
        <f t="shared" si="4"/>
        <v>0.6106870229</v>
      </c>
      <c r="G73" s="12">
        <v>5.0</v>
      </c>
      <c r="H73" s="12" t="s">
        <v>16</v>
      </c>
      <c r="I73" s="36" t="s">
        <v>450</v>
      </c>
      <c r="J73" s="37" t="s">
        <v>451</v>
      </c>
      <c r="K73" s="37" t="s">
        <v>16</v>
      </c>
      <c r="L73" s="37" t="s">
        <v>16</v>
      </c>
      <c r="M73" s="55"/>
    </row>
    <row r="74" ht="15.75" customHeight="1">
      <c r="B74" s="5" t="s">
        <v>222</v>
      </c>
      <c r="C74" s="12" t="s">
        <v>307</v>
      </c>
      <c r="D74" s="13">
        <v>8690000.0</v>
      </c>
      <c r="E74" s="45">
        <v>3550000.0</v>
      </c>
      <c r="F74" s="16">
        <f t="shared" si="4"/>
        <v>0.4085155351</v>
      </c>
      <c r="G74" s="12">
        <v>6.0</v>
      </c>
      <c r="H74" s="5" t="s">
        <v>366</v>
      </c>
      <c r="I74" s="36" t="s">
        <v>453</v>
      </c>
      <c r="J74" s="37" t="s">
        <v>16</v>
      </c>
      <c r="K74" s="37" t="s">
        <v>16</v>
      </c>
      <c r="L74" s="37" t="s">
        <v>16</v>
      </c>
      <c r="M74" s="55"/>
    </row>
    <row r="75" ht="15.75" customHeight="1">
      <c r="B75" s="5" t="s">
        <v>222</v>
      </c>
      <c r="C75" s="12" t="s">
        <v>309</v>
      </c>
      <c r="D75" s="13">
        <v>9450000.0</v>
      </c>
      <c r="E75" s="45">
        <v>3800000.0</v>
      </c>
      <c r="F75" s="16">
        <f t="shared" si="4"/>
        <v>0.4021164021</v>
      </c>
      <c r="G75" s="12">
        <v>7.0</v>
      </c>
      <c r="H75" s="5" t="s">
        <v>102</v>
      </c>
      <c r="I75" s="36" t="s">
        <v>455</v>
      </c>
      <c r="J75" s="37" t="s">
        <v>16</v>
      </c>
      <c r="K75" s="37" t="s">
        <v>16</v>
      </c>
      <c r="L75" s="37" t="s">
        <v>16</v>
      </c>
      <c r="M75" s="55"/>
    </row>
    <row r="76" ht="15.75" customHeight="1">
      <c r="B76" s="5" t="s">
        <v>222</v>
      </c>
      <c r="C76" s="12" t="s">
        <v>310</v>
      </c>
      <c r="D76" s="13">
        <v>6350000.0</v>
      </c>
      <c r="E76" s="45">
        <v>2650000.0</v>
      </c>
      <c r="F76" s="16">
        <f t="shared" si="4"/>
        <v>0.4173228346</v>
      </c>
      <c r="G76" s="12">
        <v>8.0</v>
      </c>
      <c r="H76" s="5" t="s">
        <v>320</v>
      </c>
      <c r="I76" s="36" t="s">
        <v>456</v>
      </c>
      <c r="J76" s="37" t="s">
        <v>457</v>
      </c>
      <c r="K76" s="37" t="s">
        <v>16</v>
      </c>
      <c r="L76" s="37" t="s">
        <v>16</v>
      </c>
      <c r="M76" s="55"/>
    </row>
    <row r="77" ht="15.75" customHeight="1">
      <c r="B77" s="5" t="s">
        <v>222</v>
      </c>
      <c r="C77" s="12" t="s">
        <v>313</v>
      </c>
      <c r="D77" s="13">
        <v>6880000.0</v>
      </c>
      <c r="E77" s="45">
        <v>2550000.0</v>
      </c>
      <c r="F77" s="16">
        <f t="shared" si="4"/>
        <v>0.3706395349</v>
      </c>
      <c r="G77" s="12">
        <v>9.0</v>
      </c>
      <c r="H77" s="12" t="s">
        <v>16</v>
      </c>
      <c r="I77" s="36" t="s">
        <v>458</v>
      </c>
      <c r="J77" s="37" t="s">
        <v>459</v>
      </c>
      <c r="K77" s="37" t="s">
        <v>16</v>
      </c>
      <c r="L77" s="37" t="s">
        <v>16</v>
      </c>
      <c r="M77" s="55"/>
    </row>
    <row r="78" ht="15.75" customHeight="1">
      <c r="B78" s="5" t="s">
        <v>222</v>
      </c>
      <c r="C78" s="12" t="s">
        <v>318</v>
      </c>
      <c r="D78" s="13">
        <v>9080000.0</v>
      </c>
      <c r="E78" s="45">
        <v>3150000.0</v>
      </c>
      <c r="F78" s="16">
        <f t="shared" si="4"/>
        <v>0.3469162996</v>
      </c>
      <c r="G78" s="12">
        <v>10.0</v>
      </c>
      <c r="H78" s="12" t="s">
        <v>16</v>
      </c>
      <c r="I78" s="36" t="s">
        <v>460</v>
      </c>
      <c r="J78" s="37" t="s">
        <v>16</v>
      </c>
      <c r="K78" s="37" t="s">
        <v>16</v>
      </c>
      <c r="L78" s="37" t="s">
        <v>16</v>
      </c>
      <c r="M78" s="55"/>
    </row>
    <row r="79" ht="15.75" customHeight="1">
      <c r="B79" s="5" t="s">
        <v>222</v>
      </c>
      <c r="C79" s="12" t="s">
        <v>223</v>
      </c>
      <c r="D79" s="13">
        <v>4140000.0</v>
      </c>
      <c r="E79" s="45">
        <v>1700000.0</v>
      </c>
      <c r="F79" s="16">
        <f t="shared" si="4"/>
        <v>0.4106280193</v>
      </c>
      <c r="G79" s="12">
        <v>11.0</v>
      </c>
      <c r="H79" s="12" t="s">
        <v>16</v>
      </c>
      <c r="I79" s="77" t="s">
        <v>462</v>
      </c>
      <c r="J79" s="37" t="s">
        <v>16</v>
      </c>
      <c r="K79" s="37" t="s">
        <v>16</v>
      </c>
      <c r="L79" s="37" t="s">
        <v>16</v>
      </c>
      <c r="M79" s="55"/>
    </row>
    <row r="80" ht="15.75" customHeight="1">
      <c r="B80" s="5" t="s">
        <v>222</v>
      </c>
      <c r="C80" s="12" t="s">
        <v>314</v>
      </c>
      <c r="D80" s="13">
        <v>5395000.0</v>
      </c>
      <c r="E80" s="45">
        <v>2550000.0</v>
      </c>
      <c r="F80" s="16">
        <f t="shared" si="4"/>
        <v>0.4726598703</v>
      </c>
      <c r="G80" s="12">
        <v>12.0</v>
      </c>
      <c r="H80" s="12" t="s">
        <v>16</v>
      </c>
      <c r="I80" s="60" t="s">
        <v>464</v>
      </c>
      <c r="J80" s="37" t="s">
        <v>16</v>
      </c>
      <c r="K80" s="37" t="s">
        <v>16</v>
      </c>
      <c r="L80" s="37" t="s">
        <v>16</v>
      </c>
      <c r="M80" s="55"/>
    </row>
    <row r="81" ht="15.75" customHeight="1">
      <c r="B81" s="5" t="s">
        <v>222</v>
      </c>
      <c r="C81" s="12" t="s">
        <v>258</v>
      </c>
      <c r="D81" s="13">
        <v>4350000.0</v>
      </c>
      <c r="E81" s="45">
        <v>2050000.0</v>
      </c>
      <c r="F81" s="16">
        <f t="shared" si="4"/>
        <v>0.4712643678</v>
      </c>
      <c r="G81" s="12">
        <v>13.0</v>
      </c>
      <c r="H81" s="12" t="s">
        <v>16</v>
      </c>
      <c r="I81" s="77" t="s">
        <v>465</v>
      </c>
      <c r="J81" s="56" t="s">
        <v>467</v>
      </c>
      <c r="K81" s="37" t="s">
        <v>16</v>
      </c>
      <c r="L81" s="37" t="s">
        <v>16</v>
      </c>
      <c r="M81" s="55"/>
    </row>
    <row r="82" ht="15.75" customHeight="1">
      <c r="B82" s="5" t="s">
        <v>222</v>
      </c>
      <c r="C82" s="12" t="s">
        <v>286</v>
      </c>
      <c r="D82" s="13">
        <v>4676000.0</v>
      </c>
      <c r="E82" s="45">
        <v>2350000.0</v>
      </c>
      <c r="F82" s="16">
        <f t="shared" si="4"/>
        <v>0.502566296</v>
      </c>
      <c r="G82" s="12">
        <v>14.0</v>
      </c>
      <c r="H82" s="12" t="s">
        <v>16</v>
      </c>
      <c r="I82" s="36" t="s">
        <v>468</v>
      </c>
      <c r="J82" s="37" t="s">
        <v>16</v>
      </c>
      <c r="K82" s="37" t="s">
        <v>16</v>
      </c>
      <c r="L82" s="37" t="s">
        <v>16</v>
      </c>
      <c r="M82" s="55"/>
    </row>
    <row r="83" ht="15.75" customHeight="1">
      <c r="B83" s="5" t="s">
        <v>222</v>
      </c>
      <c r="C83" s="12" t="s">
        <v>327</v>
      </c>
      <c r="D83" s="13">
        <v>7830000.0</v>
      </c>
      <c r="E83" s="45">
        <v>2900000.0</v>
      </c>
      <c r="F83" s="16">
        <f t="shared" si="4"/>
        <v>0.3703703704</v>
      </c>
      <c r="G83" s="12">
        <v>15.0</v>
      </c>
      <c r="H83" s="5" t="s">
        <v>338</v>
      </c>
      <c r="I83" s="36" t="s">
        <v>470</v>
      </c>
      <c r="J83" s="37" t="s">
        <v>16</v>
      </c>
      <c r="K83" s="37" t="s">
        <v>16</v>
      </c>
      <c r="L83" s="37" t="s">
        <v>16</v>
      </c>
      <c r="M83" s="55"/>
    </row>
    <row r="84" ht="15.75" customHeight="1">
      <c r="B84" s="5" t="s">
        <v>222</v>
      </c>
      <c r="C84" s="12" t="s">
        <v>312</v>
      </c>
      <c r="D84" s="25">
        <v>7000000.0</v>
      </c>
      <c r="E84" s="53">
        <v>3400000.0</v>
      </c>
      <c r="F84" s="16">
        <f t="shared" si="4"/>
        <v>0.4857142857</v>
      </c>
      <c r="G84" s="12">
        <v>16.0</v>
      </c>
      <c r="H84" s="5" t="s">
        <v>36</v>
      </c>
      <c r="I84" s="36" t="s">
        <v>471</v>
      </c>
      <c r="J84" s="37" t="s">
        <v>16</v>
      </c>
      <c r="K84" s="37" t="s">
        <v>16</v>
      </c>
      <c r="L84" s="37" t="s">
        <v>16</v>
      </c>
      <c r="M84" s="55"/>
    </row>
    <row r="85" ht="15.75" customHeight="1">
      <c r="E85" s="21" t="s">
        <v>61</v>
      </c>
      <c r="F85" s="52">
        <f>average(F69:F84)</f>
        <v>0.4758868426</v>
      </c>
      <c r="I85" s="3"/>
    </row>
    <row r="86" ht="15.75" customHeight="1">
      <c r="I86" s="3"/>
    </row>
    <row r="87" ht="15.75" customHeight="1">
      <c r="B87" s="24" t="s">
        <v>330</v>
      </c>
      <c r="C87" s="2"/>
      <c r="D87" s="2"/>
      <c r="E87" s="2"/>
      <c r="F87" s="2"/>
      <c r="G87" s="2"/>
      <c r="H87" s="4"/>
      <c r="I87" s="3"/>
    </row>
    <row r="88" ht="15.75" customHeight="1">
      <c r="B88" s="5" t="s">
        <v>1</v>
      </c>
      <c r="C88" s="5" t="s">
        <v>3</v>
      </c>
      <c r="D88" s="5" t="s">
        <v>4</v>
      </c>
      <c r="E88" s="5" t="s">
        <v>5</v>
      </c>
      <c r="F88" s="6" t="s">
        <v>6</v>
      </c>
      <c r="G88" s="6" t="s">
        <v>7</v>
      </c>
      <c r="H88" s="6" t="s">
        <v>8</v>
      </c>
      <c r="I88" s="29" t="s">
        <v>135</v>
      </c>
      <c r="J88" s="12" t="s">
        <v>136</v>
      </c>
    </row>
    <row r="89" ht="15.75" customHeight="1">
      <c r="B89" s="5" t="s">
        <v>69</v>
      </c>
      <c r="C89" s="12" t="s">
        <v>335</v>
      </c>
      <c r="D89" s="13">
        <v>2.17E7</v>
      </c>
      <c r="E89" s="13">
        <v>1.44E7</v>
      </c>
      <c r="F89" s="16">
        <f t="shared" ref="F89:F97" si="5">+E89/D89</f>
        <v>0.66359447</v>
      </c>
      <c r="G89" s="12">
        <v>1.0</v>
      </c>
      <c r="H89" s="5" t="s">
        <v>26</v>
      </c>
      <c r="I89" s="36" t="s">
        <v>476</v>
      </c>
      <c r="J89" s="47"/>
    </row>
    <row r="90" ht="15.75" customHeight="1">
      <c r="B90" s="5" t="s">
        <v>69</v>
      </c>
      <c r="C90" s="12" t="s">
        <v>351</v>
      </c>
      <c r="D90" s="13">
        <v>6834000.0</v>
      </c>
      <c r="E90" s="13">
        <v>3211000.0</v>
      </c>
      <c r="F90" s="16">
        <f t="shared" si="5"/>
        <v>0.4698565994</v>
      </c>
      <c r="G90" s="12">
        <v>2.0</v>
      </c>
      <c r="H90" s="5" t="s">
        <v>352</v>
      </c>
      <c r="I90" s="36" t="s">
        <v>491</v>
      </c>
      <c r="J90" s="37" t="s">
        <v>496</v>
      </c>
    </row>
    <row r="91" ht="15.75" customHeight="1">
      <c r="B91" s="5" t="s">
        <v>69</v>
      </c>
      <c r="C91" s="12" t="s">
        <v>142</v>
      </c>
      <c r="D91" s="13">
        <v>2800000.0</v>
      </c>
      <c r="E91" s="13">
        <v>1220000.0</v>
      </c>
      <c r="F91" s="16">
        <f t="shared" si="5"/>
        <v>0.4357142857</v>
      </c>
      <c r="G91" s="12">
        <v>3.0</v>
      </c>
      <c r="H91" s="5" t="s">
        <v>143</v>
      </c>
      <c r="I91" s="57" t="s">
        <v>501</v>
      </c>
      <c r="J91" s="47"/>
    </row>
    <row r="92" ht="15.75" customHeight="1">
      <c r="B92" s="5" t="s">
        <v>69</v>
      </c>
      <c r="C92" s="12" t="s">
        <v>123</v>
      </c>
      <c r="D92" s="13">
        <v>2000000.0</v>
      </c>
      <c r="E92" s="25">
        <v>1100000.0</v>
      </c>
      <c r="F92" s="16">
        <f t="shared" si="5"/>
        <v>0.55</v>
      </c>
      <c r="G92" s="12">
        <v>4.0</v>
      </c>
      <c r="H92" s="12" t="s">
        <v>16</v>
      </c>
      <c r="I92" s="36" t="s">
        <v>341</v>
      </c>
      <c r="J92" s="41" t="s">
        <v>513</v>
      </c>
    </row>
    <row r="93" ht="15.75" customHeight="1">
      <c r="B93" s="5" t="s">
        <v>69</v>
      </c>
      <c r="C93" s="12" t="s">
        <v>131</v>
      </c>
      <c r="D93" s="13">
        <v>2600000.0</v>
      </c>
      <c r="E93" s="25">
        <v>1200000.0</v>
      </c>
      <c r="F93" s="16">
        <f t="shared" si="5"/>
        <v>0.4615384615</v>
      </c>
      <c r="G93" s="12">
        <v>5.0</v>
      </c>
      <c r="H93" s="5" t="s">
        <v>133</v>
      </c>
      <c r="I93" s="36" t="s">
        <v>519</v>
      </c>
      <c r="J93" s="41" t="s">
        <v>527</v>
      </c>
    </row>
    <row r="94" ht="15.75" customHeight="1">
      <c r="B94" s="5" t="s">
        <v>69</v>
      </c>
      <c r="C94" s="12" t="s">
        <v>99</v>
      </c>
      <c r="D94" s="13">
        <v>1000000.0</v>
      </c>
      <c r="E94" s="25">
        <v>700000.0</v>
      </c>
      <c r="F94" s="16">
        <f t="shared" si="5"/>
        <v>0.7</v>
      </c>
      <c r="G94" s="12">
        <v>6.0</v>
      </c>
      <c r="H94" s="12" t="s">
        <v>16</v>
      </c>
      <c r="I94" s="36" t="s">
        <v>341</v>
      </c>
      <c r="J94" s="41"/>
    </row>
    <row r="95" ht="15.75" customHeight="1">
      <c r="B95" s="5" t="s">
        <v>69</v>
      </c>
      <c r="C95" s="12" t="s">
        <v>106</v>
      </c>
      <c r="D95" s="13">
        <v>1600000.0</v>
      </c>
      <c r="E95" s="25">
        <v>950000.0</v>
      </c>
      <c r="F95" s="16">
        <f t="shared" si="5"/>
        <v>0.59375</v>
      </c>
      <c r="G95" s="12">
        <v>7.0</v>
      </c>
      <c r="H95" s="12" t="s">
        <v>16</v>
      </c>
      <c r="I95" s="36" t="s">
        <v>341</v>
      </c>
      <c r="J95" s="47"/>
    </row>
    <row r="96" ht="15.75" customHeight="1">
      <c r="B96" s="5" t="s">
        <v>69</v>
      </c>
      <c r="C96" s="12" t="s">
        <v>94</v>
      </c>
      <c r="D96" s="13">
        <v>1135000.0</v>
      </c>
      <c r="E96" s="13">
        <v>666863.0</v>
      </c>
      <c r="F96" s="16">
        <f t="shared" si="5"/>
        <v>0.5875444934</v>
      </c>
      <c r="G96" s="12">
        <v>8.0</v>
      </c>
      <c r="H96" s="12" t="s">
        <v>16</v>
      </c>
      <c r="I96" s="36" t="s">
        <v>531</v>
      </c>
      <c r="J96" s="47"/>
    </row>
    <row r="97" ht="15.75" customHeight="1">
      <c r="B97" s="5" t="s">
        <v>69</v>
      </c>
      <c r="C97" s="12" t="s">
        <v>70</v>
      </c>
      <c r="D97" s="13">
        <v>1000000.0</v>
      </c>
      <c r="E97" s="13">
        <v>540000.0</v>
      </c>
      <c r="F97" s="16">
        <f t="shared" si="5"/>
        <v>0.54</v>
      </c>
      <c r="G97" s="12">
        <v>9.0</v>
      </c>
      <c r="H97" s="12" t="s">
        <v>16</v>
      </c>
      <c r="I97" s="36" t="s">
        <v>341</v>
      </c>
      <c r="J97" s="41" t="s">
        <v>532</v>
      </c>
    </row>
    <row r="98" ht="15.75" customHeight="1">
      <c r="E98" s="21" t="s">
        <v>61</v>
      </c>
      <c r="F98" s="52">
        <f>average(F89:F97)</f>
        <v>0.55577759</v>
      </c>
      <c r="I98" s="3"/>
    </row>
    <row r="99" ht="15.75" customHeight="1">
      <c r="I99" s="3"/>
    </row>
    <row r="100" ht="15.75" customHeight="1">
      <c r="B100" s="24" t="s">
        <v>388</v>
      </c>
      <c r="C100" s="2"/>
      <c r="D100" s="2"/>
      <c r="E100" s="2"/>
      <c r="F100" s="2"/>
      <c r="G100" s="2"/>
      <c r="H100" s="4"/>
      <c r="I100" s="8"/>
      <c r="J100" s="8"/>
    </row>
    <row r="101" ht="15.75" customHeight="1">
      <c r="B101" s="5" t="s">
        <v>1</v>
      </c>
      <c r="C101" s="5" t="s">
        <v>3</v>
      </c>
      <c r="D101" s="5" t="s">
        <v>4</v>
      </c>
      <c r="E101" s="5" t="s">
        <v>5</v>
      </c>
      <c r="F101" s="6" t="s">
        <v>6</v>
      </c>
      <c r="G101" s="6" t="s">
        <v>7</v>
      </c>
      <c r="H101" s="6" t="s">
        <v>8</v>
      </c>
      <c r="I101" s="29" t="s">
        <v>135</v>
      </c>
      <c r="J101" s="8"/>
    </row>
    <row r="102" ht="15.75" customHeight="1">
      <c r="B102" s="5" t="s">
        <v>114</v>
      </c>
      <c r="C102" s="7" t="s">
        <v>389</v>
      </c>
      <c r="D102" s="9">
        <v>4.5E7</v>
      </c>
      <c r="E102" s="9">
        <v>3.020533E7</v>
      </c>
      <c r="F102" s="16">
        <f t="shared" ref="F102:F114" si="6">+E102/D102</f>
        <v>0.6712295556</v>
      </c>
      <c r="G102" s="7">
        <v>1.0</v>
      </c>
      <c r="H102" s="7" t="s">
        <v>436</v>
      </c>
      <c r="I102" s="42" t="s">
        <v>534</v>
      </c>
      <c r="J102" s="99" t="s">
        <v>535</v>
      </c>
      <c r="K102" s="101" t="s">
        <v>539</v>
      </c>
      <c r="L102" s="65"/>
    </row>
    <row r="103" ht="15.75" customHeight="1">
      <c r="B103" s="5" t="s">
        <v>114</v>
      </c>
      <c r="C103" s="7" t="s">
        <v>396</v>
      </c>
      <c r="D103" s="9">
        <v>5.5E7</v>
      </c>
      <c r="E103" s="9">
        <v>3.7217761E7</v>
      </c>
      <c r="F103" s="16">
        <f t="shared" si="6"/>
        <v>0.6766865636</v>
      </c>
      <c r="G103" s="7">
        <v>2.0</v>
      </c>
      <c r="H103" s="5" t="s">
        <v>26</v>
      </c>
      <c r="I103" s="66" t="s">
        <v>544</v>
      </c>
      <c r="J103" s="99" t="s">
        <v>535</v>
      </c>
      <c r="K103" s="101" t="s">
        <v>547</v>
      </c>
      <c r="L103" s="101" t="s">
        <v>549</v>
      </c>
    </row>
    <row r="104" ht="15.75" customHeight="1">
      <c r="B104" s="5" t="s">
        <v>114</v>
      </c>
      <c r="C104" s="7" t="s">
        <v>377</v>
      </c>
      <c r="D104" s="11">
        <v>6000000.0</v>
      </c>
      <c r="E104" s="9">
        <v>4000000.0</v>
      </c>
      <c r="F104" s="16">
        <f t="shared" si="6"/>
        <v>0.6666666667</v>
      </c>
      <c r="G104" s="7">
        <v>3.0</v>
      </c>
      <c r="H104" s="7" t="s">
        <v>378</v>
      </c>
      <c r="I104" s="106" t="s">
        <v>553</v>
      </c>
      <c r="J104" s="99" t="s">
        <v>535</v>
      </c>
      <c r="K104" s="65"/>
      <c r="L104" s="65"/>
    </row>
    <row r="105" ht="15.75" customHeight="1">
      <c r="B105" s="5" t="s">
        <v>114</v>
      </c>
      <c r="C105" s="7" t="s">
        <v>370</v>
      </c>
      <c r="D105" s="11">
        <v>6000000.0</v>
      </c>
      <c r="E105" s="9">
        <v>3800000.0</v>
      </c>
      <c r="F105" s="16">
        <f t="shared" si="6"/>
        <v>0.6333333333</v>
      </c>
      <c r="G105" s="7">
        <v>4.0</v>
      </c>
      <c r="H105" s="7" t="s">
        <v>371</v>
      </c>
      <c r="I105" s="106" t="s">
        <v>557</v>
      </c>
      <c r="J105" s="68" t="s">
        <v>535</v>
      </c>
      <c r="K105" s="101" t="s">
        <v>559</v>
      </c>
      <c r="L105" s="65"/>
    </row>
    <row r="106" ht="15.75" customHeight="1">
      <c r="B106" s="5" t="s">
        <v>114</v>
      </c>
      <c r="C106" s="7" t="s">
        <v>380</v>
      </c>
      <c r="D106" s="11">
        <v>6500000.0</v>
      </c>
      <c r="E106" s="9">
        <v>4000000.0</v>
      </c>
      <c r="F106" s="16">
        <f t="shared" si="6"/>
        <v>0.6153846154</v>
      </c>
      <c r="G106" s="7">
        <v>5.0</v>
      </c>
      <c r="H106" s="5" t="s">
        <v>382</v>
      </c>
      <c r="I106" s="106" t="s">
        <v>565</v>
      </c>
      <c r="J106" s="99" t="s">
        <v>535</v>
      </c>
      <c r="K106" s="107" t="s">
        <v>566</v>
      </c>
      <c r="L106" s="65"/>
    </row>
    <row r="107" ht="15.75" customHeight="1">
      <c r="B107" s="5" t="s">
        <v>114</v>
      </c>
      <c r="C107" s="7" t="s">
        <v>157</v>
      </c>
      <c r="D107" s="11">
        <v>2200000.0</v>
      </c>
      <c r="E107" s="9">
        <v>1380000.0</v>
      </c>
      <c r="F107" s="16">
        <f t="shared" si="6"/>
        <v>0.6272727273</v>
      </c>
      <c r="G107" s="7">
        <v>6.0</v>
      </c>
      <c r="H107" s="7" t="s">
        <v>160</v>
      </c>
      <c r="I107" s="106" t="s">
        <v>574</v>
      </c>
      <c r="J107" s="99" t="s">
        <v>535</v>
      </c>
      <c r="K107" s="101" t="s">
        <v>576</v>
      </c>
      <c r="L107" s="65"/>
    </row>
    <row r="108" ht="15.75" customHeight="1">
      <c r="B108" s="5" t="s">
        <v>114</v>
      </c>
      <c r="C108" s="7" t="s">
        <v>162</v>
      </c>
      <c r="D108" s="11">
        <v>2000000.0</v>
      </c>
      <c r="E108" s="9">
        <v>1380000.0</v>
      </c>
      <c r="F108" s="16">
        <f t="shared" si="6"/>
        <v>0.69</v>
      </c>
      <c r="G108" s="7">
        <v>7.0</v>
      </c>
      <c r="H108" s="7" t="s">
        <v>16</v>
      </c>
      <c r="I108" s="106" t="s">
        <v>578</v>
      </c>
      <c r="J108" s="99" t="s">
        <v>535</v>
      </c>
      <c r="K108" s="65"/>
      <c r="L108" s="65"/>
    </row>
    <row r="109" ht="15.75" customHeight="1">
      <c r="B109" s="5" t="s">
        <v>114</v>
      </c>
      <c r="C109" s="7" t="s">
        <v>198</v>
      </c>
      <c r="D109" s="11">
        <v>2200000.0</v>
      </c>
      <c r="E109" s="9">
        <v>1500000.0</v>
      </c>
      <c r="F109" s="16">
        <f t="shared" si="6"/>
        <v>0.6818181818</v>
      </c>
      <c r="G109" s="7">
        <v>8.0</v>
      </c>
      <c r="H109" s="7" t="s">
        <v>16</v>
      </c>
      <c r="I109" s="106" t="s">
        <v>580</v>
      </c>
      <c r="J109" s="99" t="s">
        <v>535</v>
      </c>
      <c r="K109" s="65"/>
      <c r="L109" s="65"/>
    </row>
    <row r="110" ht="15.75" customHeight="1">
      <c r="B110" s="5" t="s">
        <v>114</v>
      </c>
      <c r="C110" s="7" t="s">
        <v>168</v>
      </c>
      <c r="D110" s="11">
        <v>2200000.0</v>
      </c>
      <c r="E110" s="9">
        <v>1400000.0</v>
      </c>
      <c r="F110" s="16">
        <f t="shared" si="6"/>
        <v>0.6363636364</v>
      </c>
      <c r="G110" s="7">
        <v>9.0</v>
      </c>
      <c r="H110" s="7" t="s">
        <v>74</v>
      </c>
      <c r="I110" s="106" t="s">
        <v>582</v>
      </c>
      <c r="J110" s="99" t="s">
        <v>535</v>
      </c>
      <c r="K110" s="65"/>
      <c r="L110" s="65"/>
    </row>
    <row r="111" ht="15.75" customHeight="1">
      <c r="B111" s="5" t="s">
        <v>114</v>
      </c>
      <c r="C111" s="7" t="s">
        <v>214</v>
      </c>
      <c r="D111" s="11">
        <v>2500000.0</v>
      </c>
      <c r="E111" s="9">
        <v>1600000.0</v>
      </c>
      <c r="F111" s="16">
        <f t="shared" si="6"/>
        <v>0.64</v>
      </c>
      <c r="G111" s="7">
        <v>10.0</v>
      </c>
      <c r="H111" s="7" t="s">
        <v>36</v>
      </c>
      <c r="I111" s="106" t="s">
        <v>583</v>
      </c>
      <c r="J111" s="99" t="s">
        <v>535</v>
      </c>
      <c r="K111" s="101" t="s">
        <v>584</v>
      </c>
      <c r="L111" s="101" t="s">
        <v>589</v>
      </c>
    </row>
    <row r="112" ht="15.75" customHeight="1">
      <c r="B112" s="5" t="s">
        <v>114</v>
      </c>
      <c r="C112" s="7" t="s">
        <v>115</v>
      </c>
      <c r="D112" s="11">
        <v>1500000.0</v>
      </c>
      <c r="E112" s="9">
        <v>1000000.0</v>
      </c>
      <c r="F112" s="16">
        <f t="shared" si="6"/>
        <v>0.6666666667</v>
      </c>
      <c r="G112" s="7">
        <v>11.0</v>
      </c>
      <c r="H112" s="7" t="s">
        <v>102</v>
      </c>
      <c r="I112" s="106" t="s">
        <v>591</v>
      </c>
      <c r="J112" s="99" t="s">
        <v>535</v>
      </c>
      <c r="K112" s="65"/>
      <c r="L112" s="65"/>
    </row>
    <row r="113" ht="15.75" customHeight="1">
      <c r="B113" s="5" t="s">
        <v>114</v>
      </c>
      <c r="C113" s="7" t="s">
        <v>279</v>
      </c>
      <c r="D113" s="11">
        <v>3200000.0</v>
      </c>
      <c r="E113" s="9">
        <v>2300000.0</v>
      </c>
      <c r="F113" s="16">
        <f t="shared" si="6"/>
        <v>0.71875</v>
      </c>
      <c r="G113" s="7">
        <v>12.0</v>
      </c>
      <c r="H113" s="7" t="s">
        <v>16</v>
      </c>
      <c r="I113" s="106" t="s">
        <v>593</v>
      </c>
      <c r="J113" s="99" t="s">
        <v>535</v>
      </c>
      <c r="K113" s="65"/>
      <c r="L113" s="65"/>
    </row>
    <row r="114" ht="15.75" customHeight="1">
      <c r="B114" s="5" t="s">
        <v>114</v>
      </c>
      <c r="C114" s="7" t="s">
        <v>322</v>
      </c>
      <c r="D114" s="11">
        <v>4000000.0</v>
      </c>
      <c r="E114" s="9">
        <v>2700000.0</v>
      </c>
      <c r="F114" s="16">
        <f t="shared" si="6"/>
        <v>0.675</v>
      </c>
      <c r="G114" s="7">
        <v>13.0</v>
      </c>
      <c r="H114" s="5" t="s">
        <v>323</v>
      </c>
      <c r="I114" s="111" t="s">
        <v>594</v>
      </c>
      <c r="J114" s="68" t="s">
        <v>535</v>
      </c>
      <c r="K114" s="101" t="s">
        <v>596</v>
      </c>
      <c r="L114" s="65"/>
    </row>
    <row r="115" ht="15.75" customHeight="1">
      <c r="E115" s="21" t="s">
        <v>61</v>
      </c>
      <c r="F115" s="52">
        <f>average(F102:F114)</f>
        <v>0.6614747651</v>
      </c>
      <c r="I115" s="3"/>
    </row>
    <row r="116" ht="15.75" customHeight="1">
      <c r="I116" s="3"/>
    </row>
    <row r="117" ht="15.75" customHeight="1">
      <c r="B117" s="24" t="s">
        <v>440</v>
      </c>
      <c r="C117" s="2"/>
      <c r="D117" s="2"/>
      <c r="E117" s="2"/>
      <c r="F117" s="2"/>
      <c r="G117" s="2"/>
      <c r="H117" s="4"/>
      <c r="I117" s="3"/>
    </row>
    <row r="118" ht="15.75" customHeight="1">
      <c r="B118" s="5" t="s">
        <v>1</v>
      </c>
      <c r="C118" s="5" t="s">
        <v>3</v>
      </c>
      <c r="D118" s="5" t="s">
        <v>4</v>
      </c>
      <c r="E118" s="5" t="s">
        <v>5</v>
      </c>
      <c r="F118" s="6" t="s">
        <v>6</v>
      </c>
      <c r="G118" s="6" t="s">
        <v>7</v>
      </c>
      <c r="H118" s="6" t="s">
        <v>8</v>
      </c>
      <c r="I118" s="29" t="s">
        <v>135</v>
      </c>
      <c r="J118" s="12" t="s">
        <v>136</v>
      </c>
    </row>
    <row r="119" ht="15.75" customHeight="1">
      <c r="B119" s="5" t="s">
        <v>195</v>
      </c>
      <c r="C119" s="5" t="s">
        <v>432</v>
      </c>
      <c r="D119" s="9">
        <v>3.6E7</v>
      </c>
      <c r="E119" s="9">
        <v>2.4E7</v>
      </c>
      <c r="F119" s="16">
        <f t="shared" ref="F119:F134" si="7">+E119/D119</f>
        <v>0.6666666667</v>
      </c>
      <c r="G119" s="5">
        <v>1.0</v>
      </c>
      <c r="H119" s="5" t="s">
        <v>182</v>
      </c>
      <c r="I119" s="71" t="s">
        <v>601</v>
      </c>
      <c r="J119" s="72" t="s">
        <v>418</v>
      </c>
      <c r="K119" s="103"/>
    </row>
    <row r="120" ht="15.75" customHeight="1">
      <c r="B120" s="5" t="s">
        <v>195</v>
      </c>
      <c r="C120" s="5" t="s">
        <v>408</v>
      </c>
      <c r="D120" s="9">
        <v>1.15E7</v>
      </c>
      <c r="E120" s="9">
        <v>7500000.0</v>
      </c>
      <c r="F120" s="16">
        <f t="shared" si="7"/>
        <v>0.652173913</v>
      </c>
      <c r="G120" s="5">
        <v>2.0</v>
      </c>
      <c r="H120" s="5" t="s">
        <v>409</v>
      </c>
      <c r="I120" s="71" t="s">
        <v>604</v>
      </c>
      <c r="J120" s="73" t="s">
        <v>607</v>
      </c>
      <c r="K120" s="103"/>
    </row>
    <row r="121" ht="15.75" customHeight="1">
      <c r="B121" s="5" t="s">
        <v>195</v>
      </c>
      <c r="C121" s="5" t="s">
        <v>412</v>
      </c>
      <c r="D121" s="11">
        <v>1.2E7</v>
      </c>
      <c r="E121" s="11">
        <v>8000000.0</v>
      </c>
      <c r="F121" s="16">
        <f t="shared" si="7"/>
        <v>0.6666666667</v>
      </c>
      <c r="G121" s="5">
        <v>3.0</v>
      </c>
      <c r="H121" s="5" t="s">
        <v>406</v>
      </c>
      <c r="I121" s="87" t="s">
        <v>611</v>
      </c>
      <c r="J121" s="75" t="s">
        <v>16</v>
      </c>
      <c r="K121" s="103"/>
    </row>
    <row r="122" ht="15.75" customHeight="1">
      <c r="B122" s="5" t="s">
        <v>195</v>
      </c>
      <c r="C122" s="5" t="s">
        <v>434</v>
      </c>
      <c r="D122" s="9">
        <v>3.5E7</v>
      </c>
      <c r="E122" s="9">
        <v>2.6E7</v>
      </c>
      <c r="F122" s="16">
        <f t="shared" si="7"/>
        <v>0.7428571429</v>
      </c>
      <c r="G122" s="5">
        <v>4.0</v>
      </c>
      <c r="H122" s="5" t="s">
        <v>435</v>
      </c>
      <c r="I122" s="71" t="s">
        <v>614</v>
      </c>
      <c r="J122" s="34"/>
      <c r="K122" s="103"/>
    </row>
    <row r="123" ht="15.75" customHeight="1">
      <c r="B123" s="5" t="s">
        <v>195</v>
      </c>
      <c r="C123" s="5" t="s">
        <v>405</v>
      </c>
      <c r="D123" s="20">
        <v>1.05E7</v>
      </c>
      <c r="E123" s="20">
        <v>7000000.0</v>
      </c>
      <c r="F123" s="16">
        <f t="shared" si="7"/>
        <v>0.6666666667</v>
      </c>
      <c r="G123" s="5">
        <v>5.0</v>
      </c>
      <c r="H123" s="5" t="s">
        <v>406</v>
      </c>
      <c r="I123" s="57" t="s">
        <v>616</v>
      </c>
      <c r="J123" s="75" t="s">
        <v>16</v>
      </c>
      <c r="K123" s="103"/>
    </row>
    <row r="124" ht="15.75" customHeight="1">
      <c r="B124" s="5" t="s">
        <v>195</v>
      </c>
      <c r="C124" s="5" t="s">
        <v>364</v>
      </c>
      <c r="D124" s="9">
        <v>5000000.0</v>
      </c>
      <c r="E124" s="11">
        <v>3500000.0</v>
      </c>
      <c r="F124" s="16">
        <f t="shared" si="7"/>
        <v>0.7</v>
      </c>
      <c r="G124" s="5">
        <v>6.0</v>
      </c>
      <c r="H124" s="5" t="s">
        <v>16</v>
      </c>
      <c r="I124" s="71" t="s">
        <v>621</v>
      </c>
      <c r="J124" s="56" t="s">
        <v>623</v>
      </c>
      <c r="K124" s="103"/>
    </row>
    <row r="125" ht="15.75" customHeight="1">
      <c r="B125" s="5" t="s">
        <v>195</v>
      </c>
      <c r="C125" s="5" t="s">
        <v>402</v>
      </c>
      <c r="D125" s="9">
        <v>1.0E7</v>
      </c>
      <c r="E125" s="9">
        <v>6400000.0</v>
      </c>
      <c r="F125" s="16">
        <f t="shared" si="7"/>
        <v>0.64</v>
      </c>
      <c r="G125" s="5">
        <v>7.0</v>
      </c>
      <c r="H125" s="7" t="s">
        <v>146</v>
      </c>
      <c r="I125" s="71" t="s">
        <v>626</v>
      </c>
      <c r="J125" s="72" t="s">
        <v>629</v>
      </c>
      <c r="K125" s="103"/>
    </row>
    <row r="126" ht="15.75" customHeight="1">
      <c r="B126" s="5" t="s">
        <v>195</v>
      </c>
      <c r="C126" s="5" t="s">
        <v>336</v>
      </c>
      <c r="D126" s="11">
        <v>4200000.0</v>
      </c>
      <c r="E126" s="11">
        <v>2900000.0</v>
      </c>
      <c r="F126" s="16">
        <f t="shared" si="7"/>
        <v>0.6904761905</v>
      </c>
      <c r="G126" s="5">
        <v>8.0</v>
      </c>
      <c r="H126" s="5" t="s">
        <v>16</v>
      </c>
      <c r="I126" s="76" t="s">
        <v>16</v>
      </c>
      <c r="J126" s="75" t="s">
        <v>16</v>
      </c>
      <c r="K126" s="103"/>
    </row>
    <row r="127" ht="15.75" customHeight="1">
      <c r="B127" s="5" t="s">
        <v>195</v>
      </c>
      <c r="C127" s="5" t="s">
        <v>231</v>
      </c>
      <c r="D127" s="20">
        <v>2500000.0</v>
      </c>
      <c r="E127" s="20">
        <v>1700000.0</v>
      </c>
      <c r="F127" s="16">
        <f t="shared" si="7"/>
        <v>0.68</v>
      </c>
      <c r="G127" s="5">
        <v>9.0</v>
      </c>
      <c r="H127" s="5" t="s">
        <v>16</v>
      </c>
      <c r="I127" s="87" t="s">
        <v>632</v>
      </c>
      <c r="J127" s="75" t="s">
        <v>16</v>
      </c>
      <c r="K127" s="103"/>
    </row>
    <row r="128" ht="15.75" customHeight="1">
      <c r="B128" s="5" t="s">
        <v>195</v>
      </c>
      <c r="C128" s="5" t="s">
        <v>394</v>
      </c>
      <c r="D128" s="11">
        <v>7000000.0</v>
      </c>
      <c r="E128" s="11">
        <v>4800000.0</v>
      </c>
      <c r="F128" s="16">
        <f t="shared" si="7"/>
        <v>0.6857142857</v>
      </c>
      <c r="G128" s="5">
        <v>10.0</v>
      </c>
      <c r="H128" s="7" t="s">
        <v>102</v>
      </c>
      <c r="I128" s="76" t="s">
        <v>16</v>
      </c>
      <c r="J128" s="75" t="s">
        <v>16</v>
      </c>
      <c r="K128" s="103"/>
    </row>
    <row r="129" ht="15.75" customHeight="1">
      <c r="B129" s="5" t="s">
        <v>195</v>
      </c>
      <c r="C129" s="5" t="s">
        <v>267</v>
      </c>
      <c r="D129" s="20">
        <v>3200000.0</v>
      </c>
      <c r="E129" s="20">
        <v>2200000.0</v>
      </c>
      <c r="F129" s="16">
        <f t="shared" si="7"/>
        <v>0.6875</v>
      </c>
      <c r="G129" s="5">
        <v>11.0</v>
      </c>
      <c r="H129" s="5" t="s">
        <v>16</v>
      </c>
      <c r="I129" s="87" t="s">
        <v>637</v>
      </c>
      <c r="J129" s="119" t="s">
        <v>639</v>
      </c>
      <c r="K129" s="103"/>
    </row>
    <row r="130" ht="15.75" customHeight="1">
      <c r="B130" s="5" t="s">
        <v>195</v>
      </c>
      <c r="C130" s="5" t="s">
        <v>254</v>
      </c>
      <c r="D130" s="20">
        <v>2800000.0</v>
      </c>
      <c r="E130" s="20">
        <v>1900000.0</v>
      </c>
      <c r="F130" s="16">
        <f t="shared" si="7"/>
        <v>0.6785714286</v>
      </c>
      <c r="G130" s="5">
        <v>12.0</v>
      </c>
      <c r="H130" s="7" t="s">
        <v>98</v>
      </c>
      <c r="I130" s="57" t="s">
        <v>616</v>
      </c>
      <c r="J130" s="120" t="s">
        <v>644</v>
      </c>
      <c r="K130" s="103"/>
    </row>
    <row r="131" ht="15.75" customHeight="1">
      <c r="B131" s="5" t="s">
        <v>195</v>
      </c>
      <c r="C131" s="5" t="s">
        <v>332</v>
      </c>
      <c r="D131" s="11">
        <v>4300000.0</v>
      </c>
      <c r="E131" s="11">
        <v>2900000.0</v>
      </c>
      <c r="F131" s="16">
        <f t="shared" si="7"/>
        <v>0.6744186047</v>
      </c>
      <c r="G131" s="5">
        <v>13.0</v>
      </c>
      <c r="H131" s="5" t="s">
        <v>334</v>
      </c>
      <c r="I131" s="76" t="s">
        <v>16</v>
      </c>
      <c r="J131" s="75" t="s">
        <v>16</v>
      </c>
      <c r="K131" s="103"/>
    </row>
    <row r="132" ht="15.75" customHeight="1">
      <c r="B132" s="5" t="s">
        <v>195</v>
      </c>
      <c r="C132" s="5" t="s">
        <v>466</v>
      </c>
      <c r="D132" s="11">
        <v>3500000.0</v>
      </c>
      <c r="E132" s="11">
        <v>2500000.0</v>
      </c>
      <c r="F132" s="16">
        <f t="shared" si="7"/>
        <v>0.7142857143</v>
      </c>
      <c r="G132" s="5">
        <v>14.0</v>
      </c>
      <c r="H132" s="5" t="s">
        <v>16</v>
      </c>
      <c r="I132" s="87" t="s">
        <v>648</v>
      </c>
      <c r="J132" s="75" t="s">
        <v>16</v>
      </c>
      <c r="K132" s="103"/>
    </row>
    <row r="133" ht="15.75" customHeight="1">
      <c r="B133" s="5" t="s">
        <v>195</v>
      </c>
      <c r="C133" s="5" t="s">
        <v>386</v>
      </c>
      <c r="D133" s="11">
        <v>6500000.0</v>
      </c>
      <c r="E133" s="11">
        <v>4300000.0</v>
      </c>
      <c r="F133" s="16">
        <f t="shared" si="7"/>
        <v>0.6615384615</v>
      </c>
      <c r="G133" s="5">
        <v>15.0</v>
      </c>
      <c r="H133" s="7" t="s">
        <v>36</v>
      </c>
      <c r="I133" s="76" t="s">
        <v>16</v>
      </c>
      <c r="J133" s="75" t="s">
        <v>16</v>
      </c>
      <c r="K133" s="103"/>
    </row>
    <row r="134" ht="15.75" customHeight="1">
      <c r="B134" s="5" t="s">
        <v>195</v>
      </c>
      <c r="C134" s="5" t="s">
        <v>197</v>
      </c>
      <c r="D134" s="11">
        <v>2200000.0</v>
      </c>
      <c r="E134" s="11">
        <v>1500000.0</v>
      </c>
      <c r="F134" s="16">
        <f t="shared" si="7"/>
        <v>0.6818181818</v>
      </c>
      <c r="G134" s="5">
        <v>16.0</v>
      </c>
      <c r="H134" s="5" t="s">
        <v>16</v>
      </c>
      <c r="I134" s="76" t="s">
        <v>16</v>
      </c>
      <c r="J134" s="75" t="s">
        <v>16</v>
      </c>
      <c r="K134" s="103"/>
    </row>
    <row r="135" ht="15.75" customHeight="1">
      <c r="E135" s="21" t="s">
        <v>61</v>
      </c>
      <c r="F135" s="52">
        <f>average(F119:F134)</f>
        <v>0.6805846202</v>
      </c>
      <c r="I135" s="79"/>
      <c r="J135" s="80"/>
      <c r="K135" s="80"/>
    </row>
    <row r="136" ht="15.75" customHeight="1">
      <c r="I136" s="3"/>
      <c r="K136" s="80"/>
    </row>
    <row r="137" ht="15.75" customHeight="1">
      <c r="B137" s="24" t="s">
        <v>469</v>
      </c>
      <c r="C137" s="2"/>
      <c r="D137" s="2"/>
      <c r="E137" s="2"/>
      <c r="F137" s="2"/>
      <c r="G137" s="2"/>
      <c r="H137" s="4"/>
      <c r="I137" s="3"/>
      <c r="K137" s="80"/>
    </row>
    <row r="138" ht="15.75" customHeight="1">
      <c r="B138" s="5" t="s">
        <v>1</v>
      </c>
      <c r="C138" s="5" t="s">
        <v>3</v>
      </c>
      <c r="D138" s="5" t="s">
        <v>4</v>
      </c>
      <c r="E138" s="5" t="s">
        <v>5</v>
      </c>
      <c r="F138" s="6" t="s">
        <v>6</v>
      </c>
      <c r="G138" s="6" t="s">
        <v>7</v>
      </c>
      <c r="H138" s="6" t="s">
        <v>8</v>
      </c>
      <c r="I138" s="29" t="s">
        <v>135</v>
      </c>
      <c r="J138" s="12" t="s">
        <v>136</v>
      </c>
      <c r="K138" s="80"/>
    </row>
    <row r="139" ht="15.75" customHeight="1">
      <c r="B139" s="5" t="s">
        <v>427</v>
      </c>
      <c r="C139" s="5" t="s">
        <v>428</v>
      </c>
      <c r="D139" s="11">
        <v>3.0E7</v>
      </c>
      <c r="E139" s="9">
        <v>1.85E7</v>
      </c>
      <c r="F139" s="16">
        <f t="shared" ref="F139:F156" si="8">+E139/D139</f>
        <v>0.6166666667</v>
      </c>
      <c r="G139" s="5">
        <v>1.0</v>
      </c>
      <c r="H139" s="5" t="s">
        <v>429</v>
      </c>
      <c r="I139" s="71" t="s">
        <v>664</v>
      </c>
      <c r="J139" s="34"/>
      <c r="K139" s="80"/>
    </row>
    <row r="140" ht="15.75" customHeight="1">
      <c r="B140" s="5" t="s">
        <v>88</v>
      </c>
      <c r="C140" s="5" t="s">
        <v>422</v>
      </c>
      <c r="D140" s="9">
        <v>2.7E7</v>
      </c>
      <c r="E140" s="9">
        <v>1.8E7</v>
      </c>
      <c r="F140" s="16">
        <f t="shared" si="8"/>
        <v>0.6666666667</v>
      </c>
      <c r="G140" s="5">
        <v>2.0</v>
      </c>
      <c r="H140" s="5" t="s">
        <v>423</v>
      </c>
      <c r="I140" s="71" t="s">
        <v>418</v>
      </c>
      <c r="J140" s="72" t="s">
        <v>668</v>
      </c>
      <c r="K140" s="80"/>
    </row>
    <row r="141" ht="15.75" customHeight="1">
      <c r="B141" s="5" t="s">
        <v>88</v>
      </c>
      <c r="C141" s="5" t="s">
        <v>425</v>
      </c>
      <c r="D141" s="20">
        <v>2.0E7</v>
      </c>
      <c r="E141" s="20">
        <v>1.85E7</v>
      </c>
      <c r="F141" s="16">
        <f t="shared" si="8"/>
        <v>0.925</v>
      </c>
      <c r="G141" s="5">
        <v>3.0</v>
      </c>
      <c r="H141" s="5" t="s">
        <v>426</v>
      </c>
      <c r="I141" s="87" t="s">
        <v>418</v>
      </c>
      <c r="J141" s="120" t="s">
        <v>673</v>
      </c>
      <c r="K141" s="80"/>
    </row>
    <row r="142" ht="15.75" customHeight="1">
      <c r="B142" s="5" t="s">
        <v>85</v>
      </c>
      <c r="C142" s="5" t="s">
        <v>361</v>
      </c>
      <c r="D142" s="20">
        <v>6500000.0</v>
      </c>
      <c r="E142" s="20">
        <v>3500000.0</v>
      </c>
      <c r="F142" s="16">
        <f t="shared" si="8"/>
        <v>0.5384615385</v>
      </c>
      <c r="G142" s="5">
        <v>4.0</v>
      </c>
      <c r="H142" s="5" t="s">
        <v>122</v>
      </c>
      <c r="I142" s="76"/>
      <c r="J142" s="72" t="s">
        <v>678</v>
      </c>
      <c r="K142" s="80"/>
    </row>
    <row r="143" ht="15.75" customHeight="1">
      <c r="B143" s="5" t="s">
        <v>59</v>
      </c>
      <c r="C143" s="5" t="s">
        <v>356</v>
      </c>
      <c r="D143" s="9">
        <v>5000000.0</v>
      </c>
      <c r="E143" s="9">
        <v>3300000.0</v>
      </c>
      <c r="F143" s="16">
        <f t="shared" si="8"/>
        <v>0.66</v>
      </c>
      <c r="G143" s="5">
        <v>5.0</v>
      </c>
      <c r="H143" s="5" t="s">
        <v>358</v>
      </c>
      <c r="I143" s="71" t="s">
        <v>681</v>
      </c>
      <c r="J143" s="92" t="s">
        <v>682</v>
      </c>
      <c r="K143" s="80"/>
    </row>
    <row r="144" ht="15.75" customHeight="1">
      <c r="B144" s="5" t="s">
        <v>80</v>
      </c>
      <c r="C144" s="5" t="s">
        <v>368</v>
      </c>
      <c r="D144" s="20">
        <v>5700000.0</v>
      </c>
      <c r="E144" s="20">
        <v>3800000.0</v>
      </c>
      <c r="F144" s="16">
        <f t="shared" si="8"/>
        <v>0.6666666667</v>
      </c>
      <c r="G144" s="5">
        <v>6.0</v>
      </c>
      <c r="H144" s="5" t="s">
        <v>358</v>
      </c>
      <c r="I144" s="71" t="s">
        <v>684</v>
      </c>
      <c r="J144" s="72" t="s">
        <v>687</v>
      </c>
      <c r="K144" s="80"/>
    </row>
    <row r="145" ht="15.75" customHeight="1">
      <c r="B145" s="5" t="s">
        <v>190</v>
      </c>
      <c r="C145" s="5" t="s">
        <v>191</v>
      </c>
      <c r="D145" s="20">
        <v>2100000.0</v>
      </c>
      <c r="E145" s="11">
        <v>1500000.0</v>
      </c>
      <c r="F145" s="16">
        <f t="shared" si="8"/>
        <v>0.7142857143</v>
      </c>
      <c r="G145" s="5">
        <v>7.0</v>
      </c>
      <c r="H145" s="7" t="s">
        <v>160</v>
      </c>
      <c r="I145" s="71" t="s">
        <v>695</v>
      </c>
      <c r="J145" s="75"/>
      <c r="K145" s="80"/>
    </row>
    <row r="146" ht="15.75" customHeight="1">
      <c r="B146" s="5" t="s">
        <v>190</v>
      </c>
      <c r="C146" s="5" t="s">
        <v>273</v>
      </c>
      <c r="D146" s="20">
        <v>3500000.0</v>
      </c>
      <c r="E146" s="11">
        <v>2300000.0</v>
      </c>
      <c r="F146" s="16">
        <f t="shared" si="8"/>
        <v>0.6571428571</v>
      </c>
      <c r="G146" s="5">
        <v>8.0</v>
      </c>
      <c r="H146" s="7" t="s">
        <v>98</v>
      </c>
      <c r="I146" s="87" t="s">
        <v>698</v>
      </c>
      <c r="J146" s="75"/>
      <c r="K146" s="80"/>
    </row>
    <row r="147" ht="15.75" customHeight="1">
      <c r="B147" s="5" t="s">
        <v>88</v>
      </c>
      <c r="C147" s="5" t="s">
        <v>317</v>
      </c>
      <c r="D147" s="20">
        <v>4000000.0</v>
      </c>
      <c r="E147" s="20">
        <v>2600000.0</v>
      </c>
      <c r="F147" s="16">
        <f t="shared" si="8"/>
        <v>0.65</v>
      </c>
      <c r="G147" s="5">
        <v>9.0</v>
      </c>
      <c r="H147" s="7" t="s">
        <v>36</v>
      </c>
      <c r="I147" s="71" t="s">
        <v>700</v>
      </c>
      <c r="J147" s="120" t="s">
        <v>704</v>
      </c>
      <c r="K147" s="80"/>
    </row>
    <row r="148" ht="15.75" customHeight="1">
      <c r="B148" s="5" t="s">
        <v>154</v>
      </c>
      <c r="C148" s="5" t="s">
        <v>155</v>
      </c>
      <c r="D148" s="20">
        <v>3034805.0</v>
      </c>
      <c r="E148" s="20">
        <v>1360000.0</v>
      </c>
      <c r="F148" s="16">
        <f t="shared" si="8"/>
        <v>0.4481342294</v>
      </c>
      <c r="G148" s="5">
        <v>10.0</v>
      </c>
      <c r="H148" s="7" t="s">
        <v>16</v>
      </c>
      <c r="I148" s="71" t="s">
        <v>708</v>
      </c>
      <c r="J148" s="120" t="s">
        <v>712</v>
      </c>
      <c r="K148" s="101" t="s">
        <v>714</v>
      </c>
      <c r="L148" s="101" t="s">
        <v>717</v>
      </c>
    </row>
    <row r="149" ht="15.75" customHeight="1">
      <c r="B149" s="5" t="s">
        <v>88</v>
      </c>
      <c r="C149" s="5" t="s">
        <v>150</v>
      </c>
      <c r="D149" s="11">
        <v>2000000.0</v>
      </c>
      <c r="E149" s="20">
        <v>1300000.0</v>
      </c>
      <c r="F149" s="16">
        <f t="shared" si="8"/>
        <v>0.65</v>
      </c>
      <c r="G149" s="5">
        <v>11.0</v>
      </c>
      <c r="H149" s="7" t="s">
        <v>16</v>
      </c>
      <c r="I149" s="74"/>
      <c r="J149" s="78"/>
      <c r="K149" s="80"/>
    </row>
    <row r="150" ht="15.75" customHeight="1">
      <c r="B150" s="5" t="s">
        <v>88</v>
      </c>
      <c r="C150" s="5" t="s">
        <v>138</v>
      </c>
      <c r="D150" s="20">
        <v>1850000.0</v>
      </c>
      <c r="E150" s="11">
        <v>1200000.0</v>
      </c>
      <c r="F150" s="16">
        <f t="shared" si="8"/>
        <v>0.6486486486</v>
      </c>
      <c r="G150" s="5">
        <v>12.0</v>
      </c>
      <c r="H150" s="7" t="s">
        <v>16</v>
      </c>
      <c r="I150" s="71" t="s">
        <v>720</v>
      </c>
      <c r="J150" s="72"/>
      <c r="K150" s="80"/>
    </row>
    <row r="151" ht="15.75" customHeight="1">
      <c r="B151" s="5" t="s">
        <v>80</v>
      </c>
      <c r="C151" s="5" t="s">
        <v>193</v>
      </c>
      <c r="D151" s="20">
        <v>2000000.0</v>
      </c>
      <c r="E151" s="20">
        <v>1500000.0</v>
      </c>
      <c r="F151" s="16">
        <f t="shared" si="8"/>
        <v>0.75</v>
      </c>
      <c r="G151" s="5">
        <v>13.0</v>
      </c>
      <c r="H151" s="7" t="s">
        <v>16</v>
      </c>
      <c r="I151" s="76"/>
      <c r="J151" s="75"/>
      <c r="K151" s="80"/>
    </row>
    <row r="152" ht="15.75" customHeight="1">
      <c r="B152" s="5" t="s">
        <v>80</v>
      </c>
      <c r="C152" s="5" t="s">
        <v>81</v>
      </c>
      <c r="D152" s="20">
        <v>957423.0</v>
      </c>
      <c r="E152" s="11">
        <v>600000.0</v>
      </c>
      <c r="F152" s="16">
        <f t="shared" si="8"/>
        <v>0.6266822502</v>
      </c>
      <c r="G152" s="5">
        <v>14.0</v>
      </c>
      <c r="H152" s="7" t="s">
        <v>16</v>
      </c>
      <c r="I152" s="71" t="s">
        <v>727</v>
      </c>
      <c r="J152" s="75"/>
      <c r="K152" s="80"/>
    </row>
    <row r="153" ht="15.75" customHeight="1">
      <c r="B153" s="5" t="s">
        <v>85</v>
      </c>
      <c r="C153" s="5" t="s">
        <v>86</v>
      </c>
      <c r="D153" s="11">
        <v>1000000.0</v>
      </c>
      <c r="E153" s="11">
        <v>650000.0</v>
      </c>
      <c r="F153" s="16">
        <f t="shared" si="8"/>
        <v>0.65</v>
      </c>
      <c r="G153" s="5">
        <v>15.0</v>
      </c>
      <c r="H153" s="7" t="s">
        <v>16</v>
      </c>
      <c r="I153" s="71"/>
      <c r="J153" s="56"/>
      <c r="K153" s="80"/>
    </row>
    <row r="154" ht="15.75" customHeight="1">
      <c r="B154" s="5" t="s">
        <v>187</v>
      </c>
      <c r="C154" s="5" t="s">
        <v>188</v>
      </c>
      <c r="D154" s="11">
        <v>2200000.0</v>
      </c>
      <c r="E154" s="11">
        <v>1500000.0</v>
      </c>
      <c r="F154" s="16">
        <f t="shared" si="8"/>
        <v>0.6818181818</v>
      </c>
      <c r="G154" s="5">
        <v>16.0</v>
      </c>
      <c r="H154" s="7" t="s">
        <v>16</v>
      </c>
      <c r="I154" s="71" t="s">
        <v>735</v>
      </c>
      <c r="J154" s="75"/>
      <c r="K154" s="80"/>
    </row>
    <row r="155" ht="15.75" customHeight="1">
      <c r="B155" s="5" t="s">
        <v>88</v>
      </c>
      <c r="C155" s="5" t="s">
        <v>89</v>
      </c>
      <c r="D155" s="20">
        <v>1000000.0</v>
      </c>
      <c r="E155" s="11">
        <v>650000.0</v>
      </c>
      <c r="F155" s="16">
        <f t="shared" si="8"/>
        <v>0.65</v>
      </c>
      <c r="G155" s="5">
        <v>17.0</v>
      </c>
      <c r="H155" s="7" t="s">
        <v>16</v>
      </c>
      <c r="I155" s="71" t="s">
        <v>742</v>
      </c>
      <c r="J155" s="120" t="s">
        <v>747</v>
      </c>
      <c r="K155" s="80"/>
    </row>
    <row r="156" ht="15.75" customHeight="1">
      <c r="B156" s="5" t="s">
        <v>154</v>
      </c>
      <c r="C156" s="5" t="s">
        <v>225</v>
      </c>
      <c r="D156" s="20">
        <v>2737831.0</v>
      </c>
      <c r="E156" s="11">
        <v>1700000.0</v>
      </c>
      <c r="F156" s="16">
        <f t="shared" si="8"/>
        <v>0.6209294876</v>
      </c>
      <c r="G156" s="5">
        <v>18.0</v>
      </c>
      <c r="H156" s="7" t="s">
        <v>16</v>
      </c>
      <c r="I156" s="71" t="s">
        <v>753</v>
      </c>
      <c r="J156" s="75"/>
      <c r="K156" s="80"/>
    </row>
    <row r="157" ht="15.75" customHeight="1">
      <c r="E157" s="21" t="s">
        <v>61</v>
      </c>
      <c r="F157" s="52">
        <f>average(F139:F156)</f>
        <v>0.6567279393</v>
      </c>
      <c r="I157" s="79"/>
      <c r="J157" s="80"/>
      <c r="K157" s="80"/>
    </row>
    <row r="158" ht="15.75" customHeight="1">
      <c r="I158" s="79"/>
      <c r="J158" s="80"/>
      <c r="K158" s="80"/>
    </row>
    <row r="159" ht="15.75" customHeight="1">
      <c r="B159" s="24" t="s">
        <v>540</v>
      </c>
      <c r="C159" s="2"/>
      <c r="D159" s="2"/>
      <c r="E159" s="2"/>
      <c r="F159" s="2"/>
      <c r="G159" s="2"/>
      <c r="H159" s="2"/>
      <c r="I159" s="100"/>
      <c r="J159" s="102"/>
      <c r="K159" s="80"/>
    </row>
    <row r="160" ht="15.75" customHeight="1">
      <c r="B160" s="5" t="s">
        <v>1</v>
      </c>
      <c r="C160" s="5" t="s">
        <v>3</v>
      </c>
      <c r="D160" s="5" t="s">
        <v>4</v>
      </c>
      <c r="E160" s="5" t="s">
        <v>5</v>
      </c>
      <c r="F160" s="6" t="s">
        <v>6</v>
      </c>
      <c r="G160" s="6" t="s">
        <v>7</v>
      </c>
      <c r="H160" s="6" t="s">
        <v>8</v>
      </c>
      <c r="I160" s="29" t="s">
        <v>135</v>
      </c>
      <c r="J160" s="12" t="s">
        <v>136</v>
      </c>
      <c r="K160" s="80"/>
    </row>
    <row r="161" ht="15.75" customHeight="1">
      <c r="B161" s="5" t="s">
        <v>174</v>
      </c>
      <c r="C161" s="5" t="s">
        <v>419</v>
      </c>
      <c r="D161" s="9">
        <v>2.6623908E7</v>
      </c>
      <c r="E161" s="9">
        <v>1.64E7</v>
      </c>
      <c r="F161" s="16">
        <f t="shared" ref="F161:F174" si="9">+E161/D161</f>
        <v>0.6159877055</v>
      </c>
      <c r="G161" s="5">
        <v>1.0</v>
      </c>
      <c r="H161" s="5" t="s">
        <v>421</v>
      </c>
      <c r="I161" s="71" t="s">
        <v>766</v>
      </c>
      <c r="J161" s="97" t="s">
        <v>770</v>
      </c>
      <c r="K161" s="103"/>
    </row>
    <row r="162" ht="15.75" customHeight="1">
      <c r="B162" s="5" t="s">
        <v>174</v>
      </c>
      <c r="C162" s="5" t="s">
        <v>438</v>
      </c>
      <c r="D162" s="9">
        <v>4.85146768E7</v>
      </c>
      <c r="E162" s="9">
        <v>3.03E7</v>
      </c>
      <c r="F162" s="16">
        <f t="shared" si="9"/>
        <v>0.6245532692</v>
      </c>
      <c r="G162" s="5">
        <v>2.0</v>
      </c>
      <c r="H162" s="5" t="s">
        <v>439</v>
      </c>
      <c r="I162" s="71" t="s">
        <v>16</v>
      </c>
      <c r="J162" s="97" t="s">
        <v>770</v>
      </c>
      <c r="K162" s="103"/>
    </row>
    <row r="163" ht="15.75" customHeight="1">
      <c r="B163" s="5" t="s">
        <v>174</v>
      </c>
      <c r="C163" s="5" t="s">
        <v>411</v>
      </c>
      <c r="D163" s="20">
        <v>1.63E7</v>
      </c>
      <c r="E163" s="20">
        <v>7817000.0</v>
      </c>
      <c r="F163" s="16">
        <f t="shared" si="9"/>
        <v>0.4795705521</v>
      </c>
      <c r="G163" s="5">
        <v>3.0</v>
      </c>
      <c r="H163" s="5" t="s">
        <v>358</v>
      </c>
      <c r="I163" s="87" t="s">
        <v>766</v>
      </c>
      <c r="J163" s="119" t="s">
        <v>776</v>
      </c>
      <c r="K163" s="103"/>
    </row>
    <row r="164" ht="15.75" customHeight="1">
      <c r="B164" s="5" t="s">
        <v>174</v>
      </c>
      <c r="C164" s="5" t="s">
        <v>248</v>
      </c>
      <c r="D164" s="20">
        <v>3106122.6</v>
      </c>
      <c r="E164" s="11">
        <v>1900000.0</v>
      </c>
      <c r="F164" s="16">
        <f t="shared" si="9"/>
        <v>0.6116951082</v>
      </c>
      <c r="G164" s="5">
        <v>4.0</v>
      </c>
      <c r="H164" s="7" t="s">
        <v>98</v>
      </c>
      <c r="I164" s="130" t="s">
        <v>770</v>
      </c>
      <c r="J164" s="105" t="s">
        <v>16</v>
      </c>
      <c r="K164" s="103"/>
    </row>
    <row r="165" ht="15.75" customHeight="1">
      <c r="B165" s="5" t="s">
        <v>174</v>
      </c>
      <c r="C165" s="5" t="s">
        <v>373</v>
      </c>
      <c r="D165" s="9">
        <v>6508066.4</v>
      </c>
      <c r="E165" s="11">
        <v>3900000.0</v>
      </c>
      <c r="F165" s="16">
        <f t="shared" si="9"/>
        <v>0.5992563321</v>
      </c>
      <c r="G165" s="5">
        <v>5.0</v>
      </c>
      <c r="H165" s="7" t="s">
        <v>102</v>
      </c>
      <c r="I165" s="71" t="s">
        <v>779</v>
      </c>
      <c r="J165" s="92" t="s">
        <v>16</v>
      </c>
      <c r="K165" s="103"/>
    </row>
    <row r="166" ht="15.75" customHeight="1">
      <c r="B166" s="5" t="s">
        <v>174</v>
      </c>
      <c r="C166" s="5" t="s">
        <v>349</v>
      </c>
      <c r="D166" s="20">
        <v>5078576.0</v>
      </c>
      <c r="E166" s="11">
        <v>3200000.0</v>
      </c>
      <c r="F166" s="16">
        <f t="shared" si="9"/>
        <v>0.6300978857</v>
      </c>
      <c r="G166" s="5">
        <v>6.0</v>
      </c>
      <c r="H166" s="7" t="s">
        <v>16</v>
      </c>
      <c r="I166" s="71" t="s">
        <v>784</v>
      </c>
      <c r="J166" s="72" t="s">
        <v>787</v>
      </c>
      <c r="K166" s="103"/>
    </row>
    <row r="167" ht="15.75" customHeight="1">
      <c r="B167" s="5" t="s">
        <v>174</v>
      </c>
      <c r="C167" s="5" t="s">
        <v>251</v>
      </c>
      <c r="D167" s="20">
        <v>3106122.6</v>
      </c>
      <c r="E167" s="11">
        <v>1900000.0</v>
      </c>
      <c r="F167" s="16">
        <f t="shared" si="9"/>
        <v>0.6116951082</v>
      </c>
      <c r="G167" s="5">
        <v>7.0</v>
      </c>
      <c r="H167" s="7" t="s">
        <v>16</v>
      </c>
      <c r="I167" s="130" t="s">
        <v>770</v>
      </c>
      <c r="J167" s="98" t="s">
        <v>16</v>
      </c>
      <c r="K167" s="103"/>
    </row>
    <row r="168" ht="15.75" customHeight="1">
      <c r="B168" s="5" t="s">
        <v>174</v>
      </c>
      <c r="C168" s="5" t="s">
        <v>209</v>
      </c>
      <c r="D168" s="20">
        <v>2662390.8</v>
      </c>
      <c r="E168" s="11">
        <v>1600000.0</v>
      </c>
      <c r="F168" s="16">
        <f t="shared" si="9"/>
        <v>0.6009636151</v>
      </c>
      <c r="G168" s="5">
        <v>8.0</v>
      </c>
      <c r="H168" s="7" t="s">
        <v>16</v>
      </c>
      <c r="I168" s="130" t="s">
        <v>770</v>
      </c>
      <c r="J168" s="98" t="s">
        <v>16</v>
      </c>
      <c r="K168" s="103"/>
    </row>
    <row r="169" ht="15.75" customHeight="1">
      <c r="B169" s="5" t="s">
        <v>174</v>
      </c>
      <c r="C169" s="5" t="s">
        <v>230</v>
      </c>
      <c r="D169" s="20">
        <v>2810301.4</v>
      </c>
      <c r="E169" s="11">
        <v>1700000.0</v>
      </c>
      <c r="F169" s="16">
        <f t="shared" si="9"/>
        <v>0.6049173231</v>
      </c>
      <c r="G169" s="5">
        <v>9.0</v>
      </c>
      <c r="H169" s="7" t="s">
        <v>16</v>
      </c>
      <c r="I169" s="130" t="s">
        <v>770</v>
      </c>
      <c r="J169" s="98" t="s">
        <v>16</v>
      </c>
      <c r="K169" s="103"/>
    </row>
    <row r="170" ht="15.75" customHeight="1">
      <c r="B170" s="5" t="s">
        <v>174</v>
      </c>
      <c r="C170" s="5" t="s">
        <v>175</v>
      </c>
      <c r="D170" s="20">
        <v>2366569.6</v>
      </c>
      <c r="E170" s="11">
        <v>1450000.0</v>
      </c>
      <c r="F170" s="16">
        <f t="shared" si="9"/>
        <v>0.6127011857</v>
      </c>
      <c r="G170" s="5">
        <v>10.0</v>
      </c>
      <c r="H170" s="7" t="s">
        <v>16</v>
      </c>
      <c r="I170" s="130" t="s">
        <v>770</v>
      </c>
      <c r="J170" s="98" t="s">
        <v>16</v>
      </c>
      <c r="K170" s="103"/>
    </row>
    <row r="171" ht="15.75" customHeight="1">
      <c r="B171" s="5" t="s">
        <v>174</v>
      </c>
      <c r="C171" s="5" t="s">
        <v>306</v>
      </c>
      <c r="D171" s="20">
        <v>4141496.8</v>
      </c>
      <c r="E171" s="11">
        <v>2500000.0</v>
      </c>
      <c r="F171" s="16">
        <f t="shared" si="9"/>
        <v>0.6036464884</v>
      </c>
      <c r="G171" s="5">
        <v>11.0</v>
      </c>
      <c r="H171" s="7" t="s">
        <v>16</v>
      </c>
      <c r="I171" s="130" t="s">
        <v>770</v>
      </c>
      <c r="J171" s="98" t="s">
        <v>16</v>
      </c>
      <c r="K171" s="103"/>
    </row>
    <row r="172" ht="15.75" customHeight="1">
      <c r="B172" s="5" t="s">
        <v>174</v>
      </c>
      <c r="C172" s="5" t="s">
        <v>176</v>
      </c>
      <c r="D172" s="20">
        <v>2366569.6</v>
      </c>
      <c r="E172" s="11">
        <v>1450000.0</v>
      </c>
      <c r="F172" s="16">
        <f t="shared" si="9"/>
        <v>0.6127011857</v>
      </c>
      <c r="G172" s="5">
        <v>12.0</v>
      </c>
      <c r="H172" s="7" t="s">
        <v>16</v>
      </c>
      <c r="I172" s="130" t="s">
        <v>770</v>
      </c>
      <c r="J172" s="98" t="s">
        <v>16</v>
      </c>
      <c r="K172" s="103"/>
    </row>
    <row r="173" ht="15.75" customHeight="1">
      <c r="B173" s="5" t="s">
        <v>174</v>
      </c>
      <c r="C173" s="5" t="s">
        <v>210</v>
      </c>
      <c r="D173" s="20">
        <v>2662390.8</v>
      </c>
      <c r="E173" s="11">
        <v>1600000.0</v>
      </c>
      <c r="F173" s="16">
        <f t="shared" si="9"/>
        <v>0.6009636151</v>
      </c>
      <c r="G173" s="5">
        <v>13.0</v>
      </c>
      <c r="H173" s="7" t="s">
        <v>16</v>
      </c>
      <c r="I173" s="130" t="s">
        <v>770</v>
      </c>
      <c r="J173" s="98" t="s">
        <v>16</v>
      </c>
      <c r="K173" s="103"/>
    </row>
    <row r="174" ht="15.75" customHeight="1">
      <c r="B174" s="5" t="s">
        <v>174</v>
      </c>
      <c r="C174" s="5" t="s">
        <v>177</v>
      </c>
      <c r="D174" s="20">
        <v>2366569.6</v>
      </c>
      <c r="E174" s="11">
        <v>1450000.0</v>
      </c>
      <c r="F174" s="16">
        <f t="shared" si="9"/>
        <v>0.6127011857</v>
      </c>
      <c r="G174" s="5">
        <v>14.0</v>
      </c>
      <c r="H174" s="7" t="s">
        <v>16</v>
      </c>
      <c r="I174" s="130" t="s">
        <v>770</v>
      </c>
      <c r="J174" s="98" t="s">
        <v>16</v>
      </c>
      <c r="K174" s="103"/>
    </row>
    <row r="175" ht="15.75" customHeight="1">
      <c r="E175" s="21" t="s">
        <v>61</v>
      </c>
      <c r="F175" s="52">
        <f>average(F161:F174)</f>
        <v>0.6015321829</v>
      </c>
      <c r="I175" s="79"/>
      <c r="J175" s="80"/>
      <c r="K175" s="80"/>
    </row>
    <row r="176" ht="15.75" customHeight="1">
      <c r="I176" s="3"/>
    </row>
    <row r="177" ht="15.75" customHeight="1">
      <c r="I177" s="3"/>
    </row>
    <row r="178" ht="15.75" customHeight="1">
      <c r="B178" s="24" t="s">
        <v>564</v>
      </c>
      <c r="C178" s="2"/>
      <c r="D178" s="2"/>
      <c r="E178" s="2"/>
      <c r="F178" s="2"/>
      <c r="G178" s="2"/>
      <c r="H178" s="4"/>
      <c r="I178" s="3"/>
    </row>
    <row r="179" ht="15.75" customHeight="1">
      <c r="B179" s="5" t="s">
        <v>1</v>
      </c>
      <c r="C179" s="5" t="s">
        <v>3</v>
      </c>
      <c r="D179" s="5" t="s">
        <v>4</v>
      </c>
      <c r="E179" s="5" t="s">
        <v>5</v>
      </c>
      <c r="F179" s="6" t="s">
        <v>6</v>
      </c>
      <c r="G179" s="6" t="s">
        <v>7</v>
      </c>
      <c r="H179" s="6" t="s">
        <v>8</v>
      </c>
      <c r="I179" s="29" t="s">
        <v>135</v>
      </c>
      <c r="J179" s="12" t="s">
        <v>136</v>
      </c>
    </row>
    <row r="180" ht="15.75" customHeight="1">
      <c r="B180" s="5" t="s">
        <v>152</v>
      </c>
      <c r="C180" s="5" t="s">
        <v>284</v>
      </c>
      <c r="D180" s="11">
        <v>5800000.0</v>
      </c>
      <c r="E180" s="20">
        <v>2702752.0</v>
      </c>
      <c r="F180" s="16">
        <f t="shared" ref="F180:F189" si="10">+E180/D180</f>
        <v>0.4659917241</v>
      </c>
      <c r="G180" s="5">
        <v>1.0</v>
      </c>
      <c r="H180" s="7" t="s">
        <v>16</v>
      </c>
      <c r="I180" s="132" t="s">
        <v>803</v>
      </c>
      <c r="J180" s="109" t="s">
        <v>16</v>
      </c>
    </row>
    <row r="181" ht="15.75" customHeight="1">
      <c r="B181" s="5" t="s">
        <v>152</v>
      </c>
      <c r="C181" s="5" t="s">
        <v>300</v>
      </c>
      <c r="D181" s="11">
        <v>5600000.0</v>
      </c>
      <c r="E181" s="20">
        <v>2614065.0</v>
      </c>
      <c r="F181" s="16">
        <f t="shared" si="10"/>
        <v>0.4667973214</v>
      </c>
      <c r="G181" s="5">
        <v>2.0</v>
      </c>
      <c r="H181" s="7" t="s">
        <v>16</v>
      </c>
      <c r="I181" s="132" t="s">
        <v>803</v>
      </c>
      <c r="J181" s="109" t="s">
        <v>16</v>
      </c>
    </row>
    <row r="182" ht="15.75" customHeight="1">
      <c r="B182" s="5" t="s">
        <v>152</v>
      </c>
      <c r="C182" s="5" t="s">
        <v>260</v>
      </c>
      <c r="D182" s="11">
        <v>3550000.0</v>
      </c>
      <c r="E182" s="20">
        <v>1664902.0</v>
      </c>
      <c r="F182" s="16">
        <f t="shared" si="10"/>
        <v>0.4689864789</v>
      </c>
      <c r="G182" s="5">
        <v>3.0</v>
      </c>
      <c r="H182" s="7" t="s">
        <v>16</v>
      </c>
      <c r="I182" s="132" t="s">
        <v>803</v>
      </c>
      <c r="J182" s="109" t="s">
        <v>16</v>
      </c>
    </row>
    <row r="183" ht="15.75" customHeight="1">
      <c r="B183" s="5" t="s">
        <v>152</v>
      </c>
      <c r="C183" s="5" t="s">
        <v>315</v>
      </c>
      <c r="D183" s="11">
        <v>5700000.0</v>
      </c>
      <c r="E183" s="20">
        <v>2706020.0</v>
      </c>
      <c r="F183" s="16">
        <f t="shared" si="10"/>
        <v>0.4747403509</v>
      </c>
      <c r="G183" s="5">
        <v>4.0</v>
      </c>
      <c r="H183" s="7" t="s">
        <v>16</v>
      </c>
      <c r="I183" s="132" t="s">
        <v>803</v>
      </c>
      <c r="J183" s="109" t="s">
        <v>16</v>
      </c>
    </row>
    <row r="184" ht="15.75" customHeight="1">
      <c r="B184" s="5" t="s">
        <v>152</v>
      </c>
      <c r="C184" s="5" t="s">
        <v>271</v>
      </c>
      <c r="D184" s="11">
        <v>4550000.0</v>
      </c>
      <c r="E184" s="20">
        <v>2138124.0</v>
      </c>
      <c r="F184" s="16">
        <f t="shared" si="10"/>
        <v>0.4699173626</v>
      </c>
      <c r="G184" s="5">
        <v>5.0</v>
      </c>
      <c r="H184" s="7" t="s">
        <v>16</v>
      </c>
      <c r="I184" s="132" t="s">
        <v>803</v>
      </c>
      <c r="J184" s="109" t="s">
        <v>16</v>
      </c>
    </row>
    <row r="185" ht="15.75" customHeight="1">
      <c r="B185" s="5" t="s">
        <v>152</v>
      </c>
      <c r="C185" s="5" t="s">
        <v>246</v>
      </c>
      <c r="D185" s="11">
        <v>3900000.0</v>
      </c>
      <c r="E185" s="20">
        <v>1822675.0</v>
      </c>
      <c r="F185" s="16">
        <f t="shared" si="10"/>
        <v>0.4673525641</v>
      </c>
      <c r="G185" s="5">
        <v>6.0</v>
      </c>
      <c r="H185" s="7" t="s">
        <v>16</v>
      </c>
      <c r="I185" s="132" t="s">
        <v>803</v>
      </c>
      <c r="J185" s="109" t="s">
        <v>16</v>
      </c>
    </row>
    <row r="186" ht="15.75" customHeight="1">
      <c r="B186" s="5" t="s">
        <v>152</v>
      </c>
      <c r="C186" s="5" t="s">
        <v>200</v>
      </c>
      <c r="D186" s="11">
        <v>3400000.0</v>
      </c>
      <c r="E186" s="20">
        <v>1581052.0</v>
      </c>
      <c r="F186" s="16">
        <f t="shared" si="10"/>
        <v>0.4650152941</v>
      </c>
      <c r="G186" s="5">
        <v>7.0</v>
      </c>
      <c r="H186" s="7" t="s">
        <v>16</v>
      </c>
      <c r="I186" s="132" t="s">
        <v>803</v>
      </c>
      <c r="J186" s="109" t="s">
        <v>16</v>
      </c>
    </row>
    <row r="187" ht="15.75" customHeight="1">
      <c r="B187" s="5" t="s">
        <v>152</v>
      </c>
      <c r="C187" s="5" t="s">
        <v>218</v>
      </c>
      <c r="D187" s="11">
        <v>3700000.0</v>
      </c>
      <c r="E187" s="20">
        <v>1732994.0</v>
      </c>
      <c r="F187" s="16">
        <f t="shared" si="10"/>
        <v>0.4683767568</v>
      </c>
      <c r="G187" s="5">
        <v>8.0</v>
      </c>
      <c r="H187" s="7" t="s">
        <v>16</v>
      </c>
      <c r="I187" s="132" t="s">
        <v>803</v>
      </c>
      <c r="J187" s="109" t="s">
        <v>16</v>
      </c>
    </row>
    <row r="188" ht="15.75" customHeight="1">
      <c r="B188" s="5" t="s">
        <v>152</v>
      </c>
      <c r="C188" s="5" t="s">
        <v>153</v>
      </c>
      <c r="D188" s="11">
        <v>4000000.0</v>
      </c>
      <c r="E188" s="20">
        <v>1887638.0</v>
      </c>
      <c r="F188" s="16">
        <f t="shared" si="10"/>
        <v>0.4719095</v>
      </c>
      <c r="G188" s="5">
        <v>9.0</v>
      </c>
      <c r="H188" s="7" t="s">
        <v>16</v>
      </c>
      <c r="I188" s="132" t="s">
        <v>803</v>
      </c>
      <c r="J188" s="109" t="s">
        <v>16</v>
      </c>
    </row>
    <row r="189" ht="15.75" customHeight="1">
      <c r="B189" s="5" t="s">
        <v>152</v>
      </c>
      <c r="C189" s="5" t="s">
        <v>170</v>
      </c>
      <c r="D189" s="11">
        <v>3600000.0</v>
      </c>
      <c r="E189" s="20">
        <v>1693701.0</v>
      </c>
      <c r="F189" s="16">
        <f t="shared" si="10"/>
        <v>0.4704725</v>
      </c>
      <c r="G189" s="5">
        <v>10.0</v>
      </c>
      <c r="H189" s="7" t="s">
        <v>16</v>
      </c>
      <c r="I189" s="132" t="s">
        <v>803</v>
      </c>
      <c r="J189" s="109" t="s">
        <v>16</v>
      </c>
    </row>
    <row r="190" ht="15.75" customHeight="1">
      <c r="E190" s="21" t="s">
        <v>61</v>
      </c>
      <c r="F190" s="52">
        <f>average(F180:F189)</f>
        <v>0.4689559853</v>
      </c>
      <c r="I190" s="3"/>
    </row>
    <row r="191" ht="15.75" customHeight="1">
      <c r="I191" s="3"/>
    </row>
    <row r="192" ht="15.75" customHeight="1">
      <c r="B192" s="24" t="s">
        <v>590</v>
      </c>
      <c r="C192" s="2"/>
      <c r="D192" s="2"/>
      <c r="E192" s="2"/>
      <c r="F192" s="2"/>
      <c r="G192" s="2"/>
      <c r="H192" s="4"/>
      <c r="I192" s="3"/>
    </row>
    <row r="193" ht="15.75" customHeight="1">
      <c r="B193" s="5" t="s">
        <v>1</v>
      </c>
      <c r="C193" s="5" t="s">
        <v>3</v>
      </c>
      <c r="D193" s="5" t="s">
        <v>4</v>
      </c>
      <c r="E193" s="5" t="s">
        <v>5</v>
      </c>
      <c r="F193" s="6" t="s">
        <v>6</v>
      </c>
      <c r="G193" s="6" t="s">
        <v>7</v>
      </c>
      <c r="H193" s="6" t="s">
        <v>8</v>
      </c>
      <c r="I193" s="29" t="s">
        <v>135</v>
      </c>
      <c r="J193" s="12" t="s">
        <v>136</v>
      </c>
    </row>
    <row r="194" ht="15.75" customHeight="1">
      <c r="B194" s="5" t="s">
        <v>237</v>
      </c>
      <c r="C194" s="5" t="s">
        <v>407</v>
      </c>
      <c r="D194" s="20">
        <v>1.48E7</v>
      </c>
      <c r="E194" s="20">
        <v>7300000.0</v>
      </c>
      <c r="F194" s="16">
        <f t="shared" ref="F194:F217" si="11">+E194/D194</f>
        <v>0.4932432432</v>
      </c>
      <c r="G194" s="5">
        <v>1.0</v>
      </c>
      <c r="H194" s="7" t="s">
        <v>16</v>
      </c>
      <c r="I194" s="133" t="s">
        <v>825</v>
      </c>
      <c r="J194" s="109" t="s">
        <v>16</v>
      </c>
    </row>
    <row r="195" ht="15.75" customHeight="1">
      <c r="B195" s="5" t="s">
        <v>237</v>
      </c>
      <c r="C195" s="5" t="s">
        <v>375</v>
      </c>
      <c r="D195" s="20">
        <v>1.22E7</v>
      </c>
      <c r="E195" s="20">
        <v>4000000.0</v>
      </c>
      <c r="F195" s="16">
        <f t="shared" si="11"/>
        <v>0.3278688525</v>
      </c>
      <c r="G195" s="5">
        <v>2.0</v>
      </c>
      <c r="H195" s="7" t="s">
        <v>16</v>
      </c>
      <c r="I195" s="133" t="s">
        <v>825</v>
      </c>
      <c r="J195" s="109" t="s">
        <v>16</v>
      </c>
    </row>
    <row r="196" ht="15.75" customHeight="1">
      <c r="B196" s="5" t="s">
        <v>237</v>
      </c>
      <c r="C196" s="5" t="s">
        <v>395</v>
      </c>
      <c r="D196" s="20">
        <v>1.11E7</v>
      </c>
      <c r="E196" s="20">
        <v>5400000.0</v>
      </c>
      <c r="F196" s="16">
        <f t="shared" si="11"/>
        <v>0.4864864865</v>
      </c>
      <c r="G196" s="5">
        <v>3.0</v>
      </c>
      <c r="H196" s="7" t="s">
        <v>16</v>
      </c>
      <c r="I196" s="133" t="s">
        <v>825</v>
      </c>
      <c r="J196" s="109" t="s">
        <v>16</v>
      </c>
    </row>
    <row r="197" ht="15.75" customHeight="1">
      <c r="B197" s="5" t="s">
        <v>237</v>
      </c>
      <c r="C197" s="5" t="s">
        <v>413</v>
      </c>
      <c r="D197" s="20">
        <v>2.21E7</v>
      </c>
      <c r="E197" s="20">
        <v>8800000.0</v>
      </c>
      <c r="F197" s="16">
        <f t="shared" si="11"/>
        <v>0.3981900452</v>
      </c>
      <c r="G197" s="5">
        <v>4.0</v>
      </c>
      <c r="H197" s="7" t="s">
        <v>16</v>
      </c>
      <c r="I197" s="133" t="s">
        <v>825</v>
      </c>
      <c r="J197" s="109" t="s">
        <v>16</v>
      </c>
    </row>
    <row r="198" ht="15.75" customHeight="1">
      <c r="B198" s="5" t="s">
        <v>237</v>
      </c>
      <c r="C198" s="5" t="s">
        <v>414</v>
      </c>
      <c r="D198" s="20">
        <v>2.86E7</v>
      </c>
      <c r="E198" s="20">
        <v>9300000.0</v>
      </c>
      <c r="F198" s="16">
        <f t="shared" si="11"/>
        <v>0.3251748252</v>
      </c>
      <c r="G198" s="5">
        <v>5.0</v>
      </c>
      <c r="H198" s="7" t="s">
        <v>16</v>
      </c>
      <c r="I198" s="133" t="s">
        <v>825</v>
      </c>
      <c r="J198" s="109" t="s">
        <v>16</v>
      </c>
    </row>
    <row r="199" ht="15.75" customHeight="1">
      <c r="B199" s="5" t="s">
        <v>237</v>
      </c>
      <c r="C199" s="5" t="s">
        <v>404</v>
      </c>
      <c r="D199" s="20">
        <v>1.55E7</v>
      </c>
      <c r="E199" s="20">
        <v>6700000.0</v>
      </c>
      <c r="F199" s="16">
        <f t="shared" si="11"/>
        <v>0.4322580645</v>
      </c>
      <c r="G199" s="5">
        <v>6.0</v>
      </c>
      <c r="H199" s="7" t="s">
        <v>16</v>
      </c>
      <c r="I199" s="133" t="s">
        <v>825</v>
      </c>
      <c r="J199" s="109" t="s">
        <v>16</v>
      </c>
    </row>
    <row r="200" ht="15.75" customHeight="1">
      <c r="B200" s="5" t="s">
        <v>237</v>
      </c>
      <c r="C200" s="5" t="s">
        <v>410</v>
      </c>
      <c r="D200" s="20">
        <v>1.84E7</v>
      </c>
      <c r="E200" s="20">
        <v>7700000.0</v>
      </c>
      <c r="F200" s="16">
        <f t="shared" si="11"/>
        <v>0.4184782609</v>
      </c>
      <c r="G200" s="5">
        <v>7.0</v>
      </c>
      <c r="H200" s="7" t="s">
        <v>16</v>
      </c>
      <c r="I200" s="133" t="s">
        <v>825</v>
      </c>
      <c r="J200" s="109" t="s">
        <v>16</v>
      </c>
    </row>
    <row r="201" ht="15.75" customHeight="1">
      <c r="B201" s="5" t="s">
        <v>237</v>
      </c>
      <c r="C201" s="5" t="s">
        <v>383</v>
      </c>
      <c r="D201" s="20">
        <v>1.15E7</v>
      </c>
      <c r="E201" s="20">
        <v>4100000.0</v>
      </c>
      <c r="F201" s="16">
        <f t="shared" si="11"/>
        <v>0.3565217391</v>
      </c>
      <c r="G201" s="5">
        <v>8.0</v>
      </c>
      <c r="H201" s="7" t="s">
        <v>16</v>
      </c>
      <c r="I201" s="133" t="s">
        <v>825</v>
      </c>
      <c r="J201" s="109" t="s">
        <v>16</v>
      </c>
    </row>
    <row r="202" ht="15.75" customHeight="1">
      <c r="B202" s="5" t="s">
        <v>237</v>
      </c>
      <c r="C202" s="5" t="s">
        <v>397</v>
      </c>
      <c r="D202" s="20">
        <v>1.22E7</v>
      </c>
      <c r="E202" s="20">
        <v>5900000.0</v>
      </c>
      <c r="F202" s="16">
        <f t="shared" si="11"/>
        <v>0.4836065574</v>
      </c>
      <c r="G202" s="5">
        <v>9.0</v>
      </c>
      <c r="H202" s="7" t="s">
        <v>16</v>
      </c>
      <c r="I202" s="133" t="s">
        <v>825</v>
      </c>
      <c r="J202" s="109" t="s">
        <v>16</v>
      </c>
    </row>
    <row r="203" ht="15.75" customHeight="1">
      <c r="B203" s="5" t="s">
        <v>237</v>
      </c>
      <c r="C203" s="5" t="s">
        <v>367</v>
      </c>
      <c r="D203" s="20">
        <v>8900000.0</v>
      </c>
      <c r="E203" s="20">
        <v>3700000.0</v>
      </c>
      <c r="F203" s="16">
        <f t="shared" si="11"/>
        <v>0.4157303371</v>
      </c>
      <c r="G203" s="5">
        <v>10.0</v>
      </c>
      <c r="H203" s="7" t="s">
        <v>16</v>
      </c>
      <c r="I203" s="133" t="s">
        <v>825</v>
      </c>
      <c r="J203" s="109" t="s">
        <v>16</v>
      </c>
    </row>
    <row r="204" ht="15.75" customHeight="1">
      <c r="B204" s="5" t="s">
        <v>237</v>
      </c>
      <c r="C204" s="5" t="s">
        <v>400</v>
      </c>
      <c r="D204" s="20">
        <v>1.47E7</v>
      </c>
      <c r="E204" s="20">
        <v>6200000.0</v>
      </c>
      <c r="F204" s="16">
        <f t="shared" si="11"/>
        <v>0.4217687075</v>
      </c>
      <c r="G204" s="5">
        <v>11.0</v>
      </c>
      <c r="H204" s="7" t="s">
        <v>16</v>
      </c>
      <c r="I204" s="133" t="s">
        <v>825</v>
      </c>
      <c r="J204" s="109" t="s">
        <v>16</v>
      </c>
    </row>
    <row r="205" ht="15.75" customHeight="1">
      <c r="B205" s="5" t="s">
        <v>237</v>
      </c>
      <c r="C205" s="5" t="s">
        <v>393</v>
      </c>
      <c r="D205" s="20">
        <v>1.05E7</v>
      </c>
      <c r="E205" s="20">
        <v>4700000.0</v>
      </c>
      <c r="F205" s="16">
        <f t="shared" si="11"/>
        <v>0.4476190476</v>
      </c>
      <c r="G205" s="5">
        <v>12.0</v>
      </c>
      <c r="H205" s="7" t="s">
        <v>16</v>
      </c>
      <c r="I205" s="133" t="s">
        <v>825</v>
      </c>
      <c r="J205" s="109" t="s">
        <v>16</v>
      </c>
    </row>
    <row r="206" ht="15.75" customHeight="1">
      <c r="B206" s="5" t="s">
        <v>237</v>
      </c>
      <c r="C206" s="5" t="s">
        <v>355</v>
      </c>
      <c r="D206" s="20">
        <v>9400000.0</v>
      </c>
      <c r="E206" s="20">
        <v>3300000.0</v>
      </c>
      <c r="F206" s="16">
        <f t="shared" si="11"/>
        <v>0.3510638298</v>
      </c>
      <c r="G206" s="5">
        <v>13.0</v>
      </c>
      <c r="H206" s="7" t="s">
        <v>16</v>
      </c>
      <c r="I206" s="133" t="s">
        <v>825</v>
      </c>
      <c r="J206" s="109" t="s">
        <v>16</v>
      </c>
    </row>
    <row r="207" ht="15.75" customHeight="1">
      <c r="B207" s="5" t="s">
        <v>237</v>
      </c>
      <c r="C207" s="5" t="s">
        <v>384</v>
      </c>
      <c r="D207" s="20">
        <v>9100000.0</v>
      </c>
      <c r="E207" s="20">
        <v>4200000.0</v>
      </c>
      <c r="F207" s="16">
        <f t="shared" si="11"/>
        <v>0.4615384615</v>
      </c>
      <c r="G207" s="5">
        <v>14.0</v>
      </c>
      <c r="H207" s="7" t="s">
        <v>16</v>
      </c>
      <c r="I207" s="133" t="s">
        <v>825</v>
      </c>
      <c r="J207" s="109" t="s">
        <v>16</v>
      </c>
    </row>
    <row r="208" ht="15.75" customHeight="1">
      <c r="B208" s="5" t="s">
        <v>237</v>
      </c>
      <c r="C208" s="5" t="s">
        <v>390</v>
      </c>
      <c r="D208" s="20">
        <v>1.49E7</v>
      </c>
      <c r="E208" s="20">
        <v>4700000.0</v>
      </c>
      <c r="F208" s="16">
        <f t="shared" si="11"/>
        <v>0.3154362416</v>
      </c>
      <c r="G208" s="5">
        <v>15.0</v>
      </c>
      <c r="H208" s="7" t="s">
        <v>16</v>
      </c>
      <c r="I208" s="133" t="s">
        <v>825</v>
      </c>
      <c r="J208" s="109" t="s">
        <v>16</v>
      </c>
    </row>
    <row r="209" ht="15.75" customHeight="1">
      <c r="B209" s="5" t="s">
        <v>237</v>
      </c>
      <c r="C209" s="5" t="s">
        <v>403</v>
      </c>
      <c r="D209" s="20">
        <v>1.9E7</v>
      </c>
      <c r="E209" s="20">
        <v>6600000.0</v>
      </c>
      <c r="F209" s="16">
        <f t="shared" si="11"/>
        <v>0.3473684211</v>
      </c>
      <c r="G209" s="5">
        <v>16.0</v>
      </c>
      <c r="H209" s="7" t="s">
        <v>16</v>
      </c>
      <c r="I209" s="133" t="s">
        <v>825</v>
      </c>
      <c r="J209" s="109" t="s">
        <v>16</v>
      </c>
    </row>
    <row r="210" ht="15.75" customHeight="1">
      <c r="B210" s="5" t="s">
        <v>237</v>
      </c>
      <c r="C210" s="5" t="s">
        <v>398</v>
      </c>
      <c r="D210" s="20">
        <v>1.45E7</v>
      </c>
      <c r="E210" s="20">
        <v>6100000.0</v>
      </c>
      <c r="F210" s="16">
        <f t="shared" si="11"/>
        <v>0.4206896552</v>
      </c>
      <c r="G210" s="5">
        <v>17.0</v>
      </c>
      <c r="H210" s="7" t="s">
        <v>16</v>
      </c>
      <c r="I210" s="133" t="s">
        <v>825</v>
      </c>
      <c r="J210" s="109" t="s">
        <v>16</v>
      </c>
    </row>
    <row r="211" ht="15.75" customHeight="1">
      <c r="B211" s="5" t="s">
        <v>237</v>
      </c>
      <c r="C211" s="5" t="s">
        <v>295</v>
      </c>
      <c r="D211" s="20">
        <v>9300000.0</v>
      </c>
      <c r="E211" s="20">
        <v>2400000.0</v>
      </c>
      <c r="F211" s="16">
        <f t="shared" si="11"/>
        <v>0.2580645161</v>
      </c>
      <c r="G211" s="5">
        <v>18.0</v>
      </c>
      <c r="H211" s="7" t="s">
        <v>16</v>
      </c>
      <c r="I211" s="133" t="s">
        <v>825</v>
      </c>
      <c r="J211" s="109" t="s">
        <v>16</v>
      </c>
    </row>
    <row r="212" ht="15.75" customHeight="1">
      <c r="B212" s="5" t="s">
        <v>237</v>
      </c>
      <c r="C212" s="5" t="s">
        <v>340</v>
      </c>
      <c r="D212" s="20">
        <v>7700000.0</v>
      </c>
      <c r="E212" s="20">
        <v>3000000.0</v>
      </c>
      <c r="F212" s="16">
        <f t="shared" si="11"/>
        <v>0.3896103896</v>
      </c>
      <c r="G212" s="5">
        <v>19.0</v>
      </c>
      <c r="H212" s="7" t="s">
        <v>16</v>
      </c>
      <c r="I212" s="133" t="s">
        <v>825</v>
      </c>
      <c r="J212" s="109" t="s">
        <v>16</v>
      </c>
    </row>
    <row r="213" ht="15.75" customHeight="1">
      <c r="B213" s="5" t="s">
        <v>237</v>
      </c>
      <c r="C213" s="5" t="s">
        <v>354</v>
      </c>
      <c r="D213" s="20">
        <v>1.0E7</v>
      </c>
      <c r="E213" s="20">
        <v>3300000.0</v>
      </c>
      <c r="F213" s="16">
        <f t="shared" si="11"/>
        <v>0.33</v>
      </c>
      <c r="G213" s="5">
        <v>20.0</v>
      </c>
      <c r="H213" s="7" t="s">
        <v>16</v>
      </c>
      <c r="I213" s="133" t="s">
        <v>825</v>
      </c>
      <c r="J213" s="109" t="s">
        <v>16</v>
      </c>
    </row>
    <row r="214" ht="15.75" customHeight="1">
      <c r="B214" s="5" t="s">
        <v>237</v>
      </c>
      <c r="C214" s="5" t="s">
        <v>391</v>
      </c>
      <c r="D214" s="20">
        <v>1.1E7</v>
      </c>
      <c r="E214" s="20">
        <v>4700000.0</v>
      </c>
      <c r="F214" s="16">
        <f t="shared" si="11"/>
        <v>0.4272727273</v>
      </c>
      <c r="G214" s="5">
        <v>21.0</v>
      </c>
      <c r="H214" s="7" t="s">
        <v>16</v>
      </c>
      <c r="I214" s="133" t="s">
        <v>825</v>
      </c>
      <c r="J214" s="109" t="s">
        <v>16</v>
      </c>
    </row>
    <row r="215" ht="15.75" customHeight="1">
      <c r="B215" s="5" t="s">
        <v>237</v>
      </c>
      <c r="C215" s="5" t="s">
        <v>376</v>
      </c>
      <c r="D215" s="20">
        <v>1.03E7</v>
      </c>
      <c r="E215" s="20">
        <v>4000000.0</v>
      </c>
      <c r="F215" s="16">
        <f t="shared" si="11"/>
        <v>0.3883495146</v>
      </c>
      <c r="G215" s="5">
        <v>22.0</v>
      </c>
      <c r="H215" s="7" t="s">
        <v>16</v>
      </c>
      <c r="I215" s="133" t="s">
        <v>825</v>
      </c>
      <c r="J215" s="109" t="s">
        <v>16</v>
      </c>
    </row>
    <row r="216" ht="15.75" customHeight="1">
      <c r="B216" s="5" t="s">
        <v>237</v>
      </c>
      <c r="C216" s="5" t="s">
        <v>252</v>
      </c>
      <c r="D216" s="20">
        <v>7800000.0</v>
      </c>
      <c r="E216" s="20">
        <v>1900000.0</v>
      </c>
      <c r="F216" s="16">
        <f t="shared" si="11"/>
        <v>0.2435897436</v>
      </c>
      <c r="G216" s="5">
        <v>23.0</v>
      </c>
      <c r="H216" s="7" t="s">
        <v>16</v>
      </c>
      <c r="I216" s="133" t="s">
        <v>825</v>
      </c>
      <c r="J216" s="109" t="s">
        <v>16</v>
      </c>
    </row>
    <row r="217" ht="15.75" customHeight="1">
      <c r="B217" s="5" t="s">
        <v>237</v>
      </c>
      <c r="C217" s="5" t="s">
        <v>238</v>
      </c>
      <c r="D217" s="20">
        <v>8200000.0</v>
      </c>
      <c r="E217" s="20">
        <v>1800000.0</v>
      </c>
      <c r="F217" s="16">
        <f t="shared" si="11"/>
        <v>0.2195121951</v>
      </c>
      <c r="G217" s="5">
        <v>24.0</v>
      </c>
      <c r="H217" s="7" t="s">
        <v>16</v>
      </c>
      <c r="I217" s="133" t="s">
        <v>825</v>
      </c>
      <c r="J217" s="109" t="s">
        <v>16</v>
      </c>
    </row>
    <row r="218" ht="15.75" customHeight="1">
      <c r="E218" s="21" t="s">
        <v>61</v>
      </c>
      <c r="F218" s="52">
        <f>average(F194:F217)</f>
        <v>0.3816434109</v>
      </c>
      <c r="I218" s="3"/>
    </row>
    <row r="219" ht="15.75" customHeight="1">
      <c r="B219" s="113"/>
      <c r="C219" s="113"/>
      <c r="D219" s="113"/>
      <c r="E219" s="113"/>
      <c r="F219" s="113"/>
      <c r="G219" s="113"/>
      <c r="H219" s="113"/>
      <c r="I219" s="3"/>
    </row>
    <row r="220" ht="15.75" customHeight="1">
      <c r="B220" s="61" t="s">
        <v>618</v>
      </c>
      <c r="C220" s="2"/>
      <c r="D220" s="2"/>
      <c r="E220" s="2"/>
      <c r="F220" s="2"/>
      <c r="G220" s="2"/>
      <c r="H220" s="4"/>
      <c r="I220" s="3"/>
    </row>
    <row r="221" ht="15.75" customHeight="1">
      <c r="B221" s="5" t="s">
        <v>1</v>
      </c>
      <c r="C221" s="5" t="s">
        <v>3</v>
      </c>
      <c r="D221" s="5" t="s">
        <v>4</v>
      </c>
      <c r="E221" s="5" t="s">
        <v>5</v>
      </c>
      <c r="F221" s="6" t="s">
        <v>6</v>
      </c>
      <c r="G221" s="6" t="s">
        <v>7</v>
      </c>
      <c r="H221" s="6" t="s">
        <v>8</v>
      </c>
      <c r="I221" s="29" t="s">
        <v>135</v>
      </c>
      <c r="J221" s="115" t="s">
        <v>136</v>
      </c>
    </row>
    <row r="222" ht="15.75" customHeight="1">
      <c r="B222" s="7" t="s">
        <v>232</v>
      </c>
      <c r="C222" s="7" t="s">
        <v>233</v>
      </c>
      <c r="D222" s="11">
        <v>2800000.0</v>
      </c>
      <c r="E222" s="9">
        <v>1719552.0</v>
      </c>
      <c r="F222" s="16">
        <f t="shared" ref="F222:F257" si="12">+E222/D222</f>
        <v>0.6141257143</v>
      </c>
      <c r="G222" s="7">
        <v>1.0</v>
      </c>
      <c r="H222" s="7" t="s">
        <v>51</v>
      </c>
      <c r="I222" s="121" t="s">
        <v>851</v>
      </c>
      <c r="J222" s="117"/>
    </row>
    <row r="223" ht="15.75" customHeight="1">
      <c r="B223" s="7" t="s">
        <v>232</v>
      </c>
      <c r="C223" s="7" t="s">
        <v>293</v>
      </c>
      <c r="D223" s="11">
        <v>4000000.0</v>
      </c>
      <c r="E223" s="9">
        <v>2400000.0</v>
      </c>
      <c r="F223" s="16">
        <f t="shared" si="12"/>
        <v>0.6</v>
      </c>
      <c r="G223" s="7">
        <v>2.0</v>
      </c>
      <c r="H223" s="7" t="s">
        <v>98</v>
      </c>
      <c r="I223" s="121" t="s">
        <v>854</v>
      </c>
      <c r="J223" s="117"/>
    </row>
    <row r="224" ht="15.75" customHeight="1">
      <c r="B224" s="7" t="s">
        <v>50</v>
      </c>
      <c r="C224" s="7" t="s">
        <v>145</v>
      </c>
      <c r="D224" s="9">
        <v>2000000.0</v>
      </c>
      <c r="E224" s="11">
        <v>1300000.0</v>
      </c>
      <c r="F224" s="16">
        <f t="shared" si="12"/>
        <v>0.65</v>
      </c>
      <c r="G224" s="7">
        <v>1.0</v>
      </c>
      <c r="H224" s="7" t="s">
        <v>146</v>
      </c>
      <c r="I224" s="42" t="s">
        <v>855</v>
      </c>
      <c r="J224" s="62"/>
    </row>
    <row r="225" ht="15.75" customHeight="1">
      <c r="B225" s="7" t="s">
        <v>50</v>
      </c>
      <c r="C225" s="7" t="s">
        <v>52</v>
      </c>
      <c r="D225" s="9">
        <v>587238.02</v>
      </c>
      <c r="E225" s="11">
        <v>400000.0</v>
      </c>
      <c r="F225" s="16">
        <f t="shared" si="12"/>
        <v>0.6811548067</v>
      </c>
      <c r="G225" s="7">
        <v>3.0</v>
      </c>
      <c r="H225" s="7" t="s">
        <v>51</v>
      </c>
      <c r="I225" s="121" t="s">
        <v>859</v>
      </c>
      <c r="J225" s="117"/>
    </row>
    <row r="226" ht="15.75" customHeight="1">
      <c r="B226" s="7" t="s">
        <v>184</v>
      </c>
      <c r="C226" s="7" t="s">
        <v>185</v>
      </c>
      <c r="D226" s="9">
        <v>2000000.0</v>
      </c>
      <c r="E226" s="9">
        <v>1480000.0</v>
      </c>
      <c r="F226" s="16">
        <f t="shared" si="12"/>
        <v>0.74</v>
      </c>
      <c r="G226" s="7">
        <v>1.0</v>
      </c>
      <c r="H226" s="7" t="s">
        <v>51</v>
      </c>
      <c r="I226" s="121" t="s">
        <v>862</v>
      </c>
      <c r="J226" s="117"/>
      <c r="K226" s="64"/>
    </row>
    <row r="227" ht="15.75" customHeight="1">
      <c r="B227" s="7" t="s">
        <v>91</v>
      </c>
      <c r="C227" s="7" t="s">
        <v>104</v>
      </c>
      <c r="D227" s="9">
        <v>1500000.0</v>
      </c>
      <c r="E227" s="11">
        <v>800000.0</v>
      </c>
      <c r="F227" s="16">
        <f t="shared" si="12"/>
        <v>0.5333333333</v>
      </c>
      <c r="G227" s="7">
        <v>4.0</v>
      </c>
      <c r="H227" s="7" t="s">
        <v>51</v>
      </c>
      <c r="I227" s="42" t="s">
        <v>865</v>
      </c>
      <c r="J227" s="62"/>
    </row>
    <row r="228" ht="15.75" customHeight="1">
      <c r="B228" s="7" t="s">
        <v>91</v>
      </c>
      <c r="C228" s="7" t="s">
        <v>92</v>
      </c>
      <c r="D228" s="9">
        <v>1200000.0</v>
      </c>
      <c r="E228" s="11">
        <v>650000.0</v>
      </c>
      <c r="F228" s="16">
        <f t="shared" si="12"/>
        <v>0.5416666667</v>
      </c>
      <c r="G228" s="7">
        <v>1.0</v>
      </c>
      <c r="H228" s="7" t="s">
        <v>51</v>
      </c>
      <c r="I228" s="117" t="s">
        <v>867</v>
      </c>
      <c r="J228" s="117"/>
      <c r="K228" s="64"/>
    </row>
    <row r="229" ht="15.75" customHeight="1">
      <c r="B229" s="7" t="s">
        <v>20</v>
      </c>
      <c r="C229" s="7" t="s">
        <v>68</v>
      </c>
      <c r="D229" s="9">
        <v>761500.0</v>
      </c>
      <c r="E229" s="9">
        <v>515000.0</v>
      </c>
      <c r="F229" s="16">
        <f t="shared" si="12"/>
        <v>0.6762967827</v>
      </c>
      <c r="G229" s="7" t="s">
        <v>16</v>
      </c>
      <c r="H229" s="7" t="s">
        <v>16</v>
      </c>
      <c r="I229" s="121" t="s">
        <v>869</v>
      </c>
      <c r="J229" s="117"/>
      <c r="K229" s="64"/>
    </row>
    <row r="230" ht="15.75" customHeight="1">
      <c r="B230" s="7" t="s">
        <v>20</v>
      </c>
      <c r="C230" s="7" t="s">
        <v>29</v>
      </c>
      <c r="D230" s="9">
        <v>325800.0</v>
      </c>
      <c r="E230" s="9">
        <v>255000.0</v>
      </c>
      <c r="F230" s="16">
        <f t="shared" si="12"/>
        <v>0.7826887661</v>
      </c>
      <c r="G230" s="7">
        <v>9.0</v>
      </c>
      <c r="H230" s="7" t="s">
        <v>16</v>
      </c>
      <c r="I230" s="121" t="s">
        <v>869</v>
      </c>
      <c r="J230" s="117"/>
    </row>
    <row r="231" ht="15.75" customHeight="1">
      <c r="B231" s="7" t="s">
        <v>20</v>
      </c>
      <c r="C231" s="7" t="s">
        <v>82</v>
      </c>
      <c r="D231" s="9">
        <v>1142200.0</v>
      </c>
      <c r="E231" s="9">
        <v>600800.0</v>
      </c>
      <c r="F231" s="16">
        <f t="shared" si="12"/>
        <v>0.5260024514</v>
      </c>
      <c r="G231" s="7">
        <v>6.0</v>
      </c>
      <c r="H231" s="7" t="s">
        <v>16</v>
      </c>
      <c r="I231" s="121" t="s">
        <v>869</v>
      </c>
      <c r="J231" s="117"/>
    </row>
    <row r="232" ht="15.75" customHeight="1">
      <c r="B232" s="7" t="s">
        <v>20</v>
      </c>
      <c r="C232" s="7" t="s">
        <v>63</v>
      </c>
      <c r="D232" s="9">
        <v>890900.0</v>
      </c>
      <c r="E232" s="9">
        <v>467000.0</v>
      </c>
      <c r="F232" s="16">
        <f t="shared" si="12"/>
        <v>0.5241890223</v>
      </c>
      <c r="G232" s="7">
        <v>7.0</v>
      </c>
      <c r="H232" s="7" t="s">
        <v>16</v>
      </c>
      <c r="I232" s="121" t="s">
        <v>869</v>
      </c>
      <c r="J232" s="117"/>
    </row>
    <row r="233" ht="15.75" customHeight="1">
      <c r="B233" s="7" t="s">
        <v>20</v>
      </c>
      <c r="C233" s="7" t="s">
        <v>67</v>
      </c>
      <c r="D233" s="9">
        <v>816000.0</v>
      </c>
      <c r="E233" s="9">
        <v>514000.0</v>
      </c>
      <c r="F233" s="16">
        <f t="shared" si="12"/>
        <v>0.6299019608</v>
      </c>
      <c r="G233" s="7">
        <v>2.0</v>
      </c>
      <c r="H233" s="7" t="s">
        <v>16</v>
      </c>
      <c r="I233" s="121" t="s">
        <v>869</v>
      </c>
      <c r="J233" s="117"/>
    </row>
    <row r="234" ht="15.75" customHeight="1">
      <c r="B234" s="7" t="s">
        <v>20</v>
      </c>
      <c r="C234" s="7" t="s">
        <v>41</v>
      </c>
      <c r="D234" s="9">
        <v>352000.0</v>
      </c>
      <c r="E234" s="9">
        <v>305000.0</v>
      </c>
      <c r="F234" s="16">
        <f t="shared" si="12"/>
        <v>0.8664772727</v>
      </c>
      <c r="G234" s="7">
        <v>12.0</v>
      </c>
      <c r="H234" s="7" t="s">
        <v>16</v>
      </c>
      <c r="I234" s="121" t="s">
        <v>869</v>
      </c>
      <c r="J234" s="117"/>
    </row>
    <row r="235">
      <c r="B235" s="7" t="s">
        <v>20</v>
      </c>
      <c r="C235" s="7" t="s">
        <v>21</v>
      </c>
      <c r="D235" s="9">
        <v>345000.0</v>
      </c>
      <c r="E235" s="9">
        <v>203500.0</v>
      </c>
      <c r="F235" s="16">
        <f t="shared" si="12"/>
        <v>0.5898550725</v>
      </c>
      <c r="G235" s="7">
        <v>4.0</v>
      </c>
      <c r="H235" s="7" t="s">
        <v>16</v>
      </c>
      <c r="I235" s="121" t="s">
        <v>869</v>
      </c>
      <c r="J235" s="117"/>
    </row>
    <row r="236" ht="15.75" customHeight="1">
      <c r="B236" s="7" t="s">
        <v>20</v>
      </c>
      <c r="C236" s="7" t="s">
        <v>37</v>
      </c>
      <c r="D236" s="9">
        <v>611800.0</v>
      </c>
      <c r="E236" s="9">
        <v>287000.0</v>
      </c>
      <c r="F236" s="16">
        <f t="shared" si="12"/>
        <v>0.4691075515</v>
      </c>
      <c r="G236" s="7">
        <v>11.0</v>
      </c>
      <c r="H236" s="7" t="s">
        <v>16</v>
      </c>
      <c r="I236" s="121" t="s">
        <v>869</v>
      </c>
      <c r="J236" s="117"/>
    </row>
    <row r="237" ht="15.75" customHeight="1">
      <c r="B237" s="7" t="s">
        <v>20</v>
      </c>
      <c r="C237" s="7" t="s">
        <v>45</v>
      </c>
      <c r="D237" s="9">
        <v>442500.0</v>
      </c>
      <c r="E237" s="9">
        <v>307500.0</v>
      </c>
      <c r="F237" s="16">
        <f t="shared" si="12"/>
        <v>0.6949152542</v>
      </c>
      <c r="G237" s="7">
        <v>3.0</v>
      </c>
      <c r="H237" s="7" t="s">
        <v>16</v>
      </c>
      <c r="I237" s="121" t="s">
        <v>869</v>
      </c>
      <c r="J237" s="117"/>
    </row>
    <row r="238" ht="15.75" customHeight="1">
      <c r="B238" s="7" t="s">
        <v>20</v>
      </c>
      <c r="C238" s="7" t="s">
        <v>62</v>
      </c>
      <c r="D238" s="9">
        <v>699600.0</v>
      </c>
      <c r="E238" s="9">
        <v>413600.0</v>
      </c>
      <c r="F238" s="16">
        <f t="shared" si="12"/>
        <v>0.5911949686</v>
      </c>
      <c r="G238" s="7">
        <v>1.0</v>
      </c>
      <c r="H238" s="7" t="s">
        <v>16</v>
      </c>
      <c r="I238" s="121" t="s">
        <v>869</v>
      </c>
      <c r="J238" s="117"/>
    </row>
    <row r="239" ht="15.75" customHeight="1">
      <c r="B239" s="7" t="s">
        <v>20</v>
      </c>
      <c r="C239" s="7" t="s">
        <v>32</v>
      </c>
      <c r="D239" s="9">
        <v>402900.0</v>
      </c>
      <c r="E239" s="9">
        <v>275900.0</v>
      </c>
      <c r="F239" s="16">
        <f t="shared" si="12"/>
        <v>0.6847853065</v>
      </c>
      <c r="G239" s="7">
        <v>8.0</v>
      </c>
      <c r="H239" s="7" t="s">
        <v>16</v>
      </c>
      <c r="I239" s="121" t="s">
        <v>869</v>
      </c>
      <c r="J239" s="117"/>
    </row>
    <row r="240" ht="15.75" customHeight="1">
      <c r="B240" s="7" t="s">
        <v>20</v>
      </c>
      <c r="C240" s="7" t="s">
        <v>47</v>
      </c>
      <c r="D240" s="9">
        <v>340000.0</v>
      </c>
      <c r="E240" s="9">
        <v>313300.0</v>
      </c>
      <c r="F240" s="16">
        <f t="shared" si="12"/>
        <v>0.9214705882</v>
      </c>
      <c r="G240" s="7">
        <v>5.0</v>
      </c>
      <c r="H240" s="7" t="s">
        <v>16</v>
      </c>
      <c r="I240" s="121" t="s">
        <v>869</v>
      </c>
      <c r="J240" s="117"/>
    </row>
    <row r="241" ht="15.75" customHeight="1">
      <c r="B241" s="7" t="s">
        <v>83</v>
      </c>
      <c r="C241" s="7" t="s">
        <v>207</v>
      </c>
      <c r="D241" s="9">
        <v>2506275.68</v>
      </c>
      <c r="E241" s="11">
        <v>1600000.0</v>
      </c>
      <c r="F241" s="16">
        <f t="shared" si="12"/>
        <v>0.6383974488</v>
      </c>
      <c r="G241" s="7">
        <v>2.0</v>
      </c>
      <c r="H241" s="5" t="s">
        <v>208</v>
      </c>
      <c r="I241" s="42" t="s">
        <v>882</v>
      </c>
      <c r="J241" s="62"/>
    </row>
    <row r="242" ht="15.75" customHeight="1">
      <c r="B242" s="7" t="s">
        <v>83</v>
      </c>
      <c r="C242" s="7" t="s">
        <v>192</v>
      </c>
      <c r="D242" s="9">
        <v>2308343.72</v>
      </c>
      <c r="E242" s="11">
        <v>1500000.0</v>
      </c>
      <c r="F242" s="16">
        <f t="shared" si="12"/>
        <v>0.6498165706</v>
      </c>
      <c r="G242" s="7">
        <v>1.0</v>
      </c>
      <c r="H242" s="7" t="s">
        <v>36</v>
      </c>
      <c r="I242" s="62"/>
      <c r="J242" s="62"/>
    </row>
    <row r="243" ht="15.75" customHeight="1">
      <c r="B243" s="7" t="s">
        <v>83</v>
      </c>
      <c r="C243" s="7" t="s">
        <v>119</v>
      </c>
      <c r="D243" s="9">
        <v>1726451.0</v>
      </c>
      <c r="E243" s="11">
        <v>1100000.0</v>
      </c>
      <c r="F243" s="16">
        <f t="shared" si="12"/>
        <v>0.6371452187</v>
      </c>
      <c r="G243" s="7">
        <v>3.0</v>
      </c>
      <c r="H243" s="7" t="s">
        <v>16</v>
      </c>
      <c r="I243" s="62"/>
      <c r="J243" s="62"/>
    </row>
    <row r="244" ht="15.75" customHeight="1">
      <c r="B244" s="7" t="s">
        <v>83</v>
      </c>
      <c r="C244" s="7" t="s">
        <v>84</v>
      </c>
      <c r="D244" s="9">
        <v>930292.38</v>
      </c>
      <c r="E244" s="11">
        <v>650000.0</v>
      </c>
      <c r="F244" s="16">
        <f t="shared" si="12"/>
        <v>0.6987050673</v>
      </c>
      <c r="G244" s="7">
        <v>5.0</v>
      </c>
      <c r="H244" s="7" t="s">
        <v>16</v>
      </c>
      <c r="I244" s="121" t="s">
        <v>887</v>
      </c>
      <c r="J244" s="117"/>
    </row>
    <row r="245" ht="15.75" customHeight="1">
      <c r="B245" s="7" t="s">
        <v>83</v>
      </c>
      <c r="C245" s="7" t="s">
        <v>173</v>
      </c>
      <c r="D245" s="9">
        <v>2254593.0</v>
      </c>
      <c r="E245" s="11">
        <v>1450000.0</v>
      </c>
      <c r="F245" s="16">
        <f t="shared" si="12"/>
        <v>0.6431315985</v>
      </c>
      <c r="G245" s="7">
        <v>4.0</v>
      </c>
      <c r="H245" s="7" t="s">
        <v>16</v>
      </c>
      <c r="I245" s="121" t="s">
        <v>891</v>
      </c>
      <c r="J245" s="117"/>
    </row>
    <row r="246" ht="15.75" customHeight="1">
      <c r="B246" s="7" t="s">
        <v>9</v>
      </c>
      <c r="C246" s="7" t="s">
        <v>73</v>
      </c>
      <c r="D246" s="9">
        <v>950000.0</v>
      </c>
      <c r="E246" s="9">
        <v>560000.0</v>
      </c>
      <c r="F246" s="16">
        <f t="shared" si="12"/>
        <v>0.5894736842</v>
      </c>
      <c r="G246" s="7">
        <v>5.0</v>
      </c>
      <c r="H246" s="7" t="s">
        <v>74</v>
      </c>
      <c r="I246" s="121" t="s">
        <v>892</v>
      </c>
      <c r="J246" s="121" t="s">
        <v>893</v>
      </c>
    </row>
    <row r="247" ht="15.75" customHeight="1">
      <c r="B247" s="7" t="s">
        <v>9</v>
      </c>
      <c r="C247" s="7" t="s">
        <v>96</v>
      </c>
      <c r="D247" s="9">
        <v>1500000.0</v>
      </c>
      <c r="E247" s="9">
        <v>675000.0</v>
      </c>
      <c r="F247" s="16">
        <f t="shared" si="12"/>
        <v>0.45</v>
      </c>
      <c r="G247" s="7">
        <v>2.0</v>
      </c>
      <c r="H247" s="7" t="s">
        <v>98</v>
      </c>
      <c r="I247" s="42" t="s">
        <v>895</v>
      </c>
      <c r="J247" s="42" t="s">
        <v>897</v>
      </c>
      <c r="K247" s="101" t="s">
        <v>899</v>
      </c>
    </row>
    <row r="248" ht="16.5" customHeight="1">
      <c r="B248" s="7" t="s">
        <v>9</v>
      </c>
      <c r="C248" s="7" t="s">
        <v>75</v>
      </c>
      <c r="D248" s="9">
        <v>1100000.0</v>
      </c>
      <c r="E248" s="11">
        <v>600000.0</v>
      </c>
      <c r="F248" s="16">
        <f t="shared" si="12"/>
        <v>0.5454545455</v>
      </c>
      <c r="G248" s="7">
        <v>3.0</v>
      </c>
      <c r="H248" s="7" t="s">
        <v>76</v>
      </c>
      <c r="I248" s="121" t="s">
        <v>902</v>
      </c>
      <c r="J248" s="117"/>
    </row>
    <row r="249" ht="16.5" customHeight="1">
      <c r="B249" s="7" t="s">
        <v>9</v>
      </c>
      <c r="C249" s="7" t="s">
        <v>54</v>
      </c>
      <c r="D249" s="9">
        <v>650000.0</v>
      </c>
      <c r="E249" s="11">
        <v>400000.0</v>
      </c>
      <c r="F249" s="16">
        <f t="shared" si="12"/>
        <v>0.6153846154</v>
      </c>
      <c r="G249" s="7">
        <v>7.0</v>
      </c>
      <c r="H249" s="7" t="s">
        <v>16</v>
      </c>
      <c r="I249" s="121" t="s">
        <v>902</v>
      </c>
      <c r="J249" s="117"/>
    </row>
    <row r="250" ht="16.5" customHeight="1">
      <c r="B250" s="7" t="s">
        <v>9</v>
      </c>
      <c r="C250" s="7" t="s">
        <v>49</v>
      </c>
      <c r="D250" s="9">
        <v>550000.0</v>
      </c>
      <c r="E250" s="11">
        <v>350000.0</v>
      </c>
      <c r="F250" s="16">
        <f t="shared" si="12"/>
        <v>0.6363636364</v>
      </c>
      <c r="G250" s="7">
        <v>9.0</v>
      </c>
      <c r="H250" s="7" t="s">
        <v>16</v>
      </c>
      <c r="I250" s="121" t="s">
        <v>902</v>
      </c>
      <c r="J250" s="117"/>
    </row>
    <row r="251" ht="16.5" customHeight="1">
      <c r="B251" s="7" t="s">
        <v>9</v>
      </c>
      <c r="C251" s="7" t="s">
        <v>28</v>
      </c>
      <c r="D251" s="9">
        <v>400000.0</v>
      </c>
      <c r="E251" s="11">
        <v>250000.0</v>
      </c>
      <c r="F251" s="16">
        <f t="shared" si="12"/>
        <v>0.625</v>
      </c>
      <c r="G251" s="7">
        <v>11.0</v>
      </c>
      <c r="H251" s="7" t="s">
        <v>16</v>
      </c>
      <c r="I251" s="121" t="s">
        <v>902</v>
      </c>
      <c r="J251" s="117"/>
    </row>
    <row r="252" ht="16.5" customHeight="1">
      <c r="B252" s="7" t="s">
        <v>9</v>
      </c>
      <c r="C252" s="7" t="s">
        <v>10</v>
      </c>
      <c r="D252" s="9">
        <v>100000.0</v>
      </c>
      <c r="E252" s="11">
        <v>70000.0</v>
      </c>
      <c r="F252" s="16">
        <f t="shared" si="12"/>
        <v>0.7</v>
      </c>
      <c r="G252" s="7">
        <v>13.0</v>
      </c>
      <c r="H252" s="7" t="s">
        <v>16</v>
      </c>
      <c r="I252" s="121" t="s">
        <v>902</v>
      </c>
      <c r="J252" s="117"/>
    </row>
    <row r="253" ht="16.5" customHeight="1">
      <c r="B253" s="7" t="s">
        <v>56</v>
      </c>
      <c r="C253" s="7" t="s">
        <v>57</v>
      </c>
      <c r="D253" s="9">
        <v>591904.35</v>
      </c>
      <c r="E253" s="11">
        <v>400000.0</v>
      </c>
      <c r="F253" s="16">
        <f t="shared" si="12"/>
        <v>0.6757848629</v>
      </c>
      <c r="G253" s="7">
        <v>3.0</v>
      </c>
      <c r="H253" s="7" t="s">
        <v>51</v>
      </c>
      <c r="I253" s="121" t="s">
        <v>908</v>
      </c>
      <c r="J253" s="117"/>
    </row>
    <row r="254" ht="16.5" customHeight="1">
      <c r="B254" s="7" t="s">
        <v>77</v>
      </c>
      <c r="C254" s="7" t="s">
        <v>444</v>
      </c>
      <c r="D254" s="9">
        <v>880000.0</v>
      </c>
      <c r="E254" s="9">
        <v>550000.0</v>
      </c>
      <c r="F254" s="16">
        <f t="shared" si="12"/>
        <v>0.625</v>
      </c>
      <c r="G254" s="7" t="s">
        <v>16</v>
      </c>
      <c r="H254" s="5" t="s">
        <v>16</v>
      </c>
      <c r="I254" s="122" t="s">
        <v>715</v>
      </c>
      <c r="J254" s="122"/>
    </row>
    <row r="255" ht="16.5" customHeight="1">
      <c r="B255" s="7" t="s">
        <v>77</v>
      </c>
      <c r="C255" s="7" t="s">
        <v>239</v>
      </c>
      <c r="D255" s="9">
        <v>3300000.0</v>
      </c>
      <c r="E255" s="9">
        <v>1800000.0</v>
      </c>
      <c r="F255" s="16">
        <f t="shared" si="12"/>
        <v>0.5454545455</v>
      </c>
      <c r="G255" s="7">
        <v>7.0</v>
      </c>
      <c r="H255" s="5" t="s">
        <v>51</v>
      </c>
      <c r="I255" s="122" t="s">
        <v>912</v>
      </c>
      <c r="J255" s="122"/>
    </row>
    <row r="256" ht="16.5" customHeight="1">
      <c r="B256" s="7" t="s">
        <v>77</v>
      </c>
      <c r="C256" s="7" t="s">
        <v>242</v>
      </c>
      <c r="D256" s="9">
        <v>3300000.0</v>
      </c>
      <c r="E256" s="11">
        <v>1800000.0</v>
      </c>
      <c r="F256" s="16">
        <f t="shared" si="12"/>
        <v>0.5454545455</v>
      </c>
      <c r="G256" s="7">
        <v>1.0</v>
      </c>
      <c r="H256" s="7" t="s">
        <v>98</v>
      </c>
      <c r="I256" s="42" t="s">
        <v>916</v>
      </c>
      <c r="J256" s="62"/>
    </row>
    <row r="257" ht="16.5" customHeight="1">
      <c r="B257" s="7" t="s">
        <v>77</v>
      </c>
      <c r="C257" s="7" t="s">
        <v>147</v>
      </c>
      <c r="D257" s="9">
        <v>2000944.2</v>
      </c>
      <c r="E257" s="20">
        <v>1200000.0</v>
      </c>
      <c r="F257" s="16">
        <f t="shared" si="12"/>
        <v>0.5997168737</v>
      </c>
      <c r="G257" s="7">
        <v>5.0</v>
      </c>
      <c r="H257" s="5" t="s">
        <v>148</v>
      </c>
      <c r="I257" s="121" t="s">
        <v>918</v>
      </c>
      <c r="J257" s="121" t="s">
        <v>670</v>
      </c>
    </row>
    <row r="258" ht="16.5" customHeight="1">
      <c r="B258" s="7" t="s">
        <v>77</v>
      </c>
      <c r="C258" s="7" t="s">
        <v>674</v>
      </c>
      <c r="D258" s="9">
        <v>941620.8</v>
      </c>
      <c r="E258" s="11">
        <v>600000.0</v>
      </c>
      <c r="F258" s="16">
        <f>+E258/$D$258</f>
        <v>0.6371991783</v>
      </c>
      <c r="G258" s="7">
        <v>16.0</v>
      </c>
      <c r="H258" s="7" t="s">
        <v>16</v>
      </c>
      <c r="I258" s="42" t="s">
        <v>924</v>
      </c>
      <c r="J258" s="62"/>
    </row>
    <row r="259" ht="16.5" customHeight="1">
      <c r="B259" s="7" t="s">
        <v>77</v>
      </c>
      <c r="C259" s="7" t="s">
        <v>442</v>
      </c>
      <c r="D259" s="11">
        <v>1100000.0</v>
      </c>
      <c r="E259" s="20">
        <v>700000.0</v>
      </c>
      <c r="F259" s="16">
        <f>++E259/D259</f>
        <v>0.6363636364</v>
      </c>
      <c r="G259" s="7">
        <v>9.0</v>
      </c>
      <c r="H259" s="7" t="s">
        <v>16</v>
      </c>
      <c r="I259" s="121" t="s">
        <v>928</v>
      </c>
      <c r="J259" s="117"/>
    </row>
    <row r="260" ht="16.5" customHeight="1">
      <c r="B260" s="7" t="s">
        <v>77</v>
      </c>
      <c r="C260" s="7" t="s">
        <v>126</v>
      </c>
      <c r="D260" s="9">
        <v>1765539.0</v>
      </c>
      <c r="E260" s="11">
        <v>1100000.0</v>
      </c>
      <c r="F260" s="16">
        <f t="shared" ref="F260:F271" si="13">+E260/D260</f>
        <v>0.6230391965</v>
      </c>
      <c r="G260" s="7">
        <v>2.0</v>
      </c>
      <c r="H260" s="7" t="s">
        <v>16</v>
      </c>
      <c r="I260" s="121" t="s">
        <v>933</v>
      </c>
      <c r="J260" s="117"/>
    </row>
    <row r="261" ht="16.5" customHeight="1">
      <c r="B261" s="7" t="s">
        <v>77</v>
      </c>
      <c r="C261" s="7" t="s">
        <v>181</v>
      </c>
      <c r="D261" s="9">
        <v>2354052.0</v>
      </c>
      <c r="E261" s="20">
        <v>1300000.0</v>
      </c>
      <c r="F261" s="16">
        <f t="shared" si="13"/>
        <v>0.5522392878</v>
      </c>
      <c r="G261" s="7">
        <v>6.0</v>
      </c>
      <c r="H261" s="7" t="s">
        <v>16</v>
      </c>
      <c r="I261" s="121" t="s">
        <v>935</v>
      </c>
      <c r="J261" s="121" t="s">
        <v>725</v>
      </c>
    </row>
    <row r="262" ht="16.5" customHeight="1">
      <c r="B262" s="7" t="s">
        <v>77</v>
      </c>
      <c r="C262" s="7" t="s">
        <v>163</v>
      </c>
      <c r="D262" s="11">
        <v>2500000.0</v>
      </c>
      <c r="E262" s="11">
        <v>1400000.0</v>
      </c>
      <c r="F262" s="16">
        <f t="shared" si="13"/>
        <v>0.56</v>
      </c>
      <c r="G262" s="7">
        <v>3.0</v>
      </c>
      <c r="H262" s="7" t="s">
        <v>166</v>
      </c>
      <c r="I262" s="117"/>
      <c r="J262" s="117"/>
    </row>
    <row r="263" ht="16.5" customHeight="1">
      <c r="B263" s="7" t="s">
        <v>77</v>
      </c>
      <c r="C263" s="7" t="s">
        <v>134</v>
      </c>
      <c r="D263" s="11">
        <v>1900000.0</v>
      </c>
      <c r="E263" s="11">
        <v>1200000.0</v>
      </c>
      <c r="F263" s="16">
        <f t="shared" si="13"/>
        <v>0.6315789474</v>
      </c>
      <c r="G263" s="7">
        <v>4.0</v>
      </c>
      <c r="H263" s="12" t="s">
        <v>113</v>
      </c>
      <c r="I263" s="117"/>
      <c r="J263" s="117"/>
    </row>
    <row r="264" ht="16.5" customHeight="1">
      <c r="B264" s="7" t="s">
        <v>212</v>
      </c>
      <c r="C264" s="7" t="s">
        <v>244</v>
      </c>
      <c r="D264" s="9">
        <v>3600000.0</v>
      </c>
      <c r="E264" s="11">
        <v>1800000.0</v>
      </c>
      <c r="F264" s="16">
        <f t="shared" si="13"/>
        <v>0.5</v>
      </c>
      <c r="G264" s="7">
        <v>1.0</v>
      </c>
      <c r="H264" s="7" t="s">
        <v>98</v>
      </c>
      <c r="I264" s="121" t="s">
        <v>942</v>
      </c>
      <c r="J264" s="117"/>
    </row>
    <row r="265" ht="16.5" customHeight="1">
      <c r="B265" s="7" t="s">
        <v>212</v>
      </c>
      <c r="C265" s="7" t="s">
        <v>213</v>
      </c>
      <c r="D265" s="9">
        <v>3100000.0</v>
      </c>
      <c r="E265" s="11">
        <v>1600000.0</v>
      </c>
      <c r="F265" s="16">
        <f t="shared" si="13"/>
        <v>0.5161290323</v>
      </c>
      <c r="G265" s="7">
        <v>3.0</v>
      </c>
      <c r="H265" s="7" t="s">
        <v>51</v>
      </c>
      <c r="I265" s="121" t="s">
        <v>945</v>
      </c>
      <c r="J265" s="117"/>
    </row>
    <row r="266" ht="16.5" customHeight="1">
      <c r="B266" s="7" t="s">
        <v>59</v>
      </c>
      <c r="C266" s="7" t="s">
        <v>110</v>
      </c>
      <c r="D266" s="9">
        <v>1650000.0</v>
      </c>
      <c r="E266" s="9">
        <v>1000000.0</v>
      </c>
      <c r="F266" s="16">
        <f t="shared" si="13"/>
        <v>0.6060606061</v>
      </c>
      <c r="G266" s="7">
        <v>9.0</v>
      </c>
      <c r="H266" s="7" t="s">
        <v>51</v>
      </c>
      <c r="I266" s="121" t="s">
        <v>681</v>
      </c>
      <c r="J266" s="121" t="s">
        <v>949</v>
      </c>
      <c r="K266" s="101" t="s">
        <v>951</v>
      </c>
    </row>
    <row r="267" ht="16.5" customHeight="1">
      <c r="B267" s="7" t="s">
        <v>59</v>
      </c>
      <c r="C267" s="7" t="s">
        <v>266</v>
      </c>
      <c r="D267" s="11">
        <v>3500000.0</v>
      </c>
      <c r="E267" s="11">
        <v>2200000.0</v>
      </c>
      <c r="F267" s="16">
        <f t="shared" si="13"/>
        <v>0.6285714286</v>
      </c>
      <c r="G267" s="7">
        <v>1.0</v>
      </c>
      <c r="H267" s="12" t="s">
        <v>113</v>
      </c>
      <c r="I267" s="62"/>
      <c r="J267" s="62"/>
    </row>
    <row r="268" ht="16.5" customHeight="1">
      <c r="B268" s="7" t="s">
        <v>59</v>
      </c>
      <c r="C268" s="7" t="s">
        <v>60</v>
      </c>
      <c r="D268" s="20">
        <v>600000.0</v>
      </c>
      <c r="E268" s="11">
        <v>400000.0</v>
      </c>
      <c r="F268" s="16">
        <f t="shared" si="13"/>
        <v>0.6666666667</v>
      </c>
      <c r="G268" s="7">
        <v>7.0</v>
      </c>
      <c r="H268" s="7" t="s">
        <v>16</v>
      </c>
      <c r="I268" s="121" t="s">
        <v>956</v>
      </c>
      <c r="J268" s="117"/>
    </row>
    <row r="269" ht="16.5" customHeight="1">
      <c r="B269" s="7" t="s">
        <v>59</v>
      </c>
      <c r="C269" s="7" t="s">
        <v>128</v>
      </c>
      <c r="D269" s="20">
        <v>1800000.0</v>
      </c>
      <c r="E269" s="11">
        <v>1100000.0</v>
      </c>
      <c r="F269" s="16">
        <f t="shared" si="13"/>
        <v>0.6111111111</v>
      </c>
      <c r="G269" s="7">
        <v>2.0</v>
      </c>
      <c r="H269" s="7" t="s">
        <v>16</v>
      </c>
      <c r="I269" s="42" t="s">
        <v>960</v>
      </c>
      <c r="J269" s="62"/>
    </row>
    <row r="270" ht="16.5" customHeight="1">
      <c r="B270" s="7" t="s">
        <v>64</v>
      </c>
      <c r="C270" s="7" t="s">
        <v>65</v>
      </c>
      <c r="D270" s="9">
        <v>800000.0</v>
      </c>
      <c r="E270" s="11">
        <v>500000.0</v>
      </c>
      <c r="F270" s="16">
        <f t="shared" si="13"/>
        <v>0.625</v>
      </c>
      <c r="G270" s="7">
        <v>1.0</v>
      </c>
      <c r="H270" s="7" t="s">
        <v>36</v>
      </c>
      <c r="I270" s="42" t="s">
        <v>964</v>
      </c>
      <c r="J270" s="42" t="s">
        <v>967</v>
      </c>
    </row>
    <row r="271" ht="16.5" customHeight="1">
      <c r="B271" s="7" t="s">
        <v>343</v>
      </c>
      <c r="C271" s="7" t="s">
        <v>344</v>
      </c>
      <c r="D271" s="9">
        <v>8000000.0</v>
      </c>
      <c r="E271" s="11">
        <v>3000000.0</v>
      </c>
      <c r="F271" s="16">
        <f t="shared" si="13"/>
        <v>0.375</v>
      </c>
      <c r="G271" s="7">
        <v>1.0</v>
      </c>
      <c r="H271" s="7" t="s">
        <v>345</v>
      </c>
      <c r="I271" s="121" t="s">
        <v>970</v>
      </c>
      <c r="J271" s="117"/>
    </row>
    <row r="272" ht="16.5" customHeight="1">
      <c r="I272" s="3"/>
    </row>
    <row r="273" ht="15.75" customHeight="1">
      <c r="B273" s="113"/>
      <c r="C273" s="61" t="s">
        <v>685</v>
      </c>
      <c r="D273" s="2"/>
      <c r="E273" s="2"/>
      <c r="F273" s="2"/>
      <c r="G273" s="2"/>
      <c r="H273" s="4"/>
      <c r="I273" s="3"/>
    </row>
    <row r="274" ht="15.75" customHeight="1">
      <c r="B274" s="125"/>
      <c r="C274" s="12" t="s">
        <v>18</v>
      </c>
      <c r="D274" s="12" t="s">
        <v>688</v>
      </c>
      <c r="E274" s="12" t="s">
        <v>689</v>
      </c>
      <c r="F274" s="12" t="s">
        <v>690</v>
      </c>
      <c r="G274" s="126" t="s">
        <v>25</v>
      </c>
      <c r="H274" s="126" t="s">
        <v>692</v>
      </c>
      <c r="I274" s="29" t="s">
        <v>135</v>
      </c>
      <c r="J274" s="115" t="s">
        <v>136</v>
      </c>
    </row>
    <row r="275" ht="15.75" customHeight="1">
      <c r="B275" s="127"/>
      <c r="C275" s="7" t="s">
        <v>979</v>
      </c>
      <c r="D275" s="9">
        <v>3308000.0</v>
      </c>
      <c r="E275" s="11">
        <v>1500000.0</v>
      </c>
      <c r="F275" s="16">
        <f t="shared" ref="F275:F288" si="14">+E275/D275</f>
        <v>0.4534461911</v>
      </c>
      <c r="G275" s="7"/>
      <c r="H275" s="7" t="s">
        <v>16</v>
      </c>
      <c r="I275" s="42" t="s">
        <v>981</v>
      </c>
      <c r="J275" s="62"/>
    </row>
    <row r="276" ht="15.75" customHeight="1">
      <c r="B276" s="127"/>
      <c r="C276" s="7" t="s">
        <v>694</v>
      </c>
      <c r="D276" s="9">
        <v>1.0E7</v>
      </c>
      <c r="E276" s="9">
        <v>6000000.0</v>
      </c>
      <c r="F276" s="16">
        <f t="shared" si="14"/>
        <v>0.6</v>
      </c>
      <c r="G276" s="7"/>
      <c r="H276" s="7" t="s">
        <v>16</v>
      </c>
      <c r="I276" s="42" t="s">
        <v>697</v>
      </c>
      <c r="J276" s="62"/>
    </row>
    <row r="277" ht="15.75" customHeight="1">
      <c r="B277" s="127"/>
      <c r="C277" s="7" t="s">
        <v>702</v>
      </c>
      <c r="D277" s="11">
        <v>1.6E7</v>
      </c>
      <c r="E277" s="9">
        <v>1.0E7</v>
      </c>
      <c r="F277" s="16">
        <f t="shared" si="14"/>
        <v>0.625</v>
      </c>
      <c r="G277" s="7"/>
      <c r="H277" s="7" t="s">
        <v>16</v>
      </c>
      <c r="I277" s="42" t="s">
        <v>703</v>
      </c>
      <c r="J277" s="62"/>
    </row>
    <row r="278" ht="15.75" customHeight="1">
      <c r="B278" s="127"/>
      <c r="C278" s="7" t="s">
        <v>707</v>
      </c>
      <c r="D278" s="11">
        <v>1.8E7</v>
      </c>
      <c r="E278" s="9">
        <v>1.2E7</v>
      </c>
      <c r="F278" s="16">
        <f t="shared" si="14"/>
        <v>0.6666666667</v>
      </c>
      <c r="G278" s="7"/>
      <c r="H278" s="7" t="s">
        <v>16</v>
      </c>
      <c r="I278" s="42" t="s">
        <v>709</v>
      </c>
      <c r="J278" s="62"/>
    </row>
    <row r="279" ht="15.75" customHeight="1">
      <c r="B279" s="127"/>
      <c r="C279" s="7" t="s">
        <v>989</v>
      </c>
      <c r="D279" s="9" t="s">
        <v>990</v>
      </c>
      <c r="E279" s="9"/>
      <c r="F279" s="16" t="str">
        <f t="shared" si="14"/>
        <v>#VALUE!</v>
      </c>
      <c r="G279" s="7"/>
      <c r="H279" s="7" t="s">
        <v>16</v>
      </c>
      <c r="I279" s="42" t="s">
        <v>991</v>
      </c>
      <c r="J279" s="62"/>
    </row>
    <row r="280" ht="15.75" customHeight="1">
      <c r="B280" s="127"/>
      <c r="C280" s="7" t="s">
        <v>713</v>
      </c>
      <c r="D280" s="11">
        <v>1350000.0</v>
      </c>
      <c r="E280" s="9">
        <v>880000.0</v>
      </c>
      <c r="F280" s="16">
        <f t="shared" si="14"/>
        <v>0.6518518519</v>
      </c>
      <c r="G280" s="7" t="s">
        <v>16</v>
      </c>
      <c r="H280" s="5" t="s">
        <v>16</v>
      </c>
      <c r="I280" s="122" t="s">
        <v>715</v>
      </c>
      <c r="J280" s="122"/>
    </row>
    <row r="281" ht="15.75" customHeight="1">
      <c r="B281" s="127"/>
      <c r="C281" s="7" t="s">
        <v>994</v>
      </c>
      <c r="D281" s="9">
        <v>2500000.0</v>
      </c>
      <c r="E281" s="9"/>
      <c r="F281" s="16">
        <f t="shared" si="14"/>
        <v>0</v>
      </c>
      <c r="G281" s="7"/>
      <c r="H281" s="7" t="s">
        <v>16</v>
      </c>
      <c r="I281" s="42" t="s">
        <v>892</v>
      </c>
      <c r="J281" s="62"/>
    </row>
    <row r="282" ht="15.75" customHeight="1">
      <c r="C282" s="7" t="s">
        <v>996</v>
      </c>
      <c r="D282" s="9">
        <v>2.5E7</v>
      </c>
      <c r="E282" s="9">
        <v>1.2E7</v>
      </c>
      <c r="F282" s="16">
        <f t="shared" si="14"/>
        <v>0.48</v>
      </c>
      <c r="G282" s="7"/>
      <c r="H282" s="7" t="s">
        <v>16</v>
      </c>
      <c r="I282" s="42" t="s">
        <v>452</v>
      </c>
      <c r="J282" s="42" t="s">
        <v>454</v>
      </c>
    </row>
    <row r="283" ht="15.75" customHeight="1">
      <c r="C283" s="7" t="s">
        <v>1000</v>
      </c>
      <c r="D283" s="9">
        <v>5.8E7</v>
      </c>
      <c r="E283" s="11">
        <v>2.0E7</v>
      </c>
      <c r="F283" s="16">
        <f t="shared" si="14"/>
        <v>0.3448275862</v>
      </c>
      <c r="G283" s="7"/>
      <c r="H283" s="7" t="s">
        <v>16</v>
      </c>
      <c r="I283" s="42" t="s">
        <v>1001</v>
      </c>
      <c r="J283" s="62"/>
    </row>
    <row r="284" ht="15.75" customHeight="1">
      <c r="C284" s="7" t="s">
        <v>1002</v>
      </c>
      <c r="D284" s="11">
        <v>2350000.0</v>
      </c>
      <c r="E284" s="20">
        <v>1400000.0</v>
      </c>
      <c r="F284" s="16">
        <f t="shared" si="14"/>
        <v>0.5957446809</v>
      </c>
      <c r="G284" s="7"/>
      <c r="H284" s="5" t="s">
        <v>16</v>
      </c>
      <c r="I284" s="121" t="s">
        <v>670</v>
      </c>
      <c r="J284" s="117"/>
    </row>
    <row r="285" ht="15.75" customHeight="1">
      <c r="C285" s="7" t="s">
        <v>1004</v>
      </c>
      <c r="D285" s="9">
        <v>2.5E7</v>
      </c>
      <c r="E285" s="11">
        <v>1.5E7</v>
      </c>
      <c r="F285" s="16">
        <f t="shared" si="14"/>
        <v>0.6</v>
      </c>
      <c r="G285" s="16"/>
      <c r="H285" s="7" t="s">
        <v>16</v>
      </c>
      <c r="I285" s="42" t="s">
        <v>294</v>
      </c>
      <c r="J285" s="62"/>
    </row>
    <row r="286" ht="15.75" customHeight="1">
      <c r="C286" s="5" t="s">
        <v>1008</v>
      </c>
      <c r="D286" s="9">
        <v>3.8E7</v>
      </c>
      <c r="E286" s="11">
        <v>2.0E7</v>
      </c>
      <c r="F286" s="16">
        <f t="shared" si="14"/>
        <v>0.5263157895</v>
      </c>
      <c r="G286" s="5"/>
      <c r="H286" s="7" t="s">
        <v>16</v>
      </c>
      <c r="I286" s="42" t="s">
        <v>169</v>
      </c>
      <c r="J286" s="62"/>
    </row>
    <row r="287" ht="15.75" customHeight="1">
      <c r="C287" s="5" t="s">
        <v>1009</v>
      </c>
      <c r="D287" s="9">
        <v>4.2E7</v>
      </c>
      <c r="E287" s="9">
        <v>3.6E7</v>
      </c>
      <c r="F287" s="16">
        <f t="shared" si="14"/>
        <v>0.8571428571</v>
      </c>
      <c r="G287" s="5"/>
      <c r="H287" s="5" t="s">
        <v>16</v>
      </c>
      <c r="I287" s="129" t="s">
        <v>729</v>
      </c>
      <c r="J287" s="42" t="s">
        <v>201</v>
      </c>
    </row>
    <row r="288" ht="15.75" customHeight="1">
      <c r="C288" s="5" t="s">
        <v>1014</v>
      </c>
      <c r="D288" s="9">
        <v>2.25E7</v>
      </c>
      <c r="E288" s="11">
        <v>1.6E7</v>
      </c>
      <c r="F288" s="16">
        <f t="shared" si="14"/>
        <v>0.7111111111</v>
      </c>
      <c r="G288" s="5"/>
      <c r="H288" s="7"/>
      <c r="I288" s="129" t="s">
        <v>1015</v>
      </c>
      <c r="J288" s="62"/>
    </row>
    <row r="289" ht="15.75" customHeight="1">
      <c r="I289" s="129" t="s">
        <v>721</v>
      </c>
    </row>
    <row r="290" ht="15.75" customHeight="1">
      <c r="I290" s="129" t="s">
        <v>294</v>
      </c>
    </row>
    <row r="291" ht="15.75" customHeight="1">
      <c r="I291" s="129" t="s">
        <v>723</v>
      </c>
    </row>
    <row r="292" ht="15.75" customHeight="1">
      <c r="I292" s="129" t="s">
        <v>725</v>
      </c>
    </row>
    <row r="293" ht="15.75" customHeight="1">
      <c r="I293" s="128" t="s">
        <v>729</v>
      </c>
    </row>
    <row r="294" ht="15.75" customHeight="1">
      <c r="I294" s="129" t="s">
        <v>730</v>
      </c>
    </row>
    <row r="295" ht="15.75" customHeight="1">
      <c r="I295" s="129" t="s">
        <v>731</v>
      </c>
      <c r="J295" s="110" t="s">
        <v>601</v>
      </c>
    </row>
    <row r="296" ht="15.75" customHeight="1">
      <c r="I296" s="129" t="s">
        <v>733</v>
      </c>
    </row>
    <row r="297" ht="15.75" customHeight="1">
      <c r="I297" s="129" t="s">
        <v>736</v>
      </c>
    </row>
    <row r="298" ht="15.75" customHeight="1">
      <c r="I298" s="129" t="s">
        <v>737</v>
      </c>
    </row>
    <row r="299" ht="15.75" customHeight="1">
      <c r="I299" s="110" t="s">
        <v>743</v>
      </c>
    </row>
    <row r="300" ht="15.75" customHeight="1">
      <c r="I300" s="129" t="s">
        <v>746</v>
      </c>
    </row>
    <row r="301" ht="15.75" customHeight="1">
      <c r="I301" s="129" t="s">
        <v>749</v>
      </c>
    </row>
    <row r="302" ht="15.75" customHeight="1">
      <c r="I302" s="3"/>
    </row>
    <row r="303" ht="15.75" customHeight="1">
      <c r="I303" s="3"/>
    </row>
    <row r="304" ht="15.75" customHeight="1">
      <c r="I304" s="3"/>
    </row>
    <row r="305" ht="15.75" customHeight="1">
      <c r="I305" s="3"/>
    </row>
    <row r="306" ht="15.75" customHeight="1">
      <c r="I306" s="3"/>
    </row>
    <row r="307" ht="15.75" customHeight="1">
      <c r="I307" s="3"/>
    </row>
    <row r="308" ht="15.75" customHeight="1">
      <c r="I308" s="3"/>
    </row>
    <row r="309" ht="15.75" customHeight="1">
      <c r="I309" s="3"/>
    </row>
    <row r="310" ht="15.75" customHeight="1">
      <c r="I310" s="3"/>
    </row>
    <row r="311" ht="15.75" customHeight="1">
      <c r="I311" s="3"/>
    </row>
    <row r="312" ht="15.75" customHeight="1">
      <c r="I312" s="3"/>
    </row>
    <row r="313" ht="15.75" customHeight="1">
      <c r="I313" s="3"/>
    </row>
    <row r="314" ht="15.75" customHeight="1">
      <c r="I314" s="3"/>
    </row>
    <row r="315" ht="15.75" customHeight="1">
      <c r="I315" s="3"/>
    </row>
    <row r="316" ht="15.75" customHeight="1">
      <c r="I316" s="3"/>
    </row>
    <row r="317" ht="15.75" customHeight="1">
      <c r="I317" s="3"/>
    </row>
    <row r="318" ht="15.75" customHeight="1">
      <c r="I318" s="3"/>
    </row>
    <row r="319" ht="15.75" customHeight="1">
      <c r="I319" s="3"/>
    </row>
    <row r="320" ht="15.75" customHeight="1">
      <c r="I320" s="3"/>
    </row>
    <row r="321" ht="15.75" customHeight="1">
      <c r="I321" s="3"/>
    </row>
    <row r="322" ht="15.75" customHeight="1">
      <c r="I322" s="3"/>
    </row>
    <row r="323" ht="15.75" customHeight="1">
      <c r="I323" s="3"/>
    </row>
    <row r="324" ht="15.75" customHeight="1">
      <c r="I324" s="3"/>
    </row>
    <row r="325" ht="15.75" customHeight="1">
      <c r="I325" s="3"/>
    </row>
    <row r="326" ht="15.75" customHeight="1">
      <c r="I326" s="3"/>
    </row>
    <row r="327" ht="15.75" customHeight="1">
      <c r="I327" s="3"/>
    </row>
    <row r="328" ht="15.75" customHeight="1">
      <c r="I328" s="3"/>
    </row>
    <row r="329" ht="15.75" customHeight="1">
      <c r="I329" s="3"/>
    </row>
    <row r="330" ht="15.75" customHeight="1">
      <c r="I330" s="3"/>
    </row>
    <row r="331" ht="15.75" customHeight="1">
      <c r="I331" s="3"/>
    </row>
    <row r="332" ht="15.75" customHeight="1">
      <c r="I332" s="3"/>
    </row>
    <row r="333" ht="15.75" customHeight="1">
      <c r="I333" s="3"/>
    </row>
    <row r="334" ht="15.75" customHeight="1">
      <c r="I334" s="3"/>
    </row>
    <row r="335" ht="15.75" customHeight="1">
      <c r="I335" s="3"/>
    </row>
    <row r="336" ht="15.75" customHeight="1">
      <c r="I336" s="3"/>
    </row>
    <row r="337" ht="15.75" customHeight="1">
      <c r="I337" s="3"/>
    </row>
    <row r="338" ht="15.75" customHeight="1">
      <c r="I338" s="3"/>
    </row>
    <row r="339" ht="15.75" customHeight="1">
      <c r="I339" s="3"/>
    </row>
    <row r="340" ht="15.75" customHeight="1">
      <c r="I340" s="3"/>
    </row>
    <row r="341" ht="15.75" customHeight="1">
      <c r="I341" s="3"/>
    </row>
    <row r="342" ht="15.75" customHeight="1">
      <c r="I342" s="3"/>
    </row>
    <row r="343" ht="15.75" customHeight="1">
      <c r="I343" s="3"/>
    </row>
    <row r="344" ht="15.75" customHeight="1">
      <c r="I344" s="3"/>
    </row>
    <row r="345" ht="15.75" customHeight="1">
      <c r="I345" s="3"/>
    </row>
    <row r="346" ht="15.75" customHeight="1">
      <c r="I346" s="3"/>
    </row>
    <row r="347" ht="15.75" customHeight="1">
      <c r="I347" s="3"/>
    </row>
    <row r="348" ht="15.75" customHeight="1">
      <c r="I348" s="3"/>
    </row>
    <row r="349" ht="15.75" customHeight="1">
      <c r="I349" s="3"/>
    </row>
    <row r="350" ht="15.75" customHeight="1">
      <c r="I350" s="3"/>
    </row>
    <row r="351" ht="15.75" customHeight="1">
      <c r="I351" s="3"/>
    </row>
    <row r="352" ht="15.75" customHeight="1">
      <c r="I352" s="3"/>
    </row>
    <row r="353" ht="15.75" customHeight="1">
      <c r="I353" s="3"/>
    </row>
    <row r="354" ht="15.75" customHeight="1">
      <c r="I354" s="3"/>
    </row>
    <row r="355" ht="15.75" customHeight="1">
      <c r="I355" s="3"/>
    </row>
    <row r="356" ht="15.75" customHeight="1">
      <c r="I356" s="3"/>
    </row>
    <row r="357" ht="15.75" customHeight="1">
      <c r="I357" s="3"/>
    </row>
    <row r="358" ht="15.75" customHeight="1">
      <c r="I358" s="3"/>
    </row>
    <row r="359" ht="15.75" customHeight="1">
      <c r="I359" s="3"/>
    </row>
    <row r="360" ht="15.75" customHeight="1">
      <c r="I360" s="3"/>
    </row>
    <row r="361" ht="15.75" customHeight="1">
      <c r="I361" s="3"/>
    </row>
    <row r="362" ht="15.75" customHeight="1">
      <c r="I362" s="3"/>
    </row>
    <row r="363" ht="15.75" customHeight="1">
      <c r="I363" s="3"/>
    </row>
    <row r="364" ht="15.75" customHeight="1">
      <c r="I364" s="3"/>
    </row>
    <row r="365" ht="15.75" customHeight="1">
      <c r="I365" s="3"/>
    </row>
    <row r="366" ht="15.75" customHeight="1">
      <c r="I366" s="3"/>
    </row>
    <row r="367" ht="15.75" customHeight="1">
      <c r="I367" s="3"/>
    </row>
    <row r="368" ht="15.75" customHeight="1">
      <c r="I368" s="3"/>
    </row>
    <row r="369" ht="15.75" customHeight="1">
      <c r="I369" s="3"/>
    </row>
    <row r="370" ht="15.75" customHeight="1">
      <c r="I370" s="3"/>
    </row>
    <row r="371" ht="15.75" customHeight="1">
      <c r="I371" s="3"/>
    </row>
    <row r="372" ht="15.75" customHeight="1">
      <c r="I372" s="3"/>
    </row>
    <row r="373" ht="15.75" customHeight="1">
      <c r="I373" s="3"/>
    </row>
    <row r="374" ht="15.75" customHeight="1">
      <c r="I374" s="3"/>
    </row>
    <row r="375" ht="15.75" customHeight="1">
      <c r="I375" s="3"/>
    </row>
    <row r="376" ht="15.75" customHeight="1">
      <c r="I376" s="3"/>
    </row>
    <row r="377" ht="15.75" customHeight="1">
      <c r="I377" s="3"/>
    </row>
    <row r="378" ht="15.75" customHeight="1">
      <c r="I378" s="3"/>
    </row>
    <row r="379" ht="15.75" customHeight="1">
      <c r="I379" s="3"/>
    </row>
    <row r="380" ht="15.75" customHeight="1">
      <c r="I380" s="3"/>
    </row>
    <row r="381" ht="15.75" customHeight="1">
      <c r="I381" s="3"/>
    </row>
    <row r="382" ht="15.75" customHeight="1">
      <c r="I382" s="3"/>
    </row>
    <row r="383" ht="15.75" customHeight="1">
      <c r="I383" s="3"/>
    </row>
    <row r="384" ht="15.75" customHeight="1">
      <c r="I384" s="3"/>
    </row>
    <row r="385" ht="15.75" customHeight="1">
      <c r="I385" s="3"/>
    </row>
    <row r="386" ht="15.75" customHeight="1">
      <c r="I386" s="3"/>
    </row>
    <row r="387" ht="15.75" customHeight="1">
      <c r="I387" s="3"/>
    </row>
    <row r="388" ht="15.75" customHeight="1">
      <c r="I388" s="3"/>
    </row>
    <row r="389" ht="15.75" customHeight="1">
      <c r="I389" s="3"/>
    </row>
    <row r="390" ht="15.75" customHeight="1">
      <c r="I390" s="3"/>
    </row>
    <row r="391" ht="15.75" customHeight="1">
      <c r="I391" s="3"/>
    </row>
    <row r="392" ht="15.75" customHeight="1">
      <c r="I392" s="3"/>
    </row>
    <row r="393" ht="15.75" customHeight="1">
      <c r="I393" s="3"/>
    </row>
    <row r="394" ht="15.75" customHeight="1">
      <c r="I394" s="3"/>
    </row>
    <row r="395" ht="15.75" customHeight="1">
      <c r="I395" s="3"/>
    </row>
    <row r="396" ht="15.75" customHeight="1">
      <c r="I396" s="3"/>
    </row>
    <row r="397" ht="15.75" customHeight="1">
      <c r="I397" s="3"/>
    </row>
    <row r="398" ht="15.75" customHeight="1">
      <c r="I398" s="3"/>
    </row>
    <row r="399" ht="15.75" customHeight="1">
      <c r="I399" s="3"/>
    </row>
    <row r="400" ht="15.75" customHeight="1">
      <c r="I400" s="3"/>
    </row>
    <row r="401" ht="15.75" customHeight="1">
      <c r="I401" s="3"/>
    </row>
    <row r="402" ht="15.75" customHeight="1">
      <c r="I402" s="3"/>
    </row>
    <row r="403" ht="15.75" customHeight="1">
      <c r="I403" s="3"/>
    </row>
    <row r="404" ht="15.75" customHeight="1">
      <c r="I404" s="3"/>
    </row>
    <row r="405" ht="15.75" customHeight="1">
      <c r="I405" s="3"/>
    </row>
    <row r="406" ht="15.75" customHeight="1">
      <c r="I406" s="3"/>
    </row>
    <row r="407" ht="15.75" customHeight="1">
      <c r="I407" s="3"/>
    </row>
    <row r="408" ht="15.75" customHeight="1">
      <c r="I408" s="3"/>
    </row>
    <row r="409" ht="15.75" customHeight="1">
      <c r="I409" s="3"/>
    </row>
    <row r="410" ht="15.75" customHeight="1">
      <c r="I410" s="3"/>
    </row>
    <row r="411" ht="15.75" customHeight="1">
      <c r="I411" s="3"/>
    </row>
    <row r="412" ht="15.75" customHeight="1">
      <c r="I412" s="3"/>
    </row>
    <row r="413" ht="15.75" customHeight="1">
      <c r="I413" s="3"/>
    </row>
    <row r="414" ht="15.75" customHeight="1">
      <c r="I414" s="3"/>
    </row>
    <row r="415" ht="15.75" customHeight="1">
      <c r="I415" s="3"/>
    </row>
    <row r="416" ht="15.75" customHeight="1">
      <c r="I416" s="3"/>
    </row>
    <row r="417" ht="15.75" customHeight="1">
      <c r="I417" s="3"/>
    </row>
    <row r="418" ht="15.75" customHeight="1">
      <c r="I418" s="3"/>
    </row>
    <row r="419" ht="15.75" customHeight="1">
      <c r="I419" s="3"/>
    </row>
    <row r="420" ht="15.75" customHeight="1">
      <c r="I420" s="3"/>
    </row>
    <row r="421" ht="15.75" customHeight="1">
      <c r="I421" s="3"/>
    </row>
    <row r="422" ht="15.75" customHeight="1">
      <c r="I422" s="3"/>
    </row>
    <row r="423" ht="15.75" customHeight="1">
      <c r="I423" s="3"/>
    </row>
    <row r="424" ht="15.75" customHeight="1">
      <c r="I424" s="3"/>
    </row>
    <row r="425" ht="15.75" customHeight="1">
      <c r="I425" s="3"/>
    </row>
    <row r="426" ht="15.75" customHeight="1">
      <c r="I426" s="3"/>
    </row>
    <row r="427" ht="15.75" customHeight="1">
      <c r="I427" s="3"/>
    </row>
    <row r="428" ht="15.75" customHeight="1">
      <c r="I428" s="3"/>
    </row>
    <row r="429" ht="15.75" customHeight="1">
      <c r="I429" s="3"/>
    </row>
    <row r="430" ht="15.75" customHeight="1">
      <c r="I430" s="3"/>
    </row>
    <row r="431" ht="15.75" customHeight="1">
      <c r="I431" s="3"/>
    </row>
    <row r="432" ht="15.75" customHeight="1">
      <c r="I432" s="3"/>
    </row>
    <row r="433" ht="15.75" customHeight="1">
      <c r="I433" s="3"/>
    </row>
    <row r="434" ht="15.75" customHeight="1">
      <c r="I434" s="3"/>
    </row>
    <row r="435" ht="15.75" customHeight="1">
      <c r="I435" s="3"/>
    </row>
    <row r="436" ht="15.75" customHeight="1">
      <c r="I436" s="3"/>
    </row>
    <row r="437" ht="15.75" customHeight="1">
      <c r="I437" s="3"/>
    </row>
    <row r="438" ht="15.75" customHeight="1">
      <c r="I438" s="3"/>
    </row>
    <row r="439" ht="15.75" customHeight="1">
      <c r="I439" s="3"/>
    </row>
    <row r="440" ht="15.75" customHeight="1">
      <c r="I440" s="3"/>
    </row>
    <row r="441" ht="15.75" customHeight="1">
      <c r="I441" s="3"/>
    </row>
    <row r="442" ht="15.75" customHeight="1">
      <c r="I442" s="3"/>
    </row>
    <row r="443" ht="15.75" customHeight="1">
      <c r="I443" s="3"/>
    </row>
    <row r="444" ht="15.75" customHeight="1">
      <c r="I444" s="3"/>
    </row>
    <row r="445" ht="15.75" customHeight="1">
      <c r="I445" s="3"/>
    </row>
    <row r="446" ht="15.75" customHeight="1">
      <c r="I446" s="3"/>
    </row>
    <row r="447" ht="15.75" customHeight="1">
      <c r="I447" s="3"/>
    </row>
    <row r="448" ht="15.75" customHeight="1">
      <c r="I448" s="3"/>
    </row>
    <row r="449" ht="15.75" customHeight="1">
      <c r="I449" s="3"/>
    </row>
    <row r="450" ht="15.75" customHeight="1">
      <c r="I450" s="3"/>
    </row>
    <row r="451" ht="15.75" customHeight="1">
      <c r="I451" s="3"/>
    </row>
    <row r="452" ht="15.75" customHeight="1">
      <c r="I452" s="3"/>
    </row>
    <row r="453" ht="15.75" customHeight="1">
      <c r="I453" s="3"/>
    </row>
    <row r="454" ht="15.75" customHeight="1">
      <c r="I454" s="3"/>
    </row>
    <row r="455" ht="15.75" customHeight="1">
      <c r="I455" s="3"/>
    </row>
    <row r="456" ht="15.75" customHeight="1">
      <c r="I456" s="3"/>
    </row>
    <row r="457" ht="15.75" customHeight="1">
      <c r="I457" s="3"/>
    </row>
    <row r="458" ht="15.75" customHeight="1">
      <c r="I458" s="3"/>
    </row>
    <row r="459" ht="15.75" customHeight="1">
      <c r="I459" s="3"/>
    </row>
    <row r="460" ht="15.75" customHeight="1">
      <c r="I460" s="3"/>
    </row>
    <row r="461" ht="15.75" customHeight="1">
      <c r="I461" s="3"/>
    </row>
    <row r="462" ht="15.75" customHeight="1">
      <c r="I462" s="3"/>
    </row>
    <row r="463" ht="15.75" customHeight="1">
      <c r="I463" s="3"/>
    </row>
    <row r="464" ht="15.75" customHeight="1">
      <c r="I464" s="3"/>
    </row>
    <row r="465" ht="15.75" customHeight="1">
      <c r="I465" s="3"/>
    </row>
    <row r="466" ht="15.75" customHeight="1">
      <c r="I466" s="3"/>
    </row>
    <row r="467" ht="15.75" customHeight="1">
      <c r="I467" s="3"/>
    </row>
    <row r="468" ht="15.75" customHeight="1">
      <c r="I468" s="3"/>
    </row>
    <row r="469" ht="15.75" customHeight="1">
      <c r="I469" s="3"/>
    </row>
    <row r="470" ht="15.75" customHeight="1">
      <c r="I470" s="3"/>
    </row>
    <row r="471" ht="15.75" customHeight="1">
      <c r="I471" s="3"/>
    </row>
    <row r="472" ht="15.75" customHeight="1">
      <c r="I472" s="3"/>
    </row>
    <row r="473" ht="15.75" customHeight="1">
      <c r="I473" s="3"/>
    </row>
    <row r="474" ht="15.75" customHeight="1">
      <c r="I474" s="3"/>
    </row>
    <row r="475" ht="15.75" customHeight="1">
      <c r="I475" s="3"/>
    </row>
    <row r="476" ht="15.75" customHeight="1">
      <c r="I476" s="3"/>
    </row>
    <row r="477" ht="15.75" customHeight="1">
      <c r="I477" s="3"/>
    </row>
    <row r="478" ht="15.75" customHeight="1">
      <c r="I478" s="3"/>
    </row>
    <row r="479" ht="15.75" customHeight="1">
      <c r="I479" s="3"/>
    </row>
    <row r="480" ht="15.75" customHeight="1">
      <c r="I480" s="3"/>
    </row>
    <row r="481" ht="15.75" customHeight="1">
      <c r="I481" s="3"/>
    </row>
    <row r="482" ht="15.75" customHeight="1">
      <c r="I482" s="3"/>
    </row>
    <row r="483" ht="15.75" customHeight="1">
      <c r="I483" s="3"/>
    </row>
    <row r="484" ht="15.75" customHeight="1">
      <c r="I484" s="3"/>
    </row>
    <row r="485" ht="15.75" customHeight="1">
      <c r="I485" s="3"/>
    </row>
    <row r="486" ht="15.75" customHeight="1">
      <c r="I486" s="3"/>
    </row>
    <row r="487" ht="15.75" customHeight="1">
      <c r="I487" s="3"/>
    </row>
    <row r="488" ht="15.75" customHeight="1">
      <c r="I488" s="3"/>
    </row>
    <row r="489" ht="15.75" customHeight="1">
      <c r="I489" s="3"/>
    </row>
    <row r="490" ht="15.75" customHeight="1">
      <c r="I490" s="3"/>
    </row>
    <row r="491" ht="15.75" customHeight="1">
      <c r="I491" s="3"/>
    </row>
    <row r="492" ht="15.75" customHeight="1">
      <c r="I492" s="3"/>
    </row>
    <row r="493" ht="15.75" customHeight="1">
      <c r="I493" s="3"/>
    </row>
    <row r="494" ht="15.75" customHeight="1">
      <c r="I494" s="3"/>
    </row>
    <row r="495" ht="15.75" customHeight="1">
      <c r="I495" s="3"/>
    </row>
    <row r="496" ht="15.75" customHeight="1">
      <c r="I496" s="3"/>
    </row>
    <row r="497" ht="15.75" customHeight="1">
      <c r="I497" s="3"/>
    </row>
    <row r="498" ht="15.75" customHeight="1">
      <c r="I498" s="3"/>
    </row>
    <row r="499" ht="15.75" customHeight="1">
      <c r="I499" s="3"/>
    </row>
    <row r="500" ht="15.75" customHeight="1">
      <c r="I500" s="3"/>
    </row>
    <row r="501" ht="15.75" customHeight="1">
      <c r="I501" s="3"/>
    </row>
    <row r="502" ht="15.75" customHeight="1">
      <c r="I502" s="3"/>
    </row>
    <row r="503" ht="15.75" customHeight="1">
      <c r="I503" s="3"/>
    </row>
    <row r="504" ht="15.75" customHeight="1">
      <c r="I504" s="3"/>
    </row>
    <row r="505" ht="15.75" customHeight="1">
      <c r="I505" s="3"/>
    </row>
    <row r="506" ht="15.75" customHeight="1">
      <c r="I506" s="3"/>
    </row>
    <row r="507" ht="15.75" customHeight="1">
      <c r="I507" s="3"/>
    </row>
    <row r="508" ht="15.75" customHeight="1">
      <c r="I508" s="3"/>
    </row>
    <row r="509" ht="15.75" customHeight="1">
      <c r="I509" s="3"/>
    </row>
    <row r="510" ht="15.75" customHeight="1">
      <c r="I510" s="3"/>
    </row>
    <row r="511" ht="15.75" customHeight="1">
      <c r="I511" s="3"/>
    </row>
    <row r="512" ht="15.75" customHeight="1">
      <c r="I512" s="3"/>
    </row>
    <row r="513" ht="15.75" customHeight="1">
      <c r="I513" s="3"/>
    </row>
    <row r="514" ht="15.75" customHeight="1">
      <c r="I514" s="3"/>
    </row>
    <row r="515" ht="15.75" customHeight="1">
      <c r="I515" s="3"/>
    </row>
    <row r="516" ht="15.75" customHeight="1">
      <c r="I516" s="3"/>
    </row>
    <row r="517" ht="15.75" customHeight="1">
      <c r="I517" s="3"/>
    </row>
    <row r="518" ht="15.75" customHeight="1">
      <c r="I518" s="3"/>
    </row>
    <row r="519" ht="15.75" customHeight="1">
      <c r="I519" s="3"/>
    </row>
    <row r="520" ht="15.75" customHeight="1">
      <c r="I520" s="3"/>
    </row>
    <row r="521" ht="15.75" customHeight="1">
      <c r="I521" s="3"/>
    </row>
    <row r="522" ht="15.75" customHeight="1">
      <c r="I522" s="3"/>
    </row>
    <row r="523" ht="15.75" customHeight="1">
      <c r="I523" s="3"/>
    </row>
    <row r="524" ht="15.75" customHeight="1">
      <c r="I524" s="3"/>
    </row>
    <row r="525" ht="15.75" customHeight="1">
      <c r="I525" s="3"/>
    </row>
    <row r="526" ht="15.75" customHeight="1">
      <c r="I526" s="3"/>
    </row>
    <row r="527" ht="15.75" customHeight="1">
      <c r="I527" s="3"/>
    </row>
    <row r="528" ht="15.75" customHeight="1">
      <c r="I528" s="3"/>
    </row>
    <row r="529" ht="15.75" customHeight="1">
      <c r="I529" s="3"/>
    </row>
    <row r="530" ht="15.75" customHeight="1">
      <c r="I530" s="3"/>
    </row>
    <row r="531" ht="15.75" customHeight="1">
      <c r="I531" s="3"/>
    </row>
    <row r="532" ht="15.75" customHeight="1">
      <c r="I532" s="3"/>
    </row>
    <row r="533" ht="15.75" customHeight="1">
      <c r="I533" s="3"/>
    </row>
    <row r="534" ht="15.75" customHeight="1">
      <c r="I534" s="3"/>
    </row>
    <row r="535" ht="15.75" customHeight="1">
      <c r="I535" s="3"/>
    </row>
    <row r="536" ht="15.75" customHeight="1">
      <c r="I536" s="3"/>
    </row>
    <row r="537" ht="15.75" customHeight="1">
      <c r="I537" s="3"/>
    </row>
    <row r="538" ht="15.75" customHeight="1">
      <c r="I538" s="3"/>
    </row>
    <row r="539" ht="15.75" customHeight="1">
      <c r="I539" s="3"/>
    </row>
    <row r="540" ht="15.75" customHeight="1">
      <c r="I540" s="3"/>
    </row>
    <row r="541" ht="15.75" customHeight="1">
      <c r="I541" s="3"/>
    </row>
    <row r="542" ht="15.75" customHeight="1">
      <c r="I542" s="3"/>
    </row>
    <row r="543" ht="15.75" customHeight="1">
      <c r="I543" s="3"/>
    </row>
    <row r="544" ht="15.75" customHeight="1">
      <c r="I544" s="3"/>
    </row>
    <row r="545" ht="15.75" customHeight="1">
      <c r="I545" s="3"/>
    </row>
    <row r="546" ht="15.75" customHeight="1">
      <c r="I546" s="3"/>
    </row>
    <row r="547" ht="15.75" customHeight="1">
      <c r="I547" s="3"/>
    </row>
    <row r="548" ht="15.75" customHeight="1">
      <c r="I548" s="3"/>
    </row>
    <row r="549" ht="15.75" customHeight="1">
      <c r="I549" s="3"/>
    </row>
    <row r="550" ht="15.75" customHeight="1">
      <c r="I550" s="3"/>
    </row>
    <row r="551" ht="15.75" customHeight="1">
      <c r="I551" s="3"/>
    </row>
    <row r="552" ht="15.75" customHeight="1">
      <c r="I552" s="3"/>
    </row>
    <row r="553" ht="15.75" customHeight="1">
      <c r="I553" s="3"/>
    </row>
    <row r="554" ht="15.75" customHeight="1">
      <c r="I554" s="3"/>
    </row>
    <row r="555" ht="15.75" customHeight="1">
      <c r="I555" s="3"/>
    </row>
    <row r="556" ht="15.75" customHeight="1">
      <c r="I556" s="3"/>
    </row>
    <row r="557" ht="15.75" customHeight="1">
      <c r="I557" s="3"/>
    </row>
    <row r="558" ht="15.75" customHeight="1">
      <c r="I558" s="3"/>
    </row>
    <row r="559" ht="15.75" customHeight="1">
      <c r="I559" s="3"/>
    </row>
    <row r="560" ht="15.75" customHeight="1">
      <c r="I560" s="3"/>
    </row>
    <row r="561" ht="15.75" customHeight="1">
      <c r="I561" s="3"/>
    </row>
    <row r="562" ht="15.75" customHeight="1">
      <c r="I562" s="3"/>
    </row>
    <row r="563" ht="15.75" customHeight="1">
      <c r="I563" s="3"/>
    </row>
    <row r="564" ht="15.75" customHeight="1">
      <c r="I564" s="3"/>
    </row>
    <row r="565" ht="15.75" customHeight="1">
      <c r="I565" s="3"/>
    </row>
    <row r="566" ht="15.75" customHeight="1">
      <c r="I566" s="3"/>
    </row>
    <row r="567" ht="15.75" customHeight="1">
      <c r="I567" s="3"/>
    </row>
    <row r="568" ht="15.75" customHeight="1">
      <c r="I568" s="3"/>
    </row>
    <row r="569" ht="15.75" customHeight="1">
      <c r="I569" s="3"/>
    </row>
    <row r="570" ht="15.75" customHeight="1">
      <c r="I570" s="3"/>
    </row>
    <row r="571" ht="15.75" customHeight="1">
      <c r="I571" s="3"/>
    </row>
    <row r="572" ht="15.75" customHeight="1">
      <c r="I572" s="3"/>
    </row>
    <row r="573" ht="15.75" customHeight="1">
      <c r="I573" s="3"/>
    </row>
    <row r="574" ht="15.75" customHeight="1">
      <c r="I574" s="3"/>
    </row>
    <row r="575" ht="15.75" customHeight="1">
      <c r="I575" s="3"/>
    </row>
    <row r="576" ht="15.75" customHeight="1">
      <c r="I576" s="3"/>
    </row>
    <row r="577" ht="15.75" customHeight="1">
      <c r="I577" s="3"/>
    </row>
    <row r="578" ht="15.75" customHeight="1">
      <c r="I578" s="3"/>
    </row>
    <row r="579" ht="15.75" customHeight="1">
      <c r="I579" s="3"/>
    </row>
    <row r="580" ht="15.75" customHeight="1">
      <c r="I580" s="3"/>
    </row>
    <row r="581" ht="15.75" customHeight="1">
      <c r="I581" s="3"/>
    </row>
    <row r="582" ht="15.75" customHeight="1">
      <c r="I582" s="3"/>
    </row>
    <row r="583" ht="15.75" customHeight="1">
      <c r="I583" s="3"/>
    </row>
    <row r="584" ht="15.75" customHeight="1">
      <c r="I584" s="3"/>
    </row>
    <row r="585" ht="15.75" customHeight="1">
      <c r="I585" s="3"/>
    </row>
    <row r="586" ht="15.75" customHeight="1">
      <c r="I586" s="3"/>
    </row>
    <row r="587" ht="15.75" customHeight="1">
      <c r="I587" s="3"/>
    </row>
    <row r="588" ht="15.75" customHeight="1">
      <c r="I588" s="3"/>
    </row>
    <row r="589" ht="15.75" customHeight="1">
      <c r="I589" s="3"/>
    </row>
    <row r="590" ht="15.75" customHeight="1">
      <c r="I590" s="3"/>
    </row>
    <row r="591" ht="15.75" customHeight="1">
      <c r="I591" s="3"/>
    </row>
    <row r="592" ht="15.75" customHeight="1">
      <c r="I592" s="3"/>
    </row>
    <row r="593" ht="15.75" customHeight="1">
      <c r="I593" s="3"/>
    </row>
    <row r="594" ht="15.75" customHeight="1">
      <c r="I594" s="3"/>
    </row>
    <row r="595" ht="15.75" customHeight="1">
      <c r="I595" s="3"/>
    </row>
    <row r="596" ht="15.75" customHeight="1">
      <c r="I596" s="3"/>
    </row>
    <row r="597" ht="15.75" customHeight="1">
      <c r="I597" s="3"/>
    </row>
    <row r="598" ht="15.75" customHeight="1">
      <c r="I598" s="3"/>
    </row>
    <row r="599" ht="15.75" customHeight="1">
      <c r="I599" s="3"/>
    </row>
    <row r="600" ht="15.75" customHeight="1">
      <c r="I600" s="3"/>
    </row>
    <row r="601" ht="15.75" customHeight="1">
      <c r="I601" s="3"/>
    </row>
    <row r="602" ht="15.75" customHeight="1">
      <c r="I602" s="3"/>
    </row>
    <row r="603" ht="15.75" customHeight="1">
      <c r="I603" s="3"/>
    </row>
    <row r="604" ht="15.75" customHeight="1">
      <c r="I604" s="3"/>
    </row>
    <row r="605" ht="15.75" customHeight="1">
      <c r="I605" s="3"/>
    </row>
    <row r="606" ht="15.75" customHeight="1">
      <c r="I606" s="3"/>
    </row>
    <row r="607" ht="15.75" customHeight="1">
      <c r="I607" s="3"/>
    </row>
    <row r="608" ht="15.75" customHeight="1">
      <c r="I608" s="3"/>
    </row>
    <row r="609" ht="15.75" customHeight="1">
      <c r="I609" s="3"/>
    </row>
    <row r="610" ht="15.75" customHeight="1">
      <c r="I610" s="3"/>
    </row>
    <row r="611" ht="15.75" customHeight="1">
      <c r="I611" s="3"/>
    </row>
    <row r="612" ht="15.75" customHeight="1">
      <c r="I612" s="3"/>
    </row>
    <row r="613" ht="15.75" customHeight="1">
      <c r="I613" s="3"/>
    </row>
    <row r="614" ht="15.75" customHeight="1">
      <c r="I614" s="3"/>
    </row>
    <row r="615" ht="15.75" customHeight="1">
      <c r="I615" s="3"/>
    </row>
    <row r="616" ht="15.75" customHeight="1">
      <c r="I616" s="3"/>
    </row>
    <row r="617" ht="15.75" customHeight="1">
      <c r="I617" s="3"/>
    </row>
    <row r="618" ht="15.75" customHeight="1">
      <c r="I618" s="3"/>
    </row>
    <row r="619" ht="15.75" customHeight="1">
      <c r="I619" s="3"/>
    </row>
    <row r="620" ht="15.75" customHeight="1">
      <c r="I620" s="3"/>
    </row>
    <row r="621" ht="15.75" customHeight="1">
      <c r="I621" s="3"/>
    </row>
    <row r="622" ht="15.75" customHeight="1">
      <c r="I622" s="3"/>
    </row>
    <row r="623" ht="15.75" customHeight="1">
      <c r="I623" s="3"/>
    </row>
    <row r="624" ht="15.75" customHeight="1">
      <c r="I624" s="3"/>
    </row>
    <row r="625" ht="15.75" customHeight="1">
      <c r="I625" s="3"/>
    </row>
    <row r="626" ht="15.75" customHeight="1">
      <c r="I626" s="3"/>
    </row>
    <row r="627" ht="15.75" customHeight="1">
      <c r="I627" s="3"/>
    </row>
    <row r="628" ht="15.75" customHeight="1">
      <c r="I628" s="3"/>
    </row>
    <row r="629" ht="15.75" customHeight="1">
      <c r="I629" s="3"/>
    </row>
    <row r="630" ht="15.75" customHeight="1">
      <c r="I630" s="3"/>
    </row>
    <row r="631" ht="15.75" customHeight="1">
      <c r="I631" s="3"/>
    </row>
    <row r="632" ht="15.75" customHeight="1">
      <c r="I632" s="3"/>
    </row>
    <row r="633" ht="15.75" customHeight="1">
      <c r="I633" s="3"/>
    </row>
    <row r="634" ht="15.75" customHeight="1">
      <c r="I634" s="3"/>
    </row>
    <row r="635" ht="15.75" customHeight="1">
      <c r="I635" s="3"/>
    </row>
    <row r="636" ht="15.75" customHeight="1">
      <c r="I636" s="3"/>
    </row>
    <row r="637" ht="15.75" customHeight="1">
      <c r="I637" s="3"/>
    </row>
    <row r="638" ht="15.75" customHeight="1">
      <c r="I638" s="3"/>
    </row>
    <row r="639" ht="15.75" customHeight="1">
      <c r="I639" s="3"/>
    </row>
    <row r="640" ht="15.75" customHeight="1">
      <c r="I640" s="3"/>
    </row>
    <row r="641" ht="15.75" customHeight="1">
      <c r="I641" s="3"/>
    </row>
    <row r="642" ht="15.75" customHeight="1">
      <c r="I642" s="3"/>
    </row>
    <row r="643" ht="15.75" customHeight="1">
      <c r="I643" s="3"/>
    </row>
    <row r="644" ht="15.75" customHeight="1">
      <c r="I644" s="3"/>
    </row>
    <row r="645" ht="15.75" customHeight="1">
      <c r="I645" s="3"/>
    </row>
    <row r="646" ht="15.75" customHeight="1">
      <c r="I646" s="3"/>
    </row>
    <row r="647" ht="15.75" customHeight="1">
      <c r="I647" s="3"/>
    </row>
    <row r="648" ht="15.75" customHeight="1">
      <c r="I648" s="3"/>
    </row>
    <row r="649" ht="15.75" customHeight="1">
      <c r="I649" s="3"/>
    </row>
    <row r="650" ht="15.75" customHeight="1">
      <c r="I650" s="3"/>
    </row>
    <row r="651" ht="15.75" customHeight="1">
      <c r="I651" s="3"/>
    </row>
    <row r="652" ht="15.75" customHeight="1">
      <c r="I652" s="3"/>
    </row>
    <row r="653" ht="15.75" customHeight="1">
      <c r="I653" s="3"/>
    </row>
    <row r="654" ht="15.75" customHeight="1">
      <c r="I654" s="3"/>
    </row>
    <row r="655" ht="15.75" customHeight="1">
      <c r="I655" s="3"/>
    </row>
    <row r="656" ht="15.75" customHeight="1">
      <c r="I656" s="3"/>
    </row>
    <row r="657" ht="15.75" customHeight="1">
      <c r="I657" s="3"/>
    </row>
    <row r="658" ht="15.75" customHeight="1">
      <c r="I658" s="3"/>
    </row>
    <row r="659" ht="15.75" customHeight="1">
      <c r="I659" s="3"/>
    </row>
    <row r="660" ht="15.75" customHeight="1">
      <c r="I660" s="3"/>
    </row>
    <row r="661" ht="15.75" customHeight="1">
      <c r="I661" s="3"/>
    </row>
    <row r="662" ht="15.75" customHeight="1">
      <c r="I662" s="3"/>
    </row>
    <row r="663" ht="15.75" customHeight="1">
      <c r="I663" s="3"/>
    </row>
    <row r="664" ht="15.75" customHeight="1">
      <c r="I664" s="3"/>
    </row>
    <row r="665" ht="15.75" customHeight="1">
      <c r="I665" s="3"/>
    </row>
    <row r="666" ht="15.75" customHeight="1">
      <c r="I666" s="3"/>
    </row>
    <row r="667" ht="15.75" customHeight="1">
      <c r="I667" s="3"/>
    </row>
    <row r="668" ht="15.75" customHeight="1">
      <c r="I668" s="3"/>
    </row>
    <row r="669" ht="15.75" customHeight="1">
      <c r="I669" s="3"/>
    </row>
    <row r="670" ht="15.75" customHeight="1">
      <c r="I670" s="3"/>
    </row>
    <row r="671" ht="15.75" customHeight="1">
      <c r="I671" s="3"/>
    </row>
    <row r="672" ht="15.75" customHeight="1">
      <c r="I672" s="3"/>
    </row>
    <row r="673" ht="15.75" customHeight="1">
      <c r="I673" s="3"/>
    </row>
    <row r="674" ht="15.75" customHeight="1">
      <c r="I674" s="3"/>
    </row>
    <row r="675" ht="15.75" customHeight="1">
      <c r="I675" s="3"/>
    </row>
    <row r="676" ht="15.75" customHeight="1">
      <c r="I676" s="3"/>
    </row>
    <row r="677" ht="15.75" customHeight="1">
      <c r="I677" s="3"/>
    </row>
    <row r="678" ht="15.75" customHeight="1">
      <c r="I678" s="3"/>
    </row>
    <row r="679" ht="15.75" customHeight="1">
      <c r="I679" s="3"/>
    </row>
    <row r="680" ht="15.75" customHeight="1">
      <c r="I680" s="3"/>
    </row>
    <row r="681" ht="15.75" customHeight="1">
      <c r="I681" s="3"/>
    </row>
    <row r="682" ht="15.75" customHeight="1">
      <c r="I682" s="3"/>
    </row>
    <row r="683" ht="15.75" customHeight="1">
      <c r="I683" s="3"/>
    </row>
    <row r="684" ht="15.75" customHeight="1">
      <c r="I684" s="3"/>
    </row>
    <row r="685" ht="15.75" customHeight="1">
      <c r="I685" s="3"/>
    </row>
    <row r="686" ht="15.75" customHeight="1">
      <c r="I686" s="3"/>
    </row>
    <row r="687" ht="15.75" customHeight="1">
      <c r="I687" s="3"/>
    </row>
    <row r="688" ht="15.75" customHeight="1">
      <c r="I688" s="3"/>
    </row>
    <row r="689" ht="15.75" customHeight="1">
      <c r="I689" s="3"/>
    </row>
    <row r="690" ht="15.75" customHeight="1">
      <c r="I690" s="3"/>
    </row>
    <row r="691" ht="15.75" customHeight="1">
      <c r="I691" s="3"/>
    </row>
    <row r="692" ht="15.75" customHeight="1">
      <c r="I692" s="3"/>
    </row>
    <row r="693" ht="15.75" customHeight="1">
      <c r="I693" s="3"/>
    </row>
    <row r="694" ht="15.75" customHeight="1">
      <c r="I694" s="3"/>
    </row>
    <row r="695" ht="15.75" customHeight="1">
      <c r="I695" s="3"/>
    </row>
    <row r="696" ht="15.75" customHeight="1">
      <c r="I696" s="3"/>
    </row>
    <row r="697" ht="15.75" customHeight="1">
      <c r="I697" s="3"/>
    </row>
    <row r="698" ht="15.75" customHeight="1">
      <c r="I698" s="3"/>
    </row>
    <row r="699" ht="15.75" customHeight="1">
      <c r="I699" s="3"/>
    </row>
    <row r="700" ht="15.75" customHeight="1">
      <c r="I700" s="3"/>
    </row>
    <row r="701" ht="15.75" customHeight="1">
      <c r="I701" s="3"/>
    </row>
    <row r="702" ht="15.75" customHeight="1">
      <c r="I702" s="3"/>
    </row>
    <row r="703" ht="15.75" customHeight="1">
      <c r="I703" s="3"/>
    </row>
    <row r="704" ht="15.75" customHeight="1">
      <c r="I704" s="3"/>
    </row>
    <row r="705" ht="15.75" customHeight="1">
      <c r="I705" s="3"/>
    </row>
    <row r="706" ht="15.75" customHeight="1">
      <c r="I706" s="3"/>
    </row>
    <row r="707" ht="15.75" customHeight="1">
      <c r="I707" s="3"/>
    </row>
    <row r="708" ht="15.75" customHeight="1">
      <c r="I708" s="3"/>
    </row>
    <row r="709" ht="15.75" customHeight="1">
      <c r="I709" s="3"/>
    </row>
    <row r="710" ht="15.75" customHeight="1">
      <c r="I710" s="3"/>
    </row>
    <row r="711" ht="15.75" customHeight="1">
      <c r="I711" s="3"/>
    </row>
    <row r="712" ht="15.75" customHeight="1">
      <c r="I712" s="3"/>
    </row>
    <row r="713" ht="15.75" customHeight="1">
      <c r="I713" s="3"/>
    </row>
    <row r="714" ht="15.75" customHeight="1">
      <c r="I714" s="3"/>
    </row>
    <row r="715" ht="15.75" customHeight="1">
      <c r="I715" s="3"/>
    </row>
    <row r="716" ht="15.75" customHeight="1">
      <c r="I716" s="3"/>
    </row>
    <row r="717" ht="15.75" customHeight="1">
      <c r="I717" s="3"/>
    </row>
    <row r="718" ht="15.75" customHeight="1">
      <c r="I718" s="3"/>
    </row>
    <row r="719" ht="15.75" customHeight="1">
      <c r="I719" s="3"/>
    </row>
    <row r="720" ht="15.75" customHeight="1">
      <c r="I720" s="3"/>
    </row>
    <row r="721" ht="15.75" customHeight="1">
      <c r="I721" s="3"/>
    </row>
    <row r="722" ht="15.75" customHeight="1">
      <c r="I722" s="3"/>
    </row>
    <row r="723" ht="15.75" customHeight="1">
      <c r="I723" s="3"/>
    </row>
    <row r="724" ht="15.75" customHeight="1">
      <c r="I724" s="3"/>
    </row>
    <row r="725" ht="15.75" customHeight="1">
      <c r="I725" s="3"/>
    </row>
    <row r="726" ht="15.75" customHeight="1">
      <c r="I726" s="3"/>
    </row>
    <row r="727" ht="15.75" customHeight="1">
      <c r="I727" s="3"/>
    </row>
    <row r="728" ht="15.75" customHeight="1">
      <c r="I728" s="3"/>
    </row>
    <row r="729" ht="15.75" customHeight="1">
      <c r="I729" s="3"/>
    </row>
    <row r="730" ht="15.75" customHeight="1">
      <c r="I730" s="3"/>
    </row>
    <row r="731" ht="15.75" customHeight="1">
      <c r="I731" s="3"/>
    </row>
    <row r="732" ht="15.75" customHeight="1">
      <c r="I732" s="3"/>
    </row>
    <row r="733" ht="15.75" customHeight="1">
      <c r="I733" s="3"/>
    </row>
    <row r="734" ht="15.75" customHeight="1">
      <c r="I734" s="3"/>
    </row>
    <row r="735" ht="15.75" customHeight="1">
      <c r="I735" s="3"/>
    </row>
    <row r="736" ht="15.75" customHeight="1">
      <c r="I736" s="3"/>
    </row>
    <row r="737" ht="15.75" customHeight="1">
      <c r="I737" s="3"/>
    </row>
    <row r="738" ht="15.75" customHeight="1">
      <c r="I738" s="3"/>
    </row>
    <row r="739" ht="15.75" customHeight="1">
      <c r="I739" s="3"/>
    </row>
    <row r="740" ht="15.75" customHeight="1">
      <c r="I740" s="3"/>
    </row>
    <row r="741" ht="15.75" customHeight="1">
      <c r="I741" s="3"/>
    </row>
    <row r="742" ht="15.75" customHeight="1">
      <c r="I742" s="3"/>
    </row>
    <row r="743" ht="15.75" customHeight="1">
      <c r="I743" s="3"/>
    </row>
    <row r="744" ht="15.75" customHeight="1">
      <c r="I744" s="3"/>
    </row>
    <row r="745" ht="15.75" customHeight="1">
      <c r="I745" s="3"/>
    </row>
    <row r="746" ht="15.75" customHeight="1">
      <c r="I746" s="3"/>
    </row>
    <row r="747" ht="15.75" customHeight="1">
      <c r="I747" s="3"/>
    </row>
    <row r="748" ht="15.75" customHeight="1">
      <c r="I748" s="3"/>
    </row>
    <row r="749" ht="15.75" customHeight="1">
      <c r="I749" s="3"/>
    </row>
    <row r="750" ht="15.75" customHeight="1">
      <c r="I750" s="3"/>
    </row>
    <row r="751" ht="15.75" customHeight="1">
      <c r="I751" s="3"/>
    </row>
    <row r="752" ht="15.75" customHeight="1">
      <c r="I752" s="3"/>
    </row>
    <row r="753" ht="15.75" customHeight="1">
      <c r="I753" s="3"/>
    </row>
    <row r="754" ht="15.75" customHeight="1">
      <c r="I754" s="3"/>
    </row>
    <row r="755" ht="15.75" customHeight="1">
      <c r="I755" s="3"/>
    </row>
    <row r="756" ht="15.75" customHeight="1">
      <c r="I756" s="3"/>
    </row>
    <row r="757" ht="15.75" customHeight="1">
      <c r="I757" s="3"/>
    </row>
    <row r="758" ht="15.75" customHeight="1">
      <c r="I758" s="3"/>
    </row>
    <row r="759" ht="15.75" customHeight="1">
      <c r="I759" s="3"/>
    </row>
    <row r="760" ht="15.75" customHeight="1">
      <c r="I760" s="3"/>
    </row>
    <row r="761" ht="15.75" customHeight="1">
      <c r="I761" s="3"/>
    </row>
    <row r="762" ht="15.75" customHeight="1">
      <c r="I762" s="3"/>
    </row>
    <row r="763" ht="15.75" customHeight="1">
      <c r="I763" s="3"/>
    </row>
    <row r="764" ht="15.75" customHeight="1">
      <c r="I764" s="3"/>
    </row>
    <row r="765" ht="15.75" customHeight="1">
      <c r="I765" s="3"/>
    </row>
    <row r="766" ht="15.75" customHeight="1">
      <c r="I766" s="3"/>
    </row>
    <row r="767" ht="15.75" customHeight="1">
      <c r="I767" s="3"/>
    </row>
    <row r="768" ht="15.75" customHeight="1">
      <c r="I768" s="3"/>
    </row>
    <row r="769" ht="15.75" customHeight="1">
      <c r="I769" s="3"/>
    </row>
    <row r="770" ht="15.75" customHeight="1">
      <c r="I770" s="3"/>
    </row>
    <row r="771" ht="15.75" customHeight="1">
      <c r="I771" s="3"/>
    </row>
    <row r="772" ht="15.75" customHeight="1">
      <c r="I772" s="3"/>
    </row>
    <row r="773" ht="15.75" customHeight="1">
      <c r="I773" s="3"/>
    </row>
    <row r="774" ht="15.75" customHeight="1">
      <c r="I774" s="3"/>
    </row>
    <row r="775" ht="15.75" customHeight="1">
      <c r="I775" s="3"/>
    </row>
    <row r="776" ht="15.75" customHeight="1">
      <c r="I776" s="3"/>
    </row>
    <row r="777" ht="15.75" customHeight="1">
      <c r="I777" s="3"/>
    </row>
    <row r="778" ht="15.75" customHeight="1">
      <c r="I778" s="3"/>
    </row>
    <row r="779" ht="15.75" customHeight="1">
      <c r="I779" s="3"/>
    </row>
    <row r="780" ht="15.75" customHeight="1">
      <c r="I780" s="3"/>
    </row>
    <row r="781" ht="15.75" customHeight="1">
      <c r="I781" s="3"/>
    </row>
    <row r="782" ht="15.75" customHeight="1">
      <c r="I782" s="3"/>
    </row>
    <row r="783" ht="15.75" customHeight="1">
      <c r="I783" s="3"/>
    </row>
    <row r="784" ht="15.75" customHeight="1">
      <c r="I784" s="3"/>
    </row>
    <row r="785" ht="15.75" customHeight="1">
      <c r="I785" s="3"/>
    </row>
    <row r="786" ht="15.75" customHeight="1">
      <c r="I786" s="3"/>
    </row>
    <row r="787" ht="15.75" customHeight="1">
      <c r="I787" s="3"/>
    </row>
    <row r="788" ht="15.75" customHeight="1">
      <c r="I788" s="3"/>
    </row>
    <row r="789" ht="15.75" customHeight="1">
      <c r="I789" s="3"/>
    </row>
    <row r="790" ht="15.75" customHeight="1">
      <c r="I790" s="3"/>
    </row>
    <row r="791" ht="15.75" customHeight="1">
      <c r="I791" s="3"/>
    </row>
    <row r="792" ht="15.75" customHeight="1">
      <c r="I792" s="3"/>
    </row>
    <row r="793" ht="15.75" customHeight="1">
      <c r="I793" s="3"/>
    </row>
    <row r="794" ht="15.75" customHeight="1">
      <c r="I794" s="3"/>
    </row>
    <row r="795" ht="15.75" customHeight="1">
      <c r="I795" s="3"/>
    </row>
    <row r="796" ht="15.75" customHeight="1">
      <c r="I796" s="3"/>
    </row>
    <row r="797" ht="15.75" customHeight="1">
      <c r="I797" s="3"/>
    </row>
    <row r="798" ht="15.75" customHeight="1">
      <c r="I798" s="3"/>
    </row>
    <row r="799" ht="15.75" customHeight="1">
      <c r="I799" s="3"/>
    </row>
    <row r="800" ht="15.75" customHeight="1">
      <c r="I800" s="3"/>
    </row>
    <row r="801" ht="15.75" customHeight="1">
      <c r="I801" s="3"/>
    </row>
    <row r="802" ht="15.75" customHeight="1">
      <c r="I802" s="3"/>
    </row>
    <row r="803" ht="15.75" customHeight="1">
      <c r="I803" s="3"/>
    </row>
    <row r="804" ht="15.75" customHeight="1">
      <c r="I804" s="3"/>
    </row>
    <row r="805" ht="15.75" customHeight="1">
      <c r="I805" s="3"/>
    </row>
    <row r="806" ht="15.75" customHeight="1">
      <c r="I806" s="3"/>
    </row>
    <row r="807" ht="15.75" customHeight="1">
      <c r="I807" s="3"/>
    </row>
    <row r="808" ht="15.75" customHeight="1">
      <c r="I808" s="3"/>
    </row>
    <row r="809" ht="15.75" customHeight="1">
      <c r="I809" s="3"/>
    </row>
    <row r="810" ht="15.75" customHeight="1">
      <c r="I810" s="3"/>
    </row>
    <row r="811" ht="15.75" customHeight="1">
      <c r="I811" s="3"/>
    </row>
    <row r="812" ht="15.75" customHeight="1">
      <c r="I812" s="3"/>
    </row>
    <row r="813" ht="15.75" customHeight="1">
      <c r="I813" s="3"/>
    </row>
    <row r="814" ht="15.75" customHeight="1">
      <c r="I814" s="3"/>
    </row>
    <row r="815" ht="15.75" customHeight="1">
      <c r="I815" s="3"/>
    </row>
    <row r="816" ht="15.75" customHeight="1">
      <c r="I816" s="3"/>
    </row>
    <row r="817" ht="15.75" customHeight="1">
      <c r="I817" s="3"/>
    </row>
    <row r="818" ht="15.75" customHeight="1">
      <c r="I818" s="3"/>
    </row>
    <row r="819" ht="15.75" customHeight="1">
      <c r="I819" s="3"/>
    </row>
    <row r="820" ht="15.75" customHeight="1">
      <c r="I820" s="3"/>
    </row>
    <row r="821" ht="15.75" customHeight="1">
      <c r="I821" s="3"/>
    </row>
    <row r="822" ht="15.75" customHeight="1">
      <c r="I822" s="3"/>
    </row>
    <row r="823" ht="15.75" customHeight="1">
      <c r="I823" s="3"/>
    </row>
    <row r="824" ht="15.75" customHeight="1">
      <c r="I824" s="3"/>
    </row>
    <row r="825" ht="15.75" customHeight="1">
      <c r="I825" s="3"/>
    </row>
    <row r="826" ht="15.75" customHeight="1">
      <c r="I826" s="3"/>
    </row>
    <row r="827" ht="15.75" customHeight="1">
      <c r="I827" s="3"/>
    </row>
    <row r="828" ht="15.75" customHeight="1">
      <c r="I828" s="3"/>
    </row>
    <row r="829" ht="15.75" customHeight="1">
      <c r="I829" s="3"/>
    </row>
    <row r="830" ht="15.75" customHeight="1">
      <c r="I830" s="3"/>
    </row>
    <row r="831" ht="15.75" customHeight="1">
      <c r="I831" s="3"/>
    </row>
    <row r="832" ht="15.75" customHeight="1">
      <c r="I832" s="3"/>
    </row>
    <row r="833" ht="15.75" customHeight="1">
      <c r="I833" s="3"/>
    </row>
    <row r="834" ht="15.75" customHeight="1">
      <c r="I834" s="3"/>
    </row>
    <row r="835" ht="15.75" customHeight="1">
      <c r="I835" s="3"/>
    </row>
    <row r="836" ht="15.75" customHeight="1">
      <c r="I836" s="3"/>
    </row>
    <row r="837" ht="15.75" customHeight="1">
      <c r="I837" s="3"/>
    </row>
    <row r="838" ht="15.75" customHeight="1">
      <c r="I838" s="3"/>
    </row>
    <row r="839" ht="15.75" customHeight="1">
      <c r="I839" s="3"/>
    </row>
    <row r="840" ht="15.75" customHeight="1">
      <c r="I840" s="3"/>
    </row>
    <row r="841" ht="15.75" customHeight="1">
      <c r="I841" s="3"/>
    </row>
    <row r="842" ht="15.75" customHeight="1">
      <c r="I842" s="3"/>
    </row>
    <row r="843" ht="15.75" customHeight="1">
      <c r="I843" s="3"/>
    </row>
    <row r="844" ht="15.75" customHeight="1">
      <c r="I844" s="3"/>
    </row>
    <row r="845" ht="15.75" customHeight="1">
      <c r="I845" s="3"/>
    </row>
    <row r="846" ht="15.75" customHeight="1">
      <c r="I846" s="3"/>
    </row>
    <row r="847" ht="15.75" customHeight="1">
      <c r="I847" s="3"/>
    </row>
    <row r="848" ht="15.75" customHeight="1">
      <c r="I848" s="3"/>
    </row>
    <row r="849" ht="15.75" customHeight="1">
      <c r="I849" s="3"/>
    </row>
    <row r="850" ht="15.75" customHeight="1">
      <c r="I850" s="3"/>
    </row>
    <row r="851" ht="15.75" customHeight="1">
      <c r="I851" s="3"/>
    </row>
    <row r="852" ht="15.75" customHeight="1">
      <c r="I852" s="3"/>
    </row>
    <row r="853" ht="15.75" customHeight="1">
      <c r="I853" s="3"/>
    </row>
    <row r="854" ht="15.75" customHeight="1">
      <c r="I854" s="3"/>
    </row>
    <row r="855" ht="15.75" customHeight="1">
      <c r="I855" s="3"/>
    </row>
    <row r="856" ht="15.75" customHeight="1">
      <c r="I856" s="3"/>
    </row>
    <row r="857" ht="15.75" customHeight="1">
      <c r="I857" s="3"/>
    </row>
    <row r="858" ht="15.75" customHeight="1">
      <c r="I858" s="3"/>
    </row>
    <row r="859" ht="15.75" customHeight="1">
      <c r="I859" s="3"/>
    </row>
    <row r="860" ht="15.75" customHeight="1">
      <c r="I860" s="3"/>
    </row>
    <row r="861" ht="15.75" customHeight="1">
      <c r="I861" s="3"/>
    </row>
    <row r="862" ht="15.75" customHeight="1">
      <c r="I862" s="3"/>
    </row>
    <row r="863" ht="15.75" customHeight="1">
      <c r="I863" s="3"/>
    </row>
    <row r="864" ht="15.75" customHeight="1">
      <c r="I864" s="3"/>
    </row>
    <row r="865" ht="15.75" customHeight="1">
      <c r="I865" s="3"/>
    </row>
    <row r="866" ht="15.75" customHeight="1">
      <c r="I866" s="3"/>
    </row>
    <row r="867" ht="15.75" customHeight="1">
      <c r="I867" s="3"/>
    </row>
    <row r="868" ht="15.75" customHeight="1">
      <c r="I868" s="3"/>
    </row>
    <row r="869" ht="15.75" customHeight="1">
      <c r="I869" s="3"/>
    </row>
    <row r="870" ht="15.75" customHeight="1">
      <c r="I870" s="3"/>
    </row>
    <row r="871" ht="15.75" customHeight="1">
      <c r="I871" s="3"/>
    </row>
    <row r="872" ht="15.75" customHeight="1">
      <c r="I872" s="3"/>
    </row>
    <row r="873" ht="15.75" customHeight="1">
      <c r="I873" s="3"/>
    </row>
    <row r="874" ht="15.75" customHeight="1">
      <c r="I874" s="3"/>
    </row>
    <row r="875" ht="15.75" customHeight="1">
      <c r="I875" s="3"/>
    </row>
    <row r="876" ht="15.75" customHeight="1">
      <c r="I876" s="3"/>
    </row>
    <row r="877" ht="15.75" customHeight="1">
      <c r="I877" s="3"/>
    </row>
    <row r="878" ht="15.75" customHeight="1">
      <c r="I878" s="3"/>
    </row>
    <row r="879" ht="15.75" customHeight="1">
      <c r="I879" s="3"/>
    </row>
    <row r="880" ht="15.75" customHeight="1">
      <c r="I880" s="3"/>
    </row>
    <row r="881" ht="15.75" customHeight="1">
      <c r="I881" s="3"/>
    </row>
    <row r="882" ht="15.75" customHeight="1">
      <c r="I882" s="3"/>
    </row>
    <row r="883" ht="15.75" customHeight="1">
      <c r="I883" s="3"/>
    </row>
    <row r="884" ht="15.75" customHeight="1">
      <c r="I884" s="3"/>
    </row>
    <row r="885" ht="15.75" customHeight="1">
      <c r="I885" s="3"/>
    </row>
    <row r="886" ht="15.75" customHeight="1">
      <c r="I886" s="3"/>
    </row>
    <row r="887" ht="15.75" customHeight="1">
      <c r="I887" s="3"/>
    </row>
    <row r="888" ht="15.75" customHeight="1">
      <c r="I888" s="3"/>
    </row>
    <row r="889" ht="15.75" customHeight="1">
      <c r="I889" s="3"/>
    </row>
    <row r="890" ht="15.75" customHeight="1">
      <c r="I890" s="3"/>
    </row>
    <row r="891" ht="15.75" customHeight="1">
      <c r="I891" s="3"/>
    </row>
    <row r="892" ht="15.75" customHeight="1">
      <c r="I892" s="3"/>
    </row>
    <row r="893" ht="15.75" customHeight="1">
      <c r="I893" s="3"/>
    </row>
    <row r="894" ht="15.75" customHeight="1">
      <c r="I894" s="3"/>
    </row>
    <row r="895" ht="15.75" customHeight="1">
      <c r="I895" s="3"/>
    </row>
    <row r="896" ht="15.75" customHeight="1">
      <c r="I896" s="3"/>
    </row>
    <row r="897" ht="15.75" customHeight="1">
      <c r="I897" s="3"/>
    </row>
    <row r="898" ht="15.75" customHeight="1">
      <c r="I898" s="3"/>
    </row>
    <row r="899" ht="15.75" customHeight="1">
      <c r="I899" s="3"/>
    </row>
    <row r="900" ht="15.75" customHeight="1">
      <c r="I900" s="3"/>
    </row>
    <row r="901" ht="15.75" customHeight="1">
      <c r="I901" s="3"/>
    </row>
    <row r="902" ht="15.75" customHeight="1">
      <c r="I902" s="3"/>
    </row>
    <row r="903" ht="15.75" customHeight="1">
      <c r="I903" s="3"/>
    </row>
    <row r="904" ht="15.75" customHeight="1">
      <c r="I904" s="3"/>
    </row>
    <row r="905" ht="15.75" customHeight="1">
      <c r="I905" s="3"/>
    </row>
    <row r="906" ht="15.75" customHeight="1">
      <c r="I906" s="3"/>
    </row>
    <row r="907" ht="15.75" customHeight="1">
      <c r="I907" s="3"/>
    </row>
    <row r="908" ht="15.75" customHeight="1">
      <c r="I908" s="3"/>
    </row>
    <row r="909" ht="15.75" customHeight="1">
      <c r="I909" s="3"/>
    </row>
    <row r="910" ht="15.75" customHeight="1">
      <c r="I910" s="3"/>
    </row>
    <row r="911" ht="15.75" customHeight="1">
      <c r="I911" s="3"/>
    </row>
    <row r="912" ht="15.75" customHeight="1">
      <c r="I912" s="3"/>
    </row>
    <row r="913" ht="15.75" customHeight="1">
      <c r="I913" s="3"/>
    </row>
    <row r="914" ht="15.75" customHeight="1">
      <c r="I914" s="3"/>
    </row>
    <row r="915" ht="15.75" customHeight="1">
      <c r="I915" s="3"/>
    </row>
    <row r="916" ht="15.75" customHeight="1">
      <c r="I916" s="3"/>
    </row>
    <row r="917" ht="15.75" customHeight="1">
      <c r="I917" s="3"/>
    </row>
    <row r="918" ht="15.75" customHeight="1">
      <c r="I918" s="3"/>
    </row>
    <row r="919" ht="15.75" customHeight="1">
      <c r="I919" s="3"/>
    </row>
    <row r="920" ht="15.75" customHeight="1">
      <c r="I920" s="3"/>
    </row>
    <row r="921" ht="15.75" customHeight="1">
      <c r="I921" s="3"/>
    </row>
    <row r="922" ht="15.75" customHeight="1">
      <c r="I922" s="3"/>
    </row>
    <row r="923" ht="15.75" customHeight="1">
      <c r="I923" s="3"/>
    </row>
    <row r="924" ht="15.75" customHeight="1">
      <c r="I924" s="3"/>
    </row>
    <row r="925" ht="15.75" customHeight="1">
      <c r="I925" s="3"/>
    </row>
    <row r="926" ht="15.75" customHeight="1">
      <c r="I926" s="3"/>
    </row>
    <row r="927" ht="15.75" customHeight="1">
      <c r="I927" s="3"/>
    </row>
    <row r="928" ht="15.75" customHeight="1">
      <c r="I928" s="3"/>
    </row>
    <row r="929" ht="15.75" customHeight="1">
      <c r="I929" s="3"/>
    </row>
    <row r="930" ht="15.75" customHeight="1">
      <c r="I930" s="3"/>
    </row>
    <row r="931" ht="15.75" customHeight="1">
      <c r="I931" s="3"/>
    </row>
    <row r="932" ht="15.75" customHeight="1">
      <c r="I932" s="3"/>
    </row>
    <row r="933" ht="15.75" customHeight="1">
      <c r="I933" s="3"/>
    </row>
    <row r="934" ht="15.75" customHeight="1">
      <c r="I934" s="3"/>
    </row>
    <row r="935" ht="15.75" customHeight="1">
      <c r="I935" s="3"/>
    </row>
    <row r="936" ht="15.75" customHeight="1">
      <c r="I936" s="3"/>
    </row>
    <row r="937" ht="15.75" customHeight="1">
      <c r="I937" s="3"/>
    </row>
    <row r="938" ht="15.75" customHeight="1">
      <c r="I938" s="3"/>
    </row>
    <row r="939" ht="15.75" customHeight="1">
      <c r="I939" s="3"/>
    </row>
    <row r="940" ht="15.75" customHeight="1">
      <c r="I940" s="3"/>
    </row>
    <row r="941" ht="15.75" customHeight="1">
      <c r="I941" s="3"/>
    </row>
    <row r="942" ht="15.75" customHeight="1">
      <c r="I942" s="3"/>
    </row>
    <row r="943" ht="15.75" customHeight="1">
      <c r="I943" s="3"/>
    </row>
    <row r="944" ht="15.75" customHeight="1">
      <c r="I944" s="3"/>
    </row>
    <row r="945" ht="15.75" customHeight="1">
      <c r="I945" s="3"/>
    </row>
    <row r="946" ht="15.75" customHeight="1">
      <c r="I946" s="3"/>
    </row>
    <row r="947" ht="15.75" customHeight="1">
      <c r="I947" s="3"/>
    </row>
    <row r="948" ht="15.75" customHeight="1">
      <c r="I948" s="3"/>
    </row>
    <row r="949" ht="15.75" customHeight="1">
      <c r="I949" s="3"/>
    </row>
    <row r="950" ht="15.75" customHeight="1">
      <c r="I950" s="3"/>
    </row>
    <row r="951" ht="15.75" customHeight="1">
      <c r="I951" s="3"/>
    </row>
    <row r="952" ht="15.75" customHeight="1">
      <c r="I952" s="3"/>
    </row>
    <row r="953" ht="15.75" customHeight="1">
      <c r="I953" s="3"/>
    </row>
    <row r="954" ht="15.75" customHeight="1">
      <c r="I954" s="3"/>
    </row>
    <row r="955" ht="15.75" customHeight="1">
      <c r="I955" s="3"/>
    </row>
    <row r="956" ht="15.75" customHeight="1">
      <c r="I956" s="3"/>
    </row>
    <row r="957" ht="15.75" customHeight="1">
      <c r="I957" s="3"/>
    </row>
    <row r="958" ht="15.75" customHeight="1">
      <c r="I958" s="3"/>
    </row>
    <row r="959" ht="15.75" customHeight="1">
      <c r="I959" s="3"/>
    </row>
    <row r="960" ht="15.75" customHeight="1">
      <c r="I960" s="3"/>
    </row>
    <row r="961" ht="15.75" customHeight="1">
      <c r="I961" s="3"/>
    </row>
    <row r="962" ht="15.75" customHeight="1">
      <c r="I962" s="3"/>
    </row>
    <row r="963" ht="15.75" customHeight="1">
      <c r="I963" s="3"/>
    </row>
    <row r="964" ht="15.75" customHeight="1">
      <c r="I964" s="3"/>
    </row>
    <row r="965" ht="15.75" customHeight="1">
      <c r="I965" s="3"/>
    </row>
    <row r="966" ht="15.75" customHeight="1">
      <c r="I966" s="3"/>
    </row>
    <row r="967" ht="15.75" customHeight="1">
      <c r="I967" s="3"/>
    </row>
    <row r="968" ht="15.75" customHeight="1">
      <c r="I968" s="3"/>
    </row>
    <row r="969" ht="15.75" customHeight="1">
      <c r="I969" s="3"/>
    </row>
    <row r="970" ht="15.75" customHeight="1">
      <c r="I970" s="3"/>
    </row>
    <row r="971" ht="15.75" customHeight="1">
      <c r="I971" s="3"/>
    </row>
    <row r="972" ht="15.75" customHeight="1">
      <c r="I972" s="3"/>
    </row>
    <row r="973" ht="15.75" customHeight="1">
      <c r="I973" s="3"/>
    </row>
    <row r="974" ht="15.75" customHeight="1">
      <c r="I974" s="3"/>
    </row>
    <row r="975" ht="15.75" customHeight="1">
      <c r="I975" s="3"/>
    </row>
    <row r="976" ht="15.75" customHeight="1">
      <c r="I976" s="3"/>
    </row>
    <row r="977" ht="15.75" customHeight="1">
      <c r="I977" s="3"/>
    </row>
    <row r="978" ht="15.75" customHeight="1">
      <c r="I978" s="3"/>
    </row>
    <row r="979" ht="15.75" customHeight="1">
      <c r="I979" s="3"/>
    </row>
    <row r="980" ht="15.75" customHeight="1">
      <c r="I980" s="3"/>
    </row>
    <row r="981" ht="15.75" customHeight="1">
      <c r="I981" s="3"/>
    </row>
    <row r="982" ht="15.75" customHeight="1">
      <c r="I982" s="3"/>
    </row>
    <row r="983" ht="15.75" customHeight="1">
      <c r="I983" s="3"/>
    </row>
    <row r="984" ht="15.75" customHeight="1">
      <c r="I984" s="3"/>
    </row>
    <row r="985" ht="15.75" customHeight="1">
      <c r="I985" s="3"/>
    </row>
    <row r="986" ht="15.75" customHeight="1">
      <c r="I986" s="3"/>
    </row>
    <row r="987" ht="15.75" customHeight="1">
      <c r="I987" s="3"/>
    </row>
    <row r="988" ht="15.75" customHeight="1">
      <c r="I988" s="3"/>
    </row>
    <row r="989" ht="15.75" customHeight="1">
      <c r="I989" s="3"/>
    </row>
    <row r="990" ht="15.75" customHeight="1">
      <c r="I990" s="3"/>
    </row>
    <row r="991" ht="15.75" customHeight="1">
      <c r="I991" s="3"/>
    </row>
    <row r="992" ht="15.75" customHeight="1">
      <c r="I992" s="3"/>
    </row>
    <row r="993" ht="15.75" customHeight="1">
      <c r="I993" s="3"/>
    </row>
    <row r="994" ht="15.75" customHeight="1">
      <c r="I994" s="3"/>
    </row>
    <row r="995" ht="15.75" customHeight="1">
      <c r="I995" s="3"/>
    </row>
    <row r="996" ht="15.75" customHeight="1">
      <c r="I996" s="3"/>
    </row>
    <row r="997" ht="15.75" customHeight="1">
      <c r="I997" s="3"/>
    </row>
    <row r="998" ht="15.75" customHeight="1">
      <c r="I998" s="3"/>
    </row>
    <row r="999" ht="15.75" customHeight="1">
      <c r="I999" s="3"/>
    </row>
    <row r="1000" ht="15.75" customHeight="1">
      <c r="I1000" s="3"/>
    </row>
    <row r="1001" ht="15.75" customHeight="1">
      <c r="I1001" s="3"/>
    </row>
    <row r="1002" ht="15.75" customHeight="1">
      <c r="I1002" s="3"/>
    </row>
    <row r="1003" ht="15.75" customHeight="1">
      <c r="I1003" s="3"/>
    </row>
    <row r="1004" ht="15.75" customHeight="1">
      <c r="I1004" s="3"/>
    </row>
    <row r="1005" ht="15.75" customHeight="1">
      <c r="I1005" s="3"/>
    </row>
    <row r="1006" ht="15.75" customHeight="1">
      <c r="I1006" s="3"/>
    </row>
    <row r="1007" ht="15.75" customHeight="1">
      <c r="I1007" s="3"/>
    </row>
    <row r="1008" ht="15.75" customHeight="1">
      <c r="I1008" s="3"/>
    </row>
    <row r="1009" ht="15.75" customHeight="1">
      <c r="I1009" s="3"/>
    </row>
    <row r="1010" ht="15.75" customHeight="1">
      <c r="I1010" s="3"/>
    </row>
    <row r="1011" ht="15.75" customHeight="1">
      <c r="I1011" s="3"/>
    </row>
    <row r="1012" ht="15.75" customHeight="1">
      <c r="I1012" s="3"/>
    </row>
    <row r="1013" ht="15.75" customHeight="1">
      <c r="I1013" s="3"/>
    </row>
    <row r="1014" ht="15.75" customHeight="1">
      <c r="I1014" s="3"/>
    </row>
    <row r="1015" ht="15.75" customHeight="1">
      <c r="I1015" s="3"/>
    </row>
    <row r="1016" ht="15.75" customHeight="1">
      <c r="I1016" s="3"/>
    </row>
    <row r="1017" ht="15.75" customHeight="1">
      <c r="I1017" s="3"/>
    </row>
    <row r="1018" ht="15.75" customHeight="1">
      <c r="I1018" s="3"/>
    </row>
    <row r="1019" ht="15.75" customHeight="1">
      <c r="I1019" s="3"/>
    </row>
    <row r="1020" ht="15.75" customHeight="1">
      <c r="I1020" s="3"/>
    </row>
    <row r="1021" ht="15.75" customHeight="1">
      <c r="I1021" s="3"/>
    </row>
    <row r="1022" ht="15.75" customHeight="1">
      <c r="I1022" s="3"/>
    </row>
    <row r="1023" ht="15.75" customHeight="1">
      <c r="I1023" s="3"/>
    </row>
    <row r="1024" ht="15.75" customHeight="1">
      <c r="I1024" s="3"/>
    </row>
    <row r="1025" ht="15.75" customHeight="1">
      <c r="I1025" s="3"/>
    </row>
    <row r="1026" ht="15.75" customHeight="1">
      <c r="I1026" s="3"/>
    </row>
    <row r="1027" ht="15.75" customHeight="1">
      <c r="I1027" s="3"/>
    </row>
    <row r="1028" ht="15.75" customHeight="1">
      <c r="I1028" s="3"/>
    </row>
    <row r="1029" ht="15.75" customHeight="1">
      <c r="I1029" s="3"/>
    </row>
    <row r="1030" ht="15.75" customHeight="1">
      <c r="I1030" s="3"/>
    </row>
    <row r="1031" ht="15.75" customHeight="1">
      <c r="I1031" s="3"/>
    </row>
    <row r="1032" ht="15.75" customHeight="1">
      <c r="I1032" s="3"/>
    </row>
    <row r="1033" ht="15.75" customHeight="1">
      <c r="I1033" s="3"/>
    </row>
    <row r="1034" ht="15.75" customHeight="1">
      <c r="I1034" s="3"/>
    </row>
    <row r="1035" ht="15.75" customHeight="1">
      <c r="I1035" s="3"/>
    </row>
    <row r="1036" ht="15.75" customHeight="1">
      <c r="I1036" s="3"/>
    </row>
    <row r="1037" ht="15.75" customHeight="1">
      <c r="I1037" s="3"/>
    </row>
    <row r="1038" ht="15.75" customHeight="1">
      <c r="I1038" s="3"/>
    </row>
    <row r="1039" ht="15.75" customHeight="1">
      <c r="I1039" s="3"/>
    </row>
    <row r="1040" ht="15.75" customHeight="1">
      <c r="I1040" s="3"/>
    </row>
    <row r="1041" ht="15.75" customHeight="1">
      <c r="I1041" s="3"/>
    </row>
    <row r="1042" ht="15.75" customHeight="1">
      <c r="I1042" s="3"/>
    </row>
    <row r="1043" ht="15.75" customHeight="1">
      <c r="I1043" s="3"/>
    </row>
    <row r="1044" ht="15.75" customHeight="1">
      <c r="I1044" s="3"/>
    </row>
    <row r="1045" ht="15.75" customHeight="1">
      <c r="I1045" s="3"/>
    </row>
    <row r="1046" ht="15.75" customHeight="1">
      <c r="I1046" s="3"/>
    </row>
    <row r="1047" ht="15.75" customHeight="1">
      <c r="I1047" s="3"/>
    </row>
    <row r="1048" ht="15.75" customHeight="1">
      <c r="I1048" s="3"/>
    </row>
    <row r="1049" ht="15.75" customHeight="1">
      <c r="I1049" s="3"/>
    </row>
    <row r="1050" ht="15.75" customHeight="1">
      <c r="I1050" s="3"/>
    </row>
    <row r="1051" ht="15.75" customHeight="1">
      <c r="I1051" s="3"/>
    </row>
    <row r="1052" ht="15.75" customHeight="1">
      <c r="I1052" s="3"/>
    </row>
    <row r="1053" ht="15.75" customHeight="1">
      <c r="I1053" s="3"/>
    </row>
    <row r="1054" ht="15.75" customHeight="1">
      <c r="I1054" s="3"/>
    </row>
    <row r="1055" ht="15.75" customHeight="1">
      <c r="I1055" s="3"/>
    </row>
    <row r="1056" ht="15.75" customHeight="1">
      <c r="I1056" s="3"/>
    </row>
    <row r="1057" ht="15.75" customHeight="1">
      <c r="I1057" s="3"/>
    </row>
    <row r="1058" ht="15.75" customHeight="1">
      <c r="I1058" s="3"/>
    </row>
    <row r="1059" ht="15.75" customHeight="1">
      <c r="I1059" s="3"/>
    </row>
    <row r="1060" ht="15.75" customHeight="1">
      <c r="I1060" s="3"/>
    </row>
    <row r="1061" ht="15.75" customHeight="1">
      <c r="I1061" s="3"/>
    </row>
    <row r="1062" ht="15.75" customHeight="1">
      <c r="I1062" s="3"/>
    </row>
    <row r="1063" ht="15.75" customHeight="1">
      <c r="I1063" s="3"/>
    </row>
    <row r="1064" ht="15.75" customHeight="1">
      <c r="I1064" s="3"/>
    </row>
    <row r="1065" ht="15.75" customHeight="1">
      <c r="I1065" s="3"/>
    </row>
    <row r="1066" ht="15.75" customHeight="1">
      <c r="I1066" s="3"/>
    </row>
    <row r="1067" ht="15.75" customHeight="1">
      <c r="I1067" s="3"/>
    </row>
    <row r="1068" ht="15.75" customHeight="1">
      <c r="I1068" s="3"/>
    </row>
    <row r="1069" ht="15.75" customHeight="1">
      <c r="I1069" s="3"/>
    </row>
    <row r="1070" ht="15.75" customHeight="1">
      <c r="I1070" s="3"/>
    </row>
    <row r="1071" ht="15.75" customHeight="1">
      <c r="I1071" s="3"/>
    </row>
    <row r="1072" ht="15.75" customHeight="1">
      <c r="I1072" s="3"/>
    </row>
    <row r="1073" ht="15.75" customHeight="1">
      <c r="I1073" s="3"/>
    </row>
    <row r="1074" ht="15.75" customHeight="1">
      <c r="I1074" s="3"/>
    </row>
    <row r="1075" ht="15.75" customHeight="1">
      <c r="I1075" s="3"/>
    </row>
    <row r="1076" ht="15.75" customHeight="1">
      <c r="I1076" s="3"/>
    </row>
    <row r="1077" ht="15.75" customHeight="1">
      <c r="I1077" s="3"/>
    </row>
    <row r="1078" ht="15.75" customHeight="1">
      <c r="I1078" s="3"/>
    </row>
    <row r="1079" ht="15.75" customHeight="1">
      <c r="I1079" s="3"/>
    </row>
    <row r="1080" ht="15.75" customHeight="1">
      <c r="I1080" s="3"/>
    </row>
    <row r="1081" ht="15.75" customHeight="1">
      <c r="I1081" s="3"/>
    </row>
    <row r="1082" ht="15.75" customHeight="1">
      <c r="I1082" s="3"/>
    </row>
    <row r="1083" ht="15.75" customHeight="1">
      <c r="I1083" s="3"/>
    </row>
    <row r="1084" ht="15.75" customHeight="1">
      <c r="I1084" s="3"/>
    </row>
    <row r="1085" ht="15.75" customHeight="1">
      <c r="I1085" s="3"/>
    </row>
    <row r="1086" ht="15.75" customHeight="1">
      <c r="I1086" s="3"/>
    </row>
    <row r="1087" ht="15.75" customHeight="1">
      <c r="I1087" s="3"/>
    </row>
    <row r="1088" ht="15.75" customHeight="1">
      <c r="I1088" s="3"/>
    </row>
    <row r="1089" ht="15.75" customHeight="1">
      <c r="I1089" s="3"/>
    </row>
    <row r="1090" ht="15.75" customHeight="1">
      <c r="I1090" s="3"/>
    </row>
    <row r="1091" ht="15.75" customHeight="1">
      <c r="I1091" s="3"/>
    </row>
    <row r="1092" ht="15.75" customHeight="1">
      <c r="I1092" s="3"/>
    </row>
    <row r="1093" ht="15.75" customHeight="1">
      <c r="I1093" s="3"/>
    </row>
    <row r="1094" ht="15.75" customHeight="1">
      <c r="I1094" s="3"/>
    </row>
    <row r="1095" ht="15.75" customHeight="1">
      <c r="I1095" s="3"/>
    </row>
    <row r="1096" ht="15.75" customHeight="1">
      <c r="I1096" s="3"/>
    </row>
    <row r="1097" ht="15.75" customHeight="1">
      <c r="I1097" s="3"/>
    </row>
    <row r="1098" ht="15.75" customHeight="1">
      <c r="I1098" s="3"/>
    </row>
    <row r="1099" ht="15.75" customHeight="1">
      <c r="I1099" s="3"/>
    </row>
    <row r="1100" ht="15.75" customHeight="1">
      <c r="I1100" s="3"/>
    </row>
    <row r="1101" ht="15.75" customHeight="1">
      <c r="I1101" s="3"/>
    </row>
    <row r="1102" ht="15.75" customHeight="1">
      <c r="I1102" s="3"/>
    </row>
    <row r="1103" ht="15.75" customHeight="1">
      <c r="I1103" s="3"/>
    </row>
    <row r="1104" ht="15.75" customHeight="1">
      <c r="I1104" s="3"/>
    </row>
    <row r="1105" ht="15.75" customHeight="1">
      <c r="I1105" s="3"/>
    </row>
    <row r="1106" ht="15.75" customHeight="1">
      <c r="I1106" s="3"/>
    </row>
    <row r="1107" ht="15.75" customHeight="1">
      <c r="I1107" s="3"/>
    </row>
    <row r="1108" ht="15.75" customHeight="1">
      <c r="I1108" s="3"/>
    </row>
    <row r="1109" ht="15.75" customHeight="1">
      <c r="I1109" s="3"/>
    </row>
    <row r="1110" ht="15.75" customHeight="1">
      <c r="I1110" s="3"/>
    </row>
    <row r="1111" ht="15.75" customHeight="1">
      <c r="I1111" s="3"/>
    </row>
    <row r="1112" ht="15.75" customHeight="1">
      <c r="I1112" s="3"/>
    </row>
    <row r="1113" ht="15.75" customHeight="1">
      <c r="I1113" s="3"/>
    </row>
    <row r="1114" ht="15.75" customHeight="1">
      <c r="I1114" s="3"/>
    </row>
    <row r="1115" ht="15.75" customHeight="1">
      <c r="I1115" s="3"/>
    </row>
    <row r="1116" ht="15.75" customHeight="1">
      <c r="I1116" s="3"/>
    </row>
    <row r="1117" ht="15.75" customHeight="1">
      <c r="I1117" s="3"/>
    </row>
    <row r="1118" ht="15.75" customHeight="1">
      <c r="I1118" s="3"/>
    </row>
    <row r="1119" ht="15.75" customHeight="1">
      <c r="I1119" s="3"/>
    </row>
    <row r="1120" ht="15.75" customHeight="1">
      <c r="I1120" s="3"/>
    </row>
    <row r="1121" ht="15.75" customHeight="1">
      <c r="I1121" s="3"/>
    </row>
    <row r="1122" ht="15.75" customHeight="1">
      <c r="I1122" s="3"/>
    </row>
    <row r="1123" ht="15.75" customHeight="1">
      <c r="I1123" s="3"/>
    </row>
    <row r="1124" ht="15.75" customHeight="1">
      <c r="I1124" s="3"/>
    </row>
    <row r="1125" ht="15.75" customHeight="1">
      <c r="I1125" s="3"/>
    </row>
    <row r="1126" ht="15.75" customHeight="1">
      <c r="I1126" s="3"/>
    </row>
    <row r="1127" ht="15.75" customHeight="1">
      <c r="I1127" s="3"/>
    </row>
    <row r="1128" ht="15.75" customHeight="1">
      <c r="I1128" s="3"/>
    </row>
    <row r="1129" ht="15.75" customHeight="1">
      <c r="I1129" s="3"/>
    </row>
    <row r="1130" ht="15.75" customHeight="1">
      <c r="I1130" s="3"/>
    </row>
    <row r="1131" ht="15.75" customHeight="1">
      <c r="I1131" s="3"/>
    </row>
    <row r="1132" ht="15.75" customHeight="1">
      <c r="I1132" s="3"/>
    </row>
    <row r="1133" ht="15.75" customHeight="1">
      <c r="I1133" s="3"/>
    </row>
    <row r="1134" ht="15.75" customHeight="1">
      <c r="I1134" s="3"/>
    </row>
    <row r="1135" ht="15.75" customHeight="1">
      <c r="I1135" s="3"/>
    </row>
    <row r="1136" ht="15.75" customHeight="1">
      <c r="I1136" s="3"/>
    </row>
    <row r="1137" ht="15.75" customHeight="1">
      <c r="I1137" s="3"/>
    </row>
    <row r="1138" ht="15.75" customHeight="1">
      <c r="I1138" s="3"/>
    </row>
    <row r="1139" ht="15.75" customHeight="1">
      <c r="I1139" s="3"/>
    </row>
    <row r="1140" ht="15.75" customHeight="1">
      <c r="I1140" s="3"/>
    </row>
    <row r="1141" ht="15.75" customHeight="1">
      <c r="I1141" s="3"/>
    </row>
  </sheetData>
  <mergeCells count="13">
    <mergeCell ref="B137:H137"/>
    <mergeCell ref="B159:H159"/>
    <mergeCell ref="B178:H178"/>
    <mergeCell ref="B192:H192"/>
    <mergeCell ref="B220:H220"/>
    <mergeCell ref="C273:H273"/>
    <mergeCell ref="B3:H3"/>
    <mergeCell ref="B23:H23"/>
    <mergeCell ref="B45:H45"/>
    <mergeCell ref="B67:H67"/>
    <mergeCell ref="B87:H87"/>
    <mergeCell ref="B100:H100"/>
    <mergeCell ref="B117:H117"/>
  </mergeCells>
  <hyperlinks>
    <hyperlink r:id="rId1" ref="I47"/>
    <hyperlink r:id="rId2" ref="J47"/>
    <hyperlink r:id="rId3" ref="K47"/>
    <hyperlink r:id="rId4" ref="I48"/>
    <hyperlink r:id="rId5" ref="J48"/>
    <hyperlink r:id="rId6" ref="K48"/>
    <hyperlink r:id="rId7" ref="I49"/>
    <hyperlink r:id="rId8" ref="J49"/>
    <hyperlink r:id="rId9" ref="K49"/>
    <hyperlink r:id="rId10" ref="I50"/>
    <hyperlink r:id="rId11" ref="J50"/>
    <hyperlink r:id="rId12" ref="K50"/>
    <hyperlink r:id="rId13" ref="I51"/>
    <hyperlink r:id="rId14" ref="I52"/>
    <hyperlink r:id="rId15" ref="J52"/>
    <hyperlink r:id="rId16" ref="K52"/>
    <hyperlink r:id="rId17" ref="I53"/>
    <hyperlink r:id="rId18" ref="J53"/>
    <hyperlink r:id="rId19" ref="K53"/>
    <hyperlink r:id="rId20" ref="I54"/>
    <hyperlink r:id="rId21" ref="J54"/>
    <hyperlink r:id="rId22" ref="I55"/>
    <hyperlink r:id="rId23" location="goog_rewarded" ref="J55"/>
    <hyperlink r:id="rId24" ref="I56"/>
    <hyperlink r:id="rId25" ref="I57"/>
    <hyperlink r:id="rId26" ref="J57"/>
    <hyperlink r:id="rId27" ref="I58"/>
    <hyperlink r:id="rId28" ref="J58"/>
    <hyperlink r:id="rId29" ref="I60"/>
    <hyperlink r:id="rId30" ref="J60"/>
    <hyperlink r:id="rId31" ref="I61"/>
    <hyperlink r:id="rId32" ref="I62"/>
    <hyperlink r:id="rId33" ref="I63"/>
    <hyperlink r:id="rId34" ref="I64"/>
    <hyperlink r:id="rId35" ref="K64"/>
    <hyperlink r:id="rId36" ref="K69"/>
    <hyperlink r:id="rId37" ref="L69"/>
    <hyperlink r:id="rId38" location=":~:text=Indirizzo%3A%20VIA%20CAPRERA%205%20%2D%2025125,Dipendenti%20%3A%2021%20(2026)" ref="I70"/>
    <hyperlink r:id="rId39" ref="J70"/>
    <hyperlink r:id="rId40" ref="K70"/>
    <hyperlink r:id="rId41" ref="I71"/>
    <hyperlink r:id="rId42" ref="J71"/>
    <hyperlink r:id="rId43" ref="K71"/>
    <hyperlink r:id="rId44" ref="L71"/>
    <hyperlink r:id="rId45" ref="I72"/>
    <hyperlink r:id="rId46" ref="J72"/>
    <hyperlink r:id="rId47" ref="K72"/>
    <hyperlink r:id="rId48" ref="I73"/>
    <hyperlink r:id="rId49" ref="J73"/>
    <hyperlink r:id="rId50" ref="I74"/>
    <hyperlink r:id="rId51" ref="I75"/>
    <hyperlink r:id="rId52" ref="I76"/>
    <hyperlink r:id="rId53" ref="J76"/>
    <hyperlink r:id="rId54" location="goog_rewarded" ref="I77"/>
    <hyperlink r:id="rId55" ref="J77"/>
    <hyperlink r:id="rId56" ref="I78"/>
    <hyperlink r:id="rId57" ref="I79"/>
    <hyperlink r:id="rId58" ref="I80"/>
    <hyperlink r:id="rId59" ref="I81"/>
    <hyperlink r:id="rId60" ref="J81"/>
    <hyperlink r:id="rId61" ref="I82"/>
    <hyperlink r:id="rId62" ref="I83"/>
    <hyperlink r:id="rId63" ref="I84"/>
    <hyperlink r:id="rId64" ref="I89"/>
    <hyperlink r:id="rId65" ref="I90"/>
    <hyperlink r:id="rId66" ref="I91"/>
    <hyperlink r:id="rId67" ref="I92"/>
    <hyperlink r:id="rId68" ref="J92"/>
    <hyperlink r:id="rId69" location="google_vignette" ref="I93"/>
    <hyperlink r:id="rId70" ref="I94"/>
    <hyperlink r:id="rId71" ref="I95"/>
    <hyperlink r:id="rId72" ref="I97"/>
    <hyperlink r:id="rId73" ref="I102"/>
    <hyperlink r:id="rId74" ref="J102"/>
    <hyperlink r:id="rId75" ref="K102"/>
    <hyperlink r:id="rId76" ref="I103"/>
    <hyperlink r:id="rId77" ref="J103"/>
    <hyperlink r:id="rId78" ref="K103"/>
    <hyperlink r:id="rId79" ref="L103"/>
    <hyperlink r:id="rId80" ref="I104"/>
    <hyperlink r:id="rId81" ref="J104"/>
    <hyperlink r:id="rId82" ref="I105"/>
    <hyperlink r:id="rId83" ref="J105"/>
    <hyperlink r:id="rId84" ref="K105"/>
    <hyperlink r:id="rId85" ref="I106"/>
    <hyperlink r:id="rId86" ref="J106"/>
    <hyperlink r:id="rId87" ref="K106"/>
    <hyperlink r:id="rId88" ref="I107"/>
    <hyperlink r:id="rId89" ref="J107"/>
    <hyperlink r:id="rId90" ref="K107"/>
    <hyperlink r:id="rId91" ref="I108"/>
    <hyperlink r:id="rId92" ref="J108"/>
    <hyperlink r:id="rId93" ref="I109"/>
    <hyperlink r:id="rId94" ref="J109"/>
    <hyperlink r:id="rId95" ref="I110"/>
    <hyperlink r:id="rId96" ref="J110"/>
    <hyperlink r:id="rId97" ref="I111"/>
    <hyperlink r:id="rId98" ref="J111"/>
    <hyperlink r:id="rId99" ref="K111"/>
    <hyperlink r:id="rId100" ref="L111"/>
    <hyperlink r:id="rId101" ref="I112"/>
    <hyperlink r:id="rId102" ref="J112"/>
    <hyperlink r:id="rId103" ref="I113"/>
    <hyperlink r:id="rId104" ref="J113"/>
    <hyperlink r:id="rId105" ref="I114"/>
    <hyperlink r:id="rId106" ref="J114"/>
    <hyperlink r:id="rId107" ref="K114"/>
    <hyperlink r:id="rId108" ref="I119"/>
    <hyperlink r:id="rId109" ref="J119"/>
    <hyperlink r:id="rId110" ref="I120"/>
    <hyperlink r:id="rId111" ref="J120"/>
    <hyperlink r:id="rId112" ref="I121"/>
    <hyperlink r:id="rId113" ref="I122"/>
    <hyperlink r:id="rId114" ref="I123"/>
    <hyperlink r:id="rId115" ref="I124"/>
    <hyperlink r:id="rId116" ref="J124"/>
    <hyperlink r:id="rId117" ref="I125"/>
    <hyperlink r:id="rId118" ref="J125"/>
    <hyperlink r:id="rId119" ref="I127"/>
    <hyperlink r:id="rId120" ref="I129"/>
    <hyperlink r:id="rId121" ref="J129"/>
    <hyperlink r:id="rId122" ref="I130"/>
    <hyperlink r:id="rId123" ref="J130"/>
    <hyperlink r:id="rId124" ref="I132"/>
    <hyperlink r:id="rId125" ref="I139"/>
    <hyperlink r:id="rId126" ref="I140"/>
    <hyperlink r:id="rId127" location=":~:text=Team%20president%20Ostoja%20Mijailovic%20has,he%20said%2C%20via%20Mozzart%20Sport." ref="J140"/>
    <hyperlink r:id="rId128" ref="I141"/>
    <hyperlink r:id="rId129" ref="J141"/>
    <hyperlink r:id="rId130" ref="J142"/>
    <hyperlink r:id="rId131" ref="I143"/>
    <hyperlink r:id="rId132" ref="J143"/>
    <hyperlink r:id="rId133" ref="I144"/>
    <hyperlink r:id="rId134" ref="J144"/>
    <hyperlink r:id="rId135" ref="I145"/>
    <hyperlink r:id="rId136" ref="I146"/>
    <hyperlink r:id="rId137" ref="I147"/>
    <hyperlink r:id="rId138" ref="J147"/>
    <hyperlink r:id="rId139" ref="I148"/>
    <hyperlink r:id="rId140" ref="J148"/>
    <hyperlink r:id="rId141" ref="K148"/>
    <hyperlink r:id="rId142" ref="L148"/>
    <hyperlink r:id="rId143" ref="I150"/>
    <hyperlink r:id="rId144" ref="I152"/>
    <hyperlink r:id="rId145" ref="I154"/>
    <hyperlink r:id="rId146" ref="I155"/>
    <hyperlink r:id="rId147" ref="J155"/>
    <hyperlink r:id="rId148" ref="I156"/>
    <hyperlink r:id="rId149" ref="I161"/>
    <hyperlink r:id="rId150" ref="J161"/>
    <hyperlink r:id="rId151" ref="J162"/>
    <hyperlink r:id="rId152" ref="I163"/>
    <hyperlink r:id="rId153" ref="J163"/>
    <hyperlink r:id="rId154" ref="I164"/>
    <hyperlink r:id="rId155" ref="I165"/>
    <hyperlink r:id="rId156" ref="I166"/>
    <hyperlink r:id="rId157" ref="J166"/>
    <hyperlink r:id="rId158" ref="I167"/>
    <hyperlink r:id="rId159" ref="I168"/>
    <hyperlink r:id="rId160" ref="I169"/>
    <hyperlink r:id="rId161" ref="I170"/>
    <hyperlink r:id="rId162" ref="I171"/>
    <hyperlink r:id="rId163" ref="I172"/>
    <hyperlink r:id="rId164" ref="I173"/>
    <hyperlink r:id="rId165" ref="I174"/>
    <hyperlink r:id="rId166" ref="I180"/>
    <hyperlink r:id="rId167" ref="I181"/>
    <hyperlink r:id="rId168" ref="I182"/>
    <hyperlink r:id="rId169" ref="I183"/>
    <hyperlink r:id="rId170" ref="I184"/>
    <hyperlink r:id="rId171" ref="I185"/>
    <hyperlink r:id="rId172" ref="I186"/>
    <hyperlink r:id="rId173" ref="I187"/>
    <hyperlink r:id="rId174" ref="I188"/>
    <hyperlink r:id="rId175" ref="I189"/>
    <hyperlink r:id="rId176" ref="I194"/>
    <hyperlink r:id="rId177" ref="I195"/>
    <hyperlink r:id="rId178" ref="I196"/>
    <hyperlink r:id="rId179" ref="I197"/>
    <hyperlink r:id="rId180" ref="I198"/>
    <hyperlink r:id="rId181" ref="I199"/>
    <hyperlink r:id="rId182" ref="I200"/>
    <hyperlink r:id="rId183" ref="I201"/>
    <hyperlink r:id="rId184" ref="I202"/>
    <hyperlink r:id="rId185" ref="I203"/>
    <hyperlink r:id="rId186" ref="I204"/>
    <hyperlink r:id="rId187" ref="I205"/>
    <hyperlink r:id="rId188" ref="I206"/>
    <hyperlink r:id="rId189" ref="I207"/>
    <hyperlink r:id="rId190" ref="I208"/>
    <hyperlink r:id="rId191" ref="I209"/>
    <hyperlink r:id="rId192" ref="I210"/>
    <hyperlink r:id="rId193" ref="I211"/>
    <hyperlink r:id="rId194" ref="I212"/>
    <hyperlink r:id="rId195" ref="I213"/>
    <hyperlink r:id="rId196" ref="I214"/>
    <hyperlink r:id="rId197" ref="I215"/>
    <hyperlink r:id="rId198" ref="I216"/>
    <hyperlink r:id="rId199" ref="I217"/>
    <hyperlink r:id="rId200" ref="I222"/>
    <hyperlink r:id="rId201" ref="I223"/>
    <hyperlink r:id="rId202" ref="I224"/>
    <hyperlink r:id="rId203" ref="I225"/>
    <hyperlink r:id="rId204" ref="I226"/>
    <hyperlink r:id="rId205" ref="I227"/>
    <hyperlink r:id="rId206" ref="I229"/>
    <hyperlink r:id="rId207" ref="I230"/>
    <hyperlink r:id="rId208" ref="I231"/>
    <hyperlink r:id="rId209" ref="I232"/>
    <hyperlink r:id="rId210" ref="I233"/>
    <hyperlink r:id="rId211" ref="I234"/>
    <hyperlink r:id="rId212" ref="I235"/>
    <hyperlink r:id="rId213" ref="I236"/>
    <hyperlink r:id="rId214" ref="I237"/>
    <hyperlink r:id="rId215" ref="I238"/>
    <hyperlink r:id="rId216" ref="I239"/>
    <hyperlink r:id="rId217" ref="I240"/>
    <hyperlink r:id="rId218" ref="I241"/>
    <hyperlink r:id="rId219" ref="I244"/>
    <hyperlink r:id="rId220" ref="I245"/>
    <hyperlink r:id="rId221" ref="I246"/>
    <hyperlink r:id="rId222" ref="J246"/>
    <hyperlink r:id="rId223" ref="I247"/>
    <hyperlink r:id="rId224" ref="J247"/>
    <hyperlink r:id="rId225" ref="K247"/>
    <hyperlink r:id="rId226" ref="I248"/>
    <hyperlink r:id="rId227" ref="I249"/>
    <hyperlink r:id="rId228" ref="I250"/>
    <hyperlink r:id="rId229" ref="I251"/>
    <hyperlink r:id="rId230" ref="I252"/>
    <hyperlink r:id="rId231" ref="I253"/>
    <hyperlink r:id="rId232" ref="I254"/>
    <hyperlink r:id="rId233" location="google_vignette" ref="I255"/>
    <hyperlink r:id="rId234" location="google_vignette" ref="I256"/>
    <hyperlink r:id="rId235" ref="I257"/>
    <hyperlink r:id="rId236" ref="J257"/>
    <hyperlink r:id="rId237" ref="I258"/>
    <hyperlink r:id="rId238" ref="I259"/>
    <hyperlink r:id="rId239" ref="I260"/>
    <hyperlink r:id="rId240" ref="I261"/>
    <hyperlink r:id="rId241" ref="J261"/>
    <hyperlink r:id="rId242" ref="I264"/>
    <hyperlink r:id="rId243" ref="I265"/>
    <hyperlink r:id="rId244" ref="I266"/>
    <hyperlink r:id="rId245" ref="J266"/>
    <hyperlink r:id="rId246" ref="K266"/>
    <hyperlink r:id="rId247" ref="I268"/>
    <hyperlink r:id="rId248" ref="I269"/>
    <hyperlink r:id="rId249" ref="I270"/>
    <hyperlink r:id="rId250" ref="J270"/>
    <hyperlink r:id="rId251" ref="I271"/>
    <hyperlink r:id="rId252" ref="I275"/>
    <hyperlink r:id="rId253" ref="I276"/>
    <hyperlink r:id="rId254" ref="I277"/>
    <hyperlink r:id="rId255" ref="I278"/>
    <hyperlink r:id="rId256" ref="I279"/>
    <hyperlink r:id="rId257" ref="I280"/>
    <hyperlink r:id="rId258" ref="I281"/>
    <hyperlink r:id="rId259" ref="I282"/>
    <hyperlink r:id="rId260" ref="J282"/>
    <hyperlink r:id="rId261" ref="I283"/>
    <hyperlink r:id="rId262" ref="I284"/>
    <hyperlink r:id="rId263" ref="I285"/>
    <hyperlink r:id="rId264" location="vca=fixed-btn&amp;vso=rrss&amp;vmc=tw&amp;vli=unicaja" ref="I286"/>
    <hyperlink r:id="rId265" ref="I287"/>
    <hyperlink r:id="rId266" ref="J287"/>
    <hyperlink r:id="rId267" ref="I288"/>
    <hyperlink r:id="rId268" ref="I289"/>
    <hyperlink r:id="rId269" ref="I290"/>
    <hyperlink r:id="rId270" ref="I291"/>
    <hyperlink r:id="rId271" ref="I292"/>
    <hyperlink r:id="rId272" ref="I294"/>
    <hyperlink r:id="rId273" location=":~:text=BasketNews%20sources%20say%20the%20Turkish,of%20nearly%20%E2%82%AC17%20million.&amp;text=Fenerbahce%20Beko%20Istanbul%20have%20completed,27%20season%2C%20BasketNews%20sources%20confirmed." ref="I295"/>
    <hyperlink r:id="rId274" ref="J295"/>
    <hyperlink r:id="rId275" ref="I296"/>
    <hyperlink r:id="rId276" location=":~:text=El%20presupuesto%20m%C3%A1s%20alto%20de,de%20la%20Euroliga%20en%20Atenas." ref="I297"/>
    <hyperlink r:id="rId277" ref="I298"/>
    <hyperlink r:id="rId278" ref="I299"/>
    <hyperlink r:id="rId279" ref="I300"/>
    <hyperlink r:id="rId280" ref="I301"/>
  </hyperlinks>
  <printOptions/>
  <pageMargins bottom="0.75" footer="0.0" header="0.0" left="0.7" right="0.7" top="0.75"/>
  <pageSetup paperSize="9" orientation="portrait"/>
  <drawing r:id="rId28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2" max="2" width="21.33"/>
    <col customWidth="1" min="3" max="3" width="15.22"/>
    <col customWidth="1" min="4" max="4" width="12.89"/>
    <col customWidth="1" min="5" max="5" width="18.33"/>
    <col customWidth="1" min="6" max="6" width="11.22"/>
    <col customWidth="1" min="7" max="7" width="15.0"/>
    <col customWidth="1" min="8" max="8" width="49.89"/>
  </cols>
  <sheetData>
    <row r="3">
      <c r="B3" s="1" t="s">
        <v>0</v>
      </c>
      <c r="C3" s="2"/>
      <c r="D3" s="2"/>
      <c r="E3" s="2"/>
      <c r="F3" s="2"/>
      <c r="G3" s="2"/>
      <c r="H3" s="4"/>
    </row>
    <row r="4">
      <c r="B4" s="5" t="s">
        <v>1</v>
      </c>
      <c r="C4" s="5" t="s">
        <v>3</v>
      </c>
      <c r="D4" s="5" t="s">
        <v>4</v>
      </c>
      <c r="E4" s="5" t="s">
        <v>5</v>
      </c>
      <c r="F4" s="6" t="s">
        <v>6</v>
      </c>
      <c r="G4" s="6" t="s">
        <v>7</v>
      </c>
      <c r="H4" s="6" t="s">
        <v>8</v>
      </c>
    </row>
    <row r="5">
      <c r="B5" s="7" t="s">
        <v>9</v>
      </c>
      <c r="C5" s="7" t="s">
        <v>10</v>
      </c>
      <c r="D5" s="9">
        <v>100000.0</v>
      </c>
      <c r="E5" s="11">
        <v>70000.0</v>
      </c>
      <c r="F5" s="16">
        <f t="shared" ref="F5:F40" si="1">+E5/D5</f>
        <v>0.7</v>
      </c>
      <c r="G5" s="7">
        <v>13.0</v>
      </c>
      <c r="H5" s="7" t="s">
        <v>16</v>
      </c>
    </row>
    <row r="6">
      <c r="B6" s="7" t="s">
        <v>20</v>
      </c>
      <c r="C6" s="7" t="s">
        <v>21</v>
      </c>
      <c r="D6" s="9">
        <v>345000.0</v>
      </c>
      <c r="E6" s="9">
        <v>203500.0</v>
      </c>
      <c r="F6" s="16">
        <f t="shared" si="1"/>
        <v>0.5898550725</v>
      </c>
      <c r="G6" s="7">
        <v>4.0</v>
      </c>
      <c r="H6" s="7" t="s">
        <v>16</v>
      </c>
    </row>
    <row r="7">
      <c r="B7" s="7" t="s">
        <v>9</v>
      </c>
      <c r="C7" s="7" t="s">
        <v>28</v>
      </c>
      <c r="D7" s="9">
        <v>400000.0</v>
      </c>
      <c r="E7" s="11">
        <v>250000.0</v>
      </c>
      <c r="F7" s="16">
        <f t="shared" si="1"/>
        <v>0.625</v>
      </c>
      <c r="G7" s="7">
        <v>11.0</v>
      </c>
      <c r="H7" s="7" t="s">
        <v>16</v>
      </c>
    </row>
    <row r="8">
      <c r="B8" s="7" t="s">
        <v>20</v>
      </c>
      <c r="C8" s="7" t="s">
        <v>29</v>
      </c>
      <c r="D8" s="9">
        <v>325800.0</v>
      </c>
      <c r="E8" s="9">
        <v>255000.0</v>
      </c>
      <c r="F8" s="16">
        <f t="shared" si="1"/>
        <v>0.7826887661</v>
      </c>
      <c r="G8" s="7">
        <v>9.0</v>
      </c>
      <c r="H8" s="7" t="s">
        <v>16</v>
      </c>
    </row>
    <row r="9">
      <c r="B9" s="7" t="s">
        <v>20</v>
      </c>
      <c r="C9" s="7" t="s">
        <v>32</v>
      </c>
      <c r="D9" s="9">
        <v>402900.0</v>
      </c>
      <c r="E9" s="9">
        <v>275900.0</v>
      </c>
      <c r="F9" s="16">
        <f t="shared" si="1"/>
        <v>0.6847853065</v>
      </c>
      <c r="G9" s="7">
        <v>8.0</v>
      </c>
      <c r="H9" s="7" t="s">
        <v>16</v>
      </c>
    </row>
    <row r="10">
      <c r="B10" s="7" t="s">
        <v>20</v>
      </c>
      <c r="C10" s="7" t="s">
        <v>37</v>
      </c>
      <c r="D10" s="9">
        <v>611800.0</v>
      </c>
      <c r="E10" s="9">
        <v>287000.0</v>
      </c>
      <c r="F10" s="16">
        <f t="shared" si="1"/>
        <v>0.4691075515</v>
      </c>
      <c r="G10" s="7">
        <v>11.0</v>
      </c>
      <c r="H10" s="7" t="s">
        <v>16</v>
      </c>
    </row>
    <row r="11">
      <c r="B11" s="7" t="s">
        <v>20</v>
      </c>
      <c r="C11" s="7" t="s">
        <v>41</v>
      </c>
      <c r="D11" s="9">
        <v>352000.0</v>
      </c>
      <c r="E11" s="9">
        <v>305000.0</v>
      </c>
      <c r="F11" s="16">
        <f t="shared" si="1"/>
        <v>0.8664772727</v>
      </c>
      <c r="G11" s="7">
        <v>12.0</v>
      </c>
      <c r="H11" s="7" t="s">
        <v>16</v>
      </c>
    </row>
    <row r="12">
      <c r="B12" s="7" t="s">
        <v>20</v>
      </c>
      <c r="C12" s="7" t="s">
        <v>45</v>
      </c>
      <c r="D12" s="9">
        <v>442500.0</v>
      </c>
      <c r="E12" s="9">
        <v>307500.0</v>
      </c>
      <c r="F12" s="16">
        <f t="shared" si="1"/>
        <v>0.6949152542</v>
      </c>
      <c r="G12" s="7">
        <v>3.0</v>
      </c>
      <c r="H12" s="7" t="s">
        <v>16</v>
      </c>
    </row>
    <row r="13">
      <c r="B13" s="7" t="s">
        <v>20</v>
      </c>
      <c r="C13" s="7" t="s">
        <v>47</v>
      </c>
      <c r="D13" s="9">
        <v>340000.0</v>
      </c>
      <c r="E13" s="9">
        <v>313300.0</v>
      </c>
      <c r="F13" s="16">
        <f t="shared" si="1"/>
        <v>0.9214705882</v>
      </c>
      <c r="G13" s="7">
        <v>5.0</v>
      </c>
      <c r="H13" s="7" t="s">
        <v>16</v>
      </c>
    </row>
    <row r="14">
      <c r="B14" s="7" t="s">
        <v>9</v>
      </c>
      <c r="C14" s="7" t="s">
        <v>49</v>
      </c>
      <c r="D14" s="9">
        <v>550000.0</v>
      </c>
      <c r="E14" s="11">
        <v>350000.0</v>
      </c>
      <c r="F14" s="16">
        <f t="shared" si="1"/>
        <v>0.6363636364</v>
      </c>
      <c r="G14" s="7">
        <v>9.0</v>
      </c>
      <c r="H14" s="7" t="s">
        <v>16</v>
      </c>
    </row>
    <row r="15">
      <c r="B15" s="7" t="s">
        <v>50</v>
      </c>
      <c r="C15" s="7" t="s">
        <v>52</v>
      </c>
      <c r="D15" s="9">
        <v>587238.02</v>
      </c>
      <c r="E15" s="11">
        <v>400000.0</v>
      </c>
      <c r="F15" s="16">
        <f t="shared" si="1"/>
        <v>0.6811548067</v>
      </c>
      <c r="G15" s="7">
        <v>3.0</v>
      </c>
      <c r="H15" s="7" t="s">
        <v>51</v>
      </c>
    </row>
    <row r="16">
      <c r="B16" s="7" t="s">
        <v>9</v>
      </c>
      <c r="C16" s="7" t="s">
        <v>54</v>
      </c>
      <c r="D16" s="9">
        <v>650000.0</v>
      </c>
      <c r="E16" s="11">
        <v>400000.0</v>
      </c>
      <c r="F16" s="16">
        <f t="shared" si="1"/>
        <v>0.6153846154</v>
      </c>
      <c r="G16" s="7">
        <v>7.0</v>
      </c>
      <c r="H16" s="7" t="s">
        <v>16</v>
      </c>
    </row>
    <row r="17">
      <c r="B17" s="7" t="s">
        <v>56</v>
      </c>
      <c r="C17" s="7" t="s">
        <v>57</v>
      </c>
      <c r="D17" s="9">
        <v>591904.35</v>
      </c>
      <c r="E17" s="11">
        <v>400000.0</v>
      </c>
      <c r="F17" s="16">
        <f t="shared" si="1"/>
        <v>0.6757848629</v>
      </c>
      <c r="G17" s="7">
        <v>3.0</v>
      </c>
      <c r="H17" s="7" t="s">
        <v>51</v>
      </c>
    </row>
    <row r="18">
      <c r="B18" s="7" t="s">
        <v>59</v>
      </c>
      <c r="C18" s="7" t="s">
        <v>60</v>
      </c>
      <c r="D18" s="20">
        <v>600000.0</v>
      </c>
      <c r="E18" s="11">
        <v>400000.0</v>
      </c>
      <c r="F18" s="16">
        <f t="shared" si="1"/>
        <v>0.6666666667</v>
      </c>
      <c r="G18" s="7">
        <v>7.0</v>
      </c>
      <c r="H18" s="7" t="s">
        <v>16</v>
      </c>
    </row>
    <row r="19">
      <c r="B19" s="7" t="s">
        <v>20</v>
      </c>
      <c r="C19" s="7" t="s">
        <v>62</v>
      </c>
      <c r="D19" s="9">
        <v>699600.0</v>
      </c>
      <c r="E19" s="9">
        <v>413600.0</v>
      </c>
      <c r="F19" s="16">
        <f t="shared" si="1"/>
        <v>0.5911949686</v>
      </c>
      <c r="G19" s="7">
        <v>1.0</v>
      </c>
      <c r="H19" s="7" t="s">
        <v>16</v>
      </c>
    </row>
    <row r="20">
      <c r="B20" s="7" t="s">
        <v>20</v>
      </c>
      <c r="C20" s="7" t="s">
        <v>63</v>
      </c>
      <c r="D20" s="9">
        <v>890900.0</v>
      </c>
      <c r="E20" s="9">
        <v>467000.0</v>
      </c>
      <c r="F20" s="16">
        <f t="shared" si="1"/>
        <v>0.5241890223</v>
      </c>
      <c r="G20" s="7">
        <v>7.0</v>
      </c>
      <c r="H20" s="7" t="s">
        <v>16</v>
      </c>
    </row>
    <row r="21">
      <c r="B21" s="7" t="s">
        <v>64</v>
      </c>
      <c r="C21" s="7" t="s">
        <v>65</v>
      </c>
      <c r="D21" s="9">
        <v>800000.0</v>
      </c>
      <c r="E21" s="11">
        <v>500000.0</v>
      </c>
      <c r="F21" s="16">
        <f t="shared" si="1"/>
        <v>0.625</v>
      </c>
      <c r="G21" s="7">
        <v>1.0</v>
      </c>
      <c r="H21" s="7" t="s">
        <v>36</v>
      </c>
    </row>
    <row r="22">
      <c r="B22" s="7" t="s">
        <v>20</v>
      </c>
      <c r="C22" s="7" t="s">
        <v>67</v>
      </c>
      <c r="D22" s="9">
        <v>816000.0</v>
      </c>
      <c r="E22" s="9">
        <v>514000.0</v>
      </c>
      <c r="F22" s="16">
        <f t="shared" si="1"/>
        <v>0.6299019608</v>
      </c>
      <c r="G22" s="7">
        <v>2.0</v>
      </c>
      <c r="H22" s="7" t="s">
        <v>16</v>
      </c>
    </row>
    <row r="23">
      <c r="B23" s="7" t="s">
        <v>20</v>
      </c>
      <c r="C23" s="7" t="s">
        <v>68</v>
      </c>
      <c r="D23" s="9">
        <v>761500.0</v>
      </c>
      <c r="E23" s="9">
        <v>515000.0</v>
      </c>
      <c r="F23" s="16">
        <f t="shared" si="1"/>
        <v>0.6762967827</v>
      </c>
      <c r="G23" s="7" t="s">
        <v>16</v>
      </c>
      <c r="H23" s="7" t="s">
        <v>16</v>
      </c>
    </row>
    <row r="24">
      <c r="B24" s="5" t="s">
        <v>69</v>
      </c>
      <c r="C24" s="12" t="s">
        <v>70</v>
      </c>
      <c r="D24" s="13">
        <v>1000000.0</v>
      </c>
      <c r="E24" s="13">
        <v>540000.0</v>
      </c>
      <c r="F24" s="16">
        <f t="shared" si="1"/>
        <v>0.54</v>
      </c>
      <c r="G24" s="12">
        <v>9.0</v>
      </c>
      <c r="H24" s="12" t="s">
        <v>16</v>
      </c>
    </row>
    <row r="25">
      <c r="B25" s="7" t="s">
        <v>9</v>
      </c>
      <c r="C25" s="7" t="s">
        <v>73</v>
      </c>
      <c r="D25" s="9">
        <v>950000.0</v>
      </c>
      <c r="E25" s="9">
        <v>560000.0</v>
      </c>
      <c r="F25" s="16">
        <f t="shared" si="1"/>
        <v>0.5894736842</v>
      </c>
      <c r="G25" s="7">
        <v>5.0</v>
      </c>
      <c r="H25" s="7" t="s">
        <v>74</v>
      </c>
    </row>
    <row r="26">
      <c r="B26" s="7" t="s">
        <v>9</v>
      </c>
      <c r="C26" s="7" t="s">
        <v>75</v>
      </c>
      <c r="D26" s="9">
        <v>1100000.0</v>
      </c>
      <c r="E26" s="11">
        <v>600000.0</v>
      </c>
      <c r="F26" s="16">
        <f t="shared" si="1"/>
        <v>0.5454545455</v>
      </c>
      <c r="G26" s="7">
        <v>3.0</v>
      </c>
      <c r="H26" s="7" t="s">
        <v>76</v>
      </c>
    </row>
    <row r="27">
      <c r="B27" s="7" t="s">
        <v>77</v>
      </c>
      <c r="C27" s="7" t="s">
        <v>78</v>
      </c>
      <c r="D27" s="9">
        <v>941620.8</v>
      </c>
      <c r="E27" s="11">
        <v>600000.0</v>
      </c>
      <c r="F27" s="16">
        <f t="shared" si="1"/>
        <v>0.6371991783</v>
      </c>
      <c r="G27" s="7">
        <v>16.0</v>
      </c>
      <c r="H27" s="7" t="s">
        <v>16</v>
      </c>
    </row>
    <row r="28">
      <c r="B28" s="5" t="s">
        <v>80</v>
      </c>
      <c r="C28" s="5" t="s">
        <v>81</v>
      </c>
      <c r="D28" s="20">
        <v>957423.0</v>
      </c>
      <c r="E28" s="11">
        <v>600000.0</v>
      </c>
      <c r="F28" s="16">
        <f t="shared" si="1"/>
        <v>0.6266822502</v>
      </c>
      <c r="G28" s="5">
        <v>14.0</v>
      </c>
      <c r="H28" s="7" t="s">
        <v>16</v>
      </c>
    </row>
    <row r="29">
      <c r="B29" s="7" t="s">
        <v>20</v>
      </c>
      <c r="C29" s="7" t="s">
        <v>82</v>
      </c>
      <c r="D29" s="9">
        <v>1142200.0</v>
      </c>
      <c r="E29" s="9">
        <v>600800.0</v>
      </c>
      <c r="F29" s="16">
        <f t="shared" si="1"/>
        <v>0.5260024514</v>
      </c>
      <c r="G29" s="7">
        <v>6.0</v>
      </c>
      <c r="H29" s="7" t="s">
        <v>16</v>
      </c>
    </row>
    <row r="30">
      <c r="B30" s="7" t="s">
        <v>83</v>
      </c>
      <c r="C30" s="7" t="s">
        <v>84</v>
      </c>
      <c r="D30" s="9">
        <v>930292.38</v>
      </c>
      <c r="E30" s="11">
        <v>650000.0</v>
      </c>
      <c r="F30" s="16">
        <f t="shared" si="1"/>
        <v>0.6987050673</v>
      </c>
      <c r="G30" s="7">
        <v>5.0</v>
      </c>
      <c r="H30" s="7" t="s">
        <v>16</v>
      </c>
    </row>
    <row r="31">
      <c r="B31" s="5" t="s">
        <v>85</v>
      </c>
      <c r="C31" s="5" t="s">
        <v>86</v>
      </c>
      <c r="D31" s="11">
        <v>1000000.0</v>
      </c>
      <c r="E31" s="11">
        <v>650000.0</v>
      </c>
      <c r="F31" s="16">
        <f t="shared" si="1"/>
        <v>0.65</v>
      </c>
      <c r="G31" s="5">
        <v>15.0</v>
      </c>
      <c r="H31" s="7" t="s">
        <v>16</v>
      </c>
    </row>
    <row r="32">
      <c r="B32" s="5" t="s">
        <v>88</v>
      </c>
      <c r="C32" s="5" t="s">
        <v>89</v>
      </c>
      <c r="D32" s="20">
        <v>1000000.0</v>
      </c>
      <c r="E32" s="11">
        <v>650000.0</v>
      </c>
      <c r="F32" s="16">
        <f t="shared" si="1"/>
        <v>0.65</v>
      </c>
      <c r="G32" s="5">
        <v>17.0</v>
      </c>
      <c r="H32" s="7" t="s">
        <v>16</v>
      </c>
    </row>
    <row r="33">
      <c r="B33" s="7" t="s">
        <v>91</v>
      </c>
      <c r="C33" s="7" t="s">
        <v>92</v>
      </c>
      <c r="D33" s="9">
        <v>1200000.0</v>
      </c>
      <c r="E33" s="11">
        <v>650000.0</v>
      </c>
      <c r="F33" s="16">
        <f t="shared" si="1"/>
        <v>0.5416666667</v>
      </c>
      <c r="G33" s="7">
        <v>1.0</v>
      </c>
      <c r="H33" s="7" t="s">
        <v>51</v>
      </c>
    </row>
    <row r="34">
      <c r="B34" s="5" t="s">
        <v>69</v>
      </c>
      <c r="C34" s="12" t="s">
        <v>94</v>
      </c>
      <c r="D34" s="13">
        <v>1135000.0</v>
      </c>
      <c r="E34" s="13">
        <v>666863.0</v>
      </c>
      <c r="F34" s="16">
        <f t="shared" si="1"/>
        <v>0.5875444934</v>
      </c>
      <c r="G34" s="12">
        <v>8.0</v>
      </c>
      <c r="H34" s="12" t="s">
        <v>16</v>
      </c>
    </row>
    <row r="35">
      <c r="B35" s="7" t="s">
        <v>9</v>
      </c>
      <c r="C35" s="7" t="s">
        <v>96</v>
      </c>
      <c r="D35" s="9">
        <v>1500000.0</v>
      </c>
      <c r="E35" s="9">
        <v>675000.0</v>
      </c>
      <c r="F35" s="16">
        <f t="shared" si="1"/>
        <v>0.45</v>
      </c>
      <c r="G35" s="7">
        <v>2.0</v>
      </c>
      <c r="H35" s="7" t="s">
        <v>98</v>
      </c>
    </row>
    <row r="36">
      <c r="B36" s="5" t="s">
        <v>69</v>
      </c>
      <c r="C36" s="12" t="s">
        <v>99</v>
      </c>
      <c r="D36" s="13">
        <v>1000000.0</v>
      </c>
      <c r="E36" s="25">
        <v>700000.0</v>
      </c>
      <c r="F36" s="16">
        <f t="shared" si="1"/>
        <v>0.7</v>
      </c>
      <c r="G36" s="12">
        <v>6.0</v>
      </c>
      <c r="H36" s="12" t="s">
        <v>16</v>
      </c>
    </row>
    <row r="37">
      <c r="B37" s="7" t="s">
        <v>91</v>
      </c>
      <c r="C37" s="7" t="s">
        <v>104</v>
      </c>
      <c r="D37" s="9">
        <v>1500000.0</v>
      </c>
      <c r="E37" s="11">
        <v>800000.0</v>
      </c>
      <c r="F37" s="16">
        <f t="shared" si="1"/>
        <v>0.5333333333</v>
      </c>
      <c r="G37" s="7">
        <v>4.0</v>
      </c>
      <c r="H37" s="7" t="s">
        <v>51</v>
      </c>
    </row>
    <row r="38">
      <c r="B38" s="5" t="s">
        <v>69</v>
      </c>
      <c r="C38" s="12" t="s">
        <v>106</v>
      </c>
      <c r="D38" s="13">
        <v>1600000.0</v>
      </c>
      <c r="E38" s="25">
        <v>950000.0</v>
      </c>
      <c r="F38" s="16">
        <f t="shared" si="1"/>
        <v>0.59375</v>
      </c>
      <c r="G38" s="12">
        <v>7.0</v>
      </c>
      <c r="H38" s="12" t="s">
        <v>16</v>
      </c>
    </row>
    <row r="39">
      <c r="B39" s="5" t="s">
        <v>13</v>
      </c>
      <c r="C39" s="12" t="s">
        <v>58</v>
      </c>
      <c r="D39" s="13">
        <v>3741000.0</v>
      </c>
      <c r="E39" s="13">
        <v>968000.0</v>
      </c>
      <c r="F39" s="16">
        <f t="shared" si="1"/>
        <v>0.2587543438</v>
      </c>
      <c r="G39" s="12">
        <v>16.0</v>
      </c>
      <c r="H39" s="12" t="s">
        <v>16</v>
      </c>
    </row>
    <row r="40">
      <c r="B40" s="7" t="s">
        <v>59</v>
      </c>
      <c r="C40" s="7" t="s">
        <v>110</v>
      </c>
      <c r="D40" s="9">
        <v>1650000.0</v>
      </c>
      <c r="E40" s="9">
        <v>1000000.0</v>
      </c>
      <c r="F40" s="16">
        <f t="shared" si="1"/>
        <v>0.6060606061</v>
      </c>
      <c r="G40" s="7">
        <v>9.0</v>
      </c>
      <c r="H40" s="7" t="s">
        <v>51</v>
      </c>
    </row>
    <row r="41">
      <c r="B41" s="5" t="s">
        <v>114</v>
      </c>
      <c r="C41" s="7" t="s">
        <v>115</v>
      </c>
      <c r="D41" s="11">
        <v>1500000.0</v>
      </c>
      <c r="E41" s="9">
        <v>1000000.0</v>
      </c>
      <c r="F41" s="16">
        <f>E41/D41</f>
        <v>0.6666666667</v>
      </c>
      <c r="G41" s="7">
        <v>11.0</v>
      </c>
      <c r="H41" s="7" t="s">
        <v>102</v>
      </c>
    </row>
    <row r="42">
      <c r="B42" s="7" t="s">
        <v>83</v>
      </c>
      <c r="C42" s="7" t="s">
        <v>119</v>
      </c>
      <c r="D42" s="9">
        <v>1726451.0</v>
      </c>
      <c r="E42" s="11">
        <v>1100000.0</v>
      </c>
      <c r="F42" s="16">
        <f t="shared" ref="F42:F55" si="2">+E42/D42</f>
        <v>0.6371452187</v>
      </c>
      <c r="G42" s="7">
        <v>3.0</v>
      </c>
      <c r="H42" s="7" t="s">
        <v>16</v>
      </c>
    </row>
    <row r="43">
      <c r="B43" s="5" t="s">
        <v>69</v>
      </c>
      <c r="C43" s="12" t="s">
        <v>123</v>
      </c>
      <c r="D43" s="13">
        <v>2000000.0</v>
      </c>
      <c r="E43" s="25">
        <v>1100000.0</v>
      </c>
      <c r="F43" s="16">
        <f t="shared" si="2"/>
        <v>0.55</v>
      </c>
      <c r="G43" s="12">
        <v>4.0</v>
      </c>
      <c r="H43" s="12" t="s">
        <v>16</v>
      </c>
    </row>
    <row r="44">
      <c r="B44" s="7" t="s">
        <v>77</v>
      </c>
      <c r="C44" s="7" t="s">
        <v>126</v>
      </c>
      <c r="D44" s="9">
        <v>1765539.0</v>
      </c>
      <c r="E44" s="11">
        <v>1100000.0</v>
      </c>
      <c r="F44" s="16">
        <f t="shared" si="2"/>
        <v>0.6230391965</v>
      </c>
      <c r="G44" s="7">
        <v>2.0</v>
      </c>
      <c r="H44" s="7" t="s">
        <v>16</v>
      </c>
    </row>
    <row r="45">
      <c r="B45" s="7" t="s">
        <v>59</v>
      </c>
      <c r="C45" s="7" t="s">
        <v>128</v>
      </c>
      <c r="D45" s="20">
        <v>1800000.0</v>
      </c>
      <c r="E45" s="11">
        <v>1100000.0</v>
      </c>
      <c r="F45" s="16">
        <f t="shared" si="2"/>
        <v>0.6111111111</v>
      </c>
      <c r="G45" s="7">
        <v>2.0</v>
      </c>
      <c r="H45" s="7" t="s">
        <v>16</v>
      </c>
    </row>
    <row r="46">
      <c r="B46" s="5" t="s">
        <v>69</v>
      </c>
      <c r="C46" s="12" t="s">
        <v>131</v>
      </c>
      <c r="D46" s="13">
        <v>2600000.0</v>
      </c>
      <c r="E46" s="25">
        <v>1200000.0</v>
      </c>
      <c r="F46" s="16">
        <f t="shared" si="2"/>
        <v>0.4615384615</v>
      </c>
      <c r="G46" s="12">
        <v>5.0</v>
      </c>
      <c r="H46" s="5" t="s">
        <v>133</v>
      </c>
    </row>
    <row r="47">
      <c r="B47" s="7" t="s">
        <v>77</v>
      </c>
      <c r="C47" s="7" t="s">
        <v>134</v>
      </c>
      <c r="D47" s="11">
        <v>1900000.0</v>
      </c>
      <c r="E47" s="11">
        <v>1200000.0</v>
      </c>
      <c r="F47" s="16">
        <f t="shared" si="2"/>
        <v>0.6315789474</v>
      </c>
      <c r="G47" s="7">
        <v>4.0</v>
      </c>
      <c r="H47" s="12" t="s">
        <v>113</v>
      </c>
    </row>
    <row r="48">
      <c r="B48" s="5" t="s">
        <v>88</v>
      </c>
      <c r="C48" s="5" t="s">
        <v>138</v>
      </c>
      <c r="D48" s="20">
        <v>1850000.0</v>
      </c>
      <c r="E48" s="11">
        <v>1200000.0</v>
      </c>
      <c r="F48" s="16">
        <f t="shared" si="2"/>
        <v>0.6486486486</v>
      </c>
      <c r="G48" s="5">
        <v>12.0</v>
      </c>
      <c r="H48" s="7" t="s">
        <v>16</v>
      </c>
    </row>
    <row r="49">
      <c r="B49" s="5" t="s">
        <v>69</v>
      </c>
      <c r="C49" s="12" t="s">
        <v>142</v>
      </c>
      <c r="D49" s="13">
        <v>2800000.0</v>
      </c>
      <c r="E49" s="13">
        <v>1220000.0</v>
      </c>
      <c r="F49" s="16">
        <f t="shared" si="2"/>
        <v>0.4357142857</v>
      </c>
      <c r="G49" s="12">
        <v>3.0</v>
      </c>
      <c r="H49" s="5" t="s">
        <v>143</v>
      </c>
    </row>
    <row r="50">
      <c r="B50" s="5" t="s">
        <v>13</v>
      </c>
      <c r="C50" s="12" t="s">
        <v>46</v>
      </c>
      <c r="D50" s="13">
        <v>3853000.0</v>
      </c>
      <c r="E50" s="13">
        <v>1242000.0</v>
      </c>
      <c r="F50" s="16">
        <f t="shared" si="2"/>
        <v>0.3223462237</v>
      </c>
      <c r="G50" s="12">
        <v>12.0</v>
      </c>
      <c r="H50" s="12" t="s">
        <v>16</v>
      </c>
    </row>
    <row r="51">
      <c r="B51" s="7" t="s">
        <v>50</v>
      </c>
      <c r="C51" s="7" t="s">
        <v>145</v>
      </c>
      <c r="D51" s="9">
        <v>2000000.0</v>
      </c>
      <c r="E51" s="11">
        <v>1300000.0</v>
      </c>
      <c r="F51" s="16">
        <f t="shared" si="2"/>
        <v>0.65</v>
      </c>
      <c r="G51" s="7">
        <v>1.0</v>
      </c>
      <c r="H51" s="7" t="s">
        <v>146</v>
      </c>
    </row>
    <row r="52">
      <c r="B52" s="7" t="s">
        <v>77</v>
      </c>
      <c r="C52" s="7" t="s">
        <v>147</v>
      </c>
      <c r="D52" s="9">
        <v>2000944.2</v>
      </c>
      <c r="E52" s="11">
        <v>1300000.0</v>
      </c>
      <c r="F52" s="16">
        <f t="shared" si="2"/>
        <v>0.6496932798</v>
      </c>
      <c r="G52" s="7">
        <v>5.0</v>
      </c>
      <c r="H52" s="5" t="s">
        <v>148</v>
      </c>
    </row>
    <row r="53">
      <c r="B53" s="5" t="s">
        <v>88</v>
      </c>
      <c r="C53" s="5" t="s">
        <v>150</v>
      </c>
      <c r="D53" s="11">
        <v>2000000.0</v>
      </c>
      <c r="E53" s="20">
        <v>1300000.0</v>
      </c>
      <c r="F53" s="16">
        <f t="shared" si="2"/>
        <v>0.65</v>
      </c>
      <c r="G53" s="5">
        <v>11.0</v>
      </c>
      <c r="H53" s="7" t="s">
        <v>16</v>
      </c>
    </row>
    <row r="54">
      <c r="B54" s="5" t="s">
        <v>152</v>
      </c>
      <c r="C54" s="5" t="s">
        <v>153</v>
      </c>
      <c r="D54" s="11">
        <v>2800000.0</v>
      </c>
      <c r="E54" s="20">
        <v>1340000.0</v>
      </c>
      <c r="F54" s="16">
        <f t="shared" si="2"/>
        <v>0.4785714286</v>
      </c>
      <c r="G54" s="5">
        <v>9.0</v>
      </c>
      <c r="H54" s="7" t="s">
        <v>16</v>
      </c>
    </row>
    <row r="55">
      <c r="B55" s="5" t="s">
        <v>154</v>
      </c>
      <c r="C55" s="5" t="s">
        <v>155</v>
      </c>
      <c r="D55" s="20">
        <v>3034805.0</v>
      </c>
      <c r="E55" s="20">
        <v>1360000.0</v>
      </c>
      <c r="F55" s="16">
        <f t="shared" si="2"/>
        <v>0.4481342294</v>
      </c>
      <c r="G55" s="5">
        <v>10.0</v>
      </c>
      <c r="H55" s="7" t="s">
        <v>16</v>
      </c>
    </row>
    <row r="56">
      <c r="B56" s="5" t="s">
        <v>114</v>
      </c>
      <c r="C56" s="7" t="s">
        <v>157</v>
      </c>
      <c r="D56" s="11">
        <v>2200000.0</v>
      </c>
      <c r="E56" s="9">
        <v>1380000.0</v>
      </c>
      <c r="F56" s="16">
        <f t="shared" ref="F56:F57" si="3">E56/D56</f>
        <v>0.6272727273</v>
      </c>
      <c r="G56" s="7">
        <v>6.0</v>
      </c>
      <c r="H56" s="7" t="s">
        <v>160</v>
      </c>
    </row>
    <row r="57">
      <c r="B57" s="5" t="s">
        <v>114</v>
      </c>
      <c r="C57" s="7" t="s">
        <v>162</v>
      </c>
      <c r="D57" s="11">
        <v>2000000.0</v>
      </c>
      <c r="E57" s="9">
        <v>1380000.0</v>
      </c>
      <c r="F57" s="16">
        <f t="shared" si="3"/>
        <v>0.69</v>
      </c>
      <c r="G57" s="7">
        <v>7.0</v>
      </c>
      <c r="H57" s="7" t="s">
        <v>16</v>
      </c>
    </row>
    <row r="58">
      <c r="B58" s="7" t="s">
        <v>77</v>
      </c>
      <c r="C58" s="7" t="s">
        <v>163</v>
      </c>
      <c r="D58" s="11">
        <v>2500000.0</v>
      </c>
      <c r="E58" s="11">
        <v>1400000.0</v>
      </c>
      <c r="F58" s="16">
        <f>+E58/D58</f>
        <v>0.56</v>
      </c>
      <c r="G58" s="7">
        <v>3.0</v>
      </c>
      <c r="H58" s="7" t="s">
        <v>166</v>
      </c>
    </row>
    <row r="59">
      <c r="B59" s="5" t="s">
        <v>114</v>
      </c>
      <c r="C59" s="7" t="s">
        <v>168</v>
      </c>
      <c r="D59" s="11">
        <v>2200000.0</v>
      </c>
      <c r="E59" s="9">
        <v>1400000.0</v>
      </c>
      <c r="F59" s="16">
        <f>E59/D59</f>
        <v>0.6363636364</v>
      </c>
      <c r="G59" s="7">
        <v>9.0</v>
      </c>
      <c r="H59" s="7" t="s">
        <v>74</v>
      </c>
    </row>
    <row r="60">
      <c r="B60" s="5" t="s">
        <v>152</v>
      </c>
      <c r="C60" s="5" t="s">
        <v>170</v>
      </c>
      <c r="D60" s="11">
        <v>3000000.0</v>
      </c>
      <c r="E60" s="20">
        <v>1410000.0</v>
      </c>
      <c r="F60" s="16">
        <f t="shared" ref="F60:F73" si="4">+E60/D60</f>
        <v>0.47</v>
      </c>
      <c r="G60" s="5">
        <v>10.0</v>
      </c>
      <c r="H60" s="7" t="s">
        <v>16</v>
      </c>
    </row>
    <row r="61">
      <c r="B61" s="7" t="s">
        <v>83</v>
      </c>
      <c r="C61" s="7" t="s">
        <v>173</v>
      </c>
      <c r="D61" s="9">
        <v>2254593.0</v>
      </c>
      <c r="E61" s="11">
        <v>1450000.0</v>
      </c>
      <c r="F61" s="16">
        <f t="shared" si="4"/>
        <v>0.6431315985</v>
      </c>
      <c r="G61" s="7">
        <v>4.0</v>
      </c>
      <c r="H61" s="7" t="s">
        <v>16</v>
      </c>
    </row>
    <row r="62">
      <c r="B62" s="5" t="s">
        <v>174</v>
      </c>
      <c r="C62" s="5" t="s">
        <v>175</v>
      </c>
      <c r="D62" s="20">
        <v>2366569.6</v>
      </c>
      <c r="E62" s="11">
        <v>1450000.0</v>
      </c>
      <c r="F62" s="16">
        <f t="shared" si="4"/>
        <v>0.6127011857</v>
      </c>
      <c r="G62" s="5">
        <v>10.0</v>
      </c>
      <c r="H62" s="7" t="s">
        <v>16</v>
      </c>
    </row>
    <row r="63">
      <c r="B63" s="5" t="s">
        <v>174</v>
      </c>
      <c r="C63" s="5" t="s">
        <v>176</v>
      </c>
      <c r="D63" s="20">
        <v>2366569.6</v>
      </c>
      <c r="E63" s="11">
        <v>1450000.0</v>
      </c>
      <c r="F63" s="16">
        <f t="shared" si="4"/>
        <v>0.6127011857</v>
      </c>
      <c r="G63" s="5">
        <v>12.0</v>
      </c>
      <c r="H63" s="7" t="s">
        <v>16</v>
      </c>
    </row>
    <row r="64">
      <c r="B64" s="5" t="s">
        <v>174</v>
      </c>
      <c r="C64" s="5" t="s">
        <v>177</v>
      </c>
      <c r="D64" s="20">
        <v>2366569.6</v>
      </c>
      <c r="E64" s="11">
        <v>1450000.0</v>
      </c>
      <c r="F64" s="16">
        <f t="shared" si="4"/>
        <v>0.6127011857</v>
      </c>
      <c r="G64" s="5">
        <v>14.0</v>
      </c>
      <c r="H64" s="7" t="s">
        <v>16</v>
      </c>
    </row>
    <row r="65">
      <c r="B65" s="7" t="s">
        <v>77</v>
      </c>
      <c r="C65" s="7" t="s">
        <v>181</v>
      </c>
      <c r="D65" s="9">
        <v>2354052.0</v>
      </c>
      <c r="E65" s="11">
        <v>1450000.0</v>
      </c>
      <c r="F65" s="16">
        <f t="shared" si="4"/>
        <v>0.6159592057</v>
      </c>
      <c r="G65" s="7">
        <v>6.0</v>
      </c>
      <c r="H65" s="7" t="s">
        <v>16</v>
      </c>
    </row>
    <row r="66">
      <c r="B66" s="5" t="s">
        <v>71</v>
      </c>
      <c r="C66" s="12" t="s">
        <v>87</v>
      </c>
      <c r="D66" s="13">
        <v>5580000.0</v>
      </c>
      <c r="E66" s="13">
        <v>1460000.0</v>
      </c>
      <c r="F66" s="16">
        <f t="shared" si="4"/>
        <v>0.2616487455</v>
      </c>
      <c r="G66" s="12">
        <v>3.0</v>
      </c>
      <c r="H66" s="12" t="s">
        <v>16</v>
      </c>
    </row>
    <row r="67">
      <c r="B67" s="5" t="s">
        <v>71</v>
      </c>
      <c r="C67" s="12" t="s">
        <v>116</v>
      </c>
      <c r="D67" s="13">
        <v>4610000.0</v>
      </c>
      <c r="E67" s="13">
        <v>1470000.0</v>
      </c>
      <c r="F67" s="16">
        <f t="shared" si="4"/>
        <v>0.3188720174</v>
      </c>
      <c r="G67" s="12">
        <v>13.0</v>
      </c>
      <c r="H67" s="5" t="s">
        <v>127</v>
      </c>
    </row>
    <row r="68">
      <c r="B68" s="7" t="s">
        <v>184</v>
      </c>
      <c r="C68" s="7" t="s">
        <v>185</v>
      </c>
      <c r="D68" s="9">
        <v>2000000.0</v>
      </c>
      <c r="E68" s="9">
        <v>1480000.0</v>
      </c>
      <c r="F68" s="16">
        <f t="shared" si="4"/>
        <v>0.74</v>
      </c>
      <c r="G68" s="7">
        <v>1.0</v>
      </c>
      <c r="H68" s="7" t="s">
        <v>51</v>
      </c>
    </row>
    <row r="69">
      <c r="B69" s="5" t="s">
        <v>187</v>
      </c>
      <c r="C69" s="5" t="s">
        <v>188</v>
      </c>
      <c r="D69" s="11">
        <v>2200000.0</v>
      </c>
      <c r="E69" s="11">
        <v>1500000.0</v>
      </c>
      <c r="F69" s="16">
        <f t="shared" si="4"/>
        <v>0.6818181818</v>
      </c>
      <c r="G69" s="5">
        <v>16.0</v>
      </c>
      <c r="H69" s="7" t="s">
        <v>16</v>
      </c>
    </row>
    <row r="70">
      <c r="B70" s="5" t="s">
        <v>190</v>
      </c>
      <c r="C70" s="5" t="s">
        <v>191</v>
      </c>
      <c r="D70" s="20">
        <v>2100000.0</v>
      </c>
      <c r="E70" s="11">
        <v>1500000.0</v>
      </c>
      <c r="F70" s="16">
        <f t="shared" si="4"/>
        <v>0.7142857143</v>
      </c>
      <c r="G70" s="5">
        <v>7.0</v>
      </c>
      <c r="H70" s="7" t="s">
        <v>160</v>
      </c>
    </row>
    <row r="71">
      <c r="B71" s="7" t="s">
        <v>83</v>
      </c>
      <c r="C71" s="7" t="s">
        <v>192</v>
      </c>
      <c r="D71" s="9">
        <v>2308343.72</v>
      </c>
      <c r="E71" s="11">
        <v>1500000.0</v>
      </c>
      <c r="F71" s="16">
        <f t="shared" si="4"/>
        <v>0.6498165706</v>
      </c>
      <c r="G71" s="7">
        <v>1.0</v>
      </c>
      <c r="H71" s="7" t="s">
        <v>36</v>
      </c>
    </row>
    <row r="72">
      <c r="B72" s="5" t="s">
        <v>80</v>
      </c>
      <c r="C72" s="5" t="s">
        <v>193</v>
      </c>
      <c r="D72" s="20">
        <v>2000000.0</v>
      </c>
      <c r="E72" s="20">
        <v>1500000.0</v>
      </c>
      <c r="F72" s="16">
        <f t="shared" si="4"/>
        <v>0.75</v>
      </c>
      <c r="G72" s="5">
        <v>13.0</v>
      </c>
      <c r="H72" s="7" t="s">
        <v>16</v>
      </c>
    </row>
    <row r="73">
      <c r="B73" s="5" t="s">
        <v>195</v>
      </c>
      <c r="C73" s="5" t="s">
        <v>197</v>
      </c>
      <c r="D73" s="11">
        <v>2200000.0</v>
      </c>
      <c r="E73" s="11">
        <v>1500000.0</v>
      </c>
      <c r="F73" s="16">
        <f t="shared" si="4"/>
        <v>0.6818181818</v>
      </c>
      <c r="G73" s="5">
        <v>16.0</v>
      </c>
      <c r="H73" s="5" t="s">
        <v>16</v>
      </c>
    </row>
    <row r="74">
      <c r="B74" s="5" t="s">
        <v>114</v>
      </c>
      <c r="C74" s="7" t="s">
        <v>198</v>
      </c>
      <c r="D74" s="11">
        <v>2200000.0</v>
      </c>
      <c r="E74" s="9">
        <v>1500000.0</v>
      </c>
      <c r="F74" s="16">
        <f>E74/D74</f>
        <v>0.6818181818</v>
      </c>
      <c r="G74" s="7">
        <v>8.0</v>
      </c>
      <c r="H74" s="7" t="s">
        <v>16</v>
      </c>
    </row>
    <row r="75">
      <c r="B75" s="5" t="s">
        <v>152</v>
      </c>
      <c r="C75" s="5" t="s">
        <v>200</v>
      </c>
      <c r="D75" s="11">
        <v>3300000.0</v>
      </c>
      <c r="E75" s="20">
        <v>1550000.0</v>
      </c>
      <c r="F75" s="16">
        <f t="shared" ref="F75:F82" si="5">+E75/D75</f>
        <v>0.4696969697</v>
      </c>
      <c r="G75" s="5">
        <v>7.0</v>
      </c>
      <c r="H75" s="7" t="s">
        <v>16</v>
      </c>
    </row>
    <row r="76">
      <c r="B76" s="5" t="s">
        <v>71</v>
      </c>
      <c r="C76" s="12" t="s">
        <v>103</v>
      </c>
      <c r="D76" s="13">
        <v>4620000.0</v>
      </c>
      <c r="E76" s="13">
        <v>1560000.0</v>
      </c>
      <c r="F76" s="16">
        <f t="shared" si="5"/>
        <v>0.3376623377</v>
      </c>
      <c r="G76" s="12">
        <v>8.0</v>
      </c>
      <c r="H76" s="12" t="s">
        <v>16</v>
      </c>
    </row>
    <row r="77">
      <c r="B77" s="5" t="s">
        <v>71</v>
      </c>
      <c r="C77" s="12" t="s">
        <v>120</v>
      </c>
      <c r="D77" s="13">
        <v>4260000.0</v>
      </c>
      <c r="E77" s="13">
        <v>1570000.0</v>
      </c>
      <c r="F77" s="16">
        <f t="shared" si="5"/>
        <v>0.3685446009</v>
      </c>
      <c r="G77" s="12">
        <v>16.0</v>
      </c>
      <c r="H77" s="12" t="s">
        <v>16</v>
      </c>
    </row>
    <row r="78">
      <c r="B78" s="5" t="s">
        <v>13</v>
      </c>
      <c r="C78" s="12" t="s">
        <v>27</v>
      </c>
      <c r="D78" s="13">
        <v>5627000.0</v>
      </c>
      <c r="E78" s="13">
        <v>1598000.0</v>
      </c>
      <c r="F78" s="16">
        <f t="shared" si="5"/>
        <v>0.2839879154</v>
      </c>
      <c r="G78" s="12">
        <v>3.0</v>
      </c>
      <c r="H78" s="12" t="s">
        <v>16</v>
      </c>
    </row>
    <row r="79">
      <c r="B79" s="7" t="s">
        <v>83</v>
      </c>
      <c r="C79" s="7" t="s">
        <v>207</v>
      </c>
      <c r="D79" s="9">
        <v>2506275.68</v>
      </c>
      <c r="E79" s="11">
        <v>1600000.0</v>
      </c>
      <c r="F79" s="16">
        <f t="shared" si="5"/>
        <v>0.6383974488</v>
      </c>
      <c r="G79" s="7">
        <v>2.0</v>
      </c>
      <c r="H79" s="5" t="s">
        <v>208</v>
      </c>
    </row>
    <row r="80">
      <c r="B80" s="5" t="s">
        <v>174</v>
      </c>
      <c r="C80" s="5" t="s">
        <v>209</v>
      </c>
      <c r="D80" s="20">
        <v>2662390.8</v>
      </c>
      <c r="E80" s="11">
        <v>1600000.0</v>
      </c>
      <c r="F80" s="16">
        <f t="shared" si="5"/>
        <v>0.6009636151</v>
      </c>
      <c r="G80" s="5">
        <v>8.0</v>
      </c>
      <c r="H80" s="7" t="s">
        <v>16</v>
      </c>
    </row>
    <row r="81">
      <c r="B81" s="5" t="s">
        <v>174</v>
      </c>
      <c r="C81" s="5" t="s">
        <v>210</v>
      </c>
      <c r="D81" s="20">
        <v>2662390.8</v>
      </c>
      <c r="E81" s="11">
        <v>1600000.0</v>
      </c>
      <c r="F81" s="16">
        <f t="shared" si="5"/>
        <v>0.6009636151</v>
      </c>
      <c r="G81" s="5">
        <v>13.0</v>
      </c>
      <c r="H81" s="7" t="s">
        <v>16</v>
      </c>
    </row>
    <row r="82">
      <c r="B82" s="7" t="s">
        <v>212</v>
      </c>
      <c r="C82" s="7" t="s">
        <v>213</v>
      </c>
      <c r="D82" s="9">
        <v>3100000.0</v>
      </c>
      <c r="E82" s="11">
        <v>1600000.0</v>
      </c>
      <c r="F82" s="16">
        <f t="shared" si="5"/>
        <v>0.5161290323</v>
      </c>
      <c r="G82" s="7">
        <v>3.0</v>
      </c>
      <c r="H82" s="7" t="s">
        <v>51</v>
      </c>
    </row>
    <row r="83">
      <c r="B83" s="5" t="s">
        <v>114</v>
      </c>
      <c r="C83" s="7" t="s">
        <v>214</v>
      </c>
      <c r="D83" s="11">
        <v>2500000.0</v>
      </c>
      <c r="E83" s="9">
        <v>1600000.0</v>
      </c>
      <c r="F83" s="16">
        <f>E83/D83</f>
        <v>0.64</v>
      </c>
      <c r="G83" s="7">
        <v>10.0</v>
      </c>
      <c r="H83" s="7" t="s">
        <v>36</v>
      </c>
    </row>
    <row r="84">
      <c r="B84" s="5" t="s">
        <v>152</v>
      </c>
      <c r="C84" s="5" t="s">
        <v>218</v>
      </c>
      <c r="D84" s="11">
        <v>3400000.0</v>
      </c>
      <c r="E84" s="20">
        <v>1620000.0</v>
      </c>
      <c r="F84" s="16">
        <f t="shared" ref="F84:F119" si="6">+E84/D84</f>
        <v>0.4764705882</v>
      </c>
      <c r="G84" s="5">
        <v>8.0</v>
      </c>
      <c r="H84" s="7" t="s">
        <v>16</v>
      </c>
    </row>
    <row r="85">
      <c r="B85" s="5" t="s">
        <v>13</v>
      </c>
      <c r="C85" s="12" t="s">
        <v>31</v>
      </c>
      <c r="D85" s="13">
        <v>6460000.0</v>
      </c>
      <c r="E85" s="13">
        <v>1631000.0</v>
      </c>
      <c r="F85" s="16">
        <f t="shared" si="6"/>
        <v>0.2524767802</v>
      </c>
      <c r="G85" s="12">
        <v>5.0</v>
      </c>
      <c r="H85" s="5" t="s">
        <v>36</v>
      </c>
    </row>
    <row r="86">
      <c r="B86" s="5" t="s">
        <v>13</v>
      </c>
      <c r="C86" s="12" t="s">
        <v>55</v>
      </c>
      <c r="D86" s="13">
        <v>4138000.0</v>
      </c>
      <c r="E86" s="13">
        <v>1663000.0</v>
      </c>
      <c r="F86" s="16">
        <f t="shared" si="6"/>
        <v>0.4018849686</v>
      </c>
      <c r="G86" s="12">
        <v>15.0</v>
      </c>
      <c r="H86" s="12" t="s">
        <v>16</v>
      </c>
    </row>
    <row r="87">
      <c r="B87" s="5" t="s">
        <v>222</v>
      </c>
      <c r="C87" s="12" t="s">
        <v>223</v>
      </c>
      <c r="D87" s="13">
        <v>4140000.0</v>
      </c>
      <c r="E87" s="45">
        <v>1700000.0</v>
      </c>
      <c r="F87" s="16">
        <f t="shared" si="6"/>
        <v>0.4106280193</v>
      </c>
      <c r="G87" s="12">
        <v>11.0</v>
      </c>
      <c r="H87" s="12" t="s">
        <v>16</v>
      </c>
    </row>
    <row r="88">
      <c r="B88" s="5" t="s">
        <v>154</v>
      </c>
      <c r="C88" s="5" t="s">
        <v>225</v>
      </c>
      <c r="D88" s="20">
        <v>2737831.0</v>
      </c>
      <c r="E88" s="11">
        <v>1700000.0</v>
      </c>
      <c r="F88" s="16">
        <f t="shared" si="6"/>
        <v>0.6209294876</v>
      </c>
      <c r="G88" s="5">
        <v>18.0</v>
      </c>
      <c r="H88" s="7" t="s">
        <v>16</v>
      </c>
    </row>
    <row r="89">
      <c r="B89" s="5" t="s">
        <v>174</v>
      </c>
      <c r="C89" s="5" t="s">
        <v>230</v>
      </c>
      <c r="D89" s="20">
        <v>2810301.4</v>
      </c>
      <c r="E89" s="11">
        <v>1700000.0</v>
      </c>
      <c r="F89" s="16">
        <f t="shared" si="6"/>
        <v>0.6049173231</v>
      </c>
      <c r="G89" s="5">
        <v>9.0</v>
      </c>
      <c r="H89" s="7" t="s">
        <v>16</v>
      </c>
    </row>
    <row r="90">
      <c r="B90" s="5" t="s">
        <v>195</v>
      </c>
      <c r="C90" s="5" t="s">
        <v>231</v>
      </c>
      <c r="D90" s="20">
        <v>2500000.0</v>
      </c>
      <c r="E90" s="20">
        <v>1700000.0</v>
      </c>
      <c r="F90" s="16">
        <f t="shared" si="6"/>
        <v>0.68</v>
      </c>
      <c r="G90" s="5">
        <v>9.0</v>
      </c>
      <c r="H90" s="5" t="s">
        <v>16</v>
      </c>
    </row>
    <row r="91">
      <c r="B91" s="7" t="s">
        <v>232</v>
      </c>
      <c r="C91" s="7" t="s">
        <v>233</v>
      </c>
      <c r="D91" s="11">
        <v>2800000.0</v>
      </c>
      <c r="E91" s="9">
        <v>1719552.0</v>
      </c>
      <c r="F91" s="16">
        <f t="shared" si="6"/>
        <v>0.6141257143</v>
      </c>
      <c r="G91" s="7">
        <v>1.0</v>
      </c>
      <c r="H91" s="7" t="s">
        <v>51</v>
      </c>
    </row>
    <row r="92">
      <c r="B92" s="5" t="s">
        <v>13</v>
      </c>
      <c r="C92" s="12" t="s">
        <v>42</v>
      </c>
      <c r="D92" s="13">
        <v>5836000.0</v>
      </c>
      <c r="E92" s="13">
        <v>1733000.0</v>
      </c>
      <c r="F92" s="16">
        <f t="shared" si="6"/>
        <v>0.2969499657</v>
      </c>
      <c r="G92" s="12">
        <v>10.0</v>
      </c>
      <c r="H92" s="12" t="s">
        <v>16</v>
      </c>
    </row>
    <row r="93">
      <c r="B93" s="5" t="s">
        <v>13</v>
      </c>
      <c r="C93" s="12" t="s">
        <v>53</v>
      </c>
      <c r="D93" s="13">
        <v>5858000.0</v>
      </c>
      <c r="E93" s="13">
        <v>1778000.0</v>
      </c>
      <c r="F93" s="16">
        <f t="shared" si="6"/>
        <v>0.3035165586</v>
      </c>
      <c r="G93" s="12">
        <v>14.0</v>
      </c>
      <c r="H93" s="12" t="s">
        <v>16</v>
      </c>
    </row>
    <row r="94">
      <c r="B94" s="5" t="s">
        <v>237</v>
      </c>
      <c r="C94" s="5" t="s">
        <v>238</v>
      </c>
      <c r="D94" s="20">
        <v>8200000.0</v>
      </c>
      <c r="E94" s="20">
        <v>1800000.0</v>
      </c>
      <c r="F94" s="16">
        <f t="shared" si="6"/>
        <v>0.2195121951</v>
      </c>
      <c r="G94" s="5">
        <v>24.0</v>
      </c>
      <c r="H94" s="7" t="s">
        <v>16</v>
      </c>
    </row>
    <row r="95">
      <c r="B95" s="7" t="s">
        <v>77</v>
      </c>
      <c r="C95" s="7" t="s">
        <v>239</v>
      </c>
      <c r="D95" s="9">
        <v>3300000.0</v>
      </c>
      <c r="E95" s="9">
        <v>1800000.0</v>
      </c>
      <c r="F95" s="16">
        <f t="shared" si="6"/>
        <v>0.5454545455</v>
      </c>
      <c r="G95" s="7">
        <v>7.0</v>
      </c>
      <c r="H95" s="5" t="s">
        <v>51</v>
      </c>
    </row>
    <row r="96">
      <c r="B96" s="7" t="s">
        <v>77</v>
      </c>
      <c r="C96" s="7" t="s">
        <v>242</v>
      </c>
      <c r="D96" s="9">
        <v>3300000.0</v>
      </c>
      <c r="E96" s="11">
        <v>1800000.0</v>
      </c>
      <c r="F96" s="16">
        <f t="shared" si="6"/>
        <v>0.5454545455</v>
      </c>
      <c r="G96" s="7">
        <v>1.0</v>
      </c>
      <c r="H96" s="7" t="s">
        <v>98</v>
      </c>
    </row>
    <row r="97">
      <c r="B97" s="7" t="s">
        <v>212</v>
      </c>
      <c r="C97" s="7" t="s">
        <v>244</v>
      </c>
      <c r="D97" s="9">
        <v>3600000.0</v>
      </c>
      <c r="E97" s="11">
        <v>1800000.0</v>
      </c>
      <c r="F97" s="16">
        <f t="shared" si="6"/>
        <v>0.5</v>
      </c>
      <c r="G97" s="7">
        <v>1.0</v>
      </c>
      <c r="H97" s="7" t="s">
        <v>98</v>
      </c>
    </row>
    <row r="98">
      <c r="B98" s="5" t="s">
        <v>13</v>
      </c>
      <c r="C98" s="12" t="s">
        <v>48</v>
      </c>
      <c r="D98" s="13">
        <v>6180000.0</v>
      </c>
      <c r="E98" s="13">
        <v>1850000.0</v>
      </c>
      <c r="F98" s="16">
        <f t="shared" si="6"/>
        <v>0.2993527508</v>
      </c>
      <c r="G98" s="12">
        <v>13.0</v>
      </c>
      <c r="H98" s="12" t="s">
        <v>16</v>
      </c>
    </row>
    <row r="99">
      <c r="B99" s="5" t="s">
        <v>71</v>
      </c>
      <c r="C99" s="12" t="s">
        <v>121</v>
      </c>
      <c r="D99" s="13">
        <v>6680000.0</v>
      </c>
      <c r="E99" s="13">
        <v>1860000.0</v>
      </c>
      <c r="F99" s="16">
        <f t="shared" si="6"/>
        <v>0.2784431138</v>
      </c>
      <c r="G99" s="12">
        <v>17.0</v>
      </c>
      <c r="H99" s="5" t="s">
        <v>51</v>
      </c>
    </row>
    <row r="100">
      <c r="B100" s="5" t="s">
        <v>152</v>
      </c>
      <c r="C100" s="5" t="s">
        <v>246</v>
      </c>
      <c r="D100" s="11">
        <v>3800000.0</v>
      </c>
      <c r="E100" s="20">
        <v>1900000.0</v>
      </c>
      <c r="F100" s="16">
        <f t="shared" si="6"/>
        <v>0.5</v>
      </c>
      <c r="G100" s="5">
        <v>6.0</v>
      </c>
      <c r="H100" s="7" t="s">
        <v>16</v>
      </c>
    </row>
    <row r="101">
      <c r="B101" s="5" t="s">
        <v>174</v>
      </c>
      <c r="C101" s="5" t="s">
        <v>248</v>
      </c>
      <c r="D101" s="20">
        <v>3106122.6</v>
      </c>
      <c r="E101" s="11">
        <v>1900000.0</v>
      </c>
      <c r="F101" s="16">
        <f t="shared" si="6"/>
        <v>0.6116951082</v>
      </c>
      <c r="G101" s="5">
        <v>4.0</v>
      </c>
      <c r="H101" s="7" t="s">
        <v>98</v>
      </c>
    </row>
    <row r="102">
      <c r="B102" s="5" t="s">
        <v>174</v>
      </c>
      <c r="C102" s="5" t="s">
        <v>251</v>
      </c>
      <c r="D102" s="20">
        <v>3106122.6</v>
      </c>
      <c r="E102" s="11">
        <v>1900000.0</v>
      </c>
      <c r="F102" s="16">
        <f t="shared" si="6"/>
        <v>0.6116951082</v>
      </c>
      <c r="G102" s="5">
        <v>7.0</v>
      </c>
      <c r="H102" s="7" t="s">
        <v>16</v>
      </c>
    </row>
    <row r="103">
      <c r="B103" s="5" t="s">
        <v>237</v>
      </c>
      <c r="C103" s="5" t="s">
        <v>252</v>
      </c>
      <c r="D103" s="20">
        <v>7800000.0</v>
      </c>
      <c r="E103" s="20">
        <v>1900000.0</v>
      </c>
      <c r="F103" s="16">
        <f t="shared" si="6"/>
        <v>0.2435897436</v>
      </c>
      <c r="G103" s="5">
        <v>23.0</v>
      </c>
      <c r="H103" s="7" t="s">
        <v>16</v>
      </c>
    </row>
    <row r="104">
      <c r="B104" s="5" t="s">
        <v>195</v>
      </c>
      <c r="C104" s="5" t="s">
        <v>254</v>
      </c>
      <c r="D104" s="20">
        <v>2800000.0</v>
      </c>
      <c r="E104" s="20">
        <v>1900000.0</v>
      </c>
      <c r="F104" s="16">
        <f t="shared" si="6"/>
        <v>0.6785714286</v>
      </c>
      <c r="G104" s="5">
        <v>12.0</v>
      </c>
      <c r="H104" s="7" t="s">
        <v>98</v>
      </c>
    </row>
    <row r="105">
      <c r="B105" s="5" t="s">
        <v>13</v>
      </c>
      <c r="C105" s="12" t="s">
        <v>44</v>
      </c>
      <c r="D105" s="13">
        <v>6370000.0</v>
      </c>
      <c r="E105" s="13">
        <v>1965000.0</v>
      </c>
      <c r="F105" s="16">
        <f t="shared" si="6"/>
        <v>0.308477237</v>
      </c>
      <c r="G105" s="12">
        <v>11.0</v>
      </c>
      <c r="H105" s="5" t="s">
        <v>51</v>
      </c>
    </row>
    <row r="106">
      <c r="B106" s="5" t="s">
        <v>13</v>
      </c>
      <c r="C106" s="12" t="s">
        <v>40</v>
      </c>
      <c r="D106" s="13">
        <v>7188000.0</v>
      </c>
      <c r="E106" s="13">
        <v>2034000.0</v>
      </c>
      <c r="F106" s="16">
        <f t="shared" si="6"/>
        <v>0.2829716194</v>
      </c>
      <c r="G106" s="12">
        <v>9.0</v>
      </c>
      <c r="H106" s="5" t="s">
        <v>39</v>
      </c>
    </row>
    <row r="107">
      <c r="B107" s="5" t="s">
        <v>222</v>
      </c>
      <c r="C107" s="12" t="s">
        <v>258</v>
      </c>
      <c r="D107" s="13">
        <v>4350000.0</v>
      </c>
      <c r="E107" s="45">
        <v>2050000.0</v>
      </c>
      <c r="F107" s="16">
        <f t="shared" si="6"/>
        <v>0.4712643678</v>
      </c>
      <c r="G107" s="12">
        <v>13.0</v>
      </c>
      <c r="H107" s="12" t="s">
        <v>16</v>
      </c>
    </row>
    <row r="108">
      <c r="B108" s="5" t="s">
        <v>71</v>
      </c>
      <c r="C108" s="12" t="s">
        <v>117</v>
      </c>
      <c r="D108" s="13">
        <v>6630000.0</v>
      </c>
      <c r="E108" s="13">
        <v>2080000.0</v>
      </c>
      <c r="F108" s="16">
        <f t="shared" si="6"/>
        <v>0.3137254902</v>
      </c>
      <c r="G108" s="12">
        <v>14.0</v>
      </c>
      <c r="H108" s="5" t="s">
        <v>129</v>
      </c>
    </row>
    <row r="109">
      <c r="B109" s="5" t="s">
        <v>152</v>
      </c>
      <c r="C109" s="5" t="s">
        <v>260</v>
      </c>
      <c r="D109" s="11">
        <v>4400000.0</v>
      </c>
      <c r="E109" s="20">
        <v>2100000.0</v>
      </c>
      <c r="F109" s="16">
        <f t="shared" si="6"/>
        <v>0.4772727273</v>
      </c>
      <c r="G109" s="5">
        <v>3.0</v>
      </c>
      <c r="H109" s="7" t="s">
        <v>16</v>
      </c>
    </row>
    <row r="110">
      <c r="B110" s="5" t="s">
        <v>140</v>
      </c>
      <c r="C110" s="12" t="s">
        <v>255</v>
      </c>
      <c r="D110" s="13">
        <v>4650000.0</v>
      </c>
      <c r="E110" s="13">
        <v>2100000.0</v>
      </c>
      <c r="F110" s="16">
        <f t="shared" si="6"/>
        <v>0.4516129032</v>
      </c>
      <c r="G110" s="5">
        <v>18.0</v>
      </c>
      <c r="H110" s="12" t="s">
        <v>16</v>
      </c>
    </row>
    <row r="111">
      <c r="B111" s="5" t="s">
        <v>71</v>
      </c>
      <c r="C111" s="12" t="s">
        <v>105</v>
      </c>
      <c r="D111" s="13">
        <v>7040000.0</v>
      </c>
      <c r="E111" s="13">
        <v>2110000.0</v>
      </c>
      <c r="F111" s="16">
        <f t="shared" si="6"/>
        <v>0.2997159091</v>
      </c>
      <c r="G111" s="12">
        <v>9.0</v>
      </c>
      <c r="H111" s="12" t="s">
        <v>113</v>
      </c>
    </row>
    <row r="112">
      <c r="B112" s="5" t="s">
        <v>71</v>
      </c>
      <c r="C112" s="12" t="s">
        <v>124</v>
      </c>
      <c r="D112" s="13">
        <v>6020000.0</v>
      </c>
      <c r="E112" s="13">
        <v>2200000.0</v>
      </c>
      <c r="F112" s="16">
        <f t="shared" si="6"/>
        <v>0.365448505</v>
      </c>
      <c r="G112" s="12">
        <v>18.0</v>
      </c>
      <c r="H112" s="5" t="s">
        <v>36</v>
      </c>
    </row>
    <row r="113">
      <c r="B113" s="7" t="s">
        <v>59</v>
      </c>
      <c r="C113" s="7" t="s">
        <v>266</v>
      </c>
      <c r="D113" s="11">
        <v>3500000.0</v>
      </c>
      <c r="E113" s="11">
        <v>2200000.0</v>
      </c>
      <c r="F113" s="16">
        <f t="shared" si="6"/>
        <v>0.6285714286</v>
      </c>
      <c r="G113" s="7">
        <v>1.0</v>
      </c>
      <c r="H113" s="12" t="s">
        <v>113</v>
      </c>
    </row>
    <row r="114">
      <c r="B114" s="5" t="s">
        <v>195</v>
      </c>
      <c r="C114" s="5" t="s">
        <v>267</v>
      </c>
      <c r="D114" s="20">
        <v>3200000.0</v>
      </c>
      <c r="E114" s="20">
        <v>2200000.0</v>
      </c>
      <c r="F114" s="16">
        <f t="shared" si="6"/>
        <v>0.6875</v>
      </c>
      <c r="G114" s="5">
        <v>11.0</v>
      </c>
      <c r="H114" s="5" t="s">
        <v>16</v>
      </c>
    </row>
    <row r="115">
      <c r="B115" s="5" t="s">
        <v>71</v>
      </c>
      <c r="C115" s="12" t="s">
        <v>118</v>
      </c>
      <c r="D115" s="13">
        <v>6380000.0</v>
      </c>
      <c r="E115" s="13">
        <v>2210000.0</v>
      </c>
      <c r="F115" s="16">
        <f t="shared" si="6"/>
        <v>0.3463949843</v>
      </c>
      <c r="G115" s="12">
        <v>15.0</v>
      </c>
      <c r="H115" s="12" t="s">
        <v>16</v>
      </c>
    </row>
    <row r="116">
      <c r="B116" s="5" t="s">
        <v>13</v>
      </c>
      <c r="C116" s="12" t="s">
        <v>34</v>
      </c>
      <c r="D116" s="13">
        <v>7510000.0</v>
      </c>
      <c r="E116" s="13">
        <v>2282000.0</v>
      </c>
      <c r="F116" s="16">
        <f t="shared" si="6"/>
        <v>0.303861518</v>
      </c>
      <c r="G116" s="12">
        <v>6.0</v>
      </c>
      <c r="H116" s="5" t="s">
        <v>39</v>
      </c>
    </row>
    <row r="117">
      <c r="B117" s="5" t="s">
        <v>152</v>
      </c>
      <c r="C117" s="5" t="s">
        <v>271</v>
      </c>
      <c r="D117" s="11">
        <v>4700000.0</v>
      </c>
      <c r="E117" s="20">
        <v>2300000.0</v>
      </c>
      <c r="F117" s="16">
        <f t="shared" si="6"/>
        <v>0.4893617021</v>
      </c>
      <c r="G117" s="5">
        <v>5.0</v>
      </c>
      <c r="H117" s="7" t="s">
        <v>16</v>
      </c>
    </row>
    <row r="118">
      <c r="B118" s="5" t="s">
        <v>190</v>
      </c>
      <c r="C118" s="5" t="s">
        <v>273</v>
      </c>
      <c r="D118" s="20">
        <v>3500000.0</v>
      </c>
      <c r="E118" s="11">
        <v>2300000.0</v>
      </c>
      <c r="F118" s="16">
        <f t="shared" si="6"/>
        <v>0.6571428571</v>
      </c>
      <c r="G118" s="5">
        <v>8.0</v>
      </c>
      <c r="H118" s="7" t="s">
        <v>98</v>
      </c>
    </row>
    <row r="119">
      <c r="B119" s="5" t="s">
        <v>13</v>
      </c>
      <c r="C119" s="12" t="s">
        <v>35</v>
      </c>
      <c r="D119" s="13">
        <v>8122000.0</v>
      </c>
      <c r="E119" s="13">
        <v>2300000.0</v>
      </c>
      <c r="F119" s="16">
        <f t="shared" si="6"/>
        <v>0.2831814824</v>
      </c>
      <c r="G119" s="12">
        <v>7.0</v>
      </c>
      <c r="H119" s="5" t="s">
        <v>43</v>
      </c>
    </row>
    <row r="120">
      <c r="B120" s="5" t="s">
        <v>114</v>
      </c>
      <c r="C120" s="7" t="s">
        <v>279</v>
      </c>
      <c r="D120" s="11">
        <v>3200000.0</v>
      </c>
      <c r="E120" s="9">
        <v>2300000.0</v>
      </c>
      <c r="F120" s="16">
        <f>E120/D120</f>
        <v>0.71875</v>
      </c>
      <c r="G120" s="7">
        <v>12.0</v>
      </c>
      <c r="H120" s="7" t="s">
        <v>16</v>
      </c>
    </row>
    <row r="121">
      <c r="B121" s="5" t="s">
        <v>152</v>
      </c>
      <c r="C121" s="5" t="s">
        <v>284</v>
      </c>
      <c r="D121" s="11">
        <v>4700000.0</v>
      </c>
      <c r="E121" s="20">
        <v>2310000.0</v>
      </c>
      <c r="F121" s="16">
        <f t="shared" ref="F121:F138" si="7">+E121/D121</f>
        <v>0.4914893617</v>
      </c>
      <c r="G121" s="5">
        <v>1.0</v>
      </c>
      <c r="H121" s="7" t="s">
        <v>16</v>
      </c>
    </row>
    <row r="122">
      <c r="B122" s="5" t="s">
        <v>222</v>
      </c>
      <c r="C122" s="12" t="s">
        <v>286</v>
      </c>
      <c r="D122" s="13">
        <v>4676000.0</v>
      </c>
      <c r="E122" s="45">
        <v>2350000.0</v>
      </c>
      <c r="F122" s="16">
        <f t="shared" si="7"/>
        <v>0.502566296</v>
      </c>
      <c r="G122" s="12">
        <v>14.0</v>
      </c>
      <c r="H122" s="12" t="s">
        <v>16</v>
      </c>
    </row>
    <row r="123">
      <c r="B123" s="5" t="s">
        <v>140</v>
      </c>
      <c r="C123" s="12" t="s">
        <v>243</v>
      </c>
      <c r="D123" s="13">
        <v>5400000.0</v>
      </c>
      <c r="E123" s="13">
        <v>2392576.0</v>
      </c>
      <c r="F123" s="16">
        <f t="shared" si="7"/>
        <v>0.4430696296</v>
      </c>
      <c r="G123" s="5">
        <v>7.0</v>
      </c>
      <c r="H123" s="5" t="s">
        <v>274</v>
      </c>
    </row>
    <row r="124">
      <c r="B124" s="7" t="s">
        <v>232</v>
      </c>
      <c r="C124" s="7" t="s">
        <v>293</v>
      </c>
      <c r="D124" s="11">
        <v>4000000.0</v>
      </c>
      <c r="E124" s="9">
        <v>2400000.0</v>
      </c>
      <c r="F124" s="16">
        <f t="shared" si="7"/>
        <v>0.6</v>
      </c>
      <c r="G124" s="7">
        <v>2.0</v>
      </c>
      <c r="H124" s="7" t="s">
        <v>98</v>
      </c>
    </row>
    <row r="125">
      <c r="B125" s="5" t="s">
        <v>237</v>
      </c>
      <c r="C125" s="5" t="s">
        <v>295</v>
      </c>
      <c r="D125" s="20">
        <v>9300000.0</v>
      </c>
      <c r="E125" s="20">
        <v>2400000.0</v>
      </c>
      <c r="F125" s="16">
        <f t="shared" si="7"/>
        <v>0.2580645161</v>
      </c>
      <c r="G125" s="5">
        <v>18.0</v>
      </c>
      <c r="H125" s="7" t="s">
        <v>16</v>
      </c>
    </row>
    <row r="126">
      <c r="B126" s="5" t="s">
        <v>140</v>
      </c>
      <c r="C126" s="12" t="s">
        <v>270</v>
      </c>
      <c r="D126" s="13">
        <v>4200000.0</v>
      </c>
      <c r="E126" s="13">
        <v>2400000.0</v>
      </c>
      <c r="F126" s="16">
        <f t="shared" si="7"/>
        <v>0.5714285714</v>
      </c>
      <c r="G126" s="5">
        <v>12.0</v>
      </c>
      <c r="H126" s="12" t="s">
        <v>16</v>
      </c>
    </row>
    <row r="127">
      <c r="B127" s="5" t="s">
        <v>152</v>
      </c>
      <c r="C127" s="5" t="s">
        <v>300</v>
      </c>
      <c r="D127" s="11">
        <v>5000000.0</v>
      </c>
      <c r="E127" s="20">
        <v>2460000.0</v>
      </c>
      <c r="F127" s="16">
        <f t="shared" si="7"/>
        <v>0.492</v>
      </c>
      <c r="G127" s="5">
        <v>2.0</v>
      </c>
      <c r="H127" s="7" t="s">
        <v>16</v>
      </c>
    </row>
    <row r="128">
      <c r="B128" s="5" t="s">
        <v>71</v>
      </c>
      <c r="C128" s="12" t="s">
        <v>101</v>
      </c>
      <c r="D128" s="13">
        <v>5680000.0</v>
      </c>
      <c r="E128" s="13">
        <v>2460000.0</v>
      </c>
      <c r="F128" s="16">
        <f t="shared" si="7"/>
        <v>0.4330985915</v>
      </c>
      <c r="G128" s="12">
        <v>7.0</v>
      </c>
      <c r="H128" s="5" t="s">
        <v>51</v>
      </c>
    </row>
    <row r="129">
      <c r="B129" s="5" t="s">
        <v>174</v>
      </c>
      <c r="C129" s="5" t="s">
        <v>306</v>
      </c>
      <c r="D129" s="20">
        <v>4141496.8</v>
      </c>
      <c r="E129" s="11">
        <v>2500000.0</v>
      </c>
      <c r="F129" s="16">
        <f t="shared" si="7"/>
        <v>0.6036464884</v>
      </c>
      <c r="G129" s="5">
        <v>11.0</v>
      </c>
      <c r="H129" s="7" t="s">
        <v>16</v>
      </c>
    </row>
    <row r="130">
      <c r="B130" s="5" t="s">
        <v>140</v>
      </c>
      <c r="C130" s="12" t="s">
        <v>247</v>
      </c>
      <c r="D130" s="13">
        <v>3900000.0</v>
      </c>
      <c r="E130" s="13">
        <v>2500000.0</v>
      </c>
      <c r="F130" s="16">
        <f t="shared" si="7"/>
        <v>0.641025641</v>
      </c>
      <c r="G130" s="5">
        <v>15.0</v>
      </c>
      <c r="H130" s="12" t="s">
        <v>113</v>
      </c>
    </row>
    <row r="131">
      <c r="B131" s="5" t="s">
        <v>195</v>
      </c>
      <c r="C131" s="5" t="s">
        <v>311</v>
      </c>
      <c r="D131" s="11">
        <v>3500000.0</v>
      </c>
      <c r="E131" s="11">
        <v>2500000.0</v>
      </c>
      <c r="F131" s="16">
        <f t="shared" si="7"/>
        <v>0.7142857143</v>
      </c>
      <c r="G131" s="5">
        <v>14.0</v>
      </c>
      <c r="H131" s="5" t="s">
        <v>16</v>
      </c>
    </row>
    <row r="132">
      <c r="B132" s="5" t="s">
        <v>71</v>
      </c>
      <c r="C132" s="12" t="s">
        <v>108</v>
      </c>
      <c r="D132" s="13">
        <v>5740000.0</v>
      </c>
      <c r="E132" s="13">
        <v>2520000.0</v>
      </c>
      <c r="F132" s="16">
        <f t="shared" si="7"/>
        <v>0.4390243902</v>
      </c>
      <c r="G132" s="12">
        <v>10.0</v>
      </c>
      <c r="H132" s="12" t="s">
        <v>16</v>
      </c>
    </row>
    <row r="133">
      <c r="B133" s="5" t="s">
        <v>222</v>
      </c>
      <c r="C133" s="12" t="s">
        <v>313</v>
      </c>
      <c r="D133" s="13">
        <v>6880000.0</v>
      </c>
      <c r="E133" s="45">
        <v>2550000.0</v>
      </c>
      <c r="F133" s="16">
        <f t="shared" si="7"/>
        <v>0.3706395349</v>
      </c>
      <c r="G133" s="12">
        <v>9.0</v>
      </c>
      <c r="H133" s="12" t="s">
        <v>16</v>
      </c>
    </row>
    <row r="134">
      <c r="B134" s="5" t="s">
        <v>222</v>
      </c>
      <c r="C134" s="12" t="s">
        <v>314</v>
      </c>
      <c r="D134" s="13">
        <v>5395000.0</v>
      </c>
      <c r="E134" s="45">
        <v>2550000.0</v>
      </c>
      <c r="F134" s="16">
        <f t="shared" si="7"/>
        <v>0.4726598703</v>
      </c>
      <c r="G134" s="12">
        <v>12.0</v>
      </c>
      <c r="H134" s="12" t="s">
        <v>16</v>
      </c>
    </row>
    <row r="135">
      <c r="B135" s="5" t="s">
        <v>152</v>
      </c>
      <c r="C135" s="5" t="s">
        <v>315</v>
      </c>
      <c r="D135" s="11">
        <v>5200000.0</v>
      </c>
      <c r="E135" s="20">
        <v>2560000.0</v>
      </c>
      <c r="F135" s="16">
        <f t="shared" si="7"/>
        <v>0.4923076923</v>
      </c>
      <c r="G135" s="5">
        <v>4.0</v>
      </c>
      <c r="H135" s="7" t="s">
        <v>16</v>
      </c>
    </row>
    <row r="136">
      <c r="B136" s="5" t="s">
        <v>88</v>
      </c>
      <c r="C136" s="5" t="s">
        <v>317</v>
      </c>
      <c r="D136" s="20">
        <v>4000000.0</v>
      </c>
      <c r="E136" s="20">
        <v>2600000.0</v>
      </c>
      <c r="F136" s="16">
        <f t="shared" si="7"/>
        <v>0.65</v>
      </c>
      <c r="G136" s="5">
        <v>9.0</v>
      </c>
      <c r="H136" s="7" t="s">
        <v>36</v>
      </c>
    </row>
    <row r="137">
      <c r="B137" s="5" t="s">
        <v>140</v>
      </c>
      <c r="C137" s="12" t="s">
        <v>235</v>
      </c>
      <c r="D137" s="25">
        <v>4200000.0</v>
      </c>
      <c r="E137" s="25">
        <v>2600000.0</v>
      </c>
      <c r="F137" s="16">
        <f t="shared" si="7"/>
        <v>0.619047619</v>
      </c>
      <c r="G137" s="5">
        <v>13.0</v>
      </c>
      <c r="H137" s="12" t="s">
        <v>16</v>
      </c>
    </row>
    <row r="138">
      <c r="B138" s="5" t="s">
        <v>222</v>
      </c>
      <c r="C138" s="12" t="s">
        <v>310</v>
      </c>
      <c r="D138" s="13">
        <v>6350000.0</v>
      </c>
      <c r="E138" s="45">
        <v>2650000.0</v>
      </c>
      <c r="F138" s="16">
        <f t="shared" si="7"/>
        <v>0.4173228346</v>
      </c>
      <c r="G138" s="12">
        <v>8.0</v>
      </c>
      <c r="H138" s="5" t="s">
        <v>320</v>
      </c>
    </row>
    <row r="139">
      <c r="B139" s="5" t="s">
        <v>114</v>
      </c>
      <c r="C139" s="7" t="s">
        <v>322</v>
      </c>
      <c r="D139" s="11">
        <v>4000000.0</v>
      </c>
      <c r="E139" s="9">
        <v>2700000.0</v>
      </c>
      <c r="F139" s="16">
        <f>E139/D139</f>
        <v>0.675</v>
      </c>
      <c r="G139" s="7">
        <v>13.0</v>
      </c>
      <c r="H139" s="5" t="s">
        <v>323</v>
      </c>
    </row>
    <row r="140">
      <c r="B140" s="5" t="s">
        <v>71</v>
      </c>
      <c r="C140" s="12" t="s">
        <v>97</v>
      </c>
      <c r="D140" s="13">
        <v>6730000.0</v>
      </c>
      <c r="E140" s="13">
        <v>2750000.0</v>
      </c>
      <c r="F140" s="16">
        <f t="shared" ref="F140:F167" si="8">+E140/D140</f>
        <v>0.4086181278</v>
      </c>
      <c r="G140" s="12">
        <v>5.0</v>
      </c>
      <c r="H140" s="12" t="s">
        <v>102</v>
      </c>
    </row>
    <row r="141">
      <c r="B141" s="5" t="s">
        <v>71</v>
      </c>
      <c r="C141" s="12" t="s">
        <v>111</v>
      </c>
      <c r="D141" s="13">
        <v>7510000.0</v>
      </c>
      <c r="E141" s="13">
        <v>2760000.0</v>
      </c>
      <c r="F141" s="16">
        <f t="shared" si="8"/>
        <v>0.3675099867</v>
      </c>
      <c r="G141" s="12">
        <v>12.0</v>
      </c>
      <c r="H141" s="5" t="s">
        <v>122</v>
      </c>
    </row>
    <row r="142">
      <c r="B142" s="5" t="s">
        <v>140</v>
      </c>
      <c r="C142" s="12" t="s">
        <v>276</v>
      </c>
      <c r="D142" s="13">
        <v>4100000.0</v>
      </c>
      <c r="E142" s="13">
        <v>2800000.0</v>
      </c>
      <c r="F142" s="16">
        <f t="shared" si="8"/>
        <v>0.6829268293</v>
      </c>
      <c r="G142" s="5">
        <v>10.0</v>
      </c>
      <c r="H142" s="5" t="s">
        <v>122</v>
      </c>
    </row>
    <row r="143">
      <c r="B143" s="5" t="s">
        <v>13</v>
      </c>
      <c r="C143" s="12" t="s">
        <v>38</v>
      </c>
      <c r="D143" s="13">
        <v>7071000.0</v>
      </c>
      <c r="E143" s="13">
        <v>2898000.0</v>
      </c>
      <c r="F143" s="16">
        <f t="shared" si="8"/>
        <v>0.4098430208</v>
      </c>
      <c r="G143" s="12">
        <v>8.0</v>
      </c>
      <c r="H143" s="12" t="s">
        <v>16</v>
      </c>
    </row>
    <row r="144">
      <c r="B144" s="5" t="s">
        <v>195</v>
      </c>
      <c r="C144" s="5" t="s">
        <v>332</v>
      </c>
      <c r="D144" s="11">
        <v>4300000.0</v>
      </c>
      <c r="E144" s="11">
        <v>2900000.0</v>
      </c>
      <c r="F144" s="16">
        <f t="shared" si="8"/>
        <v>0.6744186047</v>
      </c>
      <c r="G144" s="5">
        <v>13.0</v>
      </c>
      <c r="H144" s="5" t="s">
        <v>334</v>
      </c>
    </row>
    <row r="145">
      <c r="B145" s="5" t="s">
        <v>195</v>
      </c>
      <c r="C145" s="5" t="s">
        <v>336</v>
      </c>
      <c r="D145" s="11">
        <v>4200000.0</v>
      </c>
      <c r="E145" s="11">
        <v>2900000.0</v>
      </c>
      <c r="F145" s="16">
        <f t="shared" si="8"/>
        <v>0.6904761905</v>
      </c>
      <c r="G145" s="5">
        <v>8.0</v>
      </c>
      <c r="H145" s="5" t="s">
        <v>16</v>
      </c>
    </row>
    <row r="146">
      <c r="B146" s="5" t="s">
        <v>222</v>
      </c>
      <c r="C146" s="12" t="s">
        <v>327</v>
      </c>
      <c r="D146" s="13">
        <v>7830000.0</v>
      </c>
      <c r="E146" s="45">
        <v>2900000.0</v>
      </c>
      <c r="F146" s="16">
        <f t="shared" si="8"/>
        <v>0.3703703704</v>
      </c>
      <c r="G146" s="12">
        <v>15.0</v>
      </c>
      <c r="H146" s="5" t="s">
        <v>338</v>
      </c>
    </row>
    <row r="147">
      <c r="B147" s="5" t="s">
        <v>71</v>
      </c>
      <c r="C147" s="12" t="s">
        <v>100</v>
      </c>
      <c r="D147" s="13">
        <v>9210000.0</v>
      </c>
      <c r="E147" s="13">
        <v>3000000.0</v>
      </c>
      <c r="F147" s="16">
        <f t="shared" si="8"/>
        <v>0.325732899</v>
      </c>
      <c r="G147" s="12">
        <v>6.0</v>
      </c>
      <c r="H147" s="5" t="s">
        <v>107</v>
      </c>
    </row>
    <row r="148">
      <c r="B148" s="5" t="s">
        <v>237</v>
      </c>
      <c r="C148" s="5" t="s">
        <v>340</v>
      </c>
      <c r="D148" s="20">
        <v>7700000.0</v>
      </c>
      <c r="E148" s="20">
        <v>3000000.0</v>
      </c>
      <c r="F148" s="16">
        <f t="shared" si="8"/>
        <v>0.3896103896</v>
      </c>
      <c r="G148" s="5">
        <v>19.0</v>
      </c>
      <c r="H148" s="7" t="s">
        <v>16</v>
      </c>
    </row>
    <row r="149">
      <c r="B149" s="7" t="s">
        <v>343</v>
      </c>
      <c r="C149" s="7" t="s">
        <v>344</v>
      </c>
      <c r="D149" s="9">
        <v>8000000.0</v>
      </c>
      <c r="E149" s="11">
        <v>3000000.0</v>
      </c>
      <c r="F149" s="16">
        <f t="shared" si="8"/>
        <v>0.375</v>
      </c>
      <c r="G149" s="7">
        <v>1.0</v>
      </c>
      <c r="H149" s="7" t="s">
        <v>345</v>
      </c>
    </row>
    <row r="150">
      <c r="B150" s="5" t="s">
        <v>140</v>
      </c>
      <c r="C150" s="12" t="s">
        <v>265</v>
      </c>
      <c r="D150" s="13">
        <v>4500000.0</v>
      </c>
      <c r="E150" s="13">
        <v>3025000.0</v>
      </c>
      <c r="F150" s="16">
        <f t="shared" si="8"/>
        <v>0.6722222222</v>
      </c>
      <c r="G150" s="5">
        <v>11.0</v>
      </c>
      <c r="H150" s="12" t="s">
        <v>16</v>
      </c>
    </row>
    <row r="151">
      <c r="B151" s="5" t="s">
        <v>222</v>
      </c>
      <c r="C151" s="12" t="s">
        <v>318</v>
      </c>
      <c r="D151" s="13">
        <v>9080000.0</v>
      </c>
      <c r="E151" s="45">
        <v>3150000.0</v>
      </c>
      <c r="F151" s="16">
        <f t="shared" si="8"/>
        <v>0.3469162996</v>
      </c>
      <c r="G151" s="12">
        <v>10.0</v>
      </c>
      <c r="H151" s="12" t="s">
        <v>16</v>
      </c>
    </row>
    <row r="152">
      <c r="B152" s="5" t="s">
        <v>71</v>
      </c>
      <c r="C152" s="12" t="s">
        <v>109</v>
      </c>
      <c r="D152" s="13">
        <v>9080000.0</v>
      </c>
      <c r="E152" s="13">
        <v>3170000.0</v>
      </c>
      <c r="F152" s="16">
        <f t="shared" si="8"/>
        <v>0.3491189427</v>
      </c>
      <c r="G152" s="12">
        <v>11.0</v>
      </c>
      <c r="H152" s="12" t="s">
        <v>16</v>
      </c>
    </row>
    <row r="153">
      <c r="B153" s="5" t="s">
        <v>174</v>
      </c>
      <c r="C153" s="5" t="s">
        <v>349</v>
      </c>
      <c r="D153" s="20">
        <v>5300000.0</v>
      </c>
      <c r="E153" s="11">
        <v>3200000.0</v>
      </c>
      <c r="F153" s="16">
        <f t="shared" si="8"/>
        <v>0.6037735849</v>
      </c>
      <c r="G153" s="5">
        <v>6.0</v>
      </c>
      <c r="H153" s="7" t="s">
        <v>16</v>
      </c>
    </row>
    <row r="154">
      <c r="B154" s="5" t="s">
        <v>69</v>
      </c>
      <c r="C154" s="12" t="s">
        <v>351</v>
      </c>
      <c r="D154" s="13">
        <v>6834000.0</v>
      </c>
      <c r="E154" s="13">
        <v>3211000.0</v>
      </c>
      <c r="F154" s="16">
        <f t="shared" si="8"/>
        <v>0.4698565994</v>
      </c>
      <c r="G154" s="12">
        <v>2.0</v>
      </c>
      <c r="H154" s="5" t="s">
        <v>352</v>
      </c>
    </row>
    <row r="155">
      <c r="B155" s="5" t="s">
        <v>71</v>
      </c>
      <c r="C155" s="12" t="s">
        <v>93</v>
      </c>
      <c r="D155" s="13">
        <v>9160000.0</v>
      </c>
      <c r="E155" s="13">
        <v>3240000.0</v>
      </c>
      <c r="F155" s="16">
        <f t="shared" si="8"/>
        <v>0.3537117904</v>
      </c>
      <c r="G155" s="12">
        <v>4.0</v>
      </c>
      <c r="H155" s="12" t="s">
        <v>16</v>
      </c>
    </row>
    <row r="156">
      <c r="B156" s="5" t="s">
        <v>237</v>
      </c>
      <c r="C156" s="5" t="s">
        <v>354</v>
      </c>
      <c r="D156" s="20">
        <v>1.0E7</v>
      </c>
      <c r="E156" s="20">
        <v>3300000.0</v>
      </c>
      <c r="F156" s="16">
        <f t="shared" si="8"/>
        <v>0.33</v>
      </c>
      <c r="G156" s="5">
        <v>20.0</v>
      </c>
      <c r="H156" s="7" t="s">
        <v>16</v>
      </c>
    </row>
    <row r="157">
      <c r="B157" s="5" t="s">
        <v>237</v>
      </c>
      <c r="C157" s="5" t="s">
        <v>355</v>
      </c>
      <c r="D157" s="20">
        <v>9400000.0</v>
      </c>
      <c r="E157" s="20">
        <v>3300000.0</v>
      </c>
      <c r="F157" s="16">
        <f t="shared" si="8"/>
        <v>0.3510638298</v>
      </c>
      <c r="G157" s="5">
        <v>13.0</v>
      </c>
      <c r="H157" s="7" t="s">
        <v>16</v>
      </c>
    </row>
    <row r="158">
      <c r="B158" s="5" t="s">
        <v>59</v>
      </c>
      <c r="C158" s="5" t="s">
        <v>356</v>
      </c>
      <c r="D158" s="9">
        <v>5000000.0</v>
      </c>
      <c r="E158" s="9">
        <v>3300000.0</v>
      </c>
      <c r="F158" s="16">
        <f t="shared" si="8"/>
        <v>0.66</v>
      </c>
      <c r="G158" s="5">
        <v>5.0</v>
      </c>
      <c r="H158" s="5" t="s">
        <v>358</v>
      </c>
    </row>
    <row r="159">
      <c r="B159" s="5" t="s">
        <v>222</v>
      </c>
      <c r="C159" s="12" t="s">
        <v>312</v>
      </c>
      <c r="D159" s="25">
        <v>7000000.0</v>
      </c>
      <c r="E159" s="53">
        <v>3400000.0</v>
      </c>
      <c r="F159" s="16">
        <f t="shared" si="8"/>
        <v>0.4857142857</v>
      </c>
      <c r="G159" s="12">
        <v>16.0</v>
      </c>
      <c r="H159" s="5" t="s">
        <v>36</v>
      </c>
    </row>
    <row r="160">
      <c r="B160" s="5" t="s">
        <v>85</v>
      </c>
      <c r="C160" s="5" t="s">
        <v>361</v>
      </c>
      <c r="D160" s="20">
        <v>6500000.0</v>
      </c>
      <c r="E160" s="20">
        <v>3500000.0</v>
      </c>
      <c r="F160" s="16">
        <f t="shared" si="8"/>
        <v>0.5384615385</v>
      </c>
      <c r="G160" s="5">
        <v>4.0</v>
      </c>
      <c r="H160" s="5" t="s">
        <v>122</v>
      </c>
    </row>
    <row r="161">
      <c r="B161" s="5" t="s">
        <v>140</v>
      </c>
      <c r="C161" s="12" t="s">
        <v>262</v>
      </c>
      <c r="D161" s="13">
        <v>6000000.0</v>
      </c>
      <c r="E161" s="13">
        <v>3500000.0</v>
      </c>
      <c r="F161" s="16">
        <f t="shared" si="8"/>
        <v>0.5833333333</v>
      </c>
      <c r="G161" s="5">
        <v>14.0</v>
      </c>
      <c r="H161" s="12" t="s">
        <v>16</v>
      </c>
    </row>
    <row r="162">
      <c r="B162" s="5" t="s">
        <v>140</v>
      </c>
      <c r="C162" s="12" t="s">
        <v>282</v>
      </c>
      <c r="D162" s="13">
        <v>5900000.0</v>
      </c>
      <c r="E162" s="13">
        <v>3500000.0</v>
      </c>
      <c r="F162" s="16">
        <f t="shared" si="8"/>
        <v>0.593220339</v>
      </c>
      <c r="G162" s="5">
        <v>16.0</v>
      </c>
      <c r="H162" s="12" t="s">
        <v>16</v>
      </c>
    </row>
    <row r="163">
      <c r="B163" s="5" t="s">
        <v>195</v>
      </c>
      <c r="C163" s="5" t="s">
        <v>364</v>
      </c>
      <c r="D163" s="9">
        <v>5000000.0</v>
      </c>
      <c r="E163" s="11">
        <v>3500000.0</v>
      </c>
      <c r="F163" s="16">
        <f t="shared" si="8"/>
        <v>0.7</v>
      </c>
      <c r="G163" s="5">
        <v>6.0</v>
      </c>
      <c r="H163" s="5" t="s">
        <v>16</v>
      </c>
    </row>
    <row r="164">
      <c r="B164" s="5" t="s">
        <v>222</v>
      </c>
      <c r="C164" s="12" t="s">
        <v>307</v>
      </c>
      <c r="D164" s="13">
        <v>8690000.0</v>
      </c>
      <c r="E164" s="45">
        <v>3550000.0</v>
      </c>
      <c r="F164" s="16">
        <f t="shared" si="8"/>
        <v>0.4085155351</v>
      </c>
      <c r="G164" s="12">
        <v>6.0</v>
      </c>
      <c r="H164" s="5" t="s">
        <v>366</v>
      </c>
    </row>
    <row r="165">
      <c r="B165" s="5" t="s">
        <v>237</v>
      </c>
      <c r="C165" s="5" t="s">
        <v>367</v>
      </c>
      <c r="D165" s="20">
        <v>8900000.0</v>
      </c>
      <c r="E165" s="20">
        <v>3700000.0</v>
      </c>
      <c r="F165" s="16">
        <f t="shared" si="8"/>
        <v>0.4157303371</v>
      </c>
      <c r="G165" s="5">
        <v>10.0</v>
      </c>
      <c r="H165" s="7" t="s">
        <v>16</v>
      </c>
    </row>
    <row r="166">
      <c r="B166" s="5" t="s">
        <v>80</v>
      </c>
      <c r="C166" s="5" t="s">
        <v>368</v>
      </c>
      <c r="D166" s="20">
        <v>5700000.0</v>
      </c>
      <c r="E166" s="20">
        <v>3800000.0</v>
      </c>
      <c r="F166" s="16">
        <f t="shared" si="8"/>
        <v>0.6666666667</v>
      </c>
      <c r="G166" s="5">
        <v>6.0</v>
      </c>
      <c r="H166" s="5" t="s">
        <v>358</v>
      </c>
    </row>
    <row r="167">
      <c r="B167" s="5" t="s">
        <v>222</v>
      </c>
      <c r="C167" s="12" t="s">
        <v>309</v>
      </c>
      <c r="D167" s="13">
        <v>9450000.0</v>
      </c>
      <c r="E167" s="45">
        <v>3800000.0</v>
      </c>
      <c r="F167" s="16">
        <f t="shared" si="8"/>
        <v>0.4021164021</v>
      </c>
      <c r="G167" s="12">
        <v>7.0</v>
      </c>
      <c r="H167" s="5" t="s">
        <v>102</v>
      </c>
    </row>
    <row r="168">
      <c r="B168" s="5" t="s">
        <v>114</v>
      </c>
      <c r="C168" s="7" t="s">
        <v>370</v>
      </c>
      <c r="D168" s="11">
        <v>6000000.0</v>
      </c>
      <c r="E168" s="9">
        <v>3800000.0</v>
      </c>
      <c r="F168" s="16">
        <f>E168/D168</f>
        <v>0.6333333333</v>
      </c>
      <c r="G168" s="7">
        <v>4.0</v>
      </c>
      <c r="H168" s="7" t="s">
        <v>371</v>
      </c>
    </row>
    <row r="169">
      <c r="B169" s="5" t="s">
        <v>174</v>
      </c>
      <c r="C169" s="5" t="s">
        <v>373</v>
      </c>
      <c r="D169" s="9">
        <v>6508066.4</v>
      </c>
      <c r="E169" s="11">
        <v>3900000.0</v>
      </c>
      <c r="F169" s="16">
        <f t="shared" ref="F169:F172" si="9">+E169/D169</f>
        <v>0.5992563321</v>
      </c>
      <c r="G169" s="5">
        <v>5.0</v>
      </c>
      <c r="H169" s="7" t="s">
        <v>102</v>
      </c>
    </row>
    <row r="170">
      <c r="B170" s="5" t="s">
        <v>140</v>
      </c>
      <c r="C170" s="12" t="s">
        <v>189</v>
      </c>
      <c r="D170" s="13">
        <v>6000000.0</v>
      </c>
      <c r="E170" s="13">
        <v>3900000.0</v>
      </c>
      <c r="F170" s="16">
        <f t="shared" si="9"/>
        <v>0.65</v>
      </c>
      <c r="G170" s="5">
        <v>4.0</v>
      </c>
      <c r="H170" s="5" t="s">
        <v>228</v>
      </c>
    </row>
    <row r="171">
      <c r="B171" s="5" t="s">
        <v>237</v>
      </c>
      <c r="C171" s="5" t="s">
        <v>375</v>
      </c>
      <c r="D171" s="20">
        <v>1.22E7</v>
      </c>
      <c r="E171" s="20">
        <v>4000000.0</v>
      </c>
      <c r="F171" s="16">
        <f t="shared" si="9"/>
        <v>0.3278688525</v>
      </c>
      <c r="G171" s="5">
        <v>2.0</v>
      </c>
      <c r="H171" s="7" t="s">
        <v>16</v>
      </c>
    </row>
    <row r="172">
      <c r="B172" s="5" t="s">
        <v>237</v>
      </c>
      <c r="C172" s="5" t="s">
        <v>376</v>
      </c>
      <c r="D172" s="20">
        <v>1.03E7</v>
      </c>
      <c r="E172" s="20">
        <v>4000000.0</v>
      </c>
      <c r="F172" s="16">
        <f t="shared" si="9"/>
        <v>0.3883495146</v>
      </c>
      <c r="G172" s="5">
        <v>22.0</v>
      </c>
      <c r="H172" s="7" t="s">
        <v>16</v>
      </c>
    </row>
    <row r="173">
      <c r="B173" s="5" t="s">
        <v>114</v>
      </c>
      <c r="C173" s="7" t="s">
        <v>377</v>
      </c>
      <c r="D173" s="11">
        <v>6000000.0</v>
      </c>
      <c r="E173" s="9">
        <v>4000000.0</v>
      </c>
      <c r="F173" s="16">
        <f t="shared" ref="F173:F174" si="10">E173/D173</f>
        <v>0.6666666667</v>
      </c>
      <c r="G173" s="7">
        <v>3.0</v>
      </c>
      <c r="H173" s="7" t="s">
        <v>378</v>
      </c>
    </row>
    <row r="174">
      <c r="B174" s="5" t="s">
        <v>114</v>
      </c>
      <c r="C174" s="7" t="s">
        <v>380</v>
      </c>
      <c r="D174" s="11">
        <v>6500000.0</v>
      </c>
      <c r="E174" s="9">
        <v>4000000.0</v>
      </c>
      <c r="F174" s="16">
        <f t="shared" si="10"/>
        <v>0.6153846154</v>
      </c>
      <c r="G174" s="7">
        <v>5.0</v>
      </c>
      <c r="H174" s="5" t="s">
        <v>382</v>
      </c>
    </row>
    <row r="175">
      <c r="B175" s="5" t="s">
        <v>237</v>
      </c>
      <c r="C175" s="5" t="s">
        <v>383</v>
      </c>
      <c r="D175" s="20">
        <v>1.15E7</v>
      </c>
      <c r="E175" s="20">
        <v>4100000.0</v>
      </c>
      <c r="F175" s="16">
        <f t="shared" ref="F175:F220" si="11">+E175/D175</f>
        <v>0.3565217391</v>
      </c>
      <c r="G175" s="5">
        <v>8.0</v>
      </c>
      <c r="H175" s="7" t="s">
        <v>16</v>
      </c>
    </row>
    <row r="176">
      <c r="B176" s="5" t="s">
        <v>237</v>
      </c>
      <c r="C176" s="5" t="s">
        <v>384</v>
      </c>
      <c r="D176" s="20">
        <v>9100000.0</v>
      </c>
      <c r="E176" s="20">
        <v>4200000.0</v>
      </c>
      <c r="F176" s="16">
        <f t="shared" si="11"/>
        <v>0.4615384615</v>
      </c>
      <c r="G176" s="5">
        <v>14.0</v>
      </c>
      <c r="H176" s="7" t="s">
        <v>16</v>
      </c>
    </row>
    <row r="177">
      <c r="B177" s="5" t="s">
        <v>195</v>
      </c>
      <c r="C177" s="5" t="s">
        <v>386</v>
      </c>
      <c r="D177" s="11">
        <v>6500000.0</v>
      </c>
      <c r="E177" s="11">
        <v>4300000.0</v>
      </c>
      <c r="F177" s="16">
        <f t="shared" si="11"/>
        <v>0.6615384615</v>
      </c>
      <c r="G177" s="5">
        <v>15.0</v>
      </c>
      <c r="H177" s="7" t="s">
        <v>36</v>
      </c>
    </row>
    <row r="178">
      <c r="B178" s="5" t="s">
        <v>13</v>
      </c>
      <c r="C178" s="12" t="s">
        <v>30</v>
      </c>
      <c r="D178" s="13">
        <v>1.8689E7</v>
      </c>
      <c r="E178" s="13">
        <v>4546000.0</v>
      </c>
      <c r="F178" s="16">
        <f t="shared" si="11"/>
        <v>0.2432446894</v>
      </c>
      <c r="G178" s="12">
        <v>4.0</v>
      </c>
      <c r="H178" s="5" t="s">
        <v>33</v>
      </c>
    </row>
    <row r="179">
      <c r="B179" s="5" t="s">
        <v>222</v>
      </c>
      <c r="C179" s="12" t="s">
        <v>299</v>
      </c>
      <c r="D179" s="13">
        <f>9090000</f>
        <v>9090000</v>
      </c>
      <c r="E179" s="45">
        <v>4600000.0</v>
      </c>
      <c r="F179" s="16">
        <f t="shared" si="11"/>
        <v>0.5060506051</v>
      </c>
      <c r="G179" s="12">
        <v>2.0</v>
      </c>
      <c r="H179" s="12" t="s">
        <v>16</v>
      </c>
    </row>
    <row r="180">
      <c r="B180" s="5" t="s">
        <v>71</v>
      </c>
      <c r="C180" s="12" t="s">
        <v>79</v>
      </c>
      <c r="D180" s="13">
        <v>1.142E7</v>
      </c>
      <c r="E180" s="13">
        <v>4690000.0</v>
      </c>
      <c r="F180" s="16">
        <f t="shared" si="11"/>
        <v>0.4106830123</v>
      </c>
      <c r="G180" s="12">
        <v>2.0</v>
      </c>
      <c r="H180" s="5" t="s">
        <v>95</v>
      </c>
    </row>
    <row r="181">
      <c r="B181" s="5" t="s">
        <v>237</v>
      </c>
      <c r="C181" s="5" t="s">
        <v>390</v>
      </c>
      <c r="D181" s="20">
        <v>1.49E7</v>
      </c>
      <c r="E181" s="20">
        <v>4700000.0</v>
      </c>
      <c r="F181" s="16">
        <f t="shared" si="11"/>
        <v>0.3154362416</v>
      </c>
      <c r="G181" s="5">
        <v>15.0</v>
      </c>
      <c r="H181" s="7" t="s">
        <v>16</v>
      </c>
    </row>
    <row r="182">
      <c r="B182" s="5" t="s">
        <v>237</v>
      </c>
      <c r="C182" s="5" t="s">
        <v>391</v>
      </c>
      <c r="D182" s="20">
        <v>1.1E7</v>
      </c>
      <c r="E182" s="20">
        <v>4700000.0</v>
      </c>
      <c r="F182" s="16">
        <f t="shared" si="11"/>
        <v>0.4272727273</v>
      </c>
      <c r="G182" s="5">
        <v>21.0</v>
      </c>
      <c r="H182" s="7" t="s">
        <v>16</v>
      </c>
    </row>
    <row r="183">
      <c r="B183" s="5" t="s">
        <v>237</v>
      </c>
      <c r="C183" s="5" t="s">
        <v>393</v>
      </c>
      <c r="D183" s="20">
        <v>1.05E7</v>
      </c>
      <c r="E183" s="20">
        <v>4700000.0</v>
      </c>
      <c r="F183" s="16">
        <f t="shared" si="11"/>
        <v>0.4476190476</v>
      </c>
      <c r="G183" s="5">
        <v>12.0</v>
      </c>
      <c r="H183" s="7" t="s">
        <v>16</v>
      </c>
    </row>
    <row r="184">
      <c r="B184" s="5" t="s">
        <v>195</v>
      </c>
      <c r="C184" s="5" t="s">
        <v>394</v>
      </c>
      <c r="D184" s="11">
        <v>7000000.0</v>
      </c>
      <c r="E184" s="11">
        <v>4800000.0</v>
      </c>
      <c r="F184" s="16">
        <f t="shared" si="11"/>
        <v>0.6857142857</v>
      </c>
      <c r="G184" s="5">
        <v>10.0</v>
      </c>
      <c r="H184" s="7" t="s">
        <v>102</v>
      </c>
    </row>
    <row r="185">
      <c r="B185" s="5" t="s">
        <v>237</v>
      </c>
      <c r="C185" s="5" t="s">
        <v>395</v>
      </c>
      <c r="D185" s="20">
        <v>1.11E7</v>
      </c>
      <c r="E185" s="20">
        <v>5400000.0</v>
      </c>
      <c r="F185" s="16">
        <f t="shared" si="11"/>
        <v>0.4864864865</v>
      </c>
      <c r="G185" s="5">
        <v>3.0</v>
      </c>
      <c r="H185" s="7" t="s">
        <v>16</v>
      </c>
    </row>
    <row r="186">
      <c r="B186" s="5" t="s">
        <v>237</v>
      </c>
      <c r="C186" s="5" t="s">
        <v>397</v>
      </c>
      <c r="D186" s="20">
        <v>1.22E7</v>
      </c>
      <c r="E186" s="20">
        <v>5900000.0</v>
      </c>
      <c r="F186" s="16">
        <f t="shared" si="11"/>
        <v>0.4836065574</v>
      </c>
      <c r="G186" s="5">
        <v>9.0</v>
      </c>
      <c r="H186" s="7" t="s">
        <v>16</v>
      </c>
    </row>
    <row r="187">
      <c r="B187" s="5" t="s">
        <v>140</v>
      </c>
      <c r="C187" s="12" t="s">
        <v>217</v>
      </c>
      <c r="D187" s="13">
        <v>9000000.0</v>
      </c>
      <c r="E187" s="13">
        <v>6000000.0</v>
      </c>
      <c r="F187" s="16">
        <f t="shared" si="11"/>
        <v>0.6666666667</v>
      </c>
      <c r="G187" s="5">
        <v>6.0</v>
      </c>
      <c r="H187" s="5" t="s">
        <v>95</v>
      </c>
    </row>
    <row r="188">
      <c r="B188" s="5" t="s">
        <v>237</v>
      </c>
      <c r="C188" s="5" t="s">
        <v>398</v>
      </c>
      <c r="D188" s="20">
        <v>1.45E7</v>
      </c>
      <c r="E188" s="20">
        <v>6100000.0</v>
      </c>
      <c r="F188" s="16">
        <f t="shared" si="11"/>
        <v>0.4206896552</v>
      </c>
      <c r="G188" s="5">
        <v>17.0</v>
      </c>
      <c r="H188" s="7" t="s">
        <v>16</v>
      </c>
    </row>
    <row r="189">
      <c r="B189" s="5" t="s">
        <v>237</v>
      </c>
      <c r="C189" s="5" t="s">
        <v>400</v>
      </c>
      <c r="D189" s="20">
        <v>1.47E7</v>
      </c>
      <c r="E189" s="20">
        <v>6200000.0</v>
      </c>
      <c r="F189" s="16">
        <f t="shared" si="11"/>
        <v>0.4217687075</v>
      </c>
      <c r="G189" s="5">
        <v>11.0</v>
      </c>
      <c r="H189" s="7" t="s">
        <v>16</v>
      </c>
    </row>
    <row r="190">
      <c r="B190" s="5" t="s">
        <v>140</v>
      </c>
      <c r="C190" s="12" t="s">
        <v>259</v>
      </c>
      <c r="D190" s="13">
        <v>1.08E7</v>
      </c>
      <c r="E190" s="13">
        <v>6200000.0</v>
      </c>
      <c r="F190" s="16">
        <f t="shared" si="11"/>
        <v>0.5740740741</v>
      </c>
      <c r="G190" s="5">
        <v>17.0</v>
      </c>
      <c r="H190" s="12" t="s">
        <v>102</v>
      </c>
    </row>
    <row r="191">
      <c r="B191" s="5" t="s">
        <v>222</v>
      </c>
      <c r="C191" s="12" t="s">
        <v>304</v>
      </c>
      <c r="D191" s="9">
        <v>1.2E7</v>
      </c>
      <c r="E191" s="45">
        <v>7800000.0</v>
      </c>
      <c r="F191" s="16">
        <f t="shared" si="11"/>
        <v>0.65</v>
      </c>
      <c r="G191" s="12">
        <v>4.0</v>
      </c>
      <c r="H191" s="5" t="s">
        <v>122</v>
      </c>
    </row>
    <row r="192">
      <c r="B192" s="5" t="s">
        <v>195</v>
      </c>
      <c r="C192" s="5" t="s">
        <v>402</v>
      </c>
      <c r="D192" s="9">
        <v>1.0E7</v>
      </c>
      <c r="E192" s="9">
        <v>6400000.0</v>
      </c>
      <c r="F192" s="16">
        <f t="shared" si="11"/>
        <v>0.64</v>
      </c>
      <c r="G192" s="5">
        <v>7.0</v>
      </c>
      <c r="H192" s="7" t="s">
        <v>146</v>
      </c>
    </row>
    <row r="193">
      <c r="B193" s="5" t="s">
        <v>237</v>
      </c>
      <c r="C193" s="5" t="s">
        <v>403</v>
      </c>
      <c r="D193" s="20">
        <v>1.9E7</v>
      </c>
      <c r="E193" s="20">
        <v>6600000.0</v>
      </c>
      <c r="F193" s="16">
        <f t="shared" si="11"/>
        <v>0.3473684211</v>
      </c>
      <c r="G193" s="5">
        <v>16.0</v>
      </c>
      <c r="H193" s="7" t="s">
        <v>16</v>
      </c>
    </row>
    <row r="194">
      <c r="B194" s="5" t="s">
        <v>237</v>
      </c>
      <c r="C194" s="5" t="s">
        <v>404</v>
      </c>
      <c r="D194" s="20">
        <v>1.55E7</v>
      </c>
      <c r="E194" s="20">
        <v>6700000.0</v>
      </c>
      <c r="F194" s="16">
        <f t="shared" si="11"/>
        <v>0.4322580645</v>
      </c>
      <c r="G194" s="5">
        <v>6.0</v>
      </c>
      <c r="H194" s="7" t="s">
        <v>16</v>
      </c>
    </row>
    <row r="195">
      <c r="B195" s="5" t="s">
        <v>195</v>
      </c>
      <c r="C195" s="5" t="s">
        <v>405</v>
      </c>
      <c r="D195" s="20">
        <v>1.05E7</v>
      </c>
      <c r="E195" s="20">
        <v>7000000.0</v>
      </c>
      <c r="F195" s="16">
        <f t="shared" si="11"/>
        <v>0.6666666667</v>
      </c>
      <c r="G195" s="5">
        <v>5.0</v>
      </c>
      <c r="H195" s="5" t="s">
        <v>406</v>
      </c>
    </row>
    <row r="196">
      <c r="B196" s="5" t="s">
        <v>237</v>
      </c>
      <c r="C196" s="5" t="s">
        <v>407</v>
      </c>
      <c r="D196" s="20">
        <v>1.48E7</v>
      </c>
      <c r="E196" s="20">
        <v>7300000.0</v>
      </c>
      <c r="F196" s="16">
        <f t="shared" si="11"/>
        <v>0.4932432432</v>
      </c>
      <c r="G196" s="5">
        <v>1.0</v>
      </c>
      <c r="H196" s="7" t="s">
        <v>16</v>
      </c>
    </row>
    <row r="197">
      <c r="B197" s="5" t="s">
        <v>222</v>
      </c>
      <c r="C197" s="12" t="s">
        <v>305</v>
      </c>
      <c r="D197" s="13">
        <v>1.31E7</v>
      </c>
      <c r="E197" s="45">
        <v>8000000.0</v>
      </c>
      <c r="F197" s="16">
        <f t="shared" si="11"/>
        <v>0.6106870229</v>
      </c>
      <c r="G197" s="12">
        <v>5.0</v>
      </c>
      <c r="H197" s="12" t="s">
        <v>16</v>
      </c>
    </row>
    <row r="198">
      <c r="B198" s="5" t="s">
        <v>195</v>
      </c>
      <c r="C198" s="5" t="s">
        <v>408</v>
      </c>
      <c r="D198" s="9">
        <v>1.15E7</v>
      </c>
      <c r="E198" s="9">
        <v>7500000.0</v>
      </c>
      <c r="F198" s="16">
        <f t="shared" si="11"/>
        <v>0.652173913</v>
      </c>
      <c r="G198" s="5">
        <v>2.0</v>
      </c>
      <c r="H198" s="5" t="s">
        <v>409</v>
      </c>
    </row>
    <row r="199">
      <c r="B199" s="5" t="s">
        <v>237</v>
      </c>
      <c r="C199" s="5" t="s">
        <v>410</v>
      </c>
      <c r="D199" s="20">
        <v>1.84E7</v>
      </c>
      <c r="E199" s="20">
        <v>7700000.0</v>
      </c>
      <c r="F199" s="16">
        <f t="shared" si="11"/>
        <v>0.4184782609</v>
      </c>
      <c r="G199" s="5">
        <v>7.0</v>
      </c>
      <c r="H199" s="7" t="s">
        <v>16</v>
      </c>
    </row>
    <row r="200">
      <c r="B200" s="5" t="s">
        <v>140</v>
      </c>
      <c r="C200" s="12" t="s">
        <v>221</v>
      </c>
      <c r="D200" s="13">
        <v>1.07E7</v>
      </c>
      <c r="E200" s="13">
        <v>7800000.0</v>
      </c>
      <c r="F200" s="16">
        <f t="shared" si="11"/>
        <v>0.7289719626</v>
      </c>
      <c r="G200" s="5">
        <v>8.0</v>
      </c>
      <c r="H200" s="5" t="s">
        <v>290</v>
      </c>
    </row>
    <row r="201">
      <c r="B201" s="5" t="s">
        <v>174</v>
      </c>
      <c r="C201" s="5" t="s">
        <v>411</v>
      </c>
      <c r="D201" s="20">
        <v>1.63E7</v>
      </c>
      <c r="E201" s="20">
        <v>7817000.0</v>
      </c>
      <c r="F201" s="16">
        <f t="shared" si="11"/>
        <v>0.4795705521</v>
      </c>
      <c r="G201" s="5">
        <v>3.0</v>
      </c>
      <c r="H201" s="5" t="s">
        <v>358</v>
      </c>
    </row>
    <row r="202">
      <c r="B202" s="5" t="s">
        <v>13</v>
      </c>
      <c r="C202" s="12" t="s">
        <v>14</v>
      </c>
      <c r="D202" s="13">
        <v>2.8883E7</v>
      </c>
      <c r="E202" s="13">
        <v>7970000.0</v>
      </c>
      <c r="F202" s="16">
        <f t="shared" si="11"/>
        <v>0.2759408649</v>
      </c>
      <c r="G202" s="12">
        <v>1.0</v>
      </c>
      <c r="H202" s="5" t="s">
        <v>17</v>
      </c>
    </row>
    <row r="203">
      <c r="B203" s="5" t="s">
        <v>195</v>
      </c>
      <c r="C203" s="5" t="s">
        <v>412</v>
      </c>
      <c r="D203" s="11">
        <v>1.2E7</v>
      </c>
      <c r="E203" s="11">
        <v>8000000.0</v>
      </c>
      <c r="F203" s="16">
        <f t="shared" si="11"/>
        <v>0.6666666667</v>
      </c>
      <c r="G203" s="5">
        <v>3.0</v>
      </c>
      <c r="H203" s="5" t="s">
        <v>406</v>
      </c>
    </row>
    <row r="204">
      <c r="B204" s="5" t="s">
        <v>237</v>
      </c>
      <c r="C204" s="5" t="s">
        <v>413</v>
      </c>
      <c r="D204" s="20">
        <v>2.21E7</v>
      </c>
      <c r="E204" s="20">
        <v>8800000.0</v>
      </c>
      <c r="F204" s="16">
        <f t="shared" si="11"/>
        <v>0.3981900452</v>
      </c>
      <c r="G204" s="5">
        <v>4.0</v>
      </c>
      <c r="H204" s="7" t="s">
        <v>16</v>
      </c>
    </row>
    <row r="205">
      <c r="B205" s="5" t="s">
        <v>237</v>
      </c>
      <c r="C205" s="5" t="s">
        <v>414</v>
      </c>
      <c r="D205" s="20">
        <v>2.86E7</v>
      </c>
      <c r="E205" s="20">
        <v>9300000.0</v>
      </c>
      <c r="F205" s="16">
        <f t="shared" si="11"/>
        <v>0.3251748252</v>
      </c>
      <c r="G205" s="5">
        <v>5.0</v>
      </c>
      <c r="H205" s="7" t="s">
        <v>16</v>
      </c>
    </row>
    <row r="206">
      <c r="B206" s="5" t="s">
        <v>140</v>
      </c>
      <c r="C206" s="12" t="s">
        <v>227</v>
      </c>
      <c r="D206" s="13">
        <v>1.62E7</v>
      </c>
      <c r="E206" s="13">
        <v>1.1E7</v>
      </c>
      <c r="F206" s="16">
        <f t="shared" si="11"/>
        <v>0.6790123457</v>
      </c>
      <c r="G206" s="5">
        <v>9.0</v>
      </c>
      <c r="H206" s="5" t="s">
        <v>302</v>
      </c>
    </row>
    <row r="207">
      <c r="B207" s="5" t="s">
        <v>140</v>
      </c>
      <c r="C207" s="12" t="s">
        <v>203</v>
      </c>
      <c r="D207" s="13">
        <v>1.7E7</v>
      </c>
      <c r="E207" s="13">
        <v>1.2E7</v>
      </c>
      <c r="F207" s="16">
        <f t="shared" si="11"/>
        <v>0.7058823529</v>
      </c>
      <c r="G207" s="5">
        <v>3.0</v>
      </c>
      <c r="H207" s="5" t="s">
        <v>204</v>
      </c>
    </row>
    <row r="208">
      <c r="B208" s="5" t="s">
        <v>222</v>
      </c>
      <c r="C208" s="12" t="s">
        <v>289</v>
      </c>
      <c r="D208" s="13">
        <v>2.1E7</v>
      </c>
      <c r="E208" s="45">
        <v>1.33E7</v>
      </c>
      <c r="F208" s="16">
        <f t="shared" si="11"/>
        <v>0.6333333333</v>
      </c>
      <c r="G208" s="12">
        <v>1.0</v>
      </c>
      <c r="H208" s="5" t="s">
        <v>415</v>
      </c>
    </row>
    <row r="209">
      <c r="B209" s="5" t="s">
        <v>69</v>
      </c>
      <c r="C209" s="12" t="s">
        <v>335</v>
      </c>
      <c r="D209" s="13">
        <v>2.17E7</v>
      </c>
      <c r="E209" s="13">
        <v>1.44E7</v>
      </c>
      <c r="F209" s="16">
        <f t="shared" si="11"/>
        <v>0.66359447</v>
      </c>
      <c r="G209" s="12">
        <v>1.0</v>
      </c>
      <c r="H209" s="5" t="s">
        <v>26</v>
      </c>
    </row>
    <row r="210">
      <c r="B210" s="5" t="s">
        <v>174</v>
      </c>
      <c r="C210" s="5" t="s">
        <v>419</v>
      </c>
      <c r="D210" s="9">
        <v>2.6623908E7</v>
      </c>
      <c r="E210" s="9">
        <v>1.64E7</v>
      </c>
      <c r="F210" s="16">
        <f t="shared" si="11"/>
        <v>0.6159877055</v>
      </c>
      <c r="G210" s="5">
        <v>1.0</v>
      </c>
      <c r="H210" s="5" t="s">
        <v>421</v>
      </c>
    </row>
    <row r="211">
      <c r="B211" s="5" t="s">
        <v>88</v>
      </c>
      <c r="C211" s="5" t="s">
        <v>422</v>
      </c>
      <c r="D211" s="9">
        <v>2.7E7</v>
      </c>
      <c r="E211" s="9">
        <v>1.8E7</v>
      </c>
      <c r="F211" s="16">
        <f t="shared" si="11"/>
        <v>0.6666666667</v>
      </c>
      <c r="G211" s="5">
        <v>2.0</v>
      </c>
      <c r="H211" s="5" t="s">
        <v>423</v>
      </c>
    </row>
    <row r="212">
      <c r="B212" s="5" t="s">
        <v>71</v>
      </c>
      <c r="C212" s="12" t="s">
        <v>72</v>
      </c>
      <c r="D212" s="13">
        <v>4.842E7</v>
      </c>
      <c r="E212" s="13">
        <v>1.803E7</v>
      </c>
      <c r="F212" s="16">
        <f t="shared" si="11"/>
        <v>0.3723667906</v>
      </c>
      <c r="G212" s="12">
        <v>1.0</v>
      </c>
      <c r="H212" s="5" t="s">
        <v>90</v>
      </c>
    </row>
    <row r="213">
      <c r="B213" s="5" t="s">
        <v>88</v>
      </c>
      <c r="C213" s="5" t="s">
        <v>425</v>
      </c>
      <c r="D213" s="20">
        <v>2.0E7</v>
      </c>
      <c r="E213" s="20">
        <v>1.85E7</v>
      </c>
      <c r="F213" s="16">
        <f t="shared" si="11"/>
        <v>0.925</v>
      </c>
      <c r="G213" s="5">
        <v>3.0</v>
      </c>
      <c r="H213" s="5" t="s">
        <v>426</v>
      </c>
    </row>
    <row r="214">
      <c r="B214" s="5" t="s">
        <v>427</v>
      </c>
      <c r="C214" s="5" t="s">
        <v>428</v>
      </c>
      <c r="D214" s="11">
        <v>3.0E7</v>
      </c>
      <c r="E214" s="9">
        <v>1.85E7</v>
      </c>
      <c r="F214" s="16">
        <f t="shared" si="11"/>
        <v>0.6166666667</v>
      </c>
      <c r="G214" s="5">
        <v>1.0</v>
      </c>
      <c r="H214" s="5" t="s">
        <v>429</v>
      </c>
    </row>
    <row r="215">
      <c r="B215" s="5" t="s">
        <v>140</v>
      </c>
      <c r="C215" s="12" t="s">
        <v>178</v>
      </c>
      <c r="D215" s="13">
        <v>3.5E7</v>
      </c>
      <c r="E215" s="13">
        <v>1.9E7</v>
      </c>
      <c r="F215" s="16">
        <f t="shared" si="11"/>
        <v>0.5428571429</v>
      </c>
      <c r="G215" s="5">
        <v>2.0</v>
      </c>
      <c r="H215" s="5" t="s">
        <v>182</v>
      </c>
    </row>
    <row r="216">
      <c r="B216" s="5" t="s">
        <v>13</v>
      </c>
      <c r="C216" s="12" t="s">
        <v>19</v>
      </c>
      <c r="D216" s="13">
        <v>3.8715E7</v>
      </c>
      <c r="E216" s="13">
        <v>2.0134E7</v>
      </c>
      <c r="F216" s="16">
        <f t="shared" si="11"/>
        <v>0.5200568255</v>
      </c>
      <c r="G216" s="12">
        <v>2.0</v>
      </c>
      <c r="H216" s="5" t="s">
        <v>26</v>
      </c>
    </row>
    <row r="217">
      <c r="B217" s="5" t="s">
        <v>222</v>
      </c>
      <c r="C217" s="12" t="s">
        <v>301</v>
      </c>
      <c r="D217" s="13">
        <v>4.0511E7</v>
      </c>
      <c r="E217" s="45">
        <v>2.25E7</v>
      </c>
      <c r="F217" s="16">
        <f t="shared" si="11"/>
        <v>0.5554047049</v>
      </c>
      <c r="G217" s="12">
        <v>3.0</v>
      </c>
      <c r="H217" s="5" t="s">
        <v>431</v>
      </c>
    </row>
    <row r="218">
      <c r="B218" s="5" t="s">
        <v>195</v>
      </c>
      <c r="C218" s="5" t="s">
        <v>432</v>
      </c>
      <c r="D218" s="9">
        <v>3.35E7</v>
      </c>
      <c r="E218" s="9">
        <v>2.4E7</v>
      </c>
      <c r="F218" s="16">
        <f t="shared" si="11"/>
        <v>0.7164179104</v>
      </c>
      <c r="G218" s="5">
        <v>1.0</v>
      </c>
      <c r="H218" s="5" t="s">
        <v>182</v>
      </c>
    </row>
    <row r="219">
      <c r="B219" s="5" t="s">
        <v>195</v>
      </c>
      <c r="C219" s="5" t="s">
        <v>434</v>
      </c>
      <c r="D219" s="9">
        <v>3.5E7</v>
      </c>
      <c r="E219" s="9">
        <v>2.6E7</v>
      </c>
      <c r="F219" s="16">
        <f t="shared" si="11"/>
        <v>0.7428571429</v>
      </c>
      <c r="G219" s="5">
        <v>4.0</v>
      </c>
      <c r="H219" s="5" t="s">
        <v>435</v>
      </c>
    </row>
    <row r="220">
      <c r="B220" s="5" t="s">
        <v>140</v>
      </c>
      <c r="C220" s="12" t="s">
        <v>194</v>
      </c>
      <c r="D220" s="13">
        <v>4.02E7</v>
      </c>
      <c r="E220" s="13">
        <v>2.925E7</v>
      </c>
      <c r="F220" s="16">
        <f t="shared" si="11"/>
        <v>0.7276119403</v>
      </c>
      <c r="G220" s="5">
        <v>5.0</v>
      </c>
      <c r="H220" s="5" t="s">
        <v>249</v>
      </c>
    </row>
    <row r="221">
      <c r="B221" s="5" t="s">
        <v>114</v>
      </c>
      <c r="C221" s="7" t="s">
        <v>389</v>
      </c>
      <c r="D221" s="9">
        <v>4.5E7</v>
      </c>
      <c r="E221" s="9">
        <v>3.020533E7</v>
      </c>
      <c r="F221" s="16">
        <f>E221/D221</f>
        <v>0.6712295556</v>
      </c>
      <c r="G221" s="7">
        <v>1.0</v>
      </c>
      <c r="H221" s="7" t="s">
        <v>436</v>
      </c>
    </row>
    <row r="222">
      <c r="B222" s="5" t="s">
        <v>174</v>
      </c>
      <c r="C222" s="5" t="s">
        <v>438</v>
      </c>
      <c r="D222" s="9">
        <v>4.85146768E7</v>
      </c>
      <c r="E222" s="9">
        <v>3.03E7</v>
      </c>
      <c r="F222" s="16">
        <f t="shared" ref="F222:F223" si="12">+E222/D222</f>
        <v>0.6245532692</v>
      </c>
      <c r="G222" s="5">
        <v>2.0</v>
      </c>
      <c r="H222" s="5" t="s">
        <v>439</v>
      </c>
    </row>
    <row r="223">
      <c r="B223" s="5" t="s">
        <v>140</v>
      </c>
      <c r="C223" s="12" t="s">
        <v>141</v>
      </c>
      <c r="D223" s="13">
        <v>5.5E7</v>
      </c>
      <c r="E223" s="9">
        <v>3.43E7</v>
      </c>
      <c r="F223" s="16">
        <f t="shared" si="12"/>
        <v>0.6236363636</v>
      </c>
      <c r="G223" s="5">
        <v>1.0</v>
      </c>
      <c r="H223" s="5" t="s">
        <v>158</v>
      </c>
    </row>
    <row r="224">
      <c r="B224" s="5" t="s">
        <v>114</v>
      </c>
      <c r="C224" s="7" t="s">
        <v>396</v>
      </c>
      <c r="D224" s="9">
        <v>5.5E7</v>
      </c>
      <c r="E224" s="9">
        <v>3.7217761E7</v>
      </c>
      <c r="F224" s="16">
        <f>E224/D224</f>
        <v>0.6766865636</v>
      </c>
      <c r="G224" s="7">
        <v>2.0</v>
      </c>
      <c r="H224" s="5" t="s">
        <v>26</v>
      </c>
    </row>
    <row r="225">
      <c r="B225" s="7" t="s">
        <v>77</v>
      </c>
      <c r="C225" s="7" t="s">
        <v>442</v>
      </c>
      <c r="D225" s="11">
        <v>1100000.0</v>
      </c>
      <c r="E225" s="20">
        <v>700000.0</v>
      </c>
      <c r="F225" s="16">
        <f>++E225/D225</f>
        <v>0.6363636364</v>
      </c>
      <c r="G225" s="7">
        <v>9.0</v>
      </c>
      <c r="H225" s="7" t="s">
        <v>16</v>
      </c>
    </row>
    <row r="226">
      <c r="B226" s="7" t="s">
        <v>77</v>
      </c>
      <c r="C226" s="7" t="s">
        <v>444</v>
      </c>
      <c r="D226" s="9">
        <v>880000.0</v>
      </c>
      <c r="E226" s="11">
        <v>550000.0</v>
      </c>
      <c r="F226" s="16">
        <f>+E226/D226</f>
        <v>0.625</v>
      </c>
      <c r="G226" s="7" t="s">
        <v>16</v>
      </c>
      <c r="H226" s="5" t="s">
        <v>16</v>
      </c>
    </row>
  </sheetData>
  <autoFilter ref="$B$4:$H$226">
    <sortState ref="B4:H226">
      <sortCondition ref="E4:E226"/>
      <sortCondition ref="G4:G226"/>
      <sortCondition ref="B4:B226"/>
      <sortCondition ref="F4:F226"/>
    </sortState>
  </autoFilter>
  <mergeCells count="1">
    <mergeCell ref="B3:H3"/>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2" max="2" width="24.67"/>
    <col customWidth="1" min="6" max="6" width="18.78"/>
  </cols>
  <sheetData>
    <row r="1">
      <c r="A1" s="8"/>
      <c r="B1" s="10" t="s">
        <v>11</v>
      </c>
      <c r="N1" s="8"/>
      <c r="O1" s="8"/>
      <c r="P1" s="8"/>
      <c r="Q1" s="8"/>
      <c r="R1" s="8"/>
      <c r="S1" s="8"/>
      <c r="T1" s="8"/>
      <c r="U1" s="8"/>
      <c r="V1" s="8"/>
      <c r="W1" s="8"/>
      <c r="X1" s="8"/>
      <c r="Y1" s="8"/>
      <c r="Z1" s="8"/>
      <c r="AA1" s="8"/>
      <c r="AB1" s="8"/>
      <c r="AC1" s="8"/>
      <c r="AD1" s="8"/>
      <c r="AE1" s="8"/>
    </row>
    <row r="2">
      <c r="A2" s="8"/>
      <c r="B2" s="8"/>
      <c r="C2" s="8"/>
      <c r="D2" s="8"/>
      <c r="E2" s="8"/>
      <c r="F2" s="8"/>
      <c r="G2" s="8"/>
      <c r="H2" s="8"/>
      <c r="I2" s="8"/>
      <c r="J2" s="8"/>
      <c r="K2" s="8"/>
      <c r="L2" s="8"/>
      <c r="M2" s="8"/>
      <c r="N2" s="8"/>
      <c r="O2" s="8"/>
      <c r="P2" s="8"/>
      <c r="Q2" s="8"/>
      <c r="R2" s="8"/>
      <c r="S2" s="8"/>
      <c r="T2" s="8"/>
      <c r="U2" s="8"/>
      <c r="V2" s="8"/>
      <c r="W2" s="8"/>
      <c r="X2" s="8"/>
      <c r="Y2" s="8"/>
      <c r="Z2" s="8"/>
      <c r="AA2" s="8"/>
      <c r="AB2" s="8"/>
      <c r="AC2" s="8"/>
      <c r="AD2" s="8"/>
      <c r="AE2" s="8"/>
    </row>
    <row r="3">
      <c r="A3" s="8"/>
      <c r="B3" s="14" t="s">
        <v>15</v>
      </c>
      <c r="C3" s="2"/>
      <c r="D3" s="2"/>
      <c r="E3" s="2"/>
      <c r="F3" s="4"/>
      <c r="G3" s="8"/>
      <c r="H3" s="8"/>
      <c r="I3" s="15"/>
      <c r="J3" s="8"/>
      <c r="K3" s="8"/>
      <c r="L3" s="8"/>
      <c r="M3" s="8"/>
      <c r="N3" s="8"/>
      <c r="O3" s="8"/>
      <c r="P3" s="8"/>
      <c r="Q3" s="8"/>
      <c r="R3" s="8"/>
      <c r="S3" s="8"/>
      <c r="T3" s="8"/>
      <c r="U3" s="8"/>
      <c r="V3" s="8"/>
      <c r="W3" s="8"/>
      <c r="X3" s="8"/>
      <c r="Y3" s="8"/>
      <c r="Z3" s="8"/>
      <c r="AA3" s="8"/>
      <c r="AB3" s="8"/>
      <c r="AC3" s="8"/>
      <c r="AD3" s="8"/>
      <c r="AE3" s="8"/>
    </row>
    <row r="4">
      <c r="A4" s="8"/>
      <c r="B4" s="17" t="s">
        <v>18</v>
      </c>
      <c r="C4" s="17" t="s">
        <v>22</v>
      </c>
      <c r="D4" s="17" t="s">
        <v>23</v>
      </c>
      <c r="E4" s="17" t="s">
        <v>24</v>
      </c>
      <c r="F4" s="17" t="s">
        <v>25</v>
      </c>
      <c r="G4" s="8"/>
      <c r="H4" s="8"/>
      <c r="I4" s="8"/>
      <c r="J4" s="8"/>
      <c r="K4" s="8"/>
      <c r="L4" s="8"/>
      <c r="M4" s="8"/>
      <c r="N4" s="8"/>
      <c r="O4" s="8"/>
      <c r="P4" s="8"/>
      <c r="Q4" s="8"/>
      <c r="R4" s="8"/>
      <c r="S4" s="8"/>
      <c r="T4" s="8"/>
      <c r="U4" s="8"/>
      <c r="V4" s="8"/>
      <c r="W4" s="8"/>
      <c r="X4" s="8"/>
      <c r="Y4" s="8"/>
      <c r="Z4" s="8"/>
      <c r="AA4" s="8"/>
      <c r="AB4" s="8"/>
      <c r="AC4" s="8"/>
      <c r="AD4" s="8"/>
      <c r="AE4" s="8"/>
    </row>
    <row r="5">
      <c r="A5" s="8"/>
      <c r="B5" s="7" t="s">
        <v>14</v>
      </c>
      <c r="C5" s="7">
        <v>6288.0</v>
      </c>
      <c r="D5" s="7">
        <v>6750.0</v>
      </c>
      <c r="E5" s="18">
        <f t="shared" ref="E5:E20" si="1">C5/D5</f>
        <v>0.9315555556</v>
      </c>
      <c r="F5" s="7">
        <v>1.0</v>
      </c>
      <c r="G5" s="8"/>
      <c r="H5" s="8"/>
      <c r="I5" s="8"/>
      <c r="J5" s="8"/>
      <c r="K5" s="8"/>
      <c r="L5" s="8"/>
      <c r="M5" s="8"/>
      <c r="N5" s="8"/>
      <c r="O5" s="8"/>
      <c r="P5" s="8"/>
      <c r="Q5" s="8"/>
      <c r="R5" s="8"/>
      <c r="S5" s="8"/>
      <c r="T5" s="8"/>
      <c r="U5" s="8"/>
      <c r="V5" s="8"/>
      <c r="W5" s="8"/>
      <c r="X5" s="8"/>
      <c r="Y5" s="8"/>
      <c r="Z5" s="8"/>
      <c r="AA5" s="8"/>
      <c r="AB5" s="8"/>
      <c r="AC5" s="8"/>
      <c r="AD5" s="8"/>
      <c r="AE5" s="8"/>
    </row>
    <row r="6">
      <c r="A6" s="8"/>
      <c r="B6" s="7" t="s">
        <v>38</v>
      </c>
      <c r="C6" s="7">
        <v>5819.0</v>
      </c>
      <c r="D6" s="7">
        <v>6200.0</v>
      </c>
      <c r="E6" s="18">
        <f t="shared" si="1"/>
        <v>0.9385483871</v>
      </c>
      <c r="F6" s="7">
        <v>8.0</v>
      </c>
      <c r="G6" s="8"/>
      <c r="H6" s="8"/>
      <c r="I6" s="8"/>
      <c r="J6" s="8"/>
      <c r="K6" s="8"/>
      <c r="L6" s="8"/>
      <c r="M6" s="8"/>
      <c r="N6" s="8"/>
      <c r="O6" s="8"/>
      <c r="P6" s="8"/>
      <c r="Q6" s="8"/>
      <c r="R6" s="8"/>
      <c r="S6" s="8"/>
      <c r="T6" s="8"/>
      <c r="U6" s="8"/>
      <c r="V6" s="8"/>
      <c r="W6" s="8"/>
      <c r="X6" s="8"/>
      <c r="Y6" s="8"/>
      <c r="Z6" s="8"/>
      <c r="AA6" s="8"/>
      <c r="AB6" s="8"/>
      <c r="AC6" s="8"/>
      <c r="AD6" s="8"/>
      <c r="AE6" s="8"/>
    </row>
    <row r="7">
      <c r="A7" s="8"/>
      <c r="B7" s="7" t="s">
        <v>42</v>
      </c>
      <c r="C7" s="7">
        <v>5751.0</v>
      </c>
      <c r="D7" s="7">
        <v>5850.0</v>
      </c>
      <c r="E7" s="18">
        <f t="shared" si="1"/>
        <v>0.9830769231</v>
      </c>
      <c r="F7" s="7">
        <v>10.0</v>
      </c>
      <c r="G7" s="8"/>
      <c r="H7" s="8"/>
      <c r="I7" s="8"/>
      <c r="J7" s="8"/>
      <c r="K7" s="8"/>
      <c r="L7" s="8"/>
      <c r="M7" s="8"/>
      <c r="N7" s="8"/>
      <c r="O7" s="8"/>
      <c r="P7" s="8"/>
      <c r="Q7" s="8"/>
      <c r="R7" s="8"/>
      <c r="S7" s="8"/>
      <c r="T7" s="8"/>
      <c r="U7" s="8"/>
      <c r="V7" s="8"/>
      <c r="W7" s="8"/>
      <c r="X7" s="8"/>
      <c r="Y7" s="8"/>
      <c r="Z7" s="8"/>
      <c r="AA7" s="8"/>
      <c r="AB7" s="8"/>
      <c r="AC7" s="8"/>
      <c r="AD7" s="8"/>
      <c r="AE7" s="8"/>
    </row>
    <row r="8">
      <c r="A8" s="8"/>
      <c r="B8" s="7" t="s">
        <v>30</v>
      </c>
      <c r="C8" s="7">
        <v>5287.0</v>
      </c>
      <c r="D8" s="7">
        <v>5550.0</v>
      </c>
      <c r="E8" s="18">
        <f t="shared" si="1"/>
        <v>0.9526126126</v>
      </c>
      <c r="F8" s="7">
        <v>4.0</v>
      </c>
      <c r="G8" s="8"/>
      <c r="H8" s="8"/>
      <c r="I8" s="8"/>
      <c r="J8" s="8"/>
      <c r="K8" s="8"/>
      <c r="L8" s="8"/>
      <c r="M8" s="8"/>
      <c r="N8" s="8"/>
      <c r="O8" s="8"/>
      <c r="P8" s="8"/>
      <c r="Q8" s="8"/>
      <c r="R8" s="8"/>
      <c r="S8" s="8"/>
      <c r="T8" s="8"/>
      <c r="U8" s="8"/>
      <c r="V8" s="8"/>
      <c r="W8" s="8"/>
      <c r="X8" s="8"/>
      <c r="Y8" s="8"/>
      <c r="Z8" s="8"/>
      <c r="AA8" s="8"/>
      <c r="AB8" s="8"/>
      <c r="AC8" s="8"/>
      <c r="AD8" s="8"/>
      <c r="AE8" s="8"/>
    </row>
    <row r="9">
      <c r="A9" s="8"/>
      <c r="B9" s="7" t="s">
        <v>34</v>
      </c>
      <c r="C9" s="7">
        <v>5228.0</v>
      </c>
      <c r="D9" s="7">
        <v>6000.0</v>
      </c>
      <c r="E9" s="18">
        <f t="shared" si="1"/>
        <v>0.8713333333</v>
      </c>
      <c r="F9" s="7">
        <v>6.0</v>
      </c>
      <c r="G9" s="8"/>
      <c r="H9" s="8"/>
      <c r="I9" s="8"/>
      <c r="J9" s="8"/>
      <c r="K9" s="8"/>
      <c r="L9" s="8"/>
      <c r="M9" s="8"/>
      <c r="N9" s="8"/>
      <c r="O9" s="8"/>
      <c r="P9" s="8"/>
      <c r="Q9" s="8"/>
      <c r="R9" s="8"/>
      <c r="S9" s="8"/>
      <c r="T9" s="8"/>
      <c r="U9" s="8"/>
      <c r="V9" s="8"/>
      <c r="W9" s="8"/>
      <c r="X9" s="8"/>
      <c r="Y9" s="8"/>
      <c r="Z9" s="8"/>
      <c r="AA9" s="8"/>
      <c r="AB9" s="8"/>
      <c r="AC9" s="8"/>
      <c r="AD9" s="8"/>
      <c r="AE9" s="8"/>
    </row>
    <row r="10">
      <c r="A10" s="8"/>
      <c r="B10" s="7" t="s">
        <v>46</v>
      </c>
      <c r="C10" s="7">
        <v>4922.0</v>
      </c>
      <c r="D10" s="7">
        <v>5100.0</v>
      </c>
      <c r="E10" s="18">
        <f t="shared" si="1"/>
        <v>0.9650980392</v>
      </c>
      <c r="F10" s="7">
        <v>12.0</v>
      </c>
      <c r="G10" s="8"/>
      <c r="H10" s="8"/>
      <c r="I10" s="8"/>
      <c r="J10" s="8"/>
      <c r="K10" s="8"/>
      <c r="L10" s="8"/>
      <c r="M10" s="8"/>
      <c r="N10" s="8"/>
      <c r="O10" s="8"/>
      <c r="P10" s="8"/>
      <c r="Q10" s="8"/>
      <c r="R10" s="8"/>
      <c r="S10" s="8"/>
      <c r="T10" s="8"/>
      <c r="U10" s="8"/>
      <c r="V10" s="8"/>
      <c r="W10" s="8"/>
      <c r="X10" s="8"/>
      <c r="Y10" s="8"/>
      <c r="Z10" s="8"/>
      <c r="AA10" s="8"/>
      <c r="AB10" s="8"/>
      <c r="AC10" s="8"/>
      <c r="AD10" s="8"/>
      <c r="AE10" s="8"/>
    </row>
    <row r="11">
      <c r="A11" s="8"/>
      <c r="B11" s="7" t="s">
        <v>31</v>
      </c>
      <c r="C11" s="7">
        <v>4713.0</v>
      </c>
      <c r="D11" s="7">
        <v>4720.0</v>
      </c>
      <c r="E11" s="18">
        <f t="shared" si="1"/>
        <v>0.9985169492</v>
      </c>
      <c r="F11" s="7">
        <v>5.0</v>
      </c>
      <c r="G11" s="8"/>
      <c r="H11" s="8"/>
      <c r="I11" s="8"/>
      <c r="J11" s="8"/>
      <c r="K11" s="8"/>
      <c r="L11" s="8"/>
      <c r="M11" s="8"/>
      <c r="N11" s="8"/>
      <c r="O11" s="8"/>
      <c r="P11" s="8"/>
      <c r="Q11" s="8"/>
      <c r="R11" s="8"/>
      <c r="S11" s="8"/>
      <c r="T11" s="8"/>
      <c r="U11" s="8"/>
      <c r="V11" s="8"/>
      <c r="W11" s="8"/>
      <c r="X11" s="8"/>
      <c r="Y11" s="8"/>
      <c r="Z11" s="8"/>
      <c r="AA11" s="8"/>
      <c r="AB11" s="8"/>
      <c r="AC11" s="8"/>
      <c r="AD11" s="8"/>
      <c r="AE11" s="8"/>
    </row>
    <row r="12">
      <c r="A12" s="8"/>
      <c r="B12" s="7" t="s">
        <v>40</v>
      </c>
      <c r="C12" s="7">
        <v>4578.0</v>
      </c>
      <c r="D12" s="7">
        <v>4620.0</v>
      </c>
      <c r="E12" s="18">
        <f t="shared" si="1"/>
        <v>0.9909090909</v>
      </c>
      <c r="F12" s="7">
        <v>9.0</v>
      </c>
      <c r="G12" s="8"/>
      <c r="H12" s="8"/>
      <c r="I12" s="8"/>
      <c r="J12" s="8"/>
      <c r="K12" s="8"/>
      <c r="L12" s="8"/>
      <c r="M12" s="8"/>
      <c r="N12" s="8"/>
      <c r="O12" s="8"/>
      <c r="P12" s="8"/>
      <c r="Q12" s="8"/>
      <c r="R12" s="8"/>
      <c r="S12" s="8"/>
      <c r="T12" s="8"/>
      <c r="U12" s="8"/>
      <c r="V12" s="8"/>
      <c r="W12" s="8"/>
      <c r="X12" s="8"/>
      <c r="Y12" s="8"/>
      <c r="Z12" s="8"/>
      <c r="AA12" s="8"/>
      <c r="AB12" s="8"/>
      <c r="AC12" s="8"/>
      <c r="AD12" s="8"/>
      <c r="AE12" s="8"/>
    </row>
    <row r="13">
      <c r="A13" s="8"/>
      <c r="B13" s="7" t="s">
        <v>48</v>
      </c>
      <c r="C13" s="7">
        <v>4397.0</v>
      </c>
      <c r="D13" s="7">
        <v>4750.0</v>
      </c>
      <c r="E13" s="18">
        <f t="shared" si="1"/>
        <v>0.9256842105</v>
      </c>
      <c r="F13" s="7">
        <v>13.0</v>
      </c>
      <c r="G13" s="8"/>
      <c r="H13" s="8"/>
      <c r="I13" s="8"/>
      <c r="J13" s="8"/>
      <c r="K13" s="8"/>
      <c r="L13" s="8"/>
      <c r="M13" s="8"/>
      <c r="N13" s="8"/>
      <c r="O13" s="8"/>
      <c r="P13" s="8"/>
      <c r="Q13" s="8"/>
      <c r="R13" s="8"/>
      <c r="S13" s="8"/>
      <c r="T13" s="8"/>
      <c r="U13" s="8"/>
      <c r="V13" s="8"/>
      <c r="W13" s="8"/>
      <c r="X13" s="8"/>
      <c r="Y13" s="8"/>
      <c r="Z13" s="8"/>
      <c r="AA13" s="8"/>
      <c r="AB13" s="8"/>
      <c r="AC13" s="8"/>
      <c r="AD13" s="8"/>
      <c r="AE13" s="8"/>
    </row>
    <row r="14">
      <c r="A14" s="8"/>
      <c r="B14" s="7" t="s">
        <v>27</v>
      </c>
      <c r="C14" s="7">
        <v>3614.0</v>
      </c>
      <c r="D14" s="7">
        <v>3950.0</v>
      </c>
      <c r="E14" s="18">
        <f t="shared" si="1"/>
        <v>0.9149367089</v>
      </c>
      <c r="F14" s="7">
        <v>3.0</v>
      </c>
      <c r="G14" s="8"/>
      <c r="H14" s="8"/>
      <c r="I14" s="8"/>
      <c r="J14" s="8"/>
      <c r="K14" s="8"/>
      <c r="L14" s="8"/>
      <c r="M14" s="8"/>
      <c r="N14" s="8"/>
      <c r="O14" s="8"/>
      <c r="P14" s="8"/>
      <c r="Q14" s="8"/>
      <c r="R14" s="8"/>
      <c r="S14" s="8"/>
      <c r="T14" s="8"/>
      <c r="U14" s="8"/>
      <c r="V14" s="8"/>
      <c r="W14" s="8"/>
      <c r="X14" s="8"/>
      <c r="Y14" s="8"/>
      <c r="Z14" s="8"/>
      <c r="AA14" s="8"/>
      <c r="AB14" s="8"/>
      <c r="AC14" s="8"/>
      <c r="AD14" s="8"/>
      <c r="AE14" s="8"/>
    </row>
    <row r="15">
      <c r="A15" s="8"/>
      <c r="B15" s="7" t="s">
        <v>35</v>
      </c>
      <c r="C15" s="7">
        <v>3492.0</v>
      </c>
      <c r="D15" s="7">
        <v>3500.0</v>
      </c>
      <c r="E15" s="18">
        <f t="shared" si="1"/>
        <v>0.9977142857</v>
      </c>
      <c r="F15" s="7">
        <v>7.0</v>
      </c>
      <c r="G15" s="8"/>
      <c r="H15" s="8"/>
      <c r="I15" s="8"/>
      <c r="J15" s="8"/>
      <c r="K15" s="8"/>
      <c r="L15" s="8"/>
      <c r="M15" s="8"/>
      <c r="N15" s="8"/>
      <c r="O15" s="8"/>
      <c r="P15" s="8"/>
      <c r="Q15" s="8"/>
      <c r="R15" s="8"/>
      <c r="S15" s="8"/>
      <c r="T15" s="8"/>
      <c r="U15" s="8"/>
      <c r="V15" s="8"/>
      <c r="W15" s="8"/>
      <c r="X15" s="8"/>
      <c r="Y15" s="8"/>
      <c r="Z15" s="8"/>
      <c r="AA15" s="8"/>
      <c r="AB15" s="8"/>
      <c r="AC15" s="8"/>
      <c r="AD15" s="8"/>
      <c r="AE15" s="8"/>
    </row>
    <row r="16">
      <c r="A16" s="8"/>
      <c r="B16" s="7" t="s">
        <v>44</v>
      </c>
      <c r="C16" s="7">
        <v>3228.0</v>
      </c>
      <c r="D16" s="7">
        <v>3650.0</v>
      </c>
      <c r="E16" s="18">
        <f t="shared" si="1"/>
        <v>0.8843835616</v>
      </c>
      <c r="F16" s="7">
        <v>11.0</v>
      </c>
      <c r="G16" s="8"/>
      <c r="H16" s="8"/>
      <c r="I16" s="8"/>
      <c r="J16" s="8"/>
      <c r="K16" s="8"/>
      <c r="L16" s="8"/>
      <c r="M16" s="8"/>
      <c r="N16" s="8"/>
      <c r="O16" s="8"/>
      <c r="P16" s="8"/>
      <c r="Q16" s="8"/>
      <c r="R16" s="8"/>
      <c r="S16" s="8"/>
      <c r="T16" s="8"/>
      <c r="U16" s="8"/>
      <c r="V16" s="8"/>
      <c r="W16" s="8"/>
      <c r="X16" s="8"/>
      <c r="Y16" s="8"/>
      <c r="Z16" s="8"/>
      <c r="AA16" s="8"/>
      <c r="AB16" s="8"/>
      <c r="AC16" s="8"/>
      <c r="AD16" s="8"/>
      <c r="AE16" s="8"/>
    </row>
    <row r="17">
      <c r="A17" s="8"/>
      <c r="B17" s="7" t="s">
        <v>55</v>
      </c>
      <c r="C17" s="7">
        <v>3148.0</v>
      </c>
      <c r="D17" s="7">
        <v>3160.0</v>
      </c>
      <c r="E17" s="18">
        <f t="shared" si="1"/>
        <v>0.9962025316</v>
      </c>
      <c r="F17" s="7">
        <v>15.0</v>
      </c>
      <c r="G17" s="8"/>
      <c r="H17" s="8"/>
      <c r="I17" s="8"/>
      <c r="J17" s="8"/>
      <c r="K17" s="8"/>
      <c r="L17" s="8"/>
      <c r="M17" s="8"/>
      <c r="N17" s="8"/>
      <c r="O17" s="8"/>
      <c r="P17" s="8"/>
      <c r="Q17" s="8"/>
      <c r="R17" s="8"/>
      <c r="S17" s="8"/>
      <c r="T17" s="8"/>
      <c r="U17" s="8"/>
      <c r="V17" s="8"/>
      <c r="W17" s="8"/>
      <c r="X17" s="8"/>
      <c r="Y17" s="8"/>
      <c r="Z17" s="8"/>
      <c r="AA17" s="8"/>
      <c r="AB17" s="8"/>
      <c r="AC17" s="8"/>
      <c r="AD17" s="8"/>
      <c r="AE17" s="8"/>
    </row>
    <row r="18">
      <c r="A18" s="8"/>
      <c r="B18" s="7" t="s">
        <v>58</v>
      </c>
      <c r="C18" s="7">
        <v>2797.0</v>
      </c>
      <c r="D18" s="7">
        <v>3550.0</v>
      </c>
      <c r="E18" s="18">
        <f t="shared" si="1"/>
        <v>0.7878873239</v>
      </c>
      <c r="F18" s="7">
        <v>16.0</v>
      </c>
      <c r="G18" s="8"/>
      <c r="H18" s="8"/>
      <c r="I18" s="8"/>
      <c r="J18" s="8"/>
      <c r="K18" s="8"/>
      <c r="L18" s="8"/>
      <c r="M18" s="8"/>
      <c r="N18" s="8"/>
      <c r="O18" s="8"/>
      <c r="P18" s="8"/>
      <c r="Q18" s="8"/>
      <c r="R18" s="8"/>
      <c r="S18" s="8"/>
      <c r="T18" s="8"/>
      <c r="U18" s="8"/>
      <c r="V18" s="8"/>
      <c r="W18" s="8"/>
      <c r="X18" s="8"/>
      <c r="Y18" s="8"/>
      <c r="Z18" s="8"/>
      <c r="AA18" s="8"/>
      <c r="AB18" s="8"/>
      <c r="AC18" s="8"/>
      <c r="AD18" s="8"/>
      <c r="AE18" s="8"/>
    </row>
    <row r="19">
      <c r="A19" s="8"/>
      <c r="B19" s="7" t="s">
        <v>19</v>
      </c>
      <c r="C19" s="7">
        <v>2436.0</v>
      </c>
      <c r="D19" s="7">
        <v>3600.0</v>
      </c>
      <c r="E19" s="18">
        <f t="shared" si="1"/>
        <v>0.6766666667</v>
      </c>
      <c r="F19" s="7">
        <v>2.0</v>
      </c>
      <c r="G19" s="8"/>
      <c r="H19" s="8"/>
      <c r="I19" s="8"/>
      <c r="J19" s="8"/>
      <c r="K19" s="8"/>
      <c r="L19" s="8"/>
      <c r="M19" s="8"/>
      <c r="N19" s="8"/>
      <c r="O19" s="8"/>
      <c r="P19" s="8"/>
      <c r="Q19" s="8"/>
      <c r="R19" s="8"/>
      <c r="S19" s="8"/>
      <c r="T19" s="8"/>
      <c r="U19" s="8"/>
      <c r="V19" s="8"/>
      <c r="W19" s="8"/>
      <c r="X19" s="8"/>
      <c r="Y19" s="8"/>
      <c r="Z19" s="8"/>
      <c r="AA19" s="8"/>
      <c r="AB19" s="8"/>
      <c r="AC19" s="8"/>
      <c r="AD19" s="8"/>
      <c r="AE19" s="8"/>
    </row>
    <row r="20">
      <c r="A20" s="8"/>
      <c r="B20" s="7" t="s">
        <v>53</v>
      </c>
      <c r="C20" s="7">
        <v>2090.0</v>
      </c>
      <c r="D20" s="7">
        <v>2150.0</v>
      </c>
      <c r="E20" s="18">
        <f t="shared" si="1"/>
        <v>0.9720930233</v>
      </c>
      <c r="F20" s="7">
        <v>14.0</v>
      </c>
      <c r="G20" s="8"/>
      <c r="H20" s="8"/>
      <c r="I20" s="8"/>
      <c r="J20" s="8"/>
      <c r="K20" s="8"/>
      <c r="L20" s="8"/>
      <c r="M20" s="8"/>
      <c r="N20" s="8"/>
      <c r="O20" s="8"/>
      <c r="P20" s="8"/>
      <c r="Q20" s="8"/>
      <c r="R20" s="8"/>
      <c r="S20" s="8"/>
      <c r="T20" s="8"/>
      <c r="U20" s="8"/>
      <c r="V20" s="8"/>
      <c r="W20" s="8"/>
      <c r="X20" s="8"/>
      <c r="Y20" s="8"/>
      <c r="Z20" s="8"/>
      <c r="AA20" s="8"/>
      <c r="AB20" s="8"/>
      <c r="AC20" s="8"/>
      <c r="AD20" s="8"/>
      <c r="AE20" s="8"/>
    </row>
    <row r="21">
      <c r="A21" s="8"/>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row>
    <row r="22">
      <c r="A22" s="8"/>
      <c r="B22" s="7" t="s">
        <v>112</v>
      </c>
      <c r="C22" s="26">
        <f>average(C5:C20)</f>
        <v>4236.75</v>
      </c>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row>
    <row r="23">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row>
    <row r="24">
      <c r="A24" s="8"/>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row>
    <row r="25">
      <c r="A25" s="8"/>
      <c r="B25" s="14" t="s">
        <v>125</v>
      </c>
      <c r="C25" s="2"/>
      <c r="D25" s="2"/>
      <c r="E25" s="2"/>
      <c r="F25" s="4"/>
      <c r="G25" s="8"/>
      <c r="H25" s="8"/>
      <c r="I25" s="8"/>
      <c r="J25" s="8"/>
      <c r="K25" s="8"/>
      <c r="L25" s="8"/>
      <c r="M25" s="8"/>
      <c r="N25" s="8"/>
      <c r="O25" s="8"/>
      <c r="P25" s="8"/>
      <c r="Q25" s="8"/>
      <c r="R25" s="8"/>
      <c r="S25" s="8"/>
      <c r="T25" s="8"/>
      <c r="U25" s="8"/>
      <c r="V25" s="8"/>
      <c r="W25" s="8"/>
      <c r="X25" s="8"/>
      <c r="Y25" s="8"/>
      <c r="Z25" s="8"/>
      <c r="AA25" s="8"/>
      <c r="AB25" s="8"/>
      <c r="AC25" s="8"/>
      <c r="AD25" s="8"/>
      <c r="AE25" s="8"/>
    </row>
    <row r="26">
      <c r="A26" s="8"/>
      <c r="B26" s="17" t="s">
        <v>18</v>
      </c>
      <c r="C26" s="17" t="s">
        <v>22</v>
      </c>
      <c r="D26" s="17" t="s">
        <v>23</v>
      </c>
      <c r="E26" s="17" t="s">
        <v>24</v>
      </c>
      <c r="F26" s="17" t="s">
        <v>25</v>
      </c>
      <c r="G26" s="31" t="s">
        <v>132</v>
      </c>
      <c r="H26" s="8"/>
      <c r="I26" s="8"/>
      <c r="J26" s="8"/>
      <c r="K26" s="8"/>
      <c r="L26" s="8"/>
      <c r="M26" s="8"/>
      <c r="N26" s="8"/>
      <c r="O26" s="8"/>
      <c r="P26" s="8"/>
      <c r="Q26" s="8"/>
      <c r="R26" s="8"/>
      <c r="S26" s="8"/>
      <c r="T26" s="8"/>
      <c r="U26" s="8"/>
      <c r="V26" s="8"/>
      <c r="W26" s="8"/>
      <c r="X26" s="8"/>
      <c r="Y26" s="8"/>
      <c r="Z26" s="8"/>
      <c r="AA26" s="8"/>
      <c r="AB26" s="8"/>
      <c r="AC26" s="8"/>
      <c r="AD26" s="8"/>
      <c r="AE26" s="8"/>
    </row>
    <row r="27">
      <c r="A27" s="8"/>
      <c r="B27" s="7" t="s">
        <v>79</v>
      </c>
      <c r="C27" s="7">
        <v>8616.0</v>
      </c>
      <c r="D27" s="7" t="s">
        <v>149</v>
      </c>
      <c r="E27" s="18" t="str">
        <f t="shared" ref="E27:E44" si="2">C27/D27</f>
        <v>#VALUE!</v>
      </c>
      <c r="F27" s="7">
        <v>2.0</v>
      </c>
      <c r="G27" s="8"/>
      <c r="H27" s="8"/>
      <c r="I27" s="8"/>
      <c r="J27" s="8"/>
      <c r="K27" s="8"/>
      <c r="L27" s="8"/>
      <c r="M27" s="8"/>
      <c r="N27" s="8"/>
      <c r="O27" s="8"/>
      <c r="P27" s="8"/>
      <c r="Q27" s="8"/>
      <c r="R27" s="8"/>
      <c r="S27" s="8"/>
      <c r="T27" s="8"/>
      <c r="U27" s="8"/>
      <c r="V27" s="8"/>
      <c r="W27" s="8"/>
      <c r="X27" s="8"/>
      <c r="Y27" s="8"/>
      <c r="Z27" s="8"/>
      <c r="AA27" s="8"/>
      <c r="AB27" s="8"/>
      <c r="AC27" s="8"/>
      <c r="AD27" s="8"/>
      <c r="AE27" s="8"/>
    </row>
    <row r="28">
      <c r="A28" s="8"/>
      <c r="B28" s="7" t="s">
        <v>93</v>
      </c>
      <c r="C28" s="7">
        <v>6471.0</v>
      </c>
      <c r="D28" s="7" t="s">
        <v>156</v>
      </c>
      <c r="E28" s="18" t="str">
        <f t="shared" si="2"/>
        <v>#VALUE!</v>
      </c>
      <c r="F28" s="7">
        <v>4.0</v>
      </c>
      <c r="G28" s="8"/>
      <c r="H28" s="8"/>
      <c r="I28" s="8"/>
      <c r="J28" s="8"/>
      <c r="K28" s="8"/>
      <c r="L28" s="8"/>
      <c r="M28" s="8"/>
      <c r="N28" s="8"/>
      <c r="O28" s="8"/>
      <c r="P28" s="8"/>
      <c r="Q28" s="8"/>
      <c r="R28" s="8"/>
      <c r="S28" s="8"/>
      <c r="T28" s="8"/>
      <c r="U28" s="8"/>
      <c r="V28" s="8"/>
      <c r="W28" s="8"/>
      <c r="X28" s="8"/>
      <c r="Y28" s="8"/>
      <c r="Z28" s="8"/>
      <c r="AA28" s="8"/>
      <c r="AB28" s="8"/>
      <c r="AC28" s="8"/>
      <c r="AD28" s="8"/>
      <c r="AE28" s="8"/>
    </row>
    <row r="29">
      <c r="A29" s="8"/>
      <c r="B29" s="7" t="s">
        <v>72</v>
      </c>
      <c r="C29" s="7">
        <v>6452.0</v>
      </c>
      <c r="D29" s="7" t="s">
        <v>161</v>
      </c>
      <c r="E29" s="18" t="str">
        <f t="shared" si="2"/>
        <v>#VALUE!</v>
      </c>
      <c r="F29" s="7">
        <v>1.0</v>
      </c>
      <c r="G29" s="8"/>
      <c r="H29" s="8"/>
      <c r="I29" s="8"/>
      <c r="J29" s="8"/>
      <c r="K29" s="8"/>
      <c r="L29" s="8"/>
      <c r="M29" s="8"/>
      <c r="N29" s="8"/>
      <c r="O29" s="8"/>
      <c r="P29" s="8"/>
      <c r="Q29" s="8"/>
      <c r="R29" s="8"/>
      <c r="S29" s="8"/>
      <c r="T29" s="8"/>
      <c r="U29" s="8"/>
      <c r="V29" s="8"/>
      <c r="W29" s="8"/>
      <c r="X29" s="8"/>
      <c r="Y29" s="8"/>
      <c r="Z29" s="8"/>
      <c r="AA29" s="8"/>
      <c r="AB29" s="8"/>
      <c r="AC29" s="8"/>
      <c r="AD29" s="8"/>
      <c r="AE29" s="8"/>
    </row>
    <row r="30">
      <c r="A30" s="8"/>
      <c r="B30" s="7" t="s">
        <v>109</v>
      </c>
      <c r="C30" s="7">
        <v>6256.0</v>
      </c>
      <c r="D30" s="7" t="s">
        <v>165</v>
      </c>
      <c r="E30" s="18" t="str">
        <f t="shared" si="2"/>
        <v>#VALUE!</v>
      </c>
      <c r="F30" s="7">
        <v>11.0</v>
      </c>
      <c r="G30" s="8"/>
      <c r="H30" s="8"/>
      <c r="I30" s="8"/>
      <c r="J30" s="8"/>
      <c r="K30" s="8"/>
      <c r="L30" s="8"/>
      <c r="M30" s="8"/>
      <c r="N30" s="8"/>
      <c r="O30" s="8"/>
      <c r="P30" s="8"/>
      <c r="Q30" s="8"/>
      <c r="R30" s="8"/>
      <c r="S30" s="8"/>
      <c r="T30" s="8"/>
      <c r="U30" s="8"/>
      <c r="V30" s="8"/>
      <c r="W30" s="8"/>
      <c r="X30" s="8"/>
      <c r="Y30" s="8"/>
      <c r="Z30" s="8"/>
      <c r="AA30" s="8"/>
      <c r="AB30" s="8"/>
      <c r="AC30" s="8"/>
      <c r="AD30" s="8"/>
      <c r="AE30" s="8"/>
    </row>
    <row r="31">
      <c r="A31" s="8"/>
      <c r="B31" s="7" t="s">
        <v>100</v>
      </c>
      <c r="C31" s="7">
        <v>5584.0</v>
      </c>
      <c r="D31" s="7">
        <v>6000.0</v>
      </c>
      <c r="E31" s="18">
        <f t="shared" si="2"/>
        <v>0.9306666667</v>
      </c>
      <c r="F31" s="7">
        <v>6.0</v>
      </c>
      <c r="G31" s="8"/>
      <c r="H31" s="8"/>
      <c r="I31" s="8"/>
      <c r="J31" s="8"/>
      <c r="K31" s="8"/>
      <c r="L31" s="8"/>
      <c r="M31" s="8"/>
      <c r="N31" s="8"/>
      <c r="O31" s="8"/>
      <c r="P31" s="8"/>
      <c r="Q31" s="8"/>
      <c r="R31" s="8"/>
      <c r="S31" s="8"/>
      <c r="T31" s="8"/>
      <c r="U31" s="8"/>
      <c r="V31" s="8"/>
      <c r="W31" s="8"/>
      <c r="X31" s="8"/>
      <c r="Y31" s="8"/>
      <c r="Z31" s="8"/>
      <c r="AA31" s="8"/>
      <c r="AB31" s="8"/>
      <c r="AC31" s="8"/>
      <c r="AD31" s="8"/>
      <c r="AE31" s="8"/>
    </row>
    <row r="32">
      <c r="A32" s="8"/>
      <c r="B32" s="7" t="s">
        <v>103</v>
      </c>
      <c r="C32" s="7">
        <v>5351.0</v>
      </c>
      <c r="D32" s="7">
        <v>5400.0</v>
      </c>
      <c r="E32" s="18">
        <f t="shared" si="2"/>
        <v>0.9909259259</v>
      </c>
      <c r="F32" s="7">
        <v>8.0</v>
      </c>
      <c r="G32" s="8"/>
      <c r="H32" s="8"/>
      <c r="I32" s="8"/>
      <c r="J32" s="8"/>
      <c r="K32" s="8"/>
      <c r="L32" s="8"/>
      <c r="M32" s="8"/>
      <c r="N32" s="8"/>
      <c r="O32" s="8"/>
      <c r="P32" s="8"/>
      <c r="Q32" s="8"/>
      <c r="R32" s="8"/>
      <c r="S32" s="8"/>
      <c r="T32" s="8"/>
      <c r="U32" s="8"/>
      <c r="V32" s="8"/>
      <c r="W32" s="8"/>
      <c r="X32" s="8"/>
      <c r="Y32" s="8"/>
      <c r="Z32" s="8"/>
      <c r="AA32" s="8"/>
      <c r="AB32" s="8"/>
      <c r="AC32" s="8"/>
      <c r="AD32" s="8"/>
      <c r="AE32" s="8"/>
    </row>
    <row r="33">
      <c r="A33" s="8"/>
      <c r="B33" s="7" t="s">
        <v>87</v>
      </c>
      <c r="C33" s="7">
        <v>5096.0</v>
      </c>
      <c r="D33" s="7">
        <v>5700.0</v>
      </c>
      <c r="E33" s="18">
        <f t="shared" si="2"/>
        <v>0.8940350877</v>
      </c>
      <c r="F33" s="7">
        <v>3.0</v>
      </c>
      <c r="G33" s="8"/>
      <c r="H33" s="8"/>
      <c r="I33" s="8"/>
      <c r="J33" s="8"/>
      <c r="K33" s="8"/>
      <c r="L33" s="8"/>
      <c r="M33" s="8"/>
      <c r="N33" s="8"/>
      <c r="O33" s="8"/>
      <c r="P33" s="8"/>
      <c r="Q33" s="8"/>
      <c r="R33" s="8"/>
      <c r="S33" s="8"/>
      <c r="T33" s="8"/>
      <c r="U33" s="8"/>
      <c r="V33" s="8"/>
      <c r="W33" s="8"/>
      <c r="X33" s="8"/>
      <c r="Y33" s="8"/>
      <c r="Z33" s="8"/>
      <c r="AA33" s="8"/>
      <c r="AB33" s="8"/>
      <c r="AC33" s="8"/>
      <c r="AD33" s="8"/>
      <c r="AE33" s="8"/>
    </row>
    <row r="34">
      <c r="A34" s="8"/>
      <c r="B34" s="7" t="s">
        <v>124</v>
      </c>
      <c r="C34" s="7">
        <v>4610.0</v>
      </c>
      <c r="D34" s="7" t="s">
        <v>179</v>
      </c>
      <c r="E34" s="18" t="str">
        <f t="shared" si="2"/>
        <v>#VALUE!</v>
      </c>
      <c r="F34" s="7">
        <v>18.0</v>
      </c>
      <c r="G34" s="8"/>
      <c r="H34" s="8"/>
      <c r="I34" s="8"/>
      <c r="J34" s="8"/>
      <c r="K34" s="8"/>
      <c r="L34" s="8"/>
      <c r="M34" s="8"/>
      <c r="N34" s="8"/>
      <c r="O34" s="8"/>
      <c r="P34" s="8"/>
      <c r="Q34" s="8"/>
      <c r="R34" s="8"/>
      <c r="S34" s="8"/>
      <c r="T34" s="8"/>
      <c r="U34" s="8"/>
      <c r="V34" s="8"/>
      <c r="W34" s="8"/>
      <c r="X34" s="8"/>
      <c r="Y34" s="8"/>
      <c r="Z34" s="8"/>
      <c r="AA34" s="8"/>
      <c r="AB34" s="8"/>
      <c r="AC34" s="8"/>
      <c r="AD34" s="8"/>
      <c r="AE34" s="8"/>
    </row>
    <row r="35">
      <c r="A35" s="8"/>
      <c r="B35" s="7" t="s">
        <v>111</v>
      </c>
      <c r="C35" s="7">
        <v>4602.0</v>
      </c>
      <c r="D35" s="7">
        <v>5000.0</v>
      </c>
      <c r="E35" s="18">
        <f t="shared" si="2"/>
        <v>0.9204</v>
      </c>
      <c r="F35" s="7">
        <v>12.0</v>
      </c>
      <c r="G35" s="8"/>
      <c r="H35" s="8"/>
      <c r="I35" s="8"/>
      <c r="J35" s="8"/>
      <c r="K35" s="8"/>
      <c r="L35" s="8"/>
      <c r="M35" s="8"/>
      <c r="N35" s="8"/>
      <c r="O35" s="8"/>
      <c r="P35" s="8"/>
      <c r="Q35" s="8"/>
      <c r="R35" s="8"/>
      <c r="S35" s="8"/>
      <c r="T35" s="8"/>
      <c r="U35" s="8"/>
      <c r="V35" s="8"/>
      <c r="W35" s="8"/>
      <c r="X35" s="8"/>
      <c r="Y35" s="8"/>
      <c r="Z35" s="8"/>
      <c r="AA35" s="8"/>
      <c r="AB35" s="8"/>
      <c r="AC35" s="8"/>
      <c r="AD35" s="8"/>
      <c r="AE35" s="8"/>
    </row>
    <row r="36">
      <c r="A36" s="8"/>
      <c r="B36" s="7" t="s">
        <v>118</v>
      </c>
      <c r="C36" s="7">
        <v>4321.0</v>
      </c>
      <c r="D36" s="7">
        <v>5002.0</v>
      </c>
      <c r="E36" s="18">
        <f t="shared" si="2"/>
        <v>0.8638544582</v>
      </c>
      <c r="F36" s="7">
        <v>15.0</v>
      </c>
      <c r="G36" s="8"/>
      <c r="H36" s="8"/>
      <c r="I36" s="8"/>
      <c r="J36" s="8"/>
      <c r="K36" s="8"/>
      <c r="L36" s="8"/>
      <c r="M36" s="8"/>
      <c r="N36" s="8"/>
      <c r="O36" s="8"/>
      <c r="P36" s="8"/>
      <c r="Q36" s="8"/>
      <c r="R36" s="8"/>
      <c r="S36" s="8"/>
      <c r="T36" s="8"/>
      <c r="U36" s="8"/>
      <c r="V36" s="8"/>
      <c r="W36" s="8"/>
      <c r="X36" s="8"/>
      <c r="Y36" s="8"/>
      <c r="Z36" s="8"/>
      <c r="AA36" s="8"/>
      <c r="AB36" s="8"/>
      <c r="AC36" s="8"/>
      <c r="AD36" s="8"/>
      <c r="AE36" s="8"/>
    </row>
    <row r="37">
      <c r="A37" s="8"/>
      <c r="B37" s="7" t="s">
        <v>121</v>
      </c>
      <c r="C37" s="7">
        <v>4212.0</v>
      </c>
      <c r="D37" s="7">
        <v>6358.0</v>
      </c>
      <c r="E37" s="18">
        <f t="shared" si="2"/>
        <v>0.6624724756</v>
      </c>
      <c r="F37" s="7">
        <v>17.0</v>
      </c>
      <c r="G37" s="8"/>
      <c r="H37" s="8"/>
      <c r="I37" s="8"/>
      <c r="J37" s="8"/>
      <c r="K37" s="8"/>
      <c r="L37" s="8"/>
      <c r="M37" s="8"/>
      <c r="N37" s="8"/>
      <c r="O37" s="8"/>
      <c r="P37" s="8"/>
      <c r="Q37" s="8"/>
      <c r="R37" s="8"/>
      <c r="S37" s="8"/>
      <c r="T37" s="8"/>
      <c r="U37" s="8"/>
      <c r="V37" s="8"/>
      <c r="W37" s="8"/>
      <c r="X37" s="8"/>
      <c r="Y37" s="8"/>
      <c r="Z37" s="8"/>
      <c r="AA37" s="8"/>
      <c r="AB37" s="8"/>
      <c r="AC37" s="8"/>
      <c r="AD37" s="8"/>
      <c r="AE37" s="8"/>
    </row>
    <row r="38">
      <c r="A38" s="8"/>
      <c r="B38" s="7" t="s">
        <v>105</v>
      </c>
      <c r="C38" s="7">
        <v>4112.0</v>
      </c>
      <c r="D38" s="7">
        <v>5000.0</v>
      </c>
      <c r="E38" s="18">
        <f t="shared" si="2"/>
        <v>0.8224</v>
      </c>
      <c r="F38" s="7">
        <v>9.0</v>
      </c>
      <c r="G38" s="8"/>
      <c r="H38" s="8"/>
      <c r="I38" s="8"/>
      <c r="J38" s="8"/>
      <c r="K38" s="8"/>
      <c r="L38" s="8"/>
      <c r="M38" s="8"/>
      <c r="N38" s="8"/>
      <c r="O38" s="8"/>
      <c r="P38" s="8"/>
      <c r="Q38" s="8"/>
      <c r="R38" s="8"/>
      <c r="S38" s="8"/>
      <c r="T38" s="8"/>
      <c r="U38" s="8"/>
      <c r="V38" s="8"/>
      <c r="W38" s="8"/>
      <c r="X38" s="8"/>
      <c r="Y38" s="8"/>
      <c r="Z38" s="8"/>
      <c r="AA38" s="8"/>
      <c r="AB38" s="8"/>
      <c r="AC38" s="8"/>
      <c r="AD38" s="8"/>
      <c r="AE38" s="8"/>
    </row>
    <row r="39">
      <c r="A39" s="8"/>
      <c r="B39" s="7" t="s">
        <v>108</v>
      </c>
      <c r="C39" s="7">
        <v>3908.0</v>
      </c>
      <c r="D39" s="7">
        <v>4000.0</v>
      </c>
      <c r="E39" s="18">
        <f t="shared" si="2"/>
        <v>0.977</v>
      </c>
      <c r="F39" s="7">
        <v>10.0</v>
      </c>
      <c r="G39" s="8"/>
      <c r="H39" s="8"/>
      <c r="I39" s="8"/>
      <c r="J39" s="8"/>
      <c r="K39" s="8"/>
      <c r="L39" s="8"/>
      <c r="M39" s="8"/>
      <c r="N39" s="8"/>
      <c r="O39" s="8"/>
      <c r="P39" s="8"/>
      <c r="Q39" s="8"/>
      <c r="R39" s="8"/>
      <c r="S39" s="8"/>
      <c r="T39" s="8"/>
      <c r="U39" s="8"/>
      <c r="V39" s="8"/>
      <c r="W39" s="8"/>
      <c r="X39" s="8"/>
      <c r="Y39" s="8"/>
      <c r="Z39" s="8"/>
      <c r="AA39" s="8"/>
      <c r="AB39" s="8"/>
      <c r="AC39" s="8"/>
      <c r="AD39" s="8"/>
      <c r="AE39" s="8"/>
    </row>
    <row r="40">
      <c r="A40" s="8"/>
      <c r="B40" s="7" t="s">
        <v>117</v>
      </c>
      <c r="C40" s="7">
        <v>3844.0</v>
      </c>
      <c r="D40" s="7" t="s">
        <v>196</v>
      </c>
      <c r="E40" s="18" t="str">
        <f t="shared" si="2"/>
        <v>#VALUE!</v>
      </c>
      <c r="F40" s="7">
        <v>14.0</v>
      </c>
      <c r="G40" s="8"/>
      <c r="H40" s="8"/>
      <c r="I40" s="8"/>
      <c r="J40" s="8"/>
      <c r="K40" s="8"/>
      <c r="L40" s="8"/>
      <c r="M40" s="8"/>
      <c r="N40" s="8"/>
      <c r="O40" s="8"/>
      <c r="P40" s="8"/>
      <c r="Q40" s="8"/>
      <c r="R40" s="8"/>
      <c r="S40" s="8"/>
      <c r="T40" s="8"/>
      <c r="U40" s="8"/>
      <c r="V40" s="8"/>
      <c r="W40" s="8"/>
      <c r="X40" s="8"/>
      <c r="Y40" s="8"/>
      <c r="Z40" s="8"/>
      <c r="AA40" s="8"/>
      <c r="AB40" s="8"/>
      <c r="AC40" s="8"/>
      <c r="AD40" s="8"/>
      <c r="AE40" s="8"/>
    </row>
    <row r="41">
      <c r="A41" s="8"/>
      <c r="B41" s="7" t="s">
        <v>101</v>
      </c>
      <c r="C41" s="7">
        <v>3129.0</v>
      </c>
      <c r="D41" s="7">
        <v>3140.0</v>
      </c>
      <c r="E41" s="18">
        <f t="shared" si="2"/>
        <v>0.9964968153</v>
      </c>
      <c r="F41" s="7">
        <v>7.0</v>
      </c>
      <c r="G41" s="8"/>
      <c r="H41" s="8"/>
      <c r="I41" s="8"/>
      <c r="J41" s="8"/>
      <c r="K41" s="8"/>
      <c r="L41" s="8"/>
      <c r="M41" s="8"/>
      <c r="N41" s="8"/>
      <c r="O41" s="8"/>
      <c r="P41" s="8"/>
      <c r="Q41" s="8"/>
      <c r="R41" s="8"/>
      <c r="S41" s="8"/>
      <c r="T41" s="8"/>
      <c r="U41" s="8"/>
      <c r="V41" s="8"/>
      <c r="W41" s="8"/>
      <c r="X41" s="8"/>
      <c r="Y41" s="8"/>
      <c r="Z41" s="8"/>
      <c r="AA41" s="8"/>
      <c r="AB41" s="8"/>
      <c r="AC41" s="8"/>
      <c r="AD41" s="8"/>
      <c r="AE41" s="8"/>
    </row>
    <row r="42">
      <c r="A42" s="8"/>
      <c r="B42" s="7" t="s">
        <v>97</v>
      </c>
      <c r="C42" s="7">
        <v>3106.0</v>
      </c>
      <c r="D42" s="7">
        <v>3140.0</v>
      </c>
      <c r="E42" s="18">
        <f t="shared" si="2"/>
        <v>0.9891719745</v>
      </c>
      <c r="F42" s="7">
        <v>5.0</v>
      </c>
      <c r="G42" s="8"/>
      <c r="H42" s="8"/>
      <c r="I42" s="8"/>
      <c r="J42" s="8"/>
      <c r="K42" s="8"/>
      <c r="L42" s="8"/>
      <c r="M42" s="8"/>
      <c r="N42" s="8"/>
      <c r="O42" s="8"/>
      <c r="P42" s="8"/>
      <c r="Q42" s="8"/>
      <c r="R42" s="8"/>
      <c r="S42" s="8"/>
      <c r="T42" s="8"/>
      <c r="U42" s="8"/>
      <c r="V42" s="8"/>
      <c r="W42" s="8"/>
      <c r="X42" s="8"/>
      <c r="Y42" s="8"/>
      <c r="Z42" s="8"/>
      <c r="AA42" s="8"/>
      <c r="AB42" s="8"/>
      <c r="AC42" s="8"/>
      <c r="AD42" s="8"/>
      <c r="AE42" s="8"/>
    </row>
    <row r="43">
      <c r="A43" s="8"/>
      <c r="B43" s="7" t="s">
        <v>120</v>
      </c>
      <c r="C43" s="7">
        <v>2900.0</v>
      </c>
      <c r="D43" s="7">
        <v>3125.0</v>
      </c>
      <c r="E43" s="18">
        <f t="shared" si="2"/>
        <v>0.928</v>
      </c>
      <c r="F43" s="7">
        <v>16.0</v>
      </c>
      <c r="G43" s="8"/>
      <c r="H43" s="8"/>
      <c r="I43" s="8"/>
      <c r="J43" s="8"/>
      <c r="K43" s="8"/>
      <c r="L43" s="8"/>
      <c r="M43" s="8"/>
      <c r="N43" s="8"/>
      <c r="O43" s="8"/>
      <c r="P43" s="8"/>
      <c r="Q43" s="8"/>
      <c r="R43" s="8"/>
      <c r="S43" s="8"/>
      <c r="T43" s="8"/>
      <c r="U43" s="8"/>
      <c r="V43" s="8"/>
      <c r="W43" s="8"/>
      <c r="X43" s="8"/>
      <c r="Y43" s="8"/>
      <c r="Z43" s="8"/>
      <c r="AA43" s="8"/>
      <c r="AB43" s="8"/>
      <c r="AC43" s="8"/>
      <c r="AD43" s="8"/>
      <c r="AE43" s="8"/>
    </row>
    <row r="44">
      <c r="A44" s="8"/>
      <c r="B44" s="7" t="s">
        <v>116</v>
      </c>
      <c r="C44" s="7">
        <v>2788.0</v>
      </c>
      <c r="D44" s="7" t="s">
        <v>202</v>
      </c>
      <c r="E44" s="18" t="str">
        <f t="shared" si="2"/>
        <v>#VALUE!</v>
      </c>
      <c r="F44" s="7">
        <v>13.0</v>
      </c>
      <c r="G44" s="8"/>
      <c r="H44" s="8"/>
      <c r="I44" s="8"/>
      <c r="J44" s="8"/>
      <c r="K44" s="8"/>
      <c r="L44" s="8"/>
      <c r="M44" s="8"/>
      <c r="N44" s="8"/>
      <c r="O44" s="8"/>
      <c r="P44" s="8"/>
      <c r="Q44" s="8"/>
      <c r="R44" s="8"/>
      <c r="S44" s="8"/>
      <c r="T44" s="8"/>
      <c r="U44" s="8"/>
      <c r="V44" s="8"/>
      <c r="W44" s="8"/>
      <c r="X44" s="8"/>
      <c r="Y44" s="8"/>
      <c r="Z44" s="8"/>
      <c r="AA44" s="8"/>
      <c r="AB44" s="8"/>
      <c r="AC44" s="8"/>
      <c r="AD44" s="8"/>
      <c r="AE44" s="8"/>
    </row>
    <row r="45">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row>
    <row r="46">
      <c r="A46" s="8"/>
      <c r="B46" s="7" t="s">
        <v>112</v>
      </c>
      <c r="C46" s="26">
        <f>average(C27:C44)</f>
        <v>4742.111111</v>
      </c>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row>
    <row r="47">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row>
    <row r="48">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row>
    <row r="49">
      <c r="A49" s="8"/>
      <c r="B49" s="14" t="s">
        <v>215</v>
      </c>
      <c r="C49" s="2"/>
      <c r="D49" s="2"/>
      <c r="E49" s="2"/>
      <c r="F49" s="4"/>
      <c r="G49" s="8"/>
      <c r="H49" s="8"/>
      <c r="I49" s="8"/>
      <c r="J49" s="8"/>
      <c r="K49" s="8"/>
      <c r="L49" s="8"/>
      <c r="M49" s="8"/>
      <c r="N49" s="8"/>
      <c r="O49" s="8"/>
      <c r="P49" s="8"/>
      <c r="Q49" s="8"/>
      <c r="R49" s="8"/>
      <c r="S49" s="8"/>
      <c r="T49" s="8"/>
      <c r="U49" s="8"/>
      <c r="V49" s="8"/>
      <c r="W49" s="8"/>
      <c r="X49" s="8"/>
      <c r="Y49" s="8"/>
      <c r="Z49" s="8"/>
      <c r="AA49" s="8"/>
      <c r="AB49" s="8"/>
      <c r="AC49" s="8"/>
      <c r="AD49" s="8"/>
      <c r="AE49" s="8"/>
    </row>
    <row r="50">
      <c r="A50" s="44"/>
      <c r="B50" s="17" t="s">
        <v>18</v>
      </c>
      <c r="C50" s="17" t="s">
        <v>22</v>
      </c>
      <c r="D50" s="17" t="s">
        <v>23</v>
      </c>
      <c r="E50" s="17" t="s">
        <v>24</v>
      </c>
      <c r="F50" s="17" t="s">
        <v>25</v>
      </c>
      <c r="G50" s="8"/>
      <c r="H50" s="8"/>
      <c r="I50" s="8"/>
      <c r="J50" s="8"/>
      <c r="K50" s="8"/>
      <c r="L50" s="8"/>
      <c r="M50" s="8"/>
      <c r="N50" s="8"/>
      <c r="O50" s="8"/>
      <c r="P50" s="8"/>
      <c r="Q50" s="8"/>
      <c r="R50" s="8"/>
      <c r="S50" s="8"/>
      <c r="T50" s="8"/>
      <c r="U50" s="8"/>
      <c r="V50" s="8"/>
      <c r="W50" s="8"/>
      <c r="X50" s="8"/>
      <c r="Y50" s="8"/>
      <c r="Z50" s="8"/>
      <c r="AA50" s="8"/>
      <c r="AB50" s="8"/>
      <c r="AC50" s="8"/>
      <c r="AD50" s="8"/>
      <c r="AE50" s="8"/>
    </row>
    <row r="51">
      <c r="A51" s="8"/>
      <c r="B51" s="7" t="s">
        <v>178</v>
      </c>
      <c r="C51" s="7">
        <v>11916.0</v>
      </c>
      <c r="D51" s="7">
        <v>15600.0</v>
      </c>
      <c r="E51" s="18">
        <f t="shared" ref="E51:E68" si="3">C51/D51</f>
        <v>0.7638461538</v>
      </c>
      <c r="F51" s="7">
        <v>2.0</v>
      </c>
      <c r="G51" s="8"/>
      <c r="H51" s="8"/>
      <c r="I51" s="8"/>
      <c r="J51" s="8"/>
      <c r="K51" s="8"/>
      <c r="L51" s="8"/>
      <c r="M51" s="8"/>
      <c r="N51" s="8"/>
      <c r="O51" s="8"/>
      <c r="P51" s="8"/>
      <c r="Q51" s="8"/>
      <c r="R51" s="8"/>
      <c r="S51" s="8"/>
      <c r="T51" s="8"/>
      <c r="U51" s="8"/>
      <c r="V51" s="8"/>
      <c r="W51" s="8"/>
      <c r="X51" s="8"/>
      <c r="Y51" s="8"/>
      <c r="Z51" s="8"/>
      <c r="AA51" s="8"/>
      <c r="AB51" s="8"/>
      <c r="AC51" s="8"/>
      <c r="AD51" s="8"/>
      <c r="AE51" s="8"/>
    </row>
    <row r="52">
      <c r="A52" s="8"/>
      <c r="B52" s="7" t="s">
        <v>227</v>
      </c>
      <c r="C52" s="7">
        <v>9206.0</v>
      </c>
      <c r="D52" s="7">
        <v>10699.0</v>
      </c>
      <c r="E52" s="18">
        <f t="shared" si="3"/>
        <v>0.8604542481</v>
      </c>
      <c r="F52" s="7">
        <v>9.0</v>
      </c>
      <c r="G52" s="8"/>
      <c r="H52" s="8"/>
      <c r="I52" s="8"/>
      <c r="J52" s="8"/>
      <c r="K52" s="8"/>
      <c r="L52" s="8"/>
      <c r="M52" s="8"/>
      <c r="N52" s="8"/>
      <c r="O52" s="8"/>
      <c r="P52" s="8"/>
      <c r="Q52" s="8"/>
      <c r="R52" s="8"/>
      <c r="S52" s="8"/>
      <c r="T52" s="8"/>
      <c r="U52" s="8"/>
      <c r="V52" s="8"/>
      <c r="W52" s="8"/>
      <c r="X52" s="8"/>
      <c r="Y52" s="8"/>
      <c r="Z52" s="8"/>
      <c r="AA52" s="8"/>
      <c r="AB52" s="8"/>
      <c r="AC52" s="8"/>
      <c r="AD52" s="8"/>
      <c r="AE52" s="8"/>
    </row>
    <row r="53">
      <c r="A53" s="8"/>
      <c r="B53" s="7" t="s">
        <v>235</v>
      </c>
      <c r="C53" s="7">
        <v>9008.0</v>
      </c>
      <c r="D53" s="7">
        <v>9604.0</v>
      </c>
      <c r="E53" s="18">
        <f t="shared" si="3"/>
        <v>0.9379425239</v>
      </c>
      <c r="F53" s="7">
        <v>13.0</v>
      </c>
      <c r="G53" s="8"/>
      <c r="H53" s="8"/>
      <c r="I53" s="8"/>
      <c r="J53" s="8"/>
      <c r="K53" s="8"/>
      <c r="L53" s="8"/>
      <c r="M53" s="8"/>
      <c r="N53" s="8"/>
      <c r="O53" s="8"/>
      <c r="P53" s="8"/>
      <c r="Q53" s="8"/>
      <c r="R53" s="8"/>
      <c r="S53" s="8"/>
      <c r="T53" s="8"/>
      <c r="U53" s="8"/>
      <c r="V53" s="8"/>
      <c r="W53" s="8"/>
      <c r="X53" s="8"/>
      <c r="Y53" s="8"/>
      <c r="Z53" s="8"/>
      <c r="AA53" s="8"/>
      <c r="AB53" s="8"/>
      <c r="AC53" s="8"/>
      <c r="AD53" s="8"/>
      <c r="AE53" s="8"/>
    </row>
    <row r="54">
      <c r="A54" s="8"/>
      <c r="B54" s="7" t="s">
        <v>203</v>
      </c>
      <c r="C54" s="7">
        <v>8685.0</v>
      </c>
      <c r="D54" s="7">
        <v>15504.0</v>
      </c>
      <c r="E54" s="18">
        <f t="shared" si="3"/>
        <v>0.5601780186</v>
      </c>
      <c r="F54" s="7">
        <v>3.0</v>
      </c>
      <c r="G54" s="8"/>
      <c r="H54" s="8"/>
      <c r="I54" s="8"/>
      <c r="J54" s="8"/>
      <c r="K54" s="8"/>
      <c r="L54" s="8"/>
      <c r="M54" s="8"/>
      <c r="N54" s="8"/>
      <c r="O54" s="8"/>
      <c r="P54" s="8"/>
      <c r="Q54" s="8"/>
      <c r="R54" s="8"/>
      <c r="S54" s="8"/>
      <c r="T54" s="8"/>
      <c r="U54" s="8"/>
      <c r="V54" s="8"/>
      <c r="W54" s="8"/>
      <c r="X54" s="8"/>
      <c r="Y54" s="8"/>
      <c r="Z54" s="8"/>
      <c r="AA54" s="8"/>
      <c r="AB54" s="8"/>
      <c r="AC54" s="8"/>
      <c r="AD54" s="8"/>
      <c r="AE54" s="8"/>
    </row>
    <row r="55">
      <c r="A55" s="8"/>
      <c r="B55" s="7" t="s">
        <v>243</v>
      </c>
      <c r="C55" s="7">
        <v>8360.0</v>
      </c>
      <c r="D55" s="7">
        <v>10014.0</v>
      </c>
      <c r="E55" s="18">
        <f t="shared" si="3"/>
        <v>0.8348312363</v>
      </c>
      <c r="F55" s="7">
        <v>7.0</v>
      </c>
      <c r="G55" s="8"/>
      <c r="H55" s="8"/>
      <c r="I55" s="8"/>
      <c r="J55" s="8"/>
      <c r="K55" s="8"/>
      <c r="L55" s="8"/>
      <c r="M55" s="8"/>
      <c r="N55" s="8"/>
      <c r="O55" s="8"/>
      <c r="P55" s="8"/>
      <c r="Q55" s="8"/>
      <c r="R55" s="8"/>
      <c r="S55" s="8"/>
      <c r="T55" s="8"/>
      <c r="U55" s="8"/>
      <c r="V55" s="8"/>
      <c r="W55" s="8"/>
      <c r="X55" s="8"/>
      <c r="Y55" s="8"/>
      <c r="Z55" s="8"/>
      <c r="AA55" s="8"/>
      <c r="AB55" s="8"/>
      <c r="AC55" s="8"/>
      <c r="AD55" s="8"/>
      <c r="AE55" s="8"/>
    </row>
    <row r="56">
      <c r="A56" s="8"/>
      <c r="B56" s="7" t="s">
        <v>141</v>
      </c>
      <c r="C56" s="7">
        <v>7606.0</v>
      </c>
      <c r="D56" s="7">
        <v>13109.0</v>
      </c>
      <c r="E56" s="18">
        <f t="shared" si="3"/>
        <v>0.580212068</v>
      </c>
      <c r="F56" s="7">
        <v>1.0</v>
      </c>
      <c r="G56" s="8"/>
      <c r="H56" s="8"/>
      <c r="I56" s="8"/>
      <c r="J56" s="8"/>
      <c r="K56" s="8"/>
      <c r="L56" s="8"/>
      <c r="M56" s="8"/>
      <c r="N56" s="8"/>
      <c r="O56" s="8"/>
      <c r="P56" s="8"/>
      <c r="Q56" s="8"/>
      <c r="R56" s="8"/>
      <c r="S56" s="8"/>
      <c r="T56" s="8"/>
      <c r="U56" s="8"/>
      <c r="V56" s="8"/>
      <c r="W56" s="8"/>
      <c r="X56" s="8"/>
      <c r="Y56" s="8"/>
      <c r="Z56" s="8"/>
      <c r="AA56" s="8"/>
      <c r="AB56" s="8"/>
      <c r="AC56" s="8"/>
      <c r="AD56" s="8"/>
      <c r="AE56" s="8"/>
    </row>
    <row r="57">
      <c r="A57" s="8"/>
      <c r="B57" s="7" t="s">
        <v>247</v>
      </c>
      <c r="C57" s="7">
        <v>6906.0</v>
      </c>
      <c r="D57" s="7">
        <v>10744.0</v>
      </c>
      <c r="E57" s="18">
        <f t="shared" si="3"/>
        <v>0.6427773641</v>
      </c>
      <c r="F57" s="7">
        <v>15.0</v>
      </c>
      <c r="G57" s="8"/>
      <c r="H57" s="8"/>
      <c r="I57" s="8"/>
      <c r="J57" s="8"/>
      <c r="K57" s="8"/>
      <c r="L57" s="8"/>
      <c r="M57" s="8"/>
      <c r="N57" s="8"/>
      <c r="O57" s="8"/>
      <c r="P57" s="8"/>
      <c r="Q57" s="8"/>
      <c r="R57" s="8"/>
      <c r="S57" s="8"/>
      <c r="T57" s="8"/>
      <c r="U57" s="8"/>
      <c r="V57" s="8"/>
      <c r="W57" s="8"/>
      <c r="X57" s="8"/>
      <c r="Y57" s="8"/>
      <c r="Z57" s="8"/>
      <c r="AA57" s="8"/>
      <c r="AB57" s="8"/>
      <c r="AC57" s="8"/>
      <c r="AD57" s="8"/>
      <c r="AE57" s="8"/>
    </row>
    <row r="58">
      <c r="A58" s="8"/>
      <c r="B58" s="7" t="s">
        <v>189</v>
      </c>
      <c r="C58" s="7">
        <v>6890.0</v>
      </c>
      <c r="D58" s="7">
        <v>7454.0</v>
      </c>
      <c r="E58" s="18">
        <f t="shared" si="3"/>
        <v>0.924335927</v>
      </c>
      <c r="F58" s="7">
        <v>4.0</v>
      </c>
      <c r="G58" s="8"/>
      <c r="H58" s="8"/>
      <c r="I58" s="8"/>
      <c r="J58" s="8"/>
      <c r="K58" s="8"/>
      <c r="L58" s="8"/>
      <c r="M58" s="8"/>
      <c r="N58" s="8"/>
      <c r="O58" s="8"/>
      <c r="P58" s="8"/>
      <c r="Q58" s="8"/>
      <c r="R58" s="8"/>
      <c r="S58" s="8"/>
      <c r="T58" s="8"/>
      <c r="U58" s="8"/>
      <c r="V58" s="8"/>
      <c r="W58" s="8"/>
      <c r="X58" s="8"/>
      <c r="Y58" s="8"/>
      <c r="Z58" s="8"/>
      <c r="AA58" s="8"/>
      <c r="AB58" s="8"/>
      <c r="AC58" s="8"/>
      <c r="AD58" s="8"/>
      <c r="AE58" s="8"/>
    </row>
    <row r="59">
      <c r="A59" s="8"/>
      <c r="B59" s="7" t="s">
        <v>217</v>
      </c>
      <c r="C59" s="7">
        <v>6859.0</v>
      </c>
      <c r="D59" s="7">
        <v>12760.0</v>
      </c>
      <c r="E59" s="18">
        <f t="shared" si="3"/>
        <v>0.537539185</v>
      </c>
      <c r="F59" s="7">
        <v>6.0</v>
      </c>
      <c r="G59" s="8"/>
      <c r="H59" s="8"/>
      <c r="I59" s="8"/>
      <c r="J59" s="8"/>
      <c r="K59" s="8"/>
      <c r="L59" s="8"/>
      <c r="M59" s="8"/>
      <c r="N59" s="8"/>
      <c r="O59" s="8"/>
      <c r="P59" s="8"/>
      <c r="Q59" s="8"/>
      <c r="R59" s="8"/>
      <c r="S59" s="8"/>
      <c r="T59" s="8"/>
      <c r="U59" s="8"/>
      <c r="V59" s="8"/>
      <c r="W59" s="8"/>
      <c r="X59" s="8"/>
      <c r="Y59" s="8"/>
      <c r="Z59" s="8"/>
      <c r="AA59" s="8"/>
      <c r="AB59" s="8"/>
      <c r="AC59" s="8"/>
      <c r="AD59" s="8"/>
      <c r="AE59" s="8"/>
    </row>
    <row r="60">
      <c r="A60" s="8"/>
      <c r="B60" s="7" t="s">
        <v>255</v>
      </c>
      <c r="C60" s="7">
        <v>6692.0</v>
      </c>
      <c r="D60" s="7">
        <v>8100.0</v>
      </c>
      <c r="E60" s="18">
        <f t="shared" si="3"/>
        <v>0.8261728395</v>
      </c>
      <c r="F60" s="7">
        <v>18.0</v>
      </c>
      <c r="G60" s="8"/>
      <c r="H60" s="8"/>
      <c r="I60" s="8"/>
      <c r="J60" s="8"/>
      <c r="K60" s="8"/>
      <c r="L60" s="8"/>
      <c r="M60" s="8"/>
      <c r="N60" s="8"/>
      <c r="O60" s="8"/>
      <c r="P60" s="8"/>
      <c r="Q60" s="8"/>
      <c r="R60" s="8"/>
      <c r="S60" s="8"/>
      <c r="T60" s="8"/>
      <c r="U60" s="8"/>
      <c r="V60" s="8"/>
      <c r="W60" s="8"/>
      <c r="X60" s="8"/>
      <c r="Y60" s="8"/>
      <c r="Z60" s="8"/>
      <c r="AA60" s="8"/>
      <c r="AB60" s="8"/>
      <c r="AC60" s="8"/>
      <c r="AD60" s="8"/>
      <c r="AE60" s="8"/>
    </row>
    <row r="61">
      <c r="A61" s="8"/>
      <c r="B61" s="7" t="s">
        <v>259</v>
      </c>
      <c r="C61" s="7">
        <v>6342.0</v>
      </c>
      <c r="D61" s="7">
        <v>9870.0</v>
      </c>
      <c r="E61" s="18">
        <f t="shared" si="3"/>
        <v>0.6425531915</v>
      </c>
      <c r="F61" s="7">
        <v>17.0</v>
      </c>
      <c r="G61" s="8"/>
      <c r="H61" s="8"/>
      <c r="I61" s="8"/>
      <c r="J61" s="8"/>
      <c r="K61" s="8"/>
      <c r="L61" s="8"/>
      <c r="M61" s="8"/>
      <c r="N61" s="8"/>
      <c r="O61" s="8"/>
      <c r="P61" s="8"/>
      <c r="Q61" s="8"/>
      <c r="R61" s="8"/>
      <c r="S61" s="8"/>
      <c r="T61" s="8"/>
      <c r="U61" s="8"/>
      <c r="V61" s="8"/>
      <c r="W61" s="8"/>
      <c r="X61" s="8"/>
      <c r="Y61" s="8"/>
      <c r="Z61" s="8"/>
      <c r="AA61" s="8"/>
      <c r="AB61" s="8"/>
      <c r="AC61" s="8"/>
      <c r="AD61" s="8"/>
      <c r="AE61" s="8"/>
    </row>
    <row r="62">
      <c r="A62" s="8"/>
      <c r="B62" s="7" t="s">
        <v>262</v>
      </c>
      <c r="C62" s="7">
        <v>5584.0</v>
      </c>
      <c r="D62" s="7">
        <v>6100.0</v>
      </c>
      <c r="E62" s="18">
        <f t="shared" si="3"/>
        <v>0.9154098361</v>
      </c>
      <c r="F62" s="7">
        <v>14.0</v>
      </c>
      <c r="G62" s="8"/>
      <c r="H62" s="8"/>
      <c r="I62" s="8"/>
      <c r="J62" s="8"/>
      <c r="K62" s="8"/>
      <c r="L62" s="8"/>
      <c r="M62" s="8"/>
      <c r="N62" s="8"/>
      <c r="O62" s="8"/>
      <c r="P62" s="8"/>
      <c r="Q62" s="8"/>
      <c r="R62" s="8"/>
      <c r="S62" s="8"/>
      <c r="T62" s="8"/>
      <c r="U62" s="8"/>
      <c r="V62" s="8"/>
      <c r="W62" s="8"/>
      <c r="X62" s="8"/>
      <c r="Y62" s="8"/>
      <c r="Z62" s="8"/>
      <c r="AA62" s="8"/>
      <c r="AB62" s="8"/>
      <c r="AC62" s="8"/>
      <c r="AD62" s="8"/>
      <c r="AE62" s="8"/>
    </row>
    <row r="63">
      <c r="A63" s="8"/>
      <c r="B63" s="7" t="s">
        <v>265</v>
      </c>
      <c r="C63" s="7">
        <v>5263.0</v>
      </c>
      <c r="D63" s="7">
        <v>5310.0</v>
      </c>
      <c r="E63" s="18">
        <f t="shared" si="3"/>
        <v>0.9911487759</v>
      </c>
      <c r="F63" s="7">
        <v>11.0</v>
      </c>
      <c r="G63" s="8"/>
      <c r="H63" s="8"/>
      <c r="I63" s="8"/>
      <c r="J63" s="8"/>
      <c r="K63" s="8"/>
      <c r="L63" s="8"/>
      <c r="M63" s="8"/>
      <c r="N63" s="8"/>
      <c r="O63" s="8"/>
      <c r="P63" s="8"/>
      <c r="Q63" s="8"/>
      <c r="R63" s="8"/>
      <c r="S63" s="8"/>
      <c r="T63" s="8"/>
      <c r="U63" s="8"/>
      <c r="V63" s="8"/>
      <c r="W63" s="8"/>
      <c r="X63" s="8"/>
      <c r="Y63" s="8"/>
      <c r="Z63" s="8"/>
      <c r="AA63" s="8"/>
      <c r="AB63" s="8"/>
      <c r="AC63" s="8"/>
      <c r="AD63" s="8"/>
      <c r="AE63" s="8"/>
    </row>
    <row r="64">
      <c r="A64" s="8"/>
      <c r="B64" s="7" t="s">
        <v>194</v>
      </c>
      <c r="C64" s="7">
        <v>5204.0</v>
      </c>
      <c r="D64" s="7">
        <v>7786.0</v>
      </c>
      <c r="E64" s="18">
        <f t="shared" si="3"/>
        <v>0.668379142</v>
      </c>
      <c r="F64" s="7">
        <v>5.0</v>
      </c>
      <c r="G64" s="8"/>
      <c r="H64" s="8"/>
      <c r="I64" s="8"/>
      <c r="J64" s="8"/>
      <c r="K64" s="8"/>
      <c r="L64" s="8"/>
      <c r="M64" s="8"/>
      <c r="N64" s="8"/>
      <c r="O64" s="8"/>
      <c r="P64" s="8"/>
      <c r="Q64" s="8"/>
      <c r="R64" s="8"/>
      <c r="S64" s="8"/>
      <c r="T64" s="8"/>
      <c r="U64" s="8"/>
      <c r="V64" s="8"/>
      <c r="W64" s="8"/>
      <c r="X64" s="8"/>
      <c r="Y64" s="8"/>
      <c r="Z64" s="8"/>
      <c r="AA64" s="8"/>
      <c r="AB64" s="8"/>
      <c r="AC64" s="8"/>
      <c r="AD64" s="8"/>
      <c r="AE64" s="8"/>
    </row>
    <row r="65">
      <c r="A65" s="8"/>
      <c r="B65" s="7" t="s">
        <v>270</v>
      </c>
      <c r="C65" s="7">
        <v>4933.0</v>
      </c>
      <c r="D65" s="7">
        <v>5500.0</v>
      </c>
      <c r="E65" s="18">
        <f t="shared" si="3"/>
        <v>0.8969090909</v>
      </c>
      <c r="F65" s="7">
        <v>12.0</v>
      </c>
      <c r="G65" s="8"/>
      <c r="H65" s="8"/>
      <c r="I65" s="8"/>
      <c r="J65" s="8"/>
      <c r="K65" s="8"/>
      <c r="L65" s="8"/>
      <c r="M65" s="8"/>
      <c r="N65" s="8"/>
      <c r="O65" s="8"/>
      <c r="P65" s="8"/>
      <c r="Q65" s="8"/>
      <c r="R65" s="8"/>
      <c r="S65" s="8"/>
      <c r="T65" s="8"/>
      <c r="U65" s="8"/>
      <c r="V65" s="8"/>
      <c r="W65" s="8"/>
      <c r="X65" s="8"/>
      <c r="Y65" s="8"/>
      <c r="Z65" s="8"/>
      <c r="AA65" s="8"/>
      <c r="AB65" s="8"/>
      <c r="AC65" s="8"/>
      <c r="AD65" s="8"/>
      <c r="AE65" s="8"/>
    </row>
    <row r="66">
      <c r="A66" s="8"/>
      <c r="B66" s="7" t="s">
        <v>221</v>
      </c>
      <c r="C66" s="7">
        <v>4818.0</v>
      </c>
      <c r="D66" s="7">
        <v>5100.0</v>
      </c>
      <c r="E66" s="18">
        <f t="shared" si="3"/>
        <v>0.9447058824</v>
      </c>
      <c r="F66" s="7">
        <v>8.0</v>
      </c>
      <c r="G66" s="8"/>
      <c r="H66" s="8"/>
      <c r="I66" s="8"/>
      <c r="J66" s="8"/>
      <c r="K66" s="8"/>
      <c r="L66" s="8"/>
      <c r="M66" s="8"/>
      <c r="N66" s="8"/>
      <c r="O66" s="8"/>
      <c r="P66" s="8"/>
      <c r="Q66" s="8"/>
      <c r="R66" s="8"/>
      <c r="S66" s="8"/>
      <c r="T66" s="8"/>
      <c r="U66" s="8"/>
      <c r="V66" s="8"/>
      <c r="W66" s="8"/>
      <c r="X66" s="8"/>
      <c r="Y66" s="8"/>
      <c r="Z66" s="8"/>
      <c r="AA66" s="8"/>
      <c r="AB66" s="8"/>
      <c r="AC66" s="8"/>
      <c r="AD66" s="8"/>
      <c r="AE66" s="8"/>
    </row>
    <row r="67">
      <c r="A67" s="8"/>
      <c r="B67" s="7" t="s">
        <v>276</v>
      </c>
      <c r="C67" s="7">
        <v>4785.0</v>
      </c>
      <c r="D67" s="7">
        <v>5000.0</v>
      </c>
      <c r="E67" s="18">
        <f t="shared" si="3"/>
        <v>0.957</v>
      </c>
      <c r="F67" s="7">
        <v>10.0</v>
      </c>
      <c r="G67" s="8"/>
      <c r="H67" s="8"/>
      <c r="I67" s="8"/>
      <c r="J67" s="8"/>
      <c r="K67" s="8"/>
      <c r="L67" s="8"/>
      <c r="M67" s="8"/>
      <c r="N67" s="8"/>
      <c r="O67" s="8"/>
      <c r="P67" s="8"/>
      <c r="Q67" s="8"/>
      <c r="R67" s="8"/>
      <c r="S67" s="8"/>
      <c r="T67" s="8"/>
      <c r="U67" s="8"/>
      <c r="V67" s="8"/>
      <c r="W67" s="8"/>
      <c r="X67" s="8"/>
      <c r="Y67" s="8"/>
      <c r="Z67" s="8"/>
      <c r="AA67" s="8"/>
      <c r="AB67" s="8"/>
      <c r="AC67" s="8"/>
      <c r="AD67" s="8"/>
      <c r="AE67" s="8"/>
    </row>
    <row r="68">
      <c r="A68" s="8"/>
      <c r="B68" s="7" t="s">
        <v>282</v>
      </c>
      <c r="C68" s="7">
        <v>3471.0</v>
      </c>
      <c r="D68" s="7">
        <v>5001.0</v>
      </c>
      <c r="E68" s="18">
        <f t="shared" si="3"/>
        <v>0.6940611878</v>
      </c>
      <c r="F68" s="7">
        <v>16.0</v>
      </c>
      <c r="G68" s="8"/>
      <c r="H68" s="8"/>
      <c r="I68" s="8"/>
      <c r="J68" s="8"/>
      <c r="K68" s="8"/>
      <c r="L68" s="8"/>
      <c r="M68" s="8"/>
      <c r="N68" s="8"/>
      <c r="O68" s="8"/>
      <c r="P68" s="8"/>
      <c r="Q68" s="8"/>
      <c r="R68" s="8"/>
      <c r="S68" s="8"/>
      <c r="T68" s="8"/>
      <c r="U68" s="8"/>
      <c r="V68" s="8"/>
      <c r="W68" s="8"/>
      <c r="X68" s="8"/>
      <c r="Y68" s="8"/>
      <c r="Z68" s="8"/>
      <c r="AA68" s="8"/>
      <c r="AB68" s="8"/>
      <c r="AC68" s="8"/>
      <c r="AD68" s="8"/>
      <c r="AE68" s="8"/>
    </row>
    <row r="69">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row>
    <row r="70">
      <c r="A70" s="8"/>
      <c r="B70" s="7" t="s">
        <v>112</v>
      </c>
      <c r="C70" s="26">
        <f>average(C51:C68)</f>
        <v>6807.111111</v>
      </c>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row>
    <row r="71">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row>
    <row r="72">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row>
    <row r="73">
      <c r="A73" s="8"/>
      <c r="B73" s="14" t="s">
        <v>292</v>
      </c>
      <c r="C73" s="2"/>
      <c r="D73" s="2"/>
      <c r="E73" s="2"/>
      <c r="F73" s="2"/>
      <c r="G73" s="4"/>
      <c r="H73" s="8"/>
      <c r="I73" s="8"/>
      <c r="J73" s="8"/>
      <c r="K73" s="8"/>
      <c r="L73" s="8"/>
      <c r="M73" s="8"/>
      <c r="N73" s="8"/>
      <c r="O73" s="8"/>
      <c r="P73" s="8"/>
      <c r="Q73" s="8"/>
      <c r="R73" s="8"/>
      <c r="S73" s="8"/>
      <c r="T73" s="8"/>
      <c r="U73" s="8"/>
      <c r="V73" s="8"/>
      <c r="W73" s="8"/>
      <c r="X73" s="8"/>
      <c r="Y73" s="8"/>
      <c r="Z73" s="8"/>
      <c r="AA73" s="8"/>
      <c r="AB73" s="8"/>
      <c r="AC73" s="8"/>
      <c r="AD73" s="8"/>
      <c r="AE73" s="8"/>
    </row>
    <row r="74">
      <c r="A74" s="8"/>
      <c r="B74" s="17" t="s">
        <v>18</v>
      </c>
      <c r="C74" s="17" t="s">
        <v>22</v>
      </c>
      <c r="D74" s="17" t="s">
        <v>23</v>
      </c>
      <c r="E74" s="17" t="s">
        <v>24</v>
      </c>
      <c r="F74" s="17" t="s">
        <v>25</v>
      </c>
      <c r="G74" s="54" t="s">
        <v>297</v>
      </c>
      <c r="H74" s="58" t="s">
        <v>298</v>
      </c>
      <c r="I74" s="8"/>
      <c r="J74" s="8"/>
      <c r="K74" s="8"/>
      <c r="L74" s="8"/>
      <c r="M74" s="8"/>
      <c r="N74" s="8"/>
      <c r="O74" s="8"/>
      <c r="P74" s="8"/>
      <c r="Q74" s="8"/>
      <c r="R74" s="8"/>
      <c r="S74" s="8"/>
      <c r="T74" s="8"/>
      <c r="U74" s="8"/>
      <c r="V74" s="8"/>
      <c r="W74" s="8"/>
      <c r="X74" s="8"/>
      <c r="Y74" s="8"/>
      <c r="Z74" s="8"/>
      <c r="AA74" s="8"/>
      <c r="AB74" s="8"/>
      <c r="AC74" s="8"/>
      <c r="AD74" s="8"/>
      <c r="AE74" s="8"/>
    </row>
    <row r="75">
      <c r="A75" s="8"/>
      <c r="B75" s="7" t="s">
        <v>312</v>
      </c>
      <c r="C75" s="7" t="s">
        <v>16</v>
      </c>
      <c r="D75" s="7" t="s">
        <v>16</v>
      </c>
      <c r="E75" s="7" t="e">
        <v>#VALUE!</v>
      </c>
      <c r="F75" s="7">
        <v>16.0</v>
      </c>
      <c r="G75" s="7" t="s">
        <v>16</v>
      </c>
      <c r="H75" s="8"/>
      <c r="I75" s="8"/>
      <c r="J75" s="8"/>
      <c r="K75" s="8"/>
      <c r="L75" s="8"/>
      <c r="M75" s="8"/>
      <c r="N75" s="8"/>
      <c r="O75" s="8"/>
      <c r="P75" s="8"/>
      <c r="Q75" s="8"/>
      <c r="R75" s="8"/>
      <c r="S75" s="8"/>
      <c r="T75" s="8"/>
      <c r="U75" s="8"/>
      <c r="V75" s="8"/>
      <c r="W75" s="8"/>
      <c r="X75" s="8"/>
      <c r="Y75" s="8"/>
      <c r="Z75" s="8"/>
      <c r="AA75" s="8"/>
      <c r="AB75" s="8"/>
      <c r="AC75" s="8"/>
      <c r="AD75" s="8"/>
      <c r="AE75" s="8"/>
    </row>
    <row r="76">
      <c r="A76" s="8"/>
      <c r="B76" s="7" t="s">
        <v>301</v>
      </c>
      <c r="C76" s="7">
        <v>6519.0</v>
      </c>
      <c r="D76" s="7">
        <v>10060.0</v>
      </c>
      <c r="E76" s="18">
        <f t="shared" ref="E76:E90" si="4">C76/D76</f>
        <v>0.6480119284</v>
      </c>
      <c r="F76" s="7">
        <v>3.0</v>
      </c>
      <c r="G76" s="7" t="s">
        <v>319</v>
      </c>
      <c r="H76" s="15" t="s">
        <v>321</v>
      </c>
      <c r="L76" s="8"/>
      <c r="M76" s="8"/>
      <c r="N76" s="8"/>
      <c r="O76" s="8"/>
      <c r="P76" s="8"/>
      <c r="Q76" s="8"/>
      <c r="R76" s="8"/>
      <c r="S76" s="8"/>
      <c r="T76" s="8"/>
      <c r="U76" s="8"/>
      <c r="V76" s="8"/>
      <c r="W76" s="8"/>
      <c r="X76" s="8"/>
      <c r="Y76" s="8"/>
      <c r="Z76" s="8"/>
      <c r="AA76" s="8"/>
      <c r="AB76" s="8"/>
      <c r="AC76" s="8"/>
      <c r="AD76" s="8"/>
      <c r="AE76" s="8"/>
    </row>
    <row r="77">
      <c r="A77" s="8"/>
      <c r="B77" s="7" t="s">
        <v>289</v>
      </c>
      <c r="C77" s="7">
        <v>6206.0</v>
      </c>
      <c r="D77" s="7">
        <v>8891.0</v>
      </c>
      <c r="E77" s="18">
        <f t="shared" si="4"/>
        <v>0.6980092228</v>
      </c>
      <c r="F77" s="7">
        <v>1.0</v>
      </c>
      <c r="G77" s="7" t="s">
        <v>325</v>
      </c>
      <c r="H77" s="15" t="s">
        <v>326</v>
      </c>
      <c r="L77" s="8"/>
      <c r="M77" s="8"/>
      <c r="N77" s="8"/>
      <c r="O77" s="8"/>
      <c r="P77" s="8"/>
      <c r="Q77" s="8"/>
      <c r="R77" s="8"/>
      <c r="S77" s="8"/>
      <c r="T77" s="8"/>
      <c r="U77" s="8"/>
      <c r="V77" s="8"/>
      <c r="W77" s="8"/>
      <c r="X77" s="8"/>
      <c r="Y77" s="8"/>
      <c r="Z77" s="8"/>
      <c r="AA77" s="8"/>
      <c r="AB77" s="8"/>
      <c r="AC77" s="8"/>
      <c r="AD77" s="8"/>
      <c r="AE77" s="8"/>
    </row>
    <row r="78">
      <c r="A78" s="8"/>
      <c r="B78" s="7" t="s">
        <v>309</v>
      </c>
      <c r="C78" s="7">
        <v>5512.0</v>
      </c>
      <c r="D78" s="7">
        <v>6736.0</v>
      </c>
      <c r="E78" s="18">
        <f t="shared" si="4"/>
        <v>0.8182897862</v>
      </c>
      <c r="F78" s="7">
        <v>7.0</v>
      </c>
      <c r="G78" s="7" t="s">
        <v>328</v>
      </c>
      <c r="H78" s="8"/>
      <c r="I78" s="8"/>
      <c r="J78" s="8"/>
      <c r="K78" s="8"/>
      <c r="L78" s="8"/>
      <c r="M78" s="8"/>
      <c r="N78" s="8"/>
      <c r="O78" s="8"/>
      <c r="P78" s="8"/>
      <c r="Q78" s="8"/>
      <c r="R78" s="8"/>
      <c r="S78" s="8"/>
      <c r="T78" s="8"/>
      <c r="U78" s="8"/>
      <c r="V78" s="8"/>
      <c r="W78" s="8"/>
      <c r="X78" s="8"/>
      <c r="Y78" s="8"/>
      <c r="Z78" s="8"/>
      <c r="AA78" s="8"/>
      <c r="AB78" s="8"/>
      <c r="AC78" s="8"/>
      <c r="AD78" s="8"/>
      <c r="AE78" s="8"/>
    </row>
    <row r="79">
      <c r="A79" s="8"/>
      <c r="B79" s="7" t="s">
        <v>286</v>
      </c>
      <c r="C79" s="7">
        <v>4757.0</v>
      </c>
      <c r="D79" s="7">
        <v>6272.0</v>
      </c>
      <c r="E79" s="18">
        <f t="shared" si="4"/>
        <v>0.7584502551</v>
      </c>
      <c r="F79" s="7">
        <v>14.0</v>
      </c>
      <c r="G79" s="7" t="s">
        <v>331</v>
      </c>
      <c r="H79" s="8"/>
      <c r="I79" s="8"/>
      <c r="J79" s="8"/>
      <c r="K79" s="8"/>
      <c r="L79" s="8"/>
      <c r="M79" s="8"/>
      <c r="N79" s="8"/>
      <c r="O79" s="8"/>
      <c r="P79" s="8"/>
      <c r="Q79" s="8"/>
      <c r="R79" s="8"/>
      <c r="S79" s="8"/>
      <c r="T79" s="8"/>
      <c r="U79" s="8"/>
      <c r="V79" s="8"/>
      <c r="W79" s="8"/>
      <c r="X79" s="8"/>
      <c r="Y79" s="8"/>
      <c r="Z79" s="8"/>
      <c r="AA79" s="8"/>
      <c r="AB79" s="8"/>
      <c r="AC79" s="8"/>
      <c r="AD79" s="8"/>
      <c r="AE79" s="8"/>
    </row>
    <row r="80">
      <c r="A80" s="8"/>
      <c r="B80" s="7" t="s">
        <v>299</v>
      </c>
      <c r="C80" s="7">
        <v>4683.0</v>
      </c>
      <c r="D80" s="7">
        <v>5164.0</v>
      </c>
      <c r="E80" s="18">
        <f t="shared" si="4"/>
        <v>0.906855151</v>
      </c>
      <c r="F80" s="7">
        <v>2.0</v>
      </c>
      <c r="G80" s="7" t="s">
        <v>337</v>
      </c>
      <c r="H80" s="8"/>
      <c r="I80" s="8"/>
      <c r="J80" s="8"/>
      <c r="K80" s="8"/>
      <c r="L80" s="8"/>
      <c r="M80" s="8"/>
      <c r="N80" s="8"/>
      <c r="O80" s="8"/>
      <c r="P80" s="8"/>
      <c r="Q80" s="8"/>
      <c r="R80" s="8"/>
      <c r="S80" s="8"/>
      <c r="T80" s="8"/>
      <c r="U80" s="8"/>
      <c r="V80" s="8"/>
      <c r="W80" s="8"/>
      <c r="X80" s="8"/>
      <c r="Y80" s="8"/>
      <c r="Z80" s="8"/>
      <c r="AA80" s="8"/>
      <c r="AB80" s="8"/>
      <c r="AC80" s="8"/>
      <c r="AD80" s="8"/>
      <c r="AE80" s="8"/>
    </row>
    <row r="81">
      <c r="A81" s="8"/>
      <c r="B81" s="7" t="s">
        <v>313</v>
      </c>
      <c r="C81" s="7">
        <v>4485.0</v>
      </c>
      <c r="D81" s="7">
        <v>5107.0</v>
      </c>
      <c r="E81" s="18">
        <f t="shared" si="4"/>
        <v>0.8782063834</v>
      </c>
      <c r="F81" s="7">
        <v>9.0</v>
      </c>
      <c r="G81" s="7" t="s">
        <v>342</v>
      </c>
      <c r="H81" s="8"/>
      <c r="I81" s="8"/>
      <c r="J81" s="8"/>
      <c r="K81" s="8"/>
      <c r="L81" s="8"/>
      <c r="M81" s="8"/>
      <c r="N81" s="8"/>
      <c r="O81" s="8"/>
      <c r="P81" s="8"/>
      <c r="Q81" s="8"/>
      <c r="R81" s="8"/>
      <c r="S81" s="8"/>
      <c r="T81" s="8"/>
      <c r="U81" s="8"/>
      <c r="V81" s="8"/>
      <c r="W81" s="8"/>
      <c r="X81" s="8"/>
      <c r="Y81" s="8"/>
      <c r="Z81" s="8"/>
      <c r="AA81" s="8"/>
      <c r="AB81" s="8"/>
      <c r="AC81" s="8"/>
      <c r="AD81" s="8"/>
      <c r="AE81" s="8"/>
    </row>
    <row r="82">
      <c r="A82" s="8"/>
      <c r="B82" s="7" t="s">
        <v>310</v>
      </c>
      <c r="C82" s="7">
        <v>3877.0</v>
      </c>
      <c r="D82" s="7">
        <v>4000.0</v>
      </c>
      <c r="E82" s="18">
        <f t="shared" si="4"/>
        <v>0.96925</v>
      </c>
      <c r="F82" s="7">
        <v>8.0</v>
      </c>
      <c r="G82" s="7" t="s">
        <v>346</v>
      </c>
      <c r="H82" s="8"/>
      <c r="I82" s="8"/>
      <c r="J82" s="8"/>
      <c r="K82" s="8"/>
      <c r="L82" s="8"/>
      <c r="M82" s="8"/>
      <c r="N82" s="8"/>
      <c r="O82" s="8"/>
      <c r="P82" s="8"/>
      <c r="Q82" s="8"/>
      <c r="R82" s="8"/>
      <c r="S82" s="8"/>
      <c r="T82" s="8"/>
      <c r="U82" s="8"/>
      <c r="V82" s="8"/>
      <c r="W82" s="8"/>
      <c r="X82" s="8"/>
      <c r="Y82" s="8"/>
      <c r="Z82" s="8"/>
      <c r="AA82" s="8"/>
      <c r="AB82" s="8"/>
      <c r="AC82" s="8"/>
      <c r="AD82" s="8"/>
      <c r="AE82" s="8"/>
    </row>
    <row r="83">
      <c r="A83" s="8"/>
      <c r="B83" s="7" t="s">
        <v>314</v>
      </c>
      <c r="C83" s="7">
        <v>3800.0</v>
      </c>
      <c r="D83" s="7">
        <v>5344.0</v>
      </c>
      <c r="E83" s="18">
        <f t="shared" si="4"/>
        <v>0.7110778443</v>
      </c>
      <c r="F83" s="7">
        <v>12.0</v>
      </c>
      <c r="G83" s="7" t="s">
        <v>350</v>
      </c>
      <c r="H83" s="8"/>
      <c r="I83" s="8"/>
      <c r="J83" s="8"/>
      <c r="K83" s="8"/>
      <c r="L83" s="8"/>
      <c r="M83" s="8"/>
      <c r="N83" s="8"/>
      <c r="O83" s="8"/>
      <c r="P83" s="8"/>
      <c r="Q83" s="8"/>
      <c r="R83" s="8"/>
      <c r="S83" s="8"/>
      <c r="T83" s="8"/>
      <c r="U83" s="8"/>
      <c r="V83" s="8"/>
      <c r="W83" s="8"/>
      <c r="X83" s="8"/>
      <c r="Y83" s="8"/>
      <c r="Z83" s="8"/>
      <c r="AA83" s="8"/>
      <c r="AB83" s="8"/>
      <c r="AC83" s="8"/>
      <c r="AD83" s="8"/>
      <c r="AE83" s="8"/>
    </row>
    <row r="84">
      <c r="A84" s="8"/>
      <c r="B84" s="7" t="s">
        <v>307</v>
      </c>
      <c r="C84" s="7">
        <v>3629.0</v>
      </c>
      <c r="D84" s="7">
        <v>4530.0</v>
      </c>
      <c r="E84" s="18">
        <f t="shared" si="4"/>
        <v>0.8011037528</v>
      </c>
      <c r="F84" s="7">
        <v>6.0</v>
      </c>
      <c r="G84" s="7" t="s">
        <v>353</v>
      </c>
      <c r="H84" s="8"/>
      <c r="I84" s="8"/>
      <c r="J84" s="8"/>
      <c r="K84" s="8"/>
      <c r="L84" s="8"/>
      <c r="M84" s="8"/>
      <c r="N84" s="8"/>
      <c r="O84" s="8"/>
      <c r="P84" s="8"/>
      <c r="Q84" s="8"/>
      <c r="R84" s="8"/>
      <c r="S84" s="8"/>
      <c r="T84" s="8"/>
      <c r="U84" s="8"/>
      <c r="V84" s="8"/>
      <c r="W84" s="8"/>
      <c r="X84" s="8"/>
      <c r="Y84" s="8"/>
      <c r="Z84" s="8"/>
      <c r="AA84" s="8"/>
      <c r="AB84" s="8"/>
      <c r="AC84" s="8"/>
      <c r="AD84" s="8"/>
      <c r="AE84" s="8"/>
    </row>
    <row r="85">
      <c r="A85" s="8"/>
      <c r="B85" s="7" t="s">
        <v>305</v>
      </c>
      <c r="C85" s="7">
        <v>3600.0</v>
      </c>
      <c r="D85" s="7">
        <v>5000.0</v>
      </c>
      <c r="E85" s="18">
        <f t="shared" si="4"/>
        <v>0.72</v>
      </c>
      <c r="F85" s="7">
        <v>5.0</v>
      </c>
      <c r="G85" s="7" t="s">
        <v>357</v>
      </c>
      <c r="H85" s="8"/>
      <c r="I85" s="8"/>
      <c r="J85" s="8"/>
      <c r="K85" s="8"/>
      <c r="L85" s="8"/>
      <c r="M85" s="8"/>
      <c r="N85" s="8"/>
      <c r="O85" s="8"/>
      <c r="P85" s="8"/>
      <c r="Q85" s="8"/>
      <c r="R85" s="8"/>
      <c r="S85" s="8"/>
      <c r="T85" s="8"/>
      <c r="U85" s="8"/>
      <c r="V85" s="8"/>
      <c r="W85" s="8"/>
      <c r="X85" s="8"/>
      <c r="Y85" s="8"/>
      <c r="Z85" s="8"/>
      <c r="AA85" s="8"/>
      <c r="AB85" s="8"/>
      <c r="AC85" s="8"/>
      <c r="AD85" s="8"/>
      <c r="AE85" s="8"/>
    </row>
    <row r="86">
      <c r="A86" s="8"/>
      <c r="B86" s="7" t="s">
        <v>258</v>
      </c>
      <c r="C86" s="7">
        <v>3462.0</v>
      </c>
      <c r="D86" s="7">
        <v>3500.0</v>
      </c>
      <c r="E86" s="18">
        <f t="shared" si="4"/>
        <v>0.9891428571</v>
      </c>
      <c r="F86" s="7">
        <v>13.0</v>
      </c>
      <c r="G86" s="7" t="s">
        <v>360</v>
      </c>
      <c r="H86" s="8"/>
      <c r="I86" s="8"/>
      <c r="J86" s="8"/>
      <c r="K86" s="8"/>
      <c r="L86" s="8"/>
      <c r="M86" s="8"/>
      <c r="N86" s="8"/>
      <c r="O86" s="8"/>
      <c r="P86" s="8"/>
      <c r="Q86" s="8"/>
      <c r="R86" s="8"/>
      <c r="S86" s="8"/>
      <c r="T86" s="8"/>
      <c r="U86" s="8"/>
      <c r="V86" s="8"/>
      <c r="W86" s="8"/>
      <c r="X86" s="8"/>
      <c r="Y86" s="8"/>
      <c r="Z86" s="8"/>
      <c r="AA86" s="8"/>
      <c r="AB86" s="8"/>
      <c r="AC86" s="8"/>
      <c r="AD86" s="8"/>
      <c r="AE86" s="8"/>
    </row>
    <row r="87">
      <c r="A87" s="8"/>
      <c r="B87" s="7" t="s">
        <v>304</v>
      </c>
      <c r="C87" s="7">
        <v>3326.0</v>
      </c>
      <c r="D87" s="7">
        <v>3509.0</v>
      </c>
      <c r="E87" s="18">
        <f t="shared" si="4"/>
        <v>0.9478483899</v>
      </c>
      <c r="F87" s="7">
        <v>4.0</v>
      </c>
      <c r="G87" s="7" t="s">
        <v>362</v>
      </c>
      <c r="H87" s="8"/>
      <c r="I87" s="8"/>
      <c r="J87" s="8"/>
      <c r="K87" s="8"/>
      <c r="L87" s="8"/>
      <c r="M87" s="8"/>
      <c r="N87" s="8"/>
      <c r="O87" s="8"/>
      <c r="P87" s="8"/>
      <c r="Q87" s="8"/>
      <c r="R87" s="8"/>
      <c r="S87" s="8"/>
      <c r="T87" s="8"/>
      <c r="U87" s="8"/>
      <c r="V87" s="8"/>
      <c r="W87" s="8"/>
      <c r="X87" s="8"/>
      <c r="Y87" s="8"/>
      <c r="Z87" s="8"/>
      <c r="AA87" s="8"/>
      <c r="AB87" s="8"/>
      <c r="AC87" s="8"/>
      <c r="AD87" s="8"/>
      <c r="AE87" s="8"/>
    </row>
    <row r="88">
      <c r="A88" s="8"/>
      <c r="B88" s="7" t="s">
        <v>327</v>
      </c>
      <c r="C88" s="7">
        <v>2927.0</v>
      </c>
      <c r="D88" s="7">
        <v>5000.0</v>
      </c>
      <c r="E88" s="18">
        <f t="shared" si="4"/>
        <v>0.5854</v>
      </c>
      <c r="F88" s="7">
        <v>15.0</v>
      </c>
      <c r="G88" s="7" t="s">
        <v>365</v>
      </c>
      <c r="H88" s="8"/>
      <c r="I88" s="8"/>
      <c r="J88" s="8"/>
      <c r="K88" s="8"/>
      <c r="L88" s="8"/>
      <c r="M88" s="8"/>
      <c r="N88" s="8"/>
      <c r="O88" s="8"/>
      <c r="P88" s="8"/>
      <c r="Q88" s="8"/>
      <c r="R88" s="8"/>
      <c r="S88" s="8"/>
      <c r="T88" s="8"/>
      <c r="U88" s="8"/>
      <c r="V88" s="8"/>
      <c r="W88" s="8"/>
      <c r="X88" s="8"/>
      <c r="Y88" s="8"/>
      <c r="Z88" s="8"/>
      <c r="AA88" s="8"/>
      <c r="AB88" s="8"/>
      <c r="AC88" s="8"/>
      <c r="AD88" s="8"/>
      <c r="AE88" s="8"/>
    </row>
    <row r="89">
      <c r="A89" s="8"/>
      <c r="B89" s="7" t="s">
        <v>318</v>
      </c>
      <c r="C89" s="7">
        <v>2596.0</v>
      </c>
      <c r="D89" s="7">
        <v>3890.0</v>
      </c>
      <c r="E89" s="18">
        <f t="shared" si="4"/>
        <v>0.6673521851</v>
      </c>
      <c r="F89" s="7">
        <v>10.0</v>
      </c>
      <c r="G89" s="7" t="s">
        <v>369</v>
      </c>
      <c r="H89" s="8"/>
      <c r="I89" s="8"/>
      <c r="J89" s="8"/>
      <c r="K89" s="8"/>
      <c r="L89" s="8"/>
      <c r="M89" s="8"/>
      <c r="N89" s="8"/>
      <c r="O89" s="8"/>
      <c r="P89" s="8"/>
      <c r="Q89" s="8"/>
      <c r="R89" s="8"/>
      <c r="S89" s="8"/>
      <c r="T89" s="8"/>
      <c r="U89" s="8"/>
      <c r="V89" s="8"/>
      <c r="W89" s="8"/>
      <c r="X89" s="8"/>
      <c r="Y89" s="8"/>
      <c r="Z89" s="8"/>
      <c r="AA89" s="8"/>
      <c r="AB89" s="8"/>
      <c r="AC89" s="8"/>
      <c r="AD89" s="8"/>
      <c r="AE89" s="8"/>
    </row>
    <row r="90">
      <c r="A90" s="8"/>
      <c r="B90" s="7" t="s">
        <v>223</v>
      </c>
      <c r="C90" s="7">
        <v>2193.0</v>
      </c>
      <c r="D90" s="7">
        <v>3511.0</v>
      </c>
      <c r="E90" s="18">
        <f t="shared" si="4"/>
        <v>0.6246083737</v>
      </c>
      <c r="F90" s="7">
        <v>11.0</v>
      </c>
      <c r="G90" s="7" t="s">
        <v>372</v>
      </c>
      <c r="H90" s="8"/>
      <c r="I90" s="8"/>
      <c r="J90" s="8"/>
      <c r="K90" s="8"/>
      <c r="L90" s="8"/>
      <c r="M90" s="8"/>
      <c r="N90" s="8"/>
      <c r="O90" s="8"/>
      <c r="P90" s="8"/>
      <c r="Q90" s="8"/>
      <c r="R90" s="8"/>
      <c r="S90" s="8"/>
      <c r="T90" s="8"/>
      <c r="U90" s="8"/>
      <c r="V90" s="8"/>
      <c r="W90" s="8"/>
      <c r="X90" s="8"/>
      <c r="Y90" s="8"/>
      <c r="Z90" s="8"/>
      <c r="AA90" s="8"/>
      <c r="AB90" s="8"/>
      <c r="AC90" s="8"/>
      <c r="AD90" s="8"/>
      <c r="AE90" s="8"/>
    </row>
    <row r="91">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row>
    <row r="92">
      <c r="A92" s="8"/>
      <c r="B92" s="7" t="s">
        <v>112</v>
      </c>
      <c r="C92" s="26">
        <f>average(C76:C90)</f>
        <v>4104.8</v>
      </c>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row>
    <row r="93">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row>
    <row r="94">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row>
    <row r="95">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row>
    <row r="96">
      <c r="A96" s="8"/>
      <c r="B96" s="61" t="s">
        <v>385</v>
      </c>
      <c r="C96" s="2"/>
      <c r="D96" s="2"/>
      <c r="E96" s="2"/>
      <c r="F96" s="4"/>
      <c r="G96" s="8"/>
      <c r="H96" s="8"/>
      <c r="I96" s="8"/>
      <c r="J96" s="8"/>
      <c r="K96" s="8"/>
      <c r="L96" s="8"/>
      <c r="M96" s="8"/>
      <c r="N96" s="8"/>
      <c r="O96" s="8"/>
      <c r="P96" s="8"/>
      <c r="Q96" s="8"/>
      <c r="R96" s="8"/>
      <c r="S96" s="8"/>
      <c r="T96" s="8"/>
      <c r="U96" s="8"/>
      <c r="V96" s="8"/>
      <c r="W96" s="8"/>
      <c r="X96" s="8"/>
      <c r="Y96" s="8"/>
      <c r="Z96" s="8"/>
      <c r="AA96" s="8"/>
      <c r="AB96" s="8"/>
      <c r="AC96" s="8"/>
      <c r="AD96" s="8"/>
      <c r="AE96" s="8"/>
    </row>
    <row r="97">
      <c r="A97" s="8"/>
      <c r="B97" s="17" t="s">
        <v>18</v>
      </c>
      <c r="C97" s="17" t="s">
        <v>22</v>
      </c>
      <c r="D97" s="17" t="s">
        <v>23</v>
      </c>
      <c r="E97" s="17" t="s">
        <v>24</v>
      </c>
      <c r="F97" s="17" t="s">
        <v>25</v>
      </c>
      <c r="G97" s="8"/>
      <c r="H97" s="8"/>
      <c r="I97" s="8"/>
      <c r="J97" s="8"/>
      <c r="K97" s="8"/>
      <c r="L97" s="8"/>
      <c r="M97" s="8"/>
      <c r="N97" s="8"/>
      <c r="O97" s="8"/>
      <c r="P97" s="8"/>
      <c r="Q97" s="8"/>
      <c r="R97" s="8"/>
      <c r="S97" s="8"/>
      <c r="T97" s="8"/>
      <c r="U97" s="8"/>
      <c r="V97" s="8"/>
      <c r="W97" s="8"/>
      <c r="X97" s="8"/>
      <c r="Y97" s="8"/>
      <c r="Z97" s="8"/>
      <c r="AA97" s="8"/>
      <c r="AB97" s="8"/>
      <c r="AC97" s="8"/>
      <c r="AD97" s="8"/>
      <c r="AE97" s="8"/>
    </row>
    <row r="98">
      <c r="A98" s="8"/>
      <c r="B98" s="7" t="s">
        <v>335</v>
      </c>
      <c r="C98" s="7">
        <v>4342.0</v>
      </c>
      <c r="D98" s="7">
        <v>15415.0</v>
      </c>
      <c r="E98" s="18">
        <f t="shared" ref="E98:E106" si="5">C98/D98</f>
        <v>0.2816736945</v>
      </c>
      <c r="F98" s="7">
        <v>1.0</v>
      </c>
      <c r="G98" s="8"/>
      <c r="H98" s="8"/>
      <c r="I98" s="8"/>
      <c r="J98" s="8"/>
      <c r="K98" s="8"/>
      <c r="L98" s="8"/>
      <c r="M98" s="8"/>
      <c r="N98" s="8"/>
      <c r="O98" s="8"/>
      <c r="P98" s="8"/>
      <c r="Q98" s="8"/>
      <c r="R98" s="8"/>
      <c r="S98" s="8"/>
      <c r="T98" s="8"/>
      <c r="U98" s="8"/>
      <c r="V98" s="8"/>
      <c r="W98" s="8"/>
      <c r="X98" s="8"/>
      <c r="Y98" s="8"/>
      <c r="Z98" s="8"/>
      <c r="AA98" s="8"/>
      <c r="AB98" s="8"/>
      <c r="AC98" s="8"/>
      <c r="AD98" s="8"/>
      <c r="AE98" s="8"/>
    </row>
    <row r="99">
      <c r="A99" s="8"/>
      <c r="B99" s="7" t="s">
        <v>351</v>
      </c>
      <c r="C99" s="7">
        <v>2832.0</v>
      </c>
      <c r="D99" s="7">
        <v>5463.0</v>
      </c>
      <c r="E99" s="18">
        <f t="shared" si="5"/>
        <v>0.5183964854</v>
      </c>
      <c r="F99" s="7">
        <v>2.0</v>
      </c>
      <c r="G99" s="8"/>
      <c r="H99" s="8"/>
      <c r="I99" s="8"/>
      <c r="J99" s="8"/>
      <c r="K99" s="8"/>
      <c r="L99" s="8"/>
      <c r="M99" s="8"/>
      <c r="N99" s="8"/>
      <c r="O99" s="8"/>
      <c r="P99" s="8"/>
      <c r="Q99" s="8"/>
      <c r="R99" s="8"/>
      <c r="S99" s="8"/>
      <c r="T99" s="8"/>
      <c r="U99" s="8"/>
      <c r="V99" s="8"/>
      <c r="W99" s="8"/>
      <c r="X99" s="8"/>
      <c r="Y99" s="8"/>
      <c r="Z99" s="8"/>
      <c r="AA99" s="8"/>
      <c r="AB99" s="8"/>
      <c r="AC99" s="8"/>
      <c r="AD99" s="8"/>
      <c r="AE99" s="8"/>
    </row>
    <row r="100">
      <c r="A100" s="8"/>
      <c r="B100" s="7" t="s">
        <v>123</v>
      </c>
      <c r="C100" s="7">
        <v>2489.0</v>
      </c>
      <c r="D100" s="7">
        <v>5500.0</v>
      </c>
      <c r="E100" s="18">
        <f t="shared" si="5"/>
        <v>0.4525454545</v>
      </c>
      <c r="F100" s="7">
        <v>4.0</v>
      </c>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row>
    <row r="101">
      <c r="A101" s="8"/>
      <c r="B101" s="7" t="s">
        <v>142</v>
      </c>
      <c r="C101" s="7">
        <v>2325.0</v>
      </c>
      <c r="D101" s="7">
        <v>6200.0</v>
      </c>
      <c r="E101" s="18">
        <f t="shared" si="5"/>
        <v>0.375</v>
      </c>
      <c r="F101" s="7">
        <v>3.0</v>
      </c>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row>
    <row r="102">
      <c r="A102" s="8"/>
      <c r="B102" s="7" t="s">
        <v>131</v>
      </c>
      <c r="C102" s="7">
        <v>1880.0</v>
      </c>
      <c r="D102" s="7">
        <v>5600.0</v>
      </c>
      <c r="E102" s="18">
        <f t="shared" si="5"/>
        <v>0.3357142857</v>
      </c>
      <c r="F102" s="7">
        <v>5.0</v>
      </c>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row>
    <row r="103">
      <c r="A103" s="8"/>
      <c r="B103" s="7" t="s">
        <v>106</v>
      </c>
      <c r="C103" s="7">
        <v>1375.0</v>
      </c>
      <c r="D103" s="7">
        <v>2500.0</v>
      </c>
      <c r="E103" s="18">
        <f t="shared" si="5"/>
        <v>0.55</v>
      </c>
      <c r="F103" s="7">
        <v>7.0</v>
      </c>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row>
    <row r="104">
      <c r="A104" s="8"/>
      <c r="B104" s="7" t="s">
        <v>70</v>
      </c>
      <c r="C104" s="7">
        <v>1334.0</v>
      </c>
      <c r="D104" s="7">
        <v>2200.0</v>
      </c>
      <c r="E104" s="18">
        <f t="shared" si="5"/>
        <v>0.6063636364</v>
      </c>
      <c r="F104" s="7">
        <v>9.0</v>
      </c>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row>
    <row r="105">
      <c r="A105" s="8"/>
      <c r="B105" s="7" t="s">
        <v>99</v>
      </c>
      <c r="C105" s="7">
        <v>1294.0</v>
      </c>
      <c r="D105" s="7">
        <v>1500.0</v>
      </c>
      <c r="E105" s="18">
        <f t="shared" si="5"/>
        <v>0.8626666667</v>
      </c>
      <c r="F105" s="7">
        <v>6.0</v>
      </c>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row>
    <row r="106">
      <c r="A106" s="8"/>
      <c r="B106" s="7" t="s">
        <v>94</v>
      </c>
      <c r="C106" s="7">
        <v>914.0</v>
      </c>
      <c r="D106" s="7">
        <v>2246.0</v>
      </c>
      <c r="E106" s="18">
        <f t="shared" si="5"/>
        <v>0.4069456812</v>
      </c>
      <c r="F106" s="7">
        <v>8.0</v>
      </c>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row>
    <row r="108">
      <c r="A108" s="8"/>
      <c r="B108" s="7" t="s">
        <v>112</v>
      </c>
      <c r="C108" s="26">
        <f>average(C98:C106)</f>
        <v>2087.222222</v>
      </c>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row>
  </sheetData>
  <autoFilter ref="$B$4:$F$20">
    <sortState ref="B4:F20">
      <sortCondition descending="1" ref="C4:C20"/>
    </sortState>
  </autoFilter>
  <mergeCells count="8">
    <mergeCell ref="B1:M1"/>
    <mergeCell ref="B3:F3"/>
    <mergeCell ref="B25:F25"/>
    <mergeCell ref="B49:F49"/>
    <mergeCell ref="B73:G73"/>
    <mergeCell ref="H76:K76"/>
    <mergeCell ref="H77:K77"/>
    <mergeCell ref="B96:F96"/>
  </mergeCells>
  <hyperlinks>
    <hyperlink r:id="rId1" ref="G26"/>
    <hyperlink r:id="rId2" ref="H74"/>
  </hyperlinks>
  <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2" max="3" width="20.78"/>
    <col customWidth="1" min="4" max="4" width="16.44"/>
    <col customWidth="1" min="5" max="5" width="28.56"/>
    <col customWidth="1" min="7" max="7" width="14.89"/>
    <col customWidth="1" min="8" max="8" width="15.11"/>
    <col customWidth="1" min="9" max="9" width="15.0"/>
  </cols>
  <sheetData>
    <row r="1">
      <c r="I1" s="65"/>
      <c r="J1" s="65"/>
      <c r="K1" s="65"/>
    </row>
    <row r="2" ht="31.5" customHeight="1">
      <c r="B2" s="81"/>
      <c r="C2" s="82" t="s">
        <v>474</v>
      </c>
      <c r="D2" s="4"/>
      <c r="E2" s="83"/>
      <c r="F2" s="83"/>
      <c r="G2" s="83"/>
      <c r="H2" s="83"/>
      <c r="I2" s="84"/>
      <c r="K2" s="85"/>
    </row>
    <row r="3">
      <c r="B3" s="86"/>
      <c r="C3" s="21" t="s">
        <v>477</v>
      </c>
      <c r="D3" s="21" t="s">
        <v>478</v>
      </c>
      <c r="E3" s="83"/>
      <c r="F3" s="83"/>
      <c r="G3" s="83"/>
      <c r="H3" s="83"/>
      <c r="I3" s="84"/>
      <c r="K3" s="83"/>
    </row>
    <row r="4">
      <c r="B4" s="86"/>
      <c r="C4" s="21" t="s">
        <v>479</v>
      </c>
      <c r="D4" s="21" t="s">
        <v>480</v>
      </c>
      <c r="E4" s="83"/>
      <c r="F4" s="83"/>
      <c r="G4" s="83"/>
      <c r="H4" s="83"/>
      <c r="I4" s="84"/>
      <c r="K4" s="83"/>
    </row>
    <row r="5">
      <c r="B5" s="86"/>
      <c r="C5" s="21" t="s">
        <v>481</v>
      </c>
      <c r="D5" s="21" t="s">
        <v>482</v>
      </c>
      <c r="E5" s="83"/>
      <c r="F5" s="83"/>
      <c r="G5" s="83"/>
      <c r="H5" s="83"/>
      <c r="I5" s="84"/>
      <c r="K5" s="83"/>
    </row>
    <row r="6">
      <c r="B6" s="86"/>
      <c r="C6" s="21" t="s">
        <v>483</v>
      </c>
      <c r="D6" s="21" t="s">
        <v>484</v>
      </c>
      <c r="E6" s="83"/>
      <c r="F6" s="83"/>
      <c r="G6" s="83"/>
      <c r="H6" s="83"/>
      <c r="I6" s="84"/>
      <c r="K6" s="83"/>
    </row>
    <row r="7">
      <c r="B7" s="86"/>
      <c r="C7" s="21" t="s">
        <v>485</v>
      </c>
      <c r="D7" s="21" t="s">
        <v>486</v>
      </c>
      <c r="E7" s="83"/>
      <c r="F7" s="83"/>
      <c r="G7" s="83"/>
      <c r="H7" s="83"/>
      <c r="I7" s="84"/>
      <c r="K7" s="83"/>
    </row>
    <row r="8">
      <c r="B8" s="86"/>
      <c r="C8" s="21" t="s">
        <v>487</v>
      </c>
      <c r="D8" s="21" t="s">
        <v>484</v>
      </c>
      <c r="E8" s="83"/>
      <c r="F8" s="83"/>
      <c r="G8" s="88"/>
      <c r="H8" s="83"/>
      <c r="I8" s="83"/>
      <c r="J8" s="89"/>
      <c r="K8" s="83"/>
      <c r="N8" s="84"/>
    </row>
    <row r="9">
      <c r="B9" s="86"/>
      <c r="C9" s="21" t="s">
        <v>488</v>
      </c>
      <c r="D9" s="21" t="s">
        <v>486</v>
      </c>
      <c r="E9" s="83"/>
      <c r="F9" s="90"/>
      <c r="G9" s="88"/>
      <c r="H9" s="83"/>
      <c r="I9" s="83"/>
      <c r="J9" s="89"/>
      <c r="K9" s="83"/>
      <c r="N9" s="84"/>
    </row>
    <row r="10">
      <c r="B10" s="86"/>
      <c r="C10" s="21" t="s">
        <v>489</v>
      </c>
      <c r="D10" s="21" t="s">
        <v>490</v>
      </c>
      <c r="E10" s="83"/>
      <c r="F10" s="83"/>
      <c r="G10" s="88"/>
      <c r="H10" s="83"/>
      <c r="I10" s="83"/>
      <c r="J10" s="83"/>
      <c r="K10" s="88"/>
      <c r="N10" s="84"/>
    </row>
    <row r="11">
      <c r="B11" s="86"/>
      <c r="C11" s="21" t="s">
        <v>492</v>
      </c>
      <c r="D11" s="21" t="s">
        <v>490</v>
      </c>
      <c r="E11" s="83"/>
      <c r="F11" s="83"/>
      <c r="G11" s="83"/>
      <c r="H11" s="83"/>
      <c r="I11" s="83"/>
      <c r="J11" s="83"/>
      <c r="K11" s="91"/>
      <c r="N11" s="84"/>
    </row>
    <row r="12">
      <c r="B12" s="86"/>
      <c r="C12" s="21" t="s">
        <v>493</v>
      </c>
      <c r="D12" s="21" t="s">
        <v>494</v>
      </c>
      <c r="E12" s="83"/>
      <c r="F12" s="83"/>
      <c r="G12" s="83"/>
      <c r="H12" s="83"/>
      <c r="I12" s="83"/>
      <c r="J12" s="83"/>
      <c r="K12" s="83"/>
      <c r="N12" s="84"/>
    </row>
    <row r="13">
      <c r="B13" s="86"/>
      <c r="C13" s="21" t="s">
        <v>495</v>
      </c>
      <c r="D13" s="21" t="s">
        <v>494</v>
      </c>
      <c r="E13" s="83"/>
      <c r="F13" s="83"/>
      <c r="G13" s="83"/>
      <c r="H13" s="83"/>
      <c r="I13" s="83"/>
      <c r="J13" s="83"/>
      <c r="K13" s="83"/>
      <c r="N13" s="84"/>
    </row>
    <row r="14">
      <c r="B14" s="86"/>
      <c r="C14" s="21" t="s">
        <v>497</v>
      </c>
      <c r="D14" s="21" t="s">
        <v>498</v>
      </c>
      <c r="E14" s="83"/>
      <c r="F14" s="83"/>
      <c r="G14" s="83"/>
      <c r="H14" s="83"/>
      <c r="I14" s="83"/>
      <c r="J14" s="83"/>
      <c r="K14" s="83"/>
      <c r="N14" s="84"/>
    </row>
    <row r="15">
      <c r="B15" s="86"/>
      <c r="C15" s="21" t="s">
        <v>499</v>
      </c>
      <c r="D15" s="21" t="s">
        <v>500</v>
      </c>
      <c r="E15" s="83"/>
      <c r="F15" s="83"/>
      <c r="G15" s="83"/>
      <c r="H15" s="83"/>
      <c r="I15" s="83"/>
      <c r="J15" s="83"/>
      <c r="K15" s="83"/>
      <c r="N15" s="84"/>
    </row>
    <row r="16">
      <c r="B16" s="86"/>
      <c r="C16" s="21" t="s">
        <v>502</v>
      </c>
      <c r="D16" s="21" t="s">
        <v>503</v>
      </c>
      <c r="F16" s="83"/>
      <c r="G16" s="83"/>
      <c r="H16" s="83"/>
      <c r="I16" s="83"/>
      <c r="J16" s="83"/>
      <c r="K16" s="83"/>
      <c r="L16" s="93"/>
      <c r="N16" s="84"/>
    </row>
    <row r="17">
      <c r="B17" s="86"/>
      <c r="C17" s="21" t="s">
        <v>504</v>
      </c>
      <c r="D17" s="21" t="s">
        <v>505</v>
      </c>
      <c r="F17" s="83"/>
      <c r="G17" s="83"/>
      <c r="H17" s="83"/>
      <c r="I17" s="83"/>
      <c r="J17" s="83"/>
      <c r="K17" s="88"/>
      <c r="N17" s="84"/>
    </row>
    <row r="18">
      <c r="B18" s="86"/>
      <c r="C18" s="21" t="s">
        <v>506</v>
      </c>
      <c r="D18" s="21" t="s">
        <v>500</v>
      </c>
      <c r="E18" s="83"/>
      <c r="F18" s="83"/>
      <c r="G18" s="83"/>
      <c r="H18" s="83"/>
      <c r="I18" s="83"/>
      <c r="J18" s="83"/>
      <c r="K18" s="83"/>
      <c r="N18" s="84"/>
    </row>
    <row r="19">
      <c r="B19" s="86"/>
      <c r="C19" s="21" t="s">
        <v>507</v>
      </c>
      <c r="D19" s="21" t="s">
        <v>509</v>
      </c>
      <c r="E19" s="83"/>
      <c r="F19" s="83"/>
      <c r="G19" s="83"/>
      <c r="H19" s="83"/>
      <c r="I19" s="83"/>
      <c r="J19" s="83"/>
      <c r="K19" s="83"/>
      <c r="N19" s="84"/>
    </row>
    <row r="20">
      <c r="B20" s="86"/>
      <c r="C20" s="21" t="s">
        <v>510</v>
      </c>
      <c r="D20" s="21" t="s">
        <v>494</v>
      </c>
      <c r="E20" s="83"/>
      <c r="F20" s="83"/>
      <c r="G20" s="83"/>
      <c r="H20" s="83"/>
      <c r="I20" s="83"/>
      <c r="J20" s="83"/>
      <c r="K20" s="83"/>
      <c r="N20" s="84"/>
    </row>
    <row r="21">
      <c r="B21" s="86"/>
      <c r="C21" s="21" t="s">
        <v>511</v>
      </c>
      <c r="D21" s="21" t="s">
        <v>512</v>
      </c>
      <c r="E21" s="83"/>
      <c r="F21" s="83"/>
      <c r="G21" s="83"/>
      <c r="H21" s="83"/>
      <c r="I21" s="83"/>
      <c r="J21" s="83"/>
      <c r="K21" s="83"/>
      <c r="N21" s="84"/>
    </row>
    <row r="22">
      <c r="B22" s="86"/>
      <c r="C22" s="21" t="s">
        <v>514</v>
      </c>
      <c r="D22" s="21" t="s">
        <v>500</v>
      </c>
      <c r="E22" s="83"/>
      <c r="F22" s="83"/>
      <c r="G22" s="83"/>
      <c r="H22" s="83"/>
      <c r="I22" s="83"/>
      <c r="J22" s="83"/>
      <c r="K22" s="83"/>
      <c r="N22" s="84"/>
    </row>
    <row r="23">
      <c r="B23" s="86"/>
      <c r="C23" s="21" t="s">
        <v>515</v>
      </c>
      <c r="D23" s="21" t="s">
        <v>516</v>
      </c>
      <c r="E23" s="83"/>
      <c r="F23" s="83"/>
      <c r="G23" s="83"/>
      <c r="H23" s="83"/>
      <c r="I23" s="83"/>
      <c r="J23" s="83"/>
      <c r="K23" s="83"/>
      <c r="N23" s="84"/>
    </row>
    <row r="24">
      <c r="B24" s="83"/>
      <c r="C24" s="83"/>
      <c r="D24" s="83"/>
      <c r="E24" s="83"/>
      <c r="F24" s="83"/>
      <c r="G24" s="83"/>
      <c r="H24" s="83"/>
      <c r="I24" s="83"/>
      <c r="J24" s="83"/>
      <c r="K24" s="83"/>
      <c r="N24" s="84"/>
    </row>
    <row r="25" ht="31.5" customHeight="1">
      <c r="B25" s="94" t="s">
        <v>517</v>
      </c>
      <c r="C25" s="5" t="s">
        <v>518</v>
      </c>
      <c r="D25" s="5" t="s">
        <v>520</v>
      </c>
      <c r="E25" s="5" t="s">
        <v>521</v>
      </c>
      <c r="F25" s="5" t="s">
        <v>522</v>
      </c>
      <c r="G25" s="5" t="s">
        <v>523</v>
      </c>
      <c r="H25" s="5" t="s">
        <v>524</v>
      </c>
      <c r="I25" s="5" t="s">
        <v>525</v>
      </c>
      <c r="J25" s="5" t="s">
        <v>135</v>
      </c>
      <c r="K25" s="5" t="s">
        <v>136</v>
      </c>
      <c r="L25" s="5" t="s">
        <v>137</v>
      </c>
    </row>
    <row r="26">
      <c r="B26" s="95" t="s">
        <v>526</v>
      </c>
      <c r="C26" s="95" t="s">
        <v>528</v>
      </c>
      <c r="D26" s="95" t="s">
        <v>114</v>
      </c>
      <c r="E26" s="95" t="s">
        <v>370</v>
      </c>
      <c r="F26" s="95" t="s">
        <v>529</v>
      </c>
      <c r="G26" s="9">
        <v>220000.0</v>
      </c>
      <c r="H26" s="95" t="s">
        <v>530</v>
      </c>
      <c r="I26" s="13">
        <f t="shared" ref="I26:I44" si="1">G26/10</f>
        <v>22000</v>
      </c>
      <c r="J26" s="97" t="s">
        <v>533</v>
      </c>
      <c r="K26" s="98"/>
      <c r="L26" s="98"/>
    </row>
    <row r="27">
      <c r="B27" s="95" t="s">
        <v>526</v>
      </c>
      <c r="C27" s="95" t="s">
        <v>536</v>
      </c>
      <c r="D27" s="95" t="s">
        <v>174</v>
      </c>
      <c r="E27" s="95" t="s">
        <v>411</v>
      </c>
      <c r="F27" s="95" t="s">
        <v>537</v>
      </c>
      <c r="G27" s="9">
        <v>425000.0</v>
      </c>
      <c r="H27" s="95" t="s">
        <v>530</v>
      </c>
      <c r="I27" s="13">
        <f t="shared" si="1"/>
        <v>42500</v>
      </c>
      <c r="J27" s="97" t="s">
        <v>538</v>
      </c>
      <c r="K27" s="98"/>
      <c r="L27" s="98"/>
    </row>
    <row r="28">
      <c r="B28" s="95" t="s">
        <v>526</v>
      </c>
      <c r="C28" s="95" t="s">
        <v>541</v>
      </c>
      <c r="D28" s="95" t="s">
        <v>69</v>
      </c>
      <c r="E28" s="95" t="s">
        <v>542</v>
      </c>
      <c r="F28" s="95" t="s">
        <v>543</v>
      </c>
      <c r="G28" s="9">
        <v>60000.0</v>
      </c>
      <c r="H28" s="95" t="s">
        <v>530</v>
      </c>
      <c r="I28" s="13">
        <f t="shared" si="1"/>
        <v>6000</v>
      </c>
      <c r="J28" s="97" t="s">
        <v>545</v>
      </c>
      <c r="K28" s="98"/>
      <c r="L28" s="98"/>
    </row>
    <row r="29">
      <c r="B29" s="95" t="s">
        <v>526</v>
      </c>
      <c r="C29" s="95" t="s">
        <v>548</v>
      </c>
      <c r="D29" s="95" t="s">
        <v>69</v>
      </c>
      <c r="E29" s="95" t="s">
        <v>550</v>
      </c>
      <c r="F29" s="95" t="s">
        <v>543</v>
      </c>
      <c r="G29" s="9">
        <v>65000.0</v>
      </c>
      <c r="H29" s="95" t="s">
        <v>530</v>
      </c>
      <c r="I29" s="13">
        <f t="shared" si="1"/>
        <v>6500</v>
      </c>
      <c r="J29" s="97" t="s">
        <v>545</v>
      </c>
      <c r="K29" s="98"/>
      <c r="L29" s="98"/>
    </row>
    <row r="30">
      <c r="B30" s="95" t="s">
        <v>526</v>
      </c>
      <c r="C30" s="95" t="s">
        <v>551</v>
      </c>
      <c r="D30" s="95" t="s">
        <v>69</v>
      </c>
      <c r="E30" s="95" t="s">
        <v>550</v>
      </c>
      <c r="F30" s="95" t="s">
        <v>543</v>
      </c>
      <c r="G30" s="9">
        <v>65000.0</v>
      </c>
      <c r="H30" s="95" t="s">
        <v>530</v>
      </c>
      <c r="I30" s="13">
        <f t="shared" si="1"/>
        <v>6500</v>
      </c>
      <c r="J30" s="97" t="s">
        <v>545</v>
      </c>
      <c r="K30" s="98"/>
      <c r="L30" s="98"/>
    </row>
    <row r="31">
      <c r="B31" s="95" t="s">
        <v>526</v>
      </c>
      <c r="C31" s="95" t="s">
        <v>552</v>
      </c>
      <c r="D31" s="95" t="s">
        <v>69</v>
      </c>
      <c r="E31" s="95" t="s">
        <v>131</v>
      </c>
      <c r="F31" s="95" t="s">
        <v>543</v>
      </c>
      <c r="G31" s="9">
        <v>65000.0</v>
      </c>
      <c r="H31" s="95" t="s">
        <v>530</v>
      </c>
      <c r="I31" s="13">
        <f t="shared" si="1"/>
        <v>6500</v>
      </c>
      <c r="J31" s="97" t="s">
        <v>545</v>
      </c>
      <c r="K31" s="98"/>
      <c r="L31" s="98"/>
    </row>
    <row r="32">
      <c r="B32" s="95" t="s">
        <v>526</v>
      </c>
      <c r="C32" s="95" t="s">
        <v>554</v>
      </c>
      <c r="D32" s="95" t="s">
        <v>69</v>
      </c>
      <c r="E32" s="95" t="s">
        <v>555</v>
      </c>
      <c r="F32" s="95" t="s">
        <v>543</v>
      </c>
      <c r="G32" s="9">
        <v>70000.0</v>
      </c>
      <c r="H32" s="95" t="s">
        <v>530</v>
      </c>
      <c r="I32" s="13">
        <f t="shared" si="1"/>
        <v>7000</v>
      </c>
      <c r="J32" s="97" t="s">
        <v>545</v>
      </c>
      <c r="K32" s="98"/>
      <c r="L32" s="98"/>
    </row>
    <row r="33">
      <c r="B33" s="95" t="s">
        <v>526</v>
      </c>
      <c r="C33" s="95" t="s">
        <v>556</v>
      </c>
      <c r="D33" s="95" t="s">
        <v>69</v>
      </c>
      <c r="E33" s="95" t="s">
        <v>131</v>
      </c>
      <c r="F33" s="95" t="s">
        <v>543</v>
      </c>
      <c r="G33" s="9">
        <v>70000.0</v>
      </c>
      <c r="H33" s="95" t="s">
        <v>530</v>
      </c>
      <c r="I33" s="13">
        <f t="shared" si="1"/>
        <v>7000</v>
      </c>
      <c r="J33" s="97" t="s">
        <v>545</v>
      </c>
      <c r="K33" s="98"/>
      <c r="L33" s="98"/>
    </row>
    <row r="34">
      <c r="B34" s="95" t="s">
        <v>526</v>
      </c>
      <c r="C34" s="95" t="s">
        <v>558</v>
      </c>
      <c r="D34" s="95" t="s">
        <v>69</v>
      </c>
      <c r="E34" s="95" t="s">
        <v>550</v>
      </c>
      <c r="F34" s="95" t="s">
        <v>543</v>
      </c>
      <c r="G34" s="9">
        <v>70000.0</v>
      </c>
      <c r="H34" s="95" t="s">
        <v>530</v>
      </c>
      <c r="I34" s="13">
        <f t="shared" si="1"/>
        <v>7000</v>
      </c>
      <c r="J34" s="97" t="s">
        <v>545</v>
      </c>
      <c r="K34" s="98"/>
      <c r="L34" s="98"/>
    </row>
    <row r="35">
      <c r="B35" s="95" t="s">
        <v>526</v>
      </c>
      <c r="C35" s="95" t="s">
        <v>560</v>
      </c>
      <c r="D35" s="95" t="s">
        <v>69</v>
      </c>
      <c r="E35" s="95" t="s">
        <v>561</v>
      </c>
      <c r="F35" s="95" t="s">
        <v>562</v>
      </c>
      <c r="G35" s="9">
        <v>80000.0</v>
      </c>
      <c r="H35" s="95" t="s">
        <v>530</v>
      </c>
      <c r="I35" s="13">
        <f t="shared" si="1"/>
        <v>8000</v>
      </c>
      <c r="J35" s="97" t="s">
        <v>563</v>
      </c>
      <c r="K35" s="97" t="s">
        <v>570</v>
      </c>
      <c r="L35" s="98"/>
    </row>
    <row r="36">
      <c r="B36" s="95" t="s">
        <v>526</v>
      </c>
      <c r="C36" s="95" t="s">
        <v>575</v>
      </c>
      <c r="D36" s="95" t="s">
        <v>69</v>
      </c>
      <c r="E36" s="95" t="s">
        <v>561</v>
      </c>
      <c r="F36" s="95" t="s">
        <v>562</v>
      </c>
      <c r="G36" s="9">
        <v>60000.0</v>
      </c>
      <c r="H36" s="95" t="s">
        <v>530</v>
      </c>
      <c r="I36" s="13">
        <f t="shared" si="1"/>
        <v>6000</v>
      </c>
      <c r="J36" s="97" t="s">
        <v>570</v>
      </c>
      <c r="K36" s="98"/>
      <c r="L36" s="98"/>
    </row>
    <row r="37">
      <c r="B37" s="95" t="s">
        <v>526</v>
      </c>
      <c r="C37" s="95" t="s">
        <v>577</v>
      </c>
      <c r="D37" s="95" t="s">
        <v>69</v>
      </c>
      <c r="E37" s="95" t="s">
        <v>131</v>
      </c>
      <c r="F37" s="95" t="s">
        <v>543</v>
      </c>
      <c r="G37" s="9">
        <v>70000.0</v>
      </c>
      <c r="H37" s="95" t="s">
        <v>530</v>
      </c>
      <c r="I37" s="13">
        <f t="shared" si="1"/>
        <v>7000</v>
      </c>
      <c r="J37" s="97" t="s">
        <v>545</v>
      </c>
      <c r="K37" s="98"/>
      <c r="L37" s="98"/>
    </row>
    <row r="38">
      <c r="B38" s="95" t="s">
        <v>526</v>
      </c>
      <c r="C38" s="95" t="s">
        <v>541</v>
      </c>
      <c r="D38" s="95" t="s">
        <v>69</v>
      </c>
      <c r="E38" s="95" t="s">
        <v>561</v>
      </c>
      <c r="F38" s="95" t="s">
        <v>562</v>
      </c>
      <c r="G38" s="9">
        <v>80000.0</v>
      </c>
      <c r="H38" s="95" t="s">
        <v>530</v>
      </c>
      <c r="I38" s="13">
        <f t="shared" si="1"/>
        <v>8000</v>
      </c>
      <c r="J38" s="97" t="s">
        <v>570</v>
      </c>
      <c r="K38" s="98"/>
      <c r="L38" s="98"/>
    </row>
    <row r="39">
      <c r="B39" s="95" t="s">
        <v>526</v>
      </c>
      <c r="C39" s="95" t="s">
        <v>581</v>
      </c>
      <c r="D39" s="95" t="s">
        <v>69</v>
      </c>
      <c r="E39" s="95" t="s">
        <v>131</v>
      </c>
      <c r="F39" s="95" t="s">
        <v>543</v>
      </c>
      <c r="G39" s="9">
        <v>90000.0</v>
      </c>
      <c r="H39" s="95" t="s">
        <v>530</v>
      </c>
      <c r="I39" s="13">
        <f t="shared" si="1"/>
        <v>9000</v>
      </c>
      <c r="J39" s="97" t="s">
        <v>545</v>
      </c>
      <c r="K39" s="98"/>
      <c r="L39" s="98"/>
    </row>
    <row r="40">
      <c r="B40" s="95" t="s">
        <v>526</v>
      </c>
      <c r="C40" s="95" t="s">
        <v>585</v>
      </c>
      <c r="D40" s="95" t="s">
        <v>114</v>
      </c>
      <c r="E40" s="95" t="s">
        <v>396</v>
      </c>
      <c r="F40" s="95" t="s">
        <v>586</v>
      </c>
      <c r="G40" s="9">
        <v>2680000.0</v>
      </c>
      <c r="H40" s="95" t="s">
        <v>530</v>
      </c>
      <c r="I40" s="13">
        <f t="shared" si="1"/>
        <v>268000</v>
      </c>
      <c r="J40" s="97" t="s">
        <v>588</v>
      </c>
      <c r="K40" s="97" t="s">
        <v>592</v>
      </c>
      <c r="L40" s="98"/>
    </row>
    <row r="41">
      <c r="B41" s="95" t="s">
        <v>526</v>
      </c>
      <c r="C41" s="95" t="s">
        <v>597</v>
      </c>
      <c r="D41" s="95" t="s">
        <v>114</v>
      </c>
      <c r="E41" s="95" t="s">
        <v>396</v>
      </c>
      <c r="F41" s="95" t="s">
        <v>586</v>
      </c>
      <c r="G41" s="9">
        <v>2390000.0</v>
      </c>
      <c r="H41" s="95" t="s">
        <v>530</v>
      </c>
      <c r="I41" s="13">
        <f t="shared" si="1"/>
        <v>239000</v>
      </c>
      <c r="J41" s="97" t="s">
        <v>588</v>
      </c>
      <c r="K41" s="97" t="s">
        <v>592</v>
      </c>
      <c r="L41" s="98"/>
    </row>
    <row r="42">
      <c r="B42" s="95" t="s">
        <v>526</v>
      </c>
      <c r="C42" s="95" t="s">
        <v>599</v>
      </c>
      <c r="D42" s="95" t="s">
        <v>114</v>
      </c>
      <c r="E42" s="95" t="s">
        <v>396</v>
      </c>
      <c r="F42" s="95" t="s">
        <v>586</v>
      </c>
      <c r="G42" s="9">
        <v>2100000.0</v>
      </c>
      <c r="H42" s="95" t="s">
        <v>530</v>
      </c>
      <c r="I42" s="13">
        <f t="shared" si="1"/>
        <v>210000</v>
      </c>
      <c r="J42" s="97" t="s">
        <v>588</v>
      </c>
      <c r="K42" s="97" t="s">
        <v>592</v>
      </c>
      <c r="L42" s="98"/>
    </row>
    <row r="43">
      <c r="B43" s="95" t="s">
        <v>526</v>
      </c>
      <c r="C43" s="95" t="s">
        <v>602</v>
      </c>
      <c r="D43" s="95" t="s">
        <v>114</v>
      </c>
      <c r="E43" s="95" t="s">
        <v>396</v>
      </c>
      <c r="F43" s="95" t="s">
        <v>586</v>
      </c>
      <c r="G43" s="9">
        <v>1900000.0</v>
      </c>
      <c r="H43" s="95" t="s">
        <v>530</v>
      </c>
      <c r="I43" s="13">
        <f t="shared" si="1"/>
        <v>190000</v>
      </c>
      <c r="J43" s="97" t="s">
        <v>588</v>
      </c>
      <c r="K43" s="97" t="s">
        <v>592</v>
      </c>
      <c r="L43" s="97" t="s">
        <v>603</v>
      </c>
    </row>
    <row r="44">
      <c r="B44" s="95" t="s">
        <v>526</v>
      </c>
      <c r="C44" s="95" t="s">
        <v>606</v>
      </c>
      <c r="D44" s="95" t="s">
        <v>114</v>
      </c>
      <c r="E44" s="95" t="s">
        <v>396</v>
      </c>
      <c r="F44" s="95" t="s">
        <v>586</v>
      </c>
      <c r="G44" s="9">
        <v>1700000.0</v>
      </c>
      <c r="H44" s="95" t="s">
        <v>530</v>
      </c>
      <c r="I44" s="13">
        <f t="shared" si="1"/>
        <v>170000</v>
      </c>
      <c r="J44" s="97" t="s">
        <v>588</v>
      </c>
      <c r="K44" s="97" t="s">
        <v>592</v>
      </c>
      <c r="L44" s="98"/>
    </row>
    <row r="45">
      <c r="B45" s="95" t="s">
        <v>526</v>
      </c>
      <c r="C45" s="95" t="s">
        <v>608</v>
      </c>
      <c r="D45" s="95" t="s">
        <v>114</v>
      </c>
      <c r="E45" s="95" t="s">
        <v>396</v>
      </c>
      <c r="F45" s="95" t="s">
        <v>586</v>
      </c>
      <c r="G45" s="9">
        <v>1600000.0</v>
      </c>
      <c r="H45" s="95" t="s">
        <v>610</v>
      </c>
      <c r="I45" s="13">
        <f>G45/9</f>
        <v>177777.7778</v>
      </c>
      <c r="J45" s="97" t="s">
        <v>588</v>
      </c>
      <c r="K45" s="97" t="s">
        <v>592</v>
      </c>
      <c r="L45" s="98"/>
    </row>
    <row r="46">
      <c r="B46" s="95" t="s">
        <v>526</v>
      </c>
      <c r="C46" s="95" t="s">
        <v>612</v>
      </c>
      <c r="D46" s="95" t="s">
        <v>114</v>
      </c>
      <c r="E46" s="95" t="s">
        <v>396</v>
      </c>
      <c r="F46" s="95" t="s">
        <v>586</v>
      </c>
      <c r="G46" s="9">
        <v>1100000.0</v>
      </c>
      <c r="H46" s="95" t="s">
        <v>530</v>
      </c>
      <c r="I46" s="13">
        <f t="shared" ref="I46:I53" si="2">G46/10</f>
        <v>110000</v>
      </c>
      <c r="J46" s="97" t="s">
        <v>588</v>
      </c>
      <c r="K46" s="97" t="s">
        <v>592</v>
      </c>
      <c r="L46" s="98"/>
    </row>
    <row r="47">
      <c r="B47" s="95" t="s">
        <v>526</v>
      </c>
      <c r="C47" s="95" t="s">
        <v>615</v>
      </c>
      <c r="D47" s="95" t="s">
        <v>114</v>
      </c>
      <c r="E47" s="95" t="s">
        <v>396</v>
      </c>
      <c r="F47" s="95" t="s">
        <v>586</v>
      </c>
      <c r="G47" s="9">
        <v>1000000.0</v>
      </c>
      <c r="H47" s="95" t="s">
        <v>530</v>
      </c>
      <c r="I47" s="13">
        <f t="shared" si="2"/>
        <v>100000</v>
      </c>
      <c r="J47" s="97" t="s">
        <v>588</v>
      </c>
      <c r="K47" s="97" t="s">
        <v>592</v>
      </c>
      <c r="L47" s="98"/>
    </row>
    <row r="48">
      <c r="B48" s="95" t="s">
        <v>526</v>
      </c>
      <c r="C48" s="95" t="s">
        <v>617</v>
      </c>
      <c r="D48" s="95" t="s">
        <v>114</v>
      </c>
      <c r="E48" s="95" t="s">
        <v>396</v>
      </c>
      <c r="F48" s="95" t="s">
        <v>586</v>
      </c>
      <c r="G48" s="9">
        <v>1000000.0</v>
      </c>
      <c r="H48" s="95" t="s">
        <v>530</v>
      </c>
      <c r="I48" s="13">
        <f t="shared" si="2"/>
        <v>100000</v>
      </c>
      <c r="J48" s="97" t="s">
        <v>588</v>
      </c>
      <c r="K48" s="97" t="s">
        <v>592</v>
      </c>
      <c r="L48" s="98"/>
    </row>
    <row r="49">
      <c r="B49" s="95" t="s">
        <v>526</v>
      </c>
      <c r="C49" s="95" t="s">
        <v>619</v>
      </c>
      <c r="D49" s="95" t="s">
        <v>114</v>
      </c>
      <c r="E49" s="95" t="s">
        <v>396</v>
      </c>
      <c r="F49" s="95" t="s">
        <v>586</v>
      </c>
      <c r="G49" s="9">
        <v>800000.0</v>
      </c>
      <c r="H49" s="95" t="s">
        <v>530</v>
      </c>
      <c r="I49" s="13">
        <f t="shared" si="2"/>
        <v>80000</v>
      </c>
      <c r="J49" s="97" t="s">
        <v>588</v>
      </c>
      <c r="K49" s="97" t="s">
        <v>592</v>
      </c>
      <c r="L49" s="98"/>
    </row>
    <row r="50">
      <c r="B50" s="95" t="s">
        <v>526</v>
      </c>
      <c r="C50" s="95" t="s">
        <v>622</v>
      </c>
      <c r="D50" s="95" t="s">
        <v>114</v>
      </c>
      <c r="E50" s="95" t="s">
        <v>396</v>
      </c>
      <c r="F50" s="95" t="s">
        <v>586</v>
      </c>
      <c r="G50" s="9">
        <v>800000.0</v>
      </c>
      <c r="H50" s="95" t="s">
        <v>530</v>
      </c>
      <c r="I50" s="13">
        <f t="shared" si="2"/>
        <v>80000</v>
      </c>
      <c r="J50" s="97" t="s">
        <v>588</v>
      </c>
      <c r="K50" s="97" t="s">
        <v>592</v>
      </c>
      <c r="L50" s="98"/>
    </row>
    <row r="51">
      <c r="B51" s="95" t="s">
        <v>526</v>
      </c>
      <c r="C51" s="95" t="s">
        <v>625</v>
      </c>
      <c r="D51" s="95" t="s">
        <v>114</v>
      </c>
      <c r="E51" s="95" t="s">
        <v>396</v>
      </c>
      <c r="F51" s="95" t="s">
        <v>586</v>
      </c>
      <c r="G51" s="9">
        <v>500000.0</v>
      </c>
      <c r="H51" s="95" t="s">
        <v>530</v>
      </c>
      <c r="I51" s="13">
        <f t="shared" si="2"/>
        <v>50000</v>
      </c>
      <c r="J51" s="97" t="s">
        <v>588</v>
      </c>
      <c r="K51" s="97" t="s">
        <v>592</v>
      </c>
      <c r="L51" s="98"/>
    </row>
    <row r="52">
      <c r="B52" s="95" t="s">
        <v>526</v>
      </c>
      <c r="C52" s="95" t="s">
        <v>627</v>
      </c>
      <c r="D52" s="95" t="s">
        <v>114</v>
      </c>
      <c r="E52" s="95" t="s">
        <v>396</v>
      </c>
      <c r="F52" s="95" t="s">
        <v>586</v>
      </c>
      <c r="G52" s="9">
        <v>350000.0</v>
      </c>
      <c r="H52" s="95" t="s">
        <v>530</v>
      </c>
      <c r="I52" s="13">
        <f t="shared" si="2"/>
        <v>35000</v>
      </c>
      <c r="J52" s="97" t="s">
        <v>588</v>
      </c>
      <c r="K52" s="97" t="s">
        <v>592</v>
      </c>
      <c r="L52" s="98"/>
    </row>
    <row r="53">
      <c r="B53" s="95" t="s">
        <v>526</v>
      </c>
      <c r="C53" s="95" t="s">
        <v>628</v>
      </c>
      <c r="D53" s="95" t="s">
        <v>114</v>
      </c>
      <c r="E53" s="95" t="s">
        <v>396</v>
      </c>
      <c r="F53" s="95" t="s">
        <v>586</v>
      </c>
      <c r="G53" s="9">
        <v>250000.0</v>
      </c>
      <c r="H53" s="95" t="s">
        <v>530</v>
      </c>
      <c r="I53" s="13">
        <f t="shared" si="2"/>
        <v>25000</v>
      </c>
      <c r="J53" s="97" t="s">
        <v>588</v>
      </c>
      <c r="K53" s="97" t="s">
        <v>631</v>
      </c>
      <c r="L53" s="98"/>
    </row>
    <row r="54">
      <c r="B54" s="95" t="s">
        <v>526</v>
      </c>
      <c r="C54" s="95" t="s">
        <v>633</v>
      </c>
      <c r="D54" s="95" t="s">
        <v>114</v>
      </c>
      <c r="E54" s="95" t="s">
        <v>396</v>
      </c>
      <c r="F54" s="95" t="s">
        <v>586</v>
      </c>
      <c r="G54" s="9">
        <v>500000.0</v>
      </c>
      <c r="H54" s="95" t="s">
        <v>635</v>
      </c>
      <c r="I54" s="13">
        <f>G54/6</f>
        <v>83333.33333</v>
      </c>
      <c r="J54" s="118" t="s">
        <v>631</v>
      </c>
      <c r="K54" s="97" t="s">
        <v>592</v>
      </c>
      <c r="L54" s="98"/>
    </row>
    <row r="55">
      <c r="B55" s="95" t="s">
        <v>526</v>
      </c>
      <c r="C55" s="95" t="s">
        <v>638</v>
      </c>
      <c r="D55" s="95" t="s">
        <v>114</v>
      </c>
      <c r="E55" s="95" t="s">
        <v>396</v>
      </c>
      <c r="F55" s="95" t="s">
        <v>586</v>
      </c>
      <c r="G55" s="9">
        <v>200000.0</v>
      </c>
      <c r="H55" s="95" t="s">
        <v>530</v>
      </c>
      <c r="I55" s="13">
        <f t="shared" ref="I55:I72" si="3">G55/10</f>
        <v>20000</v>
      </c>
      <c r="J55" s="97" t="s">
        <v>588</v>
      </c>
      <c r="K55" s="97" t="s">
        <v>592</v>
      </c>
      <c r="L55" s="98"/>
    </row>
    <row r="56">
      <c r="B56" s="95" t="s">
        <v>641</v>
      </c>
      <c r="C56" s="95" t="s">
        <v>642</v>
      </c>
      <c r="D56" s="95" t="s">
        <v>114</v>
      </c>
      <c r="E56" s="95" t="s">
        <v>396</v>
      </c>
      <c r="F56" s="95" t="s">
        <v>586</v>
      </c>
      <c r="G56" s="9">
        <v>1300000.0</v>
      </c>
      <c r="H56" s="95" t="s">
        <v>530</v>
      </c>
      <c r="I56" s="13">
        <f t="shared" si="3"/>
        <v>130000</v>
      </c>
      <c r="J56" s="97" t="s">
        <v>588</v>
      </c>
      <c r="K56" s="97" t="s">
        <v>592</v>
      </c>
      <c r="L56" s="98"/>
    </row>
    <row r="57">
      <c r="B57" s="95" t="s">
        <v>641</v>
      </c>
      <c r="C57" s="95" t="s">
        <v>642</v>
      </c>
      <c r="D57" s="95" t="s">
        <v>114</v>
      </c>
      <c r="E57" s="95" t="s">
        <v>396</v>
      </c>
      <c r="F57" s="95" t="s">
        <v>643</v>
      </c>
      <c r="G57" s="9">
        <f>1200000*0.9</f>
        <v>1080000</v>
      </c>
      <c r="H57" s="95" t="s">
        <v>530</v>
      </c>
      <c r="I57" s="13">
        <f t="shared" si="3"/>
        <v>108000</v>
      </c>
      <c r="J57" s="97" t="s">
        <v>646</v>
      </c>
      <c r="K57" s="98"/>
      <c r="L57" s="98"/>
    </row>
    <row r="58">
      <c r="B58" s="95" t="s">
        <v>526</v>
      </c>
      <c r="C58" s="95" t="s">
        <v>597</v>
      </c>
      <c r="D58" s="95" t="s">
        <v>114</v>
      </c>
      <c r="E58" s="95" t="s">
        <v>396</v>
      </c>
      <c r="F58" s="95" t="s">
        <v>650</v>
      </c>
      <c r="G58" s="9">
        <v>4500000.0</v>
      </c>
      <c r="H58" s="95" t="s">
        <v>530</v>
      </c>
      <c r="I58" s="13">
        <f t="shared" si="3"/>
        <v>450000</v>
      </c>
      <c r="J58" s="97" t="s">
        <v>547</v>
      </c>
      <c r="K58" s="97" t="s">
        <v>653</v>
      </c>
      <c r="L58" s="98"/>
    </row>
    <row r="59">
      <c r="B59" s="95" t="s">
        <v>526</v>
      </c>
      <c r="C59" s="95" t="s">
        <v>585</v>
      </c>
      <c r="D59" s="95" t="s">
        <v>114</v>
      </c>
      <c r="E59" s="95" t="s">
        <v>396</v>
      </c>
      <c r="F59" s="95" t="s">
        <v>650</v>
      </c>
      <c r="G59" s="9">
        <v>2800000.0</v>
      </c>
      <c r="H59" s="95" t="s">
        <v>530</v>
      </c>
      <c r="I59" s="13">
        <f t="shared" si="3"/>
        <v>280000</v>
      </c>
      <c r="J59" s="97" t="s">
        <v>547</v>
      </c>
      <c r="K59" s="98"/>
      <c r="L59" s="98"/>
    </row>
    <row r="60">
      <c r="B60" s="95" t="s">
        <v>526</v>
      </c>
      <c r="C60" s="95" t="s">
        <v>606</v>
      </c>
      <c r="D60" s="95" t="s">
        <v>114</v>
      </c>
      <c r="E60" s="95" t="s">
        <v>396</v>
      </c>
      <c r="F60" s="95" t="s">
        <v>650</v>
      </c>
      <c r="G60" s="9">
        <v>2500000.0</v>
      </c>
      <c r="H60" s="95" t="s">
        <v>530</v>
      </c>
      <c r="I60" s="13">
        <f t="shared" si="3"/>
        <v>250000</v>
      </c>
      <c r="J60" s="97" t="s">
        <v>547</v>
      </c>
      <c r="K60" s="97" t="s">
        <v>658</v>
      </c>
      <c r="L60" s="98"/>
    </row>
    <row r="61">
      <c r="B61" s="95" t="s">
        <v>526</v>
      </c>
      <c r="C61" s="95" t="s">
        <v>659</v>
      </c>
      <c r="D61" s="95" t="s">
        <v>114</v>
      </c>
      <c r="E61" s="95" t="s">
        <v>396</v>
      </c>
      <c r="F61" s="95" t="s">
        <v>650</v>
      </c>
      <c r="G61" s="9">
        <v>2350000.0</v>
      </c>
      <c r="H61" s="95" t="s">
        <v>530</v>
      </c>
      <c r="I61" s="13">
        <f t="shared" si="3"/>
        <v>235000</v>
      </c>
      <c r="J61" s="97" t="s">
        <v>547</v>
      </c>
      <c r="K61" s="98"/>
      <c r="L61" s="98"/>
    </row>
    <row r="62">
      <c r="B62" s="95" t="s">
        <v>526</v>
      </c>
      <c r="C62" s="95" t="s">
        <v>599</v>
      </c>
      <c r="D62" s="95" t="s">
        <v>114</v>
      </c>
      <c r="E62" s="95" t="s">
        <v>396</v>
      </c>
      <c r="F62" s="95" t="s">
        <v>650</v>
      </c>
      <c r="G62" s="9">
        <v>2200000.0</v>
      </c>
      <c r="H62" s="95" t="s">
        <v>530</v>
      </c>
      <c r="I62" s="13">
        <f t="shared" si="3"/>
        <v>220000</v>
      </c>
      <c r="J62" s="97" t="s">
        <v>547</v>
      </c>
      <c r="K62" s="97" t="s">
        <v>661</v>
      </c>
      <c r="L62" s="98"/>
    </row>
    <row r="63">
      <c r="B63" s="95" t="s">
        <v>526</v>
      </c>
      <c r="C63" s="95" t="s">
        <v>663</v>
      </c>
      <c r="D63" s="95" t="s">
        <v>114</v>
      </c>
      <c r="E63" s="95" t="s">
        <v>396</v>
      </c>
      <c r="F63" s="95" t="s">
        <v>650</v>
      </c>
      <c r="G63" s="9">
        <v>2100000.0</v>
      </c>
      <c r="H63" s="95" t="s">
        <v>530</v>
      </c>
      <c r="I63" s="13">
        <f t="shared" si="3"/>
        <v>210000</v>
      </c>
      <c r="J63" s="97" t="s">
        <v>547</v>
      </c>
      <c r="K63" s="98"/>
      <c r="L63" s="98"/>
    </row>
    <row r="64">
      <c r="B64" s="95" t="s">
        <v>526</v>
      </c>
      <c r="C64" s="95" t="s">
        <v>608</v>
      </c>
      <c r="D64" s="95" t="s">
        <v>114</v>
      </c>
      <c r="E64" s="95" t="s">
        <v>396</v>
      </c>
      <c r="F64" s="95" t="s">
        <v>650</v>
      </c>
      <c r="G64" s="9">
        <v>1500000.0</v>
      </c>
      <c r="H64" s="95" t="s">
        <v>530</v>
      </c>
      <c r="I64" s="13">
        <f t="shared" si="3"/>
        <v>150000</v>
      </c>
      <c r="J64" s="97" t="s">
        <v>547</v>
      </c>
      <c r="K64" s="98"/>
      <c r="L64" s="98"/>
    </row>
    <row r="65">
      <c r="B65" s="95" t="s">
        <v>526</v>
      </c>
      <c r="C65" s="95" t="s">
        <v>617</v>
      </c>
      <c r="D65" s="95" t="s">
        <v>114</v>
      </c>
      <c r="E65" s="95" t="s">
        <v>396</v>
      </c>
      <c r="F65" s="95" t="s">
        <v>650</v>
      </c>
      <c r="G65" s="9">
        <v>1200000.0</v>
      </c>
      <c r="H65" s="95" t="s">
        <v>530</v>
      </c>
      <c r="I65" s="13">
        <f t="shared" si="3"/>
        <v>120000</v>
      </c>
      <c r="J65" s="97" t="s">
        <v>547</v>
      </c>
      <c r="K65" s="98"/>
      <c r="L65" s="98"/>
    </row>
    <row r="66">
      <c r="B66" s="95" t="s">
        <v>526</v>
      </c>
      <c r="C66" s="95" t="s">
        <v>612</v>
      </c>
      <c r="D66" s="95" t="s">
        <v>114</v>
      </c>
      <c r="E66" s="95" t="s">
        <v>396</v>
      </c>
      <c r="F66" s="95" t="s">
        <v>650</v>
      </c>
      <c r="G66" s="9">
        <v>1200000.0</v>
      </c>
      <c r="H66" s="95" t="s">
        <v>530</v>
      </c>
      <c r="I66" s="13">
        <f t="shared" si="3"/>
        <v>120000</v>
      </c>
      <c r="J66" s="97" t="s">
        <v>547</v>
      </c>
      <c r="K66" s="98"/>
      <c r="L66" s="98"/>
    </row>
    <row r="67">
      <c r="B67" s="95" t="s">
        <v>526</v>
      </c>
      <c r="C67" s="95" t="s">
        <v>615</v>
      </c>
      <c r="D67" s="95" t="s">
        <v>114</v>
      </c>
      <c r="E67" s="95" t="s">
        <v>396</v>
      </c>
      <c r="F67" s="95" t="s">
        <v>650</v>
      </c>
      <c r="G67" s="9">
        <v>1200000.0</v>
      </c>
      <c r="H67" s="95" t="s">
        <v>530</v>
      </c>
      <c r="I67" s="13">
        <f t="shared" si="3"/>
        <v>120000</v>
      </c>
      <c r="J67" s="97" t="s">
        <v>547</v>
      </c>
      <c r="K67" s="98"/>
      <c r="L67" s="98"/>
    </row>
    <row r="68">
      <c r="B68" s="95" t="s">
        <v>526</v>
      </c>
      <c r="C68" s="95" t="s">
        <v>667</v>
      </c>
      <c r="D68" s="95" t="s">
        <v>114</v>
      </c>
      <c r="E68" s="95" t="s">
        <v>396</v>
      </c>
      <c r="F68" s="95" t="s">
        <v>650</v>
      </c>
      <c r="G68" s="9">
        <v>1300000.0</v>
      </c>
      <c r="H68" s="95" t="s">
        <v>530</v>
      </c>
      <c r="I68" s="13">
        <f t="shared" si="3"/>
        <v>130000</v>
      </c>
      <c r="J68" s="97" t="s">
        <v>547</v>
      </c>
      <c r="K68" s="97" t="s">
        <v>669</v>
      </c>
      <c r="L68" s="98"/>
    </row>
    <row r="69">
      <c r="B69" s="95" t="s">
        <v>526</v>
      </c>
      <c r="C69" s="95" t="s">
        <v>622</v>
      </c>
      <c r="D69" s="95" t="s">
        <v>114</v>
      </c>
      <c r="E69" s="95" t="s">
        <v>396</v>
      </c>
      <c r="F69" s="95" t="s">
        <v>650</v>
      </c>
      <c r="G69" s="9">
        <v>750000.0</v>
      </c>
      <c r="H69" s="95" t="s">
        <v>530</v>
      </c>
      <c r="I69" s="13">
        <f t="shared" si="3"/>
        <v>75000</v>
      </c>
      <c r="J69" s="97" t="s">
        <v>547</v>
      </c>
      <c r="K69" s="98"/>
      <c r="L69" s="98"/>
    </row>
    <row r="70">
      <c r="B70" s="95" t="s">
        <v>526</v>
      </c>
      <c r="C70" s="95" t="s">
        <v>672</v>
      </c>
      <c r="D70" s="95" t="s">
        <v>114</v>
      </c>
      <c r="E70" s="95" t="s">
        <v>396</v>
      </c>
      <c r="F70" s="95" t="s">
        <v>650</v>
      </c>
      <c r="G70" s="9">
        <v>500000.0</v>
      </c>
      <c r="H70" s="95" t="s">
        <v>530</v>
      </c>
      <c r="I70" s="13">
        <f t="shared" si="3"/>
        <v>50000</v>
      </c>
      <c r="J70" s="97" t="s">
        <v>547</v>
      </c>
      <c r="K70" s="98"/>
      <c r="L70" s="98"/>
    </row>
    <row r="71">
      <c r="B71" s="95" t="s">
        <v>526</v>
      </c>
      <c r="C71" s="95" t="s">
        <v>627</v>
      </c>
      <c r="D71" s="95" t="s">
        <v>114</v>
      </c>
      <c r="E71" s="95" t="s">
        <v>396</v>
      </c>
      <c r="F71" s="95" t="s">
        <v>650</v>
      </c>
      <c r="G71" s="9">
        <v>350000.0</v>
      </c>
      <c r="H71" s="95" t="s">
        <v>530</v>
      </c>
      <c r="I71" s="13">
        <f t="shared" si="3"/>
        <v>35000</v>
      </c>
      <c r="J71" s="97" t="s">
        <v>547</v>
      </c>
      <c r="K71" s="98"/>
      <c r="L71" s="98"/>
    </row>
    <row r="72">
      <c r="B72" s="95" t="s">
        <v>526</v>
      </c>
      <c r="C72" s="95" t="s">
        <v>638</v>
      </c>
      <c r="D72" s="95" t="s">
        <v>114</v>
      </c>
      <c r="E72" s="95" t="s">
        <v>396</v>
      </c>
      <c r="F72" s="95" t="s">
        <v>650</v>
      </c>
      <c r="G72" s="9">
        <v>200000.0</v>
      </c>
      <c r="H72" s="95" t="s">
        <v>530</v>
      </c>
      <c r="I72" s="13">
        <f t="shared" si="3"/>
        <v>20000</v>
      </c>
      <c r="J72" s="97" t="s">
        <v>547</v>
      </c>
      <c r="K72" s="98"/>
      <c r="L72" s="98"/>
    </row>
    <row r="73">
      <c r="B73" s="95" t="s">
        <v>526</v>
      </c>
      <c r="C73" s="95" t="s">
        <v>676</v>
      </c>
      <c r="D73" s="95" t="s">
        <v>114</v>
      </c>
      <c r="E73" s="95" t="s">
        <v>396</v>
      </c>
      <c r="F73" s="95" t="s">
        <v>650</v>
      </c>
      <c r="G73" s="9">
        <v>200000.0</v>
      </c>
      <c r="H73" s="95" t="s">
        <v>677</v>
      </c>
      <c r="I73" s="13">
        <f>G73/2</f>
        <v>100000</v>
      </c>
      <c r="J73" s="97" t="s">
        <v>547</v>
      </c>
      <c r="K73" s="98"/>
      <c r="L73" s="98"/>
    </row>
    <row r="74">
      <c r="B74" s="95" t="s">
        <v>526</v>
      </c>
      <c r="C74" s="95" t="s">
        <v>679</v>
      </c>
      <c r="D74" s="95" t="s">
        <v>114</v>
      </c>
      <c r="E74" s="95" t="s">
        <v>396</v>
      </c>
      <c r="F74" s="95" t="s">
        <v>650</v>
      </c>
      <c r="G74" s="9">
        <v>2000000.0</v>
      </c>
      <c r="H74" s="95" t="s">
        <v>680</v>
      </c>
      <c r="I74" s="13">
        <f>G74/4</f>
        <v>500000</v>
      </c>
      <c r="J74" s="97" t="s">
        <v>549</v>
      </c>
      <c r="K74" s="98"/>
      <c r="L74" s="98"/>
    </row>
    <row r="75">
      <c r="B75" s="95" t="s">
        <v>526</v>
      </c>
      <c r="C75" s="95" t="s">
        <v>683</v>
      </c>
      <c r="D75" s="95" t="s">
        <v>114</v>
      </c>
      <c r="E75" s="95" t="s">
        <v>389</v>
      </c>
      <c r="F75" s="95" t="s">
        <v>650</v>
      </c>
      <c r="G75" s="9">
        <v>3700000.0</v>
      </c>
      <c r="H75" s="95" t="s">
        <v>530</v>
      </c>
      <c r="I75" s="13">
        <f t="shared" ref="I75:I86" si="4">G75/10</f>
        <v>370000</v>
      </c>
      <c r="J75" s="97" t="s">
        <v>539</v>
      </c>
      <c r="K75" s="98"/>
      <c r="L75" s="98"/>
    </row>
    <row r="76">
      <c r="B76" s="95" t="s">
        <v>526</v>
      </c>
      <c r="C76" s="95" t="s">
        <v>686</v>
      </c>
      <c r="D76" s="95" t="s">
        <v>114</v>
      </c>
      <c r="E76" s="95" t="s">
        <v>389</v>
      </c>
      <c r="F76" s="95" t="s">
        <v>650</v>
      </c>
      <c r="G76" s="9">
        <v>3000000.0</v>
      </c>
      <c r="H76" s="95" t="s">
        <v>530</v>
      </c>
      <c r="I76" s="13">
        <f t="shared" si="4"/>
        <v>300000</v>
      </c>
      <c r="J76" s="97" t="s">
        <v>539</v>
      </c>
      <c r="K76" s="98" t="s">
        <v>691</v>
      </c>
      <c r="L76" s="98"/>
    </row>
    <row r="77">
      <c r="B77" s="95" t="s">
        <v>526</v>
      </c>
      <c r="C77" s="95" t="s">
        <v>693</v>
      </c>
      <c r="D77" s="95" t="s">
        <v>114</v>
      </c>
      <c r="E77" s="95" t="s">
        <v>389</v>
      </c>
      <c r="F77" s="95" t="s">
        <v>650</v>
      </c>
      <c r="G77" s="9">
        <v>2300000.0</v>
      </c>
      <c r="H77" s="95" t="s">
        <v>530</v>
      </c>
      <c r="I77" s="13">
        <f t="shared" si="4"/>
        <v>230000</v>
      </c>
      <c r="J77" s="97" t="s">
        <v>539</v>
      </c>
      <c r="K77" s="97" t="s">
        <v>696</v>
      </c>
      <c r="L77" s="98"/>
    </row>
    <row r="78">
      <c r="B78" s="95" t="s">
        <v>526</v>
      </c>
      <c r="C78" s="95" t="s">
        <v>699</v>
      </c>
      <c r="D78" s="95" t="s">
        <v>114</v>
      </c>
      <c r="E78" s="95" t="s">
        <v>389</v>
      </c>
      <c r="F78" s="95" t="s">
        <v>650</v>
      </c>
      <c r="G78" s="9">
        <v>1900000.0</v>
      </c>
      <c r="H78" s="95" t="s">
        <v>530</v>
      </c>
      <c r="I78" s="13">
        <f t="shared" si="4"/>
        <v>190000</v>
      </c>
      <c r="J78" s="97" t="s">
        <v>539</v>
      </c>
      <c r="K78" s="98"/>
      <c r="L78" s="98"/>
    </row>
    <row r="79">
      <c r="B79" s="95" t="s">
        <v>526</v>
      </c>
      <c r="C79" s="95" t="s">
        <v>701</v>
      </c>
      <c r="D79" s="95" t="s">
        <v>114</v>
      </c>
      <c r="E79" s="95" t="s">
        <v>389</v>
      </c>
      <c r="F79" s="95" t="s">
        <v>650</v>
      </c>
      <c r="G79" s="9">
        <v>1400000.0</v>
      </c>
      <c r="H79" s="95" t="s">
        <v>530</v>
      </c>
      <c r="I79" s="13">
        <f t="shared" si="4"/>
        <v>140000</v>
      </c>
      <c r="J79" s="97" t="s">
        <v>539</v>
      </c>
      <c r="K79" s="98"/>
      <c r="L79" s="98"/>
    </row>
    <row r="80">
      <c r="B80" s="95" t="s">
        <v>526</v>
      </c>
      <c r="C80" s="95" t="s">
        <v>705</v>
      </c>
      <c r="D80" s="95" t="s">
        <v>114</v>
      </c>
      <c r="E80" s="95" t="s">
        <v>389</v>
      </c>
      <c r="F80" s="95" t="s">
        <v>650</v>
      </c>
      <c r="G80" s="9">
        <v>1200000.0</v>
      </c>
      <c r="H80" s="95" t="s">
        <v>530</v>
      </c>
      <c r="I80" s="13">
        <f t="shared" si="4"/>
        <v>120000</v>
      </c>
      <c r="J80" s="97" t="s">
        <v>539</v>
      </c>
      <c r="K80" s="98"/>
      <c r="L80" s="98"/>
    </row>
    <row r="81">
      <c r="B81" s="95" t="s">
        <v>526</v>
      </c>
      <c r="C81" s="95" t="s">
        <v>706</v>
      </c>
      <c r="D81" s="95" t="s">
        <v>114</v>
      </c>
      <c r="E81" s="95" t="s">
        <v>389</v>
      </c>
      <c r="F81" s="95" t="s">
        <v>650</v>
      </c>
      <c r="G81" s="9">
        <v>1100000.0</v>
      </c>
      <c r="H81" s="95" t="s">
        <v>530</v>
      </c>
      <c r="I81" s="13">
        <f t="shared" si="4"/>
        <v>110000</v>
      </c>
      <c r="J81" s="97" t="s">
        <v>539</v>
      </c>
      <c r="K81" s="98"/>
      <c r="L81" s="98"/>
    </row>
    <row r="82">
      <c r="B82" s="95" t="s">
        <v>526</v>
      </c>
      <c r="C82" s="95" t="s">
        <v>710</v>
      </c>
      <c r="D82" s="95" t="s">
        <v>114</v>
      </c>
      <c r="E82" s="95" t="s">
        <v>389</v>
      </c>
      <c r="F82" s="95" t="s">
        <v>650</v>
      </c>
      <c r="G82" s="9">
        <v>1000000.0</v>
      </c>
      <c r="H82" s="95" t="s">
        <v>530</v>
      </c>
      <c r="I82" s="13">
        <f t="shared" si="4"/>
        <v>100000</v>
      </c>
      <c r="J82" s="97" t="s">
        <v>539</v>
      </c>
      <c r="K82" s="97" t="s">
        <v>711</v>
      </c>
      <c r="L82" s="98"/>
    </row>
    <row r="83">
      <c r="B83" s="95" t="s">
        <v>526</v>
      </c>
      <c r="C83" s="95" t="s">
        <v>716</v>
      </c>
      <c r="D83" s="95" t="s">
        <v>114</v>
      </c>
      <c r="E83" s="95" t="s">
        <v>389</v>
      </c>
      <c r="F83" s="95" t="s">
        <v>650</v>
      </c>
      <c r="G83" s="9">
        <v>900000.0</v>
      </c>
      <c r="H83" s="95" t="s">
        <v>530</v>
      </c>
      <c r="I83" s="13">
        <f t="shared" si="4"/>
        <v>90000</v>
      </c>
      <c r="J83" s="97" t="s">
        <v>539</v>
      </c>
      <c r="K83" s="97" t="s">
        <v>718</v>
      </c>
      <c r="L83" s="98"/>
    </row>
    <row r="84">
      <c r="B84" s="95" t="s">
        <v>526</v>
      </c>
      <c r="C84" s="95" t="s">
        <v>719</v>
      </c>
      <c r="D84" s="95" t="s">
        <v>114</v>
      </c>
      <c r="E84" s="95" t="s">
        <v>389</v>
      </c>
      <c r="F84" s="95" t="s">
        <v>650</v>
      </c>
      <c r="G84" s="9">
        <v>900000.0</v>
      </c>
      <c r="H84" s="95" t="s">
        <v>530</v>
      </c>
      <c r="I84" s="13">
        <f t="shared" si="4"/>
        <v>90000</v>
      </c>
      <c r="J84" s="97" t="s">
        <v>539</v>
      </c>
      <c r="K84" s="98"/>
      <c r="L84" s="98"/>
    </row>
    <row r="85">
      <c r="B85" s="95" t="s">
        <v>526</v>
      </c>
      <c r="C85" s="95" t="s">
        <v>722</v>
      </c>
      <c r="D85" s="95" t="s">
        <v>114</v>
      </c>
      <c r="E85" s="95" t="s">
        <v>389</v>
      </c>
      <c r="F85" s="95" t="s">
        <v>650</v>
      </c>
      <c r="G85" s="9">
        <v>900000.0</v>
      </c>
      <c r="H85" s="95" t="s">
        <v>530</v>
      </c>
      <c r="I85" s="13">
        <f t="shared" si="4"/>
        <v>90000</v>
      </c>
      <c r="J85" s="97" t="s">
        <v>539</v>
      </c>
      <c r="K85" s="98"/>
      <c r="L85" s="98"/>
    </row>
    <row r="86">
      <c r="B86" s="95" t="s">
        <v>526</v>
      </c>
      <c r="C86" s="95" t="s">
        <v>724</v>
      </c>
      <c r="D86" s="95" t="s">
        <v>114</v>
      </c>
      <c r="E86" s="95" t="s">
        <v>389</v>
      </c>
      <c r="F86" s="95" t="s">
        <v>650</v>
      </c>
      <c r="G86" s="9">
        <v>900000.0</v>
      </c>
      <c r="H86" s="95" t="s">
        <v>530</v>
      </c>
      <c r="I86" s="13">
        <f t="shared" si="4"/>
        <v>90000</v>
      </c>
      <c r="J86" s="97" t="s">
        <v>539</v>
      </c>
      <c r="K86" s="98"/>
      <c r="L86" s="98"/>
    </row>
    <row r="87">
      <c r="B87" s="95" t="s">
        <v>526</v>
      </c>
      <c r="C87" s="95" t="s">
        <v>726</v>
      </c>
      <c r="D87" s="95" t="s">
        <v>114</v>
      </c>
      <c r="E87" s="95" t="s">
        <v>389</v>
      </c>
      <c r="F87" s="95" t="s">
        <v>650</v>
      </c>
      <c r="G87" s="9">
        <v>800000.0</v>
      </c>
      <c r="H87" s="95" t="s">
        <v>728</v>
      </c>
      <c r="I87" s="13">
        <f>G87/7</f>
        <v>114285.7143</v>
      </c>
      <c r="J87" s="97" t="s">
        <v>539</v>
      </c>
      <c r="K87" s="98"/>
      <c r="L87" s="98"/>
    </row>
    <row r="88">
      <c r="B88" s="95" t="s">
        <v>526</v>
      </c>
      <c r="C88" s="95" t="s">
        <v>732</v>
      </c>
      <c r="D88" s="95" t="s">
        <v>114</v>
      </c>
      <c r="E88" s="95" t="s">
        <v>389</v>
      </c>
      <c r="F88" s="95" t="s">
        <v>650</v>
      </c>
      <c r="G88" s="9">
        <v>750000.0</v>
      </c>
      <c r="H88" s="95" t="s">
        <v>635</v>
      </c>
      <c r="I88" s="13">
        <f>G88/6</f>
        <v>125000</v>
      </c>
      <c r="J88" s="97" t="s">
        <v>539</v>
      </c>
      <c r="K88" s="97" t="s">
        <v>734</v>
      </c>
      <c r="L88" s="98"/>
    </row>
    <row r="89">
      <c r="B89" s="95" t="s">
        <v>526</v>
      </c>
      <c r="C89" s="95" t="s">
        <v>739</v>
      </c>
      <c r="D89" s="95" t="s">
        <v>114</v>
      </c>
      <c r="E89" s="95" t="s">
        <v>389</v>
      </c>
      <c r="F89" s="95" t="s">
        <v>650</v>
      </c>
      <c r="G89" s="9">
        <v>700000.0</v>
      </c>
      <c r="H89" s="95" t="s">
        <v>530</v>
      </c>
      <c r="I89" s="13">
        <f>G89/10</f>
        <v>70000</v>
      </c>
      <c r="J89" s="97" t="s">
        <v>539</v>
      </c>
      <c r="K89" s="98"/>
      <c r="L89" s="98"/>
    </row>
    <row r="90">
      <c r="B90" s="95" t="s">
        <v>526</v>
      </c>
      <c r="C90" s="95" t="s">
        <v>744</v>
      </c>
      <c r="D90" s="95" t="s">
        <v>114</v>
      </c>
      <c r="E90" s="95" t="s">
        <v>389</v>
      </c>
      <c r="F90" s="95" t="s">
        <v>650</v>
      </c>
      <c r="G90" s="9">
        <v>500000.0</v>
      </c>
      <c r="H90" s="95" t="s">
        <v>745</v>
      </c>
      <c r="I90" s="13">
        <f>G90/5</f>
        <v>100000</v>
      </c>
      <c r="J90" s="97" t="s">
        <v>539</v>
      </c>
      <c r="K90" s="98"/>
      <c r="L90" s="98"/>
    </row>
    <row r="91">
      <c r="B91" s="95" t="s">
        <v>526</v>
      </c>
      <c r="C91" s="95" t="s">
        <v>748</v>
      </c>
      <c r="D91" s="95" t="s">
        <v>114</v>
      </c>
      <c r="E91" s="95" t="s">
        <v>389</v>
      </c>
      <c r="F91" s="95" t="s">
        <v>650</v>
      </c>
      <c r="G91" s="9">
        <v>500000.0</v>
      </c>
      <c r="H91" s="95" t="s">
        <v>530</v>
      </c>
      <c r="I91" s="13">
        <f t="shared" ref="I91:I110" si="5">G91/10</f>
        <v>50000</v>
      </c>
      <c r="J91" s="97" t="s">
        <v>539</v>
      </c>
      <c r="K91" s="97" t="s">
        <v>750</v>
      </c>
      <c r="L91" s="98" t="s">
        <v>756</v>
      </c>
    </row>
    <row r="92">
      <c r="B92" s="95" t="s">
        <v>526</v>
      </c>
      <c r="C92" s="95" t="s">
        <v>758</v>
      </c>
      <c r="D92" s="95" t="s">
        <v>114</v>
      </c>
      <c r="E92" s="95" t="s">
        <v>389</v>
      </c>
      <c r="F92" s="95" t="s">
        <v>650</v>
      </c>
      <c r="G92" s="9">
        <v>225000.0</v>
      </c>
      <c r="H92" s="95" t="s">
        <v>530</v>
      </c>
      <c r="I92" s="13">
        <f t="shared" si="5"/>
        <v>22500</v>
      </c>
      <c r="J92" s="97" t="s">
        <v>539</v>
      </c>
      <c r="K92" s="97" t="s">
        <v>759</v>
      </c>
      <c r="L92" s="98"/>
    </row>
    <row r="93">
      <c r="B93" s="95" t="s">
        <v>526</v>
      </c>
      <c r="C93" s="95" t="s">
        <v>762</v>
      </c>
      <c r="D93" s="95" t="s">
        <v>69</v>
      </c>
      <c r="E93" s="95" t="s">
        <v>131</v>
      </c>
      <c r="F93" s="95" t="s">
        <v>763</v>
      </c>
      <c r="G93" s="9">
        <v>60000.0</v>
      </c>
      <c r="H93" s="95" t="s">
        <v>530</v>
      </c>
      <c r="I93" s="13">
        <f t="shared" si="5"/>
        <v>6000</v>
      </c>
      <c r="J93" s="97" t="s">
        <v>764</v>
      </c>
      <c r="K93" s="98"/>
      <c r="L93" s="98"/>
    </row>
    <row r="94">
      <c r="B94" s="95" t="s">
        <v>526</v>
      </c>
      <c r="C94" s="95" t="s">
        <v>768</v>
      </c>
      <c r="D94" s="95" t="s">
        <v>69</v>
      </c>
      <c r="E94" s="95" t="s">
        <v>550</v>
      </c>
      <c r="F94" s="95" t="s">
        <v>763</v>
      </c>
      <c r="G94" s="9">
        <v>60000.0</v>
      </c>
      <c r="H94" s="95" t="s">
        <v>530</v>
      </c>
      <c r="I94" s="13">
        <f t="shared" si="5"/>
        <v>6000</v>
      </c>
      <c r="J94" s="97" t="s">
        <v>764</v>
      </c>
      <c r="K94" s="98"/>
      <c r="L94" s="98"/>
    </row>
    <row r="95">
      <c r="B95" s="95" t="s">
        <v>526</v>
      </c>
      <c r="C95" s="95" t="s">
        <v>771</v>
      </c>
      <c r="D95" s="95" t="s">
        <v>69</v>
      </c>
      <c r="E95" s="95" t="s">
        <v>772</v>
      </c>
      <c r="F95" s="95" t="s">
        <v>763</v>
      </c>
      <c r="G95" s="9">
        <v>60000.0</v>
      </c>
      <c r="H95" s="95" t="s">
        <v>530</v>
      </c>
      <c r="I95" s="13">
        <f t="shared" si="5"/>
        <v>6000</v>
      </c>
      <c r="J95" s="97" t="s">
        <v>764</v>
      </c>
      <c r="K95" s="98"/>
      <c r="L95" s="98"/>
    </row>
    <row r="96">
      <c r="B96" s="95" t="s">
        <v>526</v>
      </c>
      <c r="C96" s="95" t="s">
        <v>773</v>
      </c>
      <c r="D96" s="95" t="s">
        <v>69</v>
      </c>
      <c r="E96" s="95" t="s">
        <v>123</v>
      </c>
      <c r="F96" s="95" t="s">
        <v>763</v>
      </c>
      <c r="G96" s="9">
        <v>55000.0</v>
      </c>
      <c r="H96" s="95" t="s">
        <v>530</v>
      </c>
      <c r="I96" s="13">
        <f t="shared" si="5"/>
        <v>5500</v>
      </c>
      <c r="J96" s="97" t="s">
        <v>764</v>
      </c>
      <c r="K96" s="97" t="s">
        <v>775</v>
      </c>
      <c r="L96" s="98"/>
    </row>
    <row r="97">
      <c r="B97" s="95" t="s">
        <v>526</v>
      </c>
      <c r="C97" s="95" t="s">
        <v>777</v>
      </c>
      <c r="D97" s="95" t="s">
        <v>69</v>
      </c>
      <c r="E97" s="95" t="s">
        <v>123</v>
      </c>
      <c r="F97" s="95" t="s">
        <v>763</v>
      </c>
      <c r="G97" s="9">
        <v>65000.0</v>
      </c>
      <c r="H97" s="95" t="s">
        <v>530</v>
      </c>
      <c r="I97" s="13">
        <f t="shared" si="5"/>
        <v>6500</v>
      </c>
      <c r="J97" s="97" t="s">
        <v>764</v>
      </c>
      <c r="K97" s="98"/>
      <c r="L97" s="98"/>
    </row>
    <row r="98">
      <c r="B98" s="95" t="s">
        <v>526</v>
      </c>
      <c r="C98" s="95" t="s">
        <v>551</v>
      </c>
      <c r="D98" s="95" t="s">
        <v>69</v>
      </c>
      <c r="E98" s="95" t="s">
        <v>542</v>
      </c>
      <c r="F98" s="95" t="s">
        <v>763</v>
      </c>
      <c r="G98" s="9">
        <v>65000.0</v>
      </c>
      <c r="H98" s="95" t="s">
        <v>530</v>
      </c>
      <c r="I98" s="13">
        <f t="shared" si="5"/>
        <v>6500</v>
      </c>
      <c r="J98" s="97" t="s">
        <v>764</v>
      </c>
      <c r="K98" s="98"/>
      <c r="L98" s="98"/>
    </row>
    <row r="99">
      <c r="B99" s="95" t="s">
        <v>526</v>
      </c>
      <c r="C99" s="95" t="s">
        <v>778</v>
      </c>
      <c r="D99" s="95" t="s">
        <v>69</v>
      </c>
      <c r="E99" s="95" t="s">
        <v>542</v>
      </c>
      <c r="F99" s="95" t="s">
        <v>763</v>
      </c>
      <c r="G99" s="9">
        <v>65000.0</v>
      </c>
      <c r="H99" s="95" t="s">
        <v>530</v>
      </c>
      <c r="I99" s="13">
        <f t="shared" si="5"/>
        <v>6500</v>
      </c>
      <c r="J99" s="97" t="s">
        <v>764</v>
      </c>
      <c r="K99" s="98"/>
      <c r="L99" s="98"/>
    </row>
    <row r="100">
      <c r="B100" s="95" t="s">
        <v>526</v>
      </c>
      <c r="C100" s="95" t="s">
        <v>541</v>
      </c>
      <c r="D100" s="95" t="s">
        <v>69</v>
      </c>
      <c r="E100" s="95" t="s">
        <v>542</v>
      </c>
      <c r="F100" s="95" t="s">
        <v>763</v>
      </c>
      <c r="G100" s="9">
        <v>65000.0</v>
      </c>
      <c r="H100" s="95" t="s">
        <v>530</v>
      </c>
      <c r="I100" s="13">
        <f t="shared" si="5"/>
        <v>6500</v>
      </c>
      <c r="J100" s="97" t="s">
        <v>764</v>
      </c>
      <c r="K100" s="98"/>
      <c r="L100" s="98"/>
    </row>
    <row r="101">
      <c r="B101" s="95" t="s">
        <v>526</v>
      </c>
      <c r="C101" s="95" t="s">
        <v>780</v>
      </c>
      <c r="D101" s="95" t="s">
        <v>69</v>
      </c>
      <c r="E101" s="95" t="s">
        <v>131</v>
      </c>
      <c r="F101" s="95" t="s">
        <v>763</v>
      </c>
      <c r="G101" s="9">
        <v>65000.0</v>
      </c>
      <c r="H101" s="95" t="s">
        <v>530</v>
      </c>
      <c r="I101" s="13">
        <f t="shared" si="5"/>
        <v>6500</v>
      </c>
      <c r="J101" s="97" t="s">
        <v>764</v>
      </c>
      <c r="K101" s="98"/>
      <c r="L101" s="98"/>
    </row>
    <row r="102">
      <c r="B102" s="95" t="s">
        <v>526</v>
      </c>
      <c r="C102" s="95" t="s">
        <v>781</v>
      </c>
      <c r="D102" s="95" t="s">
        <v>69</v>
      </c>
      <c r="E102" s="95" t="s">
        <v>131</v>
      </c>
      <c r="F102" s="95" t="s">
        <v>763</v>
      </c>
      <c r="G102" s="9">
        <v>65000.0</v>
      </c>
      <c r="H102" s="95" t="s">
        <v>530</v>
      </c>
      <c r="I102" s="13">
        <f t="shared" si="5"/>
        <v>6500</v>
      </c>
      <c r="J102" s="97" t="s">
        <v>764</v>
      </c>
      <c r="K102" s="97" t="s">
        <v>775</v>
      </c>
      <c r="L102" s="98"/>
    </row>
    <row r="103">
      <c r="B103" s="95" t="s">
        <v>526</v>
      </c>
      <c r="C103" s="95" t="s">
        <v>782</v>
      </c>
      <c r="D103" s="95" t="s">
        <v>69</v>
      </c>
      <c r="E103" s="95" t="s">
        <v>94</v>
      </c>
      <c r="F103" s="95" t="s">
        <v>763</v>
      </c>
      <c r="G103" s="9">
        <v>70000.0</v>
      </c>
      <c r="H103" s="95" t="s">
        <v>530</v>
      </c>
      <c r="I103" s="13">
        <f t="shared" si="5"/>
        <v>7000</v>
      </c>
      <c r="J103" s="97" t="s">
        <v>764</v>
      </c>
      <c r="K103" s="98"/>
      <c r="L103" s="98"/>
    </row>
    <row r="104">
      <c r="B104" s="95" t="s">
        <v>526</v>
      </c>
      <c r="C104" s="95" t="s">
        <v>783</v>
      </c>
      <c r="D104" s="95" t="s">
        <v>69</v>
      </c>
      <c r="E104" s="95" t="s">
        <v>772</v>
      </c>
      <c r="F104" s="95" t="s">
        <v>763</v>
      </c>
      <c r="G104" s="9">
        <v>70000.0</v>
      </c>
      <c r="H104" s="95" t="s">
        <v>530</v>
      </c>
      <c r="I104" s="13">
        <f t="shared" si="5"/>
        <v>7000</v>
      </c>
      <c r="J104" s="97" t="s">
        <v>764</v>
      </c>
      <c r="K104" s="98"/>
      <c r="L104" s="98"/>
    </row>
    <row r="105">
      <c r="B105" s="95" t="s">
        <v>526</v>
      </c>
      <c r="C105" s="95" t="s">
        <v>785</v>
      </c>
      <c r="D105" s="95" t="s">
        <v>69</v>
      </c>
      <c r="E105" s="95" t="s">
        <v>550</v>
      </c>
      <c r="F105" s="95" t="s">
        <v>763</v>
      </c>
      <c r="G105" s="9">
        <v>70000.0</v>
      </c>
      <c r="H105" s="95" t="s">
        <v>530</v>
      </c>
      <c r="I105" s="13">
        <f t="shared" si="5"/>
        <v>7000</v>
      </c>
      <c r="J105" s="97" t="s">
        <v>764</v>
      </c>
      <c r="K105" s="98"/>
      <c r="L105" s="98"/>
    </row>
    <row r="106">
      <c r="B106" s="95" t="s">
        <v>526</v>
      </c>
      <c r="C106" s="95" t="s">
        <v>786</v>
      </c>
      <c r="D106" s="95" t="s">
        <v>69</v>
      </c>
      <c r="E106" s="95" t="s">
        <v>561</v>
      </c>
      <c r="F106" s="95" t="s">
        <v>562</v>
      </c>
      <c r="G106" s="9">
        <v>100000.0</v>
      </c>
      <c r="H106" s="95" t="s">
        <v>530</v>
      </c>
      <c r="I106" s="13">
        <f t="shared" si="5"/>
        <v>10000</v>
      </c>
      <c r="J106" s="97" t="s">
        <v>570</v>
      </c>
      <c r="K106" s="98"/>
      <c r="L106" s="98"/>
    </row>
    <row r="107">
      <c r="B107" s="95" t="s">
        <v>526</v>
      </c>
      <c r="C107" s="95" t="s">
        <v>788</v>
      </c>
      <c r="D107" s="95" t="s">
        <v>69</v>
      </c>
      <c r="E107" s="95" t="s">
        <v>561</v>
      </c>
      <c r="F107" s="95" t="s">
        <v>562</v>
      </c>
      <c r="G107" s="9">
        <v>100000.0</v>
      </c>
      <c r="H107" s="95" t="s">
        <v>530</v>
      </c>
      <c r="I107" s="13">
        <f t="shared" si="5"/>
        <v>10000</v>
      </c>
      <c r="J107" s="97" t="s">
        <v>570</v>
      </c>
      <c r="K107" s="98"/>
      <c r="L107" s="98"/>
    </row>
    <row r="108">
      <c r="B108" s="95" t="s">
        <v>526</v>
      </c>
      <c r="C108" s="95" t="s">
        <v>789</v>
      </c>
      <c r="D108" s="95" t="s">
        <v>69</v>
      </c>
      <c r="E108" s="95" t="s">
        <v>561</v>
      </c>
      <c r="F108" s="95" t="s">
        <v>562</v>
      </c>
      <c r="G108" s="9">
        <v>100000.0</v>
      </c>
      <c r="H108" s="95" t="s">
        <v>530</v>
      </c>
      <c r="I108" s="13">
        <f t="shared" si="5"/>
        <v>10000</v>
      </c>
      <c r="J108" s="97" t="s">
        <v>570</v>
      </c>
      <c r="K108" s="98"/>
      <c r="L108" s="98"/>
      <c r="O108" s="131"/>
    </row>
    <row r="109">
      <c r="B109" s="95" t="s">
        <v>526</v>
      </c>
      <c r="C109" s="95" t="s">
        <v>790</v>
      </c>
      <c r="D109" s="95" t="s">
        <v>69</v>
      </c>
      <c r="E109" s="95" t="s">
        <v>555</v>
      </c>
      <c r="F109" s="95" t="s">
        <v>763</v>
      </c>
      <c r="G109" s="9">
        <v>100000.0</v>
      </c>
      <c r="H109" s="95" t="s">
        <v>530</v>
      </c>
      <c r="I109" s="13">
        <f t="shared" si="5"/>
        <v>10000</v>
      </c>
      <c r="J109" s="97" t="s">
        <v>791</v>
      </c>
      <c r="K109" s="98"/>
      <c r="L109" s="98"/>
    </row>
    <row r="110">
      <c r="B110" s="95" t="s">
        <v>526</v>
      </c>
      <c r="C110" s="95" t="s">
        <v>792</v>
      </c>
      <c r="D110" s="95" t="s">
        <v>140</v>
      </c>
      <c r="E110" s="95" t="s">
        <v>793</v>
      </c>
      <c r="F110" s="95" t="s">
        <v>763</v>
      </c>
      <c r="G110" s="9">
        <v>100000.0</v>
      </c>
      <c r="H110" s="95" t="s">
        <v>530</v>
      </c>
      <c r="I110" s="13">
        <f t="shared" si="5"/>
        <v>10000</v>
      </c>
      <c r="J110" s="97" t="s">
        <v>791</v>
      </c>
      <c r="K110" s="98"/>
      <c r="L110" s="98"/>
    </row>
    <row r="111">
      <c r="B111" s="95" t="s">
        <v>526</v>
      </c>
      <c r="C111" s="95" t="s">
        <v>548</v>
      </c>
      <c r="D111" s="95" t="s">
        <v>794</v>
      </c>
      <c r="E111" s="95" t="s">
        <v>795</v>
      </c>
      <c r="F111" s="95" t="s">
        <v>763</v>
      </c>
      <c r="G111" s="9">
        <v>96000.0</v>
      </c>
      <c r="H111" s="95" t="s">
        <v>635</v>
      </c>
      <c r="I111" s="13">
        <f>G111/6</f>
        <v>16000</v>
      </c>
      <c r="J111" s="97" t="s">
        <v>791</v>
      </c>
      <c r="K111" s="98"/>
      <c r="L111" s="98"/>
    </row>
    <row r="112">
      <c r="B112" s="95" t="s">
        <v>526</v>
      </c>
      <c r="C112" s="95" t="s">
        <v>548</v>
      </c>
      <c r="D112" s="95" t="s">
        <v>69</v>
      </c>
      <c r="E112" s="95" t="s">
        <v>550</v>
      </c>
      <c r="F112" s="95" t="s">
        <v>763</v>
      </c>
      <c r="G112" s="9">
        <v>5000.0</v>
      </c>
      <c r="H112" s="95" t="s">
        <v>677</v>
      </c>
      <c r="I112" s="13">
        <f>G112/2</f>
        <v>2500</v>
      </c>
      <c r="J112" s="97" t="s">
        <v>791</v>
      </c>
      <c r="K112" s="98"/>
      <c r="L112" s="98"/>
    </row>
    <row r="113">
      <c r="B113" s="95" t="s">
        <v>526</v>
      </c>
      <c r="C113" s="95" t="s">
        <v>581</v>
      </c>
      <c r="D113" s="95" t="s">
        <v>140</v>
      </c>
      <c r="E113" s="95" t="s">
        <v>796</v>
      </c>
      <c r="F113" s="95" t="s">
        <v>763</v>
      </c>
      <c r="G113" s="9">
        <v>110000.0</v>
      </c>
      <c r="H113" s="95" t="s">
        <v>530</v>
      </c>
      <c r="I113" s="13">
        <f t="shared" ref="I113:I126" si="6">G113/10</f>
        <v>11000</v>
      </c>
      <c r="J113" s="97" t="s">
        <v>791</v>
      </c>
      <c r="K113" s="98"/>
      <c r="L113" s="98"/>
    </row>
    <row r="114">
      <c r="B114" s="95" t="s">
        <v>526</v>
      </c>
      <c r="C114" s="95" t="s">
        <v>797</v>
      </c>
      <c r="D114" s="95" t="s">
        <v>71</v>
      </c>
      <c r="E114" s="5" t="s">
        <v>798</v>
      </c>
      <c r="F114" s="95" t="s">
        <v>799</v>
      </c>
      <c r="G114" s="9">
        <v>1300000.0</v>
      </c>
      <c r="H114" s="95" t="s">
        <v>530</v>
      </c>
      <c r="I114" s="13">
        <f t="shared" si="6"/>
        <v>130000</v>
      </c>
      <c r="J114" s="97" t="s">
        <v>800</v>
      </c>
      <c r="K114" s="98"/>
      <c r="L114" s="98"/>
    </row>
    <row r="115">
      <c r="B115" s="95" t="s">
        <v>526</v>
      </c>
      <c r="C115" s="95" t="s">
        <v>801</v>
      </c>
      <c r="D115" s="95" t="s">
        <v>69</v>
      </c>
      <c r="E115" s="95" t="s">
        <v>555</v>
      </c>
      <c r="F115" s="95" t="s">
        <v>543</v>
      </c>
      <c r="G115" s="9">
        <v>150000.0</v>
      </c>
      <c r="H115" s="95" t="s">
        <v>530</v>
      </c>
      <c r="I115" s="13">
        <f t="shared" si="6"/>
        <v>15000</v>
      </c>
      <c r="J115" s="97" t="s">
        <v>791</v>
      </c>
      <c r="K115" s="98"/>
      <c r="L115" s="98"/>
    </row>
    <row r="116">
      <c r="B116" s="95" t="s">
        <v>526</v>
      </c>
      <c r="C116" s="95" t="s">
        <v>802</v>
      </c>
      <c r="D116" s="95" t="s">
        <v>140</v>
      </c>
      <c r="E116" s="95" t="s">
        <v>793</v>
      </c>
      <c r="F116" s="95" t="s">
        <v>763</v>
      </c>
      <c r="G116" s="9">
        <v>130000.0</v>
      </c>
      <c r="H116" s="95" t="s">
        <v>530</v>
      </c>
      <c r="I116" s="13">
        <f t="shared" si="6"/>
        <v>13000</v>
      </c>
      <c r="J116" s="97" t="s">
        <v>791</v>
      </c>
      <c r="K116" s="98"/>
      <c r="L116" s="98"/>
    </row>
    <row r="117">
      <c r="B117" s="95" t="s">
        <v>526</v>
      </c>
      <c r="C117" s="95" t="s">
        <v>804</v>
      </c>
      <c r="D117" s="95" t="s">
        <v>222</v>
      </c>
      <c r="E117" s="95" t="s">
        <v>805</v>
      </c>
      <c r="F117" s="95" t="s">
        <v>763</v>
      </c>
      <c r="G117" s="9">
        <v>130000.0</v>
      </c>
      <c r="H117" s="95" t="s">
        <v>530</v>
      </c>
      <c r="I117" s="13">
        <f t="shared" si="6"/>
        <v>13000</v>
      </c>
      <c r="J117" s="97" t="s">
        <v>791</v>
      </c>
      <c r="K117" s="98"/>
      <c r="L117" s="98"/>
    </row>
    <row r="118">
      <c r="B118" s="95" t="s">
        <v>641</v>
      </c>
      <c r="C118" s="95" t="s">
        <v>806</v>
      </c>
      <c r="D118" s="95" t="s">
        <v>71</v>
      </c>
      <c r="E118" s="5" t="s">
        <v>807</v>
      </c>
      <c r="F118" s="95" t="s">
        <v>799</v>
      </c>
      <c r="G118" s="9">
        <v>430000.0</v>
      </c>
      <c r="H118" s="95" t="s">
        <v>530</v>
      </c>
      <c r="I118" s="13">
        <f t="shared" si="6"/>
        <v>43000</v>
      </c>
      <c r="J118" s="97" t="s">
        <v>808</v>
      </c>
      <c r="K118" s="98"/>
      <c r="L118" s="98"/>
    </row>
    <row r="119">
      <c r="B119" s="95" t="s">
        <v>526</v>
      </c>
      <c r="C119" s="95" t="s">
        <v>804</v>
      </c>
      <c r="D119" s="95" t="s">
        <v>222</v>
      </c>
      <c r="E119" s="95" t="s">
        <v>805</v>
      </c>
      <c r="F119" s="95" t="s">
        <v>738</v>
      </c>
      <c r="G119" s="9">
        <v>230000.0</v>
      </c>
      <c r="H119" s="95" t="s">
        <v>530</v>
      </c>
      <c r="I119" s="13">
        <f t="shared" si="6"/>
        <v>23000</v>
      </c>
      <c r="J119" s="97" t="s">
        <v>791</v>
      </c>
      <c r="K119" s="98"/>
      <c r="L119" s="98"/>
    </row>
    <row r="120">
      <c r="B120" s="95" t="s">
        <v>526</v>
      </c>
      <c r="C120" s="95" t="s">
        <v>809</v>
      </c>
      <c r="D120" s="95" t="s">
        <v>59</v>
      </c>
      <c r="E120" s="95" t="s">
        <v>810</v>
      </c>
      <c r="F120" s="95" t="s">
        <v>763</v>
      </c>
      <c r="G120" s="9">
        <v>130000.0</v>
      </c>
      <c r="H120" s="95" t="s">
        <v>530</v>
      </c>
      <c r="I120" s="13">
        <f t="shared" si="6"/>
        <v>13000</v>
      </c>
      <c r="J120" s="97" t="s">
        <v>791</v>
      </c>
      <c r="K120" s="98"/>
      <c r="L120" s="98"/>
    </row>
    <row r="121">
      <c r="B121" s="95" t="s">
        <v>526</v>
      </c>
      <c r="C121" s="95" t="s">
        <v>811</v>
      </c>
      <c r="D121" s="95" t="s">
        <v>69</v>
      </c>
      <c r="E121" s="95" t="s">
        <v>561</v>
      </c>
      <c r="F121" s="95" t="s">
        <v>562</v>
      </c>
      <c r="G121" s="9">
        <v>138000.0</v>
      </c>
      <c r="H121" s="95" t="s">
        <v>530</v>
      </c>
      <c r="I121" s="13">
        <f t="shared" si="6"/>
        <v>13800</v>
      </c>
      <c r="J121" s="97" t="s">
        <v>570</v>
      </c>
      <c r="K121" s="98"/>
      <c r="L121" s="98"/>
    </row>
    <row r="122">
      <c r="B122" s="95" t="s">
        <v>526</v>
      </c>
      <c r="C122" s="95" t="s">
        <v>812</v>
      </c>
      <c r="D122" s="95" t="s">
        <v>69</v>
      </c>
      <c r="E122" s="95" t="s">
        <v>561</v>
      </c>
      <c r="F122" s="95" t="s">
        <v>562</v>
      </c>
      <c r="G122" s="9">
        <v>165000.0</v>
      </c>
      <c r="H122" s="95" t="s">
        <v>530</v>
      </c>
      <c r="I122" s="13">
        <f t="shared" si="6"/>
        <v>16500</v>
      </c>
      <c r="J122" s="97" t="s">
        <v>570</v>
      </c>
      <c r="K122" s="98"/>
      <c r="L122" s="98"/>
    </row>
    <row r="123">
      <c r="B123" s="95" t="s">
        <v>526</v>
      </c>
      <c r="C123" s="95" t="s">
        <v>813</v>
      </c>
      <c r="D123" s="95" t="s">
        <v>69</v>
      </c>
      <c r="E123" s="95" t="s">
        <v>555</v>
      </c>
      <c r="F123" s="95" t="s">
        <v>763</v>
      </c>
      <c r="G123" s="9">
        <v>150000.0</v>
      </c>
      <c r="H123" s="95" t="s">
        <v>530</v>
      </c>
      <c r="I123" s="13">
        <f t="shared" si="6"/>
        <v>15000</v>
      </c>
      <c r="J123" s="97" t="s">
        <v>791</v>
      </c>
      <c r="K123" s="97" t="s">
        <v>764</v>
      </c>
      <c r="L123" s="98"/>
    </row>
    <row r="124">
      <c r="B124" s="95" t="s">
        <v>526</v>
      </c>
      <c r="C124" s="95" t="s">
        <v>814</v>
      </c>
      <c r="D124" s="95" t="s">
        <v>815</v>
      </c>
      <c r="E124" s="95" t="s">
        <v>816</v>
      </c>
      <c r="F124" s="95" t="s">
        <v>763</v>
      </c>
      <c r="G124" s="9">
        <v>215000.0</v>
      </c>
      <c r="H124" s="95" t="s">
        <v>530</v>
      </c>
      <c r="I124" s="13">
        <f t="shared" si="6"/>
        <v>21500</v>
      </c>
      <c r="J124" s="97" t="s">
        <v>791</v>
      </c>
      <c r="K124" s="98"/>
      <c r="L124" s="98"/>
    </row>
    <row r="125">
      <c r="B125" s="95" t="s">
        <v>526</v>
      </c>
      <c r="C125" s="95" t="s">
        <v>817</v>
      </c>
      <c r="D125" s="95" t="s">
        <v>815</v>
      </c>
      <c r="E125" s="95" t="s">
        <v>818</v>
      </c>
      <c r="F125" s="95" t="s">
        <v>763</v>
      </c>
      <c r="G125" s="9">
        <v>215000.0</v>
      </c>
      <c r="H125" s="95" t="s">
        <v>530</v>
      </c>
      <c r="I125" s="13">
        <f t="shared" si="6"/>
        <v>21500</v>
      </c>
      <c r="J125" s="97" t="s">
        <v>791</v>
      </c>
      <c r="K125" s="98"/>
      <c r="L125" s="98"/>
    </row>
    <row r="126">
      <c r="B126" s="95" t="s">
        <v>526</v>
      </c>
      <c r="C126" s="95" t="s">
        <v>819</v>
      </c>
      <c r="D126" s="95" t="s">
        <v>222</v>
      </c>
      <c r="E126" s="95" t="s">
        <v>820</v>
      </c>
      <c r="F126" s="95" t="s">
        <v>763</v>
      </c>
      <c r="G126" s="9">
        <v>225000.0</v>
      </c>
      <c r="H126" s="95" t="s">
        <v>530</v>
      </c>
      <c r="I126" s="13">
        <f t="shared" si="6"/>
        <v>22500</v>
      </c>
      <c r="J126" s="97" t="s">
        <v>791</v>
      </c>
      <c r="K126" s="98"/>
      <c r="L126" s="98"/>
    </row>
    <row r="127">
      <c r="B127" s="95" t="s">
        <v>526</v>
      </c>
      <c r="C127" s="95" t="s">
        <v>821</v>
      </c>
      <c r="D127" s="95" t="s">
        <v>69</v>
      </c>
      <c r="E127" s="95" t="s">
        <v>561</v>
      </c>
      <c r="F127" s="95" t="s">
        <v>562</v>
      </c>
      <c r="G127" s="9">
        <v>210000.0</v>
      </c>
      <c r="H127" s="95" t="s">
        <v>635</v>
      </c>
      <c r="I127" s="13">
        <f>G127/6</f>
        <v>35000</v>
      </c>
      <c r="J127" s="97" t="s">
        <v>563</v>
      </c>
      <c r="K127" s="97" t="s">
        <v>570</v>
      </c>
      <c r="L127" s="98"/>
    </row>
    <row r="128">
      <c r="B128" s="95" t="s">
        <v>526</v>
      </c>
      <c r="C128" s="95" t="s">
        <v>822</v>
      </c>
      <c r="D128" s="95" t="s">
        <v>69</v>
      </c>
      <c r="E128" s="95" t="s">
        <v>555</v>
      </c>
      <c r="F128" s="95" t="s">
        <v>763</v>
      </c>
      <c r="G128" s="9">
        <v>230000.0</v>
      </c>
      <c r="H128" s="95" t="s">
        <v>530</v>
      </c>
      <c r="I128" s="13">
        <f t="shared" ref="I128:I166" si="7">G128/10</f>
        <v>23000</v>
      </c>
      <c r="J128" s="97" t="s">
        <v>791</v>
      </c>
      <c r="K128" s="98"/>
      <c r="L128" s="98"/>
    </row>
    <row r="129">
      <c r="B129" s="95" t="s">
        <v>526</v>
      </c>
      <c r="C129" s="95" t="s">
        <v>823</v>
      </c>
      <c r="D129" s="95" t="s">
        <v>140</v>
      </c>
      <c r="E129" s="95" t="s">
        <v>203</v>
      </c>
      <c r="F129" s="95" t="s">
        <v>763</v>
      </c>
      <c r="G129" s="9">
        <v>275000.0</v>
      </c>
      <c r="H129" s="95" t="s">
        <v>530</v>
      </c>
      <c r="I129" s="13">
        <f t="shared" si="7"/>
        <v>27500</v>
      </c>
      <c r="J129" s="97" t="s">
        <v>791</v>
      </c>
      <c r="K129" s="98"/>
      <c r="L129" s="98"/>
    </row>
    <row r="130">
      <c r="B130" s="95" t="s">
        <v>526</v>
      </c>
      <c r="C130" s="95" t="s">
        <v>554</v>
      </c>
      <c r="D130" s="95" t="s">
        <v>140</v>
      </c>
      <c r="E130" s="95" t="s">
        <v>194</v>
      </c>
      <c r="F130" s="95" t="s">
        <v>763</v>
      </c>
      <c r="G130" s="9">
        <v>275000.0</v>
      </c>
      <c r="H130" s="95" t="s">
        <v>530</v>
      </c>
      <c r="I130" s="13">
        <f t="shared" si="7"/>
        <v>27500</v>
      </c>
      <c r="J130" s="97" t="s">
        <v>791</v>
      </c>
      <c r="K130" s="97" t="s">
        <v>824</v>
      </c>
      <c r="L130" s="98"/>
    </row>
    <row r="131">
      <c r="B131" s="95" t="s">
        <v>526</v>
      </c>
      <c r="C131" s="95" t="s">
        <v>786</v>
      </c>
      <c r="D131" s="95" t="s">
        <v>826</v>
      </c>
      <c r="E131" s="95" t="s">
        <v>827</v>
      </c>
      <c r="F131" s="95" t="s">
        <v>763</v>
      </c>
      <c r="G131" s="9">
        <v>290000.0</v>
      </c>
      <c r="H131" s="95" t="s">
        <v>530</v>
      </c>
      <c r="I131" s="13">
        <f t="shared" si="7"/>
        <v>29000</v>
      </c>
      <c r="J131" s="97" t="s">
        <v>791</v>
      </c>
      <c r="K131" s="98"/>
      <c r="L131" s="98"/>
    </row>
    <row r="132">
      <c r="B132" s="95" t="s">
        <v>526</v>
      </c>
      <c r="C132" s="95" t="s">
        <v>828</v>
      </c>
      <c r="D132" s="95" t="s">
        <v>69</v>
      </c>
      <c r="E132" s="95" t="s">
        <v>555</v>
      </c>
      <c r="F132" s="95" t="s">
        <v>763</v>
      </c>
      <c r="G132" s="9">
        <v>300000.0</v>
      </c>
      <c r="H132" s="95" t="s">
        <v>530</v>
      </c>
      <c r="I132" s="13">
        <f t="shared" si="7"/>
        <v>30000</v>
      </c>
      <c r="J132" s="97" t="s">
        <v>791</v>
      </c>
      <c r="K132" s="98"/>
      <c r="L132" s="98"/>
    </row>
    <row r="133">
      <c r="B133" s="95" t="s">
        <v>526</v>
      </c>
      <c r="C133" s="95" t="s">
        <v>829</v>
      </c>
      <c r="D133" s="95" t="s">
        <v>69</v>
      </c>
      <c r="E133" s="95" t="s">
        <v>555</v>
      </c>
      <c r="F133" s="95" t="s">
        <v>763</v>
      </c>
      <c r="G133" s="9">
        <v>350000.0</v>
      </c>
      <c r="H133" s="95" t="s">
        <v>530</v>
      </c>
      <c r="I133" s="13">
        <f t="shared" si="7"/>
        <v>35000</v>
      </c>
      <c r="J133" s="97" t="s">
        <v>791</v>
      </c>
      <c r="K133" s="98"/>
      <c r="L133" s="98"/>
    </row>
    <row r="134">
      <c r="B134" s="95" t="s">
        <v>526</v>
      </c>
      <c r="C134" s="95" t="s">
        <v>830</v>
      </c>
      <c r="D134" s="95" t="s">
        <v>69</v>
      </c>
      <c r="E134" s="95" t="s">
        <v>555</v>
      </c>
      <c r="F134" s="95" t="s">
        <v>763</v>
      </c>
      <c r="G134" s="9">
        <v>450000.0</v>
      </c>
      <c r="H134" s="95" t="s">
        <v>530</v>
      </c>
      <c r="I134" s="13">
        <f t="shared" si="7"/>
        <v>45000</v>
      </c>
      <c r="J134" s="97" t="s">
        <v>791</v>
      </c>
      <c r="K134" s="98"/>
      <c r="L134" s="98"/>
    </row>
    <row r="135">
      <c r="B135" s="95" t="s">
        <v>526</v>
      </c>
      <c r="C135" s="95" t="s">
        <v>831</v>
      </c>
      <c r="D135" s="95" t="s">
        <v>13</v>
      </c>
      <c r="E135" s="95" t="s">
        <v>19</v>
      </c>
      <c r="F135" s="95" t="s">
        <v>763</v>
      </c>
      <c r="G135" s="9">
        <v>600000.0</v>
      </c>
      <c r="H135" s="95" t="s">
        <v>530</v>
      </c>
      <c r="I135" s="13">
        <f t="shared" si="7"/>
        <v>60000</v>
      </c>
      <c r="J135" s="97" t="s">
        <v>791</v>
      </c>
      <c r="K135" s="98"/>
      <c r="L135" s="98"/>
    </row>
    <row r="136">
      <c r="B136" s="95" t="s">
        <v>526</v>
      </c>
      <c r="C136" s="95" t="s">
        <v>832</v>
      </c>
      <c r="D136" s="95" t="s">
        <v>826</v>
      </c>
      <c r="E136" s="95" t="s">
        <v>833</v>
      </c>
      <c r="F136" s="95" t="s">
        <v>763</v>
      </c>
      <c r="G136" s="9">
        <v>650000.0</v>
      </c>
      <c r="H136" s="95" t="s">
        <v>530</v>
      </c>
      <c r="I136" s="13">
        <f t="shared" si="7"/>
        <v>65000</v>
      </c>
      <c r="J136" s="97" t="s">
        <v>791</v>
      </c>
      <c r="K136" s="98"/>
      <c r="L136" s="98"/>
    </row>
    <row r="137">
      <c r="B137" s="95" t="s">
        <v>526</v>
      </c>
      <c r="C137" s="95" t="s">
        <v>832</v>
      </c>
      <c r="D137" s="95" t="s">
        <v>826</v>
      </c>
      <c r="E137" s="95" t="s">
        <v>834</v>
      </c>
      <c r="F137" s="95" t="s">
        <v>543</v>
      </c>
      <c r="G137" s="9">
        <v>775000.0</v>
      </c>
      <c r="H137" s="95" t="s">
        <v>530</v>
      </c>
      <c r="I137" s="13">
        <f t="shared" si="7"/>
        <v>77500</v>
      </c>
      <c r="J137" s="97" t="s">
        <v>791</v>
      </c>
      <c r="K137" s="97" t="s">
        <v>835</v>
      </c>
      <c r="L137" s="97" t="s">
        <v>836</v>
      </c>
    </row>
    <row r="138">
      <c r="B138" s="95" t="s">
        <v>526</v>
      </c>
      <c r="C138" s="95" t="s">
        <v>837</v>
      </c>
      <c r="D138" s="95" t="s">
        <v>140</v>
      </c>
      <c r="E138" s="95" t="s">
        <v>203</v>
      </c>
      <c r="F138" s="95" t="s">
        <v>763</v>
      </c>
      <c r="G138" s="9">
        <v>725000.0</v>
      </c>
      <c r="H138" s="95" t="s">
        <v>530</v>
      </c>
      <c r="I138" s="13">
        <f t="shared" si="7"/>
        <v>72500</v>
      </c>
      <c r="J138" s="97" t="s">
        <v>791</v>
      </c>
      <c r="K138" s="97" t="s">
        <v>838</v>
      </c>
      <c r="L138" s="98"/>
    </row>
    <row r="139">
      <c r="B139" s="95" t="s">
        <v>526</v>
      </c>
      <c r="C139" s="95" t="s">
        <v>839</v>
      </c>
      <c r="D139" s="95" t="s">
        <v>815</v>
      </c>
      <c r="E139" s="95" t="s">
        <v>840</v>
      </c>
      <c r="F139" s="95" t="s">
        <v>763</v>
      </c>
      <c r="G139" s="9">
        <v>1000000.0</v>
      </c>
      <c r="H139" s="95" t="s">
        <v>530</v>
      </c>
      <c r="I139" s="13">
        <f t="shared" si="7"/>
        <v>100000</v>
      </c>
      <c r="J139" s="97" t="s">
        <v>791</v>
      </c>
      <c r="K139" s="98"/>
      <c r="L139" s="98"/>
    </row>
    <row r="140">
      <c r="B140" s="95" t="s">
        <v>526</v>
      </c>
      <c r="C140" s="95" t="s">
        <v>612</v>
      </c>
      <c r="D140" s="95" t="s">
        <v>826</v>
      </c>
      <c r="E140" s="95" t="s">
        <v>841</v>
      </c>
      <c r="F140" s="95" t="s">
        <v>763</v>
      </c>
      <c r="G140" s="9">
        <v>1300000.0</v>
      </c>
      <c r="H140" s="95" t="s">
        <v>530</v>
      </c>
      <c r="I140" s="13">
        <f t="shared" si="7"/>
        <v>130000</v>
      </c>
      <c r="J140" s="97" t="s">
        <v>791</v>
      </c>
      <c r="K140" s="98"/>
      <c r="L140" s="98"/>
    </row>
    <row r="141">
      <c r="B141" s="95" t="s">
        <v>526</v>
      </c>
      <c r="C141" s="95" t="s">
        <v>842</v>
      </c>
      <c r="D141" s="95" t="s">
        <v>222</v>
      </c>
      <c r="E141" s="95" t="s">
        <v>843</v>
      </c>
      <c r="F141" s="95" t="s">
        <v>763</v>
      </c>
      <c r="G141" s="9">
        <v>160000.0</v>
      </c>
      <c r="H141" s="95" t="s">
        <v>530</v>
      </c>
      <c r="I141" s="13">
        <f t="shared" si="7"/>
        <v>16000</v>
      </c>
      <c r="J141" s="97" t="s">
        <v>791</v>
      </c>
      <c r="K141" s="98"/>
      <c r="L141" s="98"/>
    </row>
    <row r="142">
      <c r="B142" s="95" t="s">
        <v>526</v>
      </c>
      <c r="C142" s="95" t="s">
        <v>844</v>
      </c>
      <c r="D142" s="95" t="s">
        <v>826</v>
      </c>
      <c r="E142" s="95" t="s">
        <v>827</v>
      </c>
      <c r="F142" s="95" t="s">
        <v>763</v>
      </c>
      <c r="G142" s="9">
        <v>160000.0</v>
      </c>
      <c r="H142" s="95" t="s">
        <v>530</v>
      </c>
      <c r="I142" s="13">
        <f t="shared" si="7"/>
        <v>16000</v>
      </c>
      <c r="J142" s="97" t="s">
        <v>791</v>
      </c>
      <c r="K142" s="98"/>
      <c r="L142" s="98"/>
    </row>
    <row r="143">
      <c r="B143" s="95" t="s">
        <v>526</v>
      </c>
      <c r="C143" s="95" t="s">
        <v>845</v>
      </c>
      <c r="D143" s="95" t="s">
        <v>69</v>
      </c>
      <c r="E143" s="95" t="s">
        <v>555</v>
      </c>
      <c r="F143" s="95" t="s">
        <v>763</v>
      </c>
      <c r="G143" s="9">
        <v>200000.0</v>
      </c>
      <c r="H143" s="95" t="s">
        <v>530</v>
      </c>
      <c r="I143" s="13">
        <f t="shared" si="7"/>
        <v>20000</v>
      </c>
      <c r="J143" s="97" t="s">
        <v>791</v>
      </c>
      <c r="K143" s="98"/>
      <c r="L143" s="98"/>
    </row>
    <row r="144">
      <c r="B144" s="95" t="s">
        <v>526</v>
      </c>
      <c r="C144" s="95" t="s">
        <v>846</v>
      </c>
      <c r="D144" s="95" t="s">
        <v>222</v>
      </c>
      <c r="E144" s="95" t="s">
        <v>304</v>
      </c>
      <c r="F144" s="95" t="s">
        <v>763</v>
      </c>
      <c r="G144" s="9">
        <v>210000.0</v>
      </c>
      <c r="H144" s="95" t="s">
        <v>530</v>
      </c>
      <c r="I144" s="13">
        <f t="shared" si="7"/>
        <v>21000</v>
      </c>
      <c r="J144" s="97" t="s">
        <v>791</v>
      </c>
      <c r="K144" s="98"/>
      <c r="L144" s="98"/>
    </row>
    <row r="145">
      <c r="B145" s="95" t="s">
        <v>526</v>
      </c>
      <c r="C145" s="95" t="s">
        <v>781</v>
      </c>
      <c r="D145" s="95" t="s">
        <v>69</v>
      </c>
      <c r="E145" s="95" t="s">
        <v>561</v>
      </c>
      <c r="F145" s="95" t="s">
        <v>562</v>
      </c>
      <c r="G145" s="9">
        <v>130000.0</v>
      </c>
      <c r="H145" s="95" t="s">
        <v>530</v>
      </c>
      <c r="I145" s="13">
        <f t="shared" si="7"/>
        <v>13000</v>
      </c>
      <c r="J145" s="97" t="s">
        <v>563</v>
      </c>
      <c r="K145" s="98"/>
      <c r="L145" s="98"/>
    </row>
    <row r="146">
      <c r="B146" s="95" t="s">
        <v>526</v>
      </c>
      <c r="C146" s="95" t="s">
        <v>847</v>
      </c>
      <c r="D146" s="95" t="s">
        <v>69</v>
      </c>
      <c r="E146" s="95" t="s">
        <v>555</v>
      </c>
      <c r="F146" s="95" t="s">
        <v>650</v>
      </c>
      <c r="G146" s="9">
        <v>1300000.0</v>
      </c>
      <c r="H146" s="95" t="s">
        <v>530</v>
      </c>
      <c r="I146" s="13">
        <f t="shared" si="7"/>
        <v>130000</v>
      </c>
      <c r="J146" s="97" t="s">
        <v>848</v>
      </c>
      <c r="K146" s="98"/>
      <c r="L146" s="98"/>
    </row>
    <row r="147">
      <c r="B147" s="95" t="s">
        <v>526</v>
      </c>
      <c r="C147" s="95" t="s">
        <v>849</v>
      </c>
      <c r="D147" s="95" t="s">
        <v>69</v>
      </c>
      <c r="E147" s="95" t="s">
        <v>555</v>
      </c>
      <c r="F147" s="95" t="s">
        <v>650</v>
      </c>
      <c r="G147" s="9">
        <v>1100000.0</v>
      </c>
      <c r="H147" s="95" t="s">
        <v>530</v>
      </c>
      <c r="I147" s="13">
        <f t="shared" si="7"/>
        <v>110000</v>
      </c>
      <c r="J147" s="97" t="s">
        <v>850</v>
      </c>
      <c r="K147" s="98"/>
      <c r="L147" s="98"/>
    </row>
    <row r="148">
      <c r="B148" s="95" t="s">
        <v>526</v>
      </c>
      <c r="C148" s="95" t="s">
        <v>852</v>
      </c>
      <c r="D148" s="95" t="s">
        <v>69</v>
      </c>
      <c r="E148" s="95" t="s">
        <v>555</v>
      </c>
      <c r="F148" s="95" t="s">
        <v>650</v>
      </c>
      <c r="G148" s="9">
        <v>1000000.0</v>
      </c>
      <c r="H148" s="95" t="s">
        <v>530</v>
      </c>
      <c r="I148" s="13">
        <f t="shared" si="7"/>
        <v>100000</v>
      </c>
      <c r="J148" s="97" t="s">
        <v>850</v>
      </c>
      <c r="K148" s="98"/>
      <c r="L148" s="98"/>
    </row>
    <row r="149">
      <c r="B149" s="95" t="s">
        <v>526</v>
      </c>
      <c r="C149" s="95" t="s">
        <v>814</v>
      </c>
      <c r="D149" s="95" t="s">
        <v>69</v>
      </c>
      <c r="E149" s="95" t="s">
        <v>555</v>
      </c>
      <c r="F149" s="95" t="s">
        <v>650</v>
      </c>
      <c r="G149" s="9">
        <v>900000.0</v>
      </c>
      <c r="H149" s="95" t="s">
        <v>530</v>
      </c>
      <c r="I149" s="13">
        <f t="shared" si="7"/>
        <v>90000</v>
      </c>
      <c r="J149" s="97" t="s">
        <v>850</v>
      </c>
      <c r="K149" s="98"/>
      <c r="L149" s="98"/>
    </row>
    <row r="150">
      <c r="B150" s="95" t="s">
        <v>526</v>
      </c>
      <c r="C150" s="95" t="s">
        <v>839</v>
      </c>
      <c r="D150" s="95" t="s">
        <v>69</v>
      </c>
      <c r="E150" s="95" t="s">
        <v>555</v>
      </c>
      <c r="F150" s="95" t="s">
        <v>650</v>
      </c>
      <c r="G150" s="9">
        <v>650000.0</v>
      </c>
      <c r="H150" s="95" t="s">
        <v>530</v>
      </c>
      <c r="I150" s="13">
        <f t="shared" si="7"/>
        <v>65000</v>
      </c>
      <c r="J150" s="97" t="s">
        <v>850</v>
      </c>
      <c r="K150" s="98"/>
      <c r="L150" s="98"/>
    </row>
    <row r="151">
      <c r="B151" s="95" t="s">
        <v>526</v>
      </c>
      <c r="C151" s="95" t="s">
        <v>853</v>
      </c>
      <c r="D151" s="95" t="s">
        <v>69</v>
      </c>
      <c r="E151" s="95" t="s">
        <v>555</v>
      </c>
      <c r="F151" s="95" t="s">
        <v>650</v>
      </c>
      <c r="G151" s="9">
        <v>550000.0</v>
      </c>
      <c r="H151" s="95" t="s">
        <v>530</v>
      </c>
      <c r="I151" s="13">
        <f t="shared" si="7"/>
        <v>55000</v>
      </c>
      <c r="J151" s="97" t="s">
        <v>850</v>
      </c>
      <c r="K151" s="98"/>
      <c r="L151" s="98"/>
    </row>
    <row r="152">
      <c r="B152" s="95" t="s">
        <v>526</v>
      </c>
      <c r="C152" s="95" t="s">
        <v>830</v>
      </c>
      <c r="D152" s="95" t="s">
        <v>69</v>
      </c>
      <c r="E152" s="95" t="s">
        <v>555</v>
      </c>
      <c r="F152" s="95" t="s">
        <v>650</v>
      </c>
      <c r="G152" s="9">
        <v>500000.0</v>
      </c>
      <c r="H152" s="95" t="s">
        <v>530</v>
      </c>
      <c r="I152" s="13">
        <f t="shared" si="7"/>
        <v>50000</v>
      </c>
      <c r="J152" s="97" t="s">
        <v>850</v>
      </c>
      <c r="K152" s="98"/>
      <c r="L152" s="98"/>
    </row>
    <row r="153">
      <c r="B153" s="95" t="s">
        <v>526</v>
      </c>
      <c r="C153" s="95" t="s">
        <v>856</v>
      </c>
      <c r="D153" s="95" t="s">
        <v>69</v>
      </c>
      <c r="E153" s="95" t="s">
        <v>555</v>
      </c>
      <c r="F153" s="95" t="s">
        <v>650</v>
      </c>
      <c r="G153" s="9">
        <v>430000.0</v>
      </c>
      <c r="H153" s="95" t="s">
        <v>530</v>
      </c>
      <c r="I153" s="13">
        <f t="shared" si="7"/>
        <v>43000</v>
      </c>
      <c r="J153" s="97" t="s">
        <v>850</v>
      </c>
      <c r="K153" s="98"/>
      <c r="L153" s="98"/>
    </row>
    <row r="154">
      <c r="B154" s="95" t="s">
        <v>526</v>
      </c>
      <c r="C154" s="95" t="s">
        <v>802</v>
      </c>
      <c r="D154" s="95" t="s">
        <v>69</v>
      </c>
      <c r="E154" s="95" t="s">
        <v>555</v>
      </c>
      <c r="F154" s="95" t="s">
        <v>650</v>
      </c>
      <c r="G154" s="9">
        <v>400000.0</v>
      </c>
      <c r="H154" s="95" t="s">
        <v>530</v>
      </c>
      <c r="I154" s="13">
        <f t="shared" si="7"/>
        <v>40000</v>
      </c>
      <c r="J154" s="97" t="s">
        <v>850</v>
      </c>
      <c r="K154" s="98"/>
      <c r="L154" s="98"/>
    </row>
    <row r="155">
      <c r="B155" s="95" t="s">
        <v>526</v>
      </c>
      <c r="C155" s="95" t="s">
        <v>857</v>
      </c>
      <c r="D155" s="95" t="s">
        <v>69</v>
      </c>
      <c r="E155" s="95" t="s">
        <v>555</v>
      </c>
      <c r="F155" s="95" t="s">
        <v>650</v>
      </c>
      <c r="G155" s="9">
        <v>350000.0</v>
      </c>
      <c r="H155" s="95" t="s">
        <v>530</v>
      </c>
      <c r="I155" s="13">
        <f t="shared" si="7"/>
        <v>35000</v>
      </c>
      <c r="J155" s="97" t="s">
        <v>850</v>
      </c>
      <c r="K155" s="98"/>
      <c r="L155" s="98"/>
    </row>
    <row r="156">
      <c r="B156" s="95" t="s">
        <v>526</v>
      </c>
      <c r="C156" s="95" t="s">
        <v>858</v>
      </c>
      <c r="D156" s="95" t="s">
        <v>69</v>
      </c>
      <c r="E156" s="95" t="s">
        <v>555</v>
      </c>
      <c r="F156" s="95" t="s">
        <v>650</v>
      </c>
      <c r="G156" s="9">
        <v>330000.0</v>
      </c>
      <c r="H156" s="95" t="s">
        <v>530</v>
      </c>
      <c r="I156" s="13">
        <f t="shared" si="7"/>
        <v>33000</v>
      </c>
      <c r="J156" s="97" t="s">
        <v>850</v>
      </c>
      <c r="K156" s="98"/>
      <c r="L156" s="98"/>
    </row>
    <row r="157">
      <c r="B157" s="95" t="s">
        <v>526</v>
      </c>
      <c r="C157" s="95" t="s">
        <v>762</v>
      </c>
      <c r="D157" s="95" t="s">
        <v>69</v>
      </c>
      <c r="E157" s="95" t="s">
        <v>555</v>
      </c>
      <c r="F157" s="95" t="s">
        <v>650</v>
      </c>
      <c r="G157" s="9">
        <v>320000.0</v>
      </c>
      <c r="H157" s="95" t="s">
        <v>530</v>
      </c>
      <c r="I157" s="13">
        <f t="shared" si="7"/>
        <v>32000</v>
      </c>
      <c r="J157" s="97" t="s">
        <v>850</v>
      </c>
      <c r="K157" s="98"/>
      <c r="L157" s="98"/>
    </row>
    <row r="158">
      <c r="B158" s="95" t="s">
        <v>526</v>
      </c>
      <c r="C158" s="95" t="s">
        <v>860</v>
      </c>
      <c r="D158" s="95" t="s">
        <v>69</v>
      </c>
      <c r="E158" s="95" t="s">
        <v>555</v>
      </c>
      <c r="F158" s="95" t="s">
        <v>650</v>
      </c>
      <c r="G158" s="9">
        <v>320000.0</v>
      </c>
      <c r="H158" s="95" t="s">
        <v>530</v>
      </c>
      <c r="I158" s="13">
        <f t="shared" si="7"/>
        <v>32000</v>
      </c>
      <c r="J158" s="97" t="s">
        <v>850</v>
      </c>
      <c r="K158" s="98"/>
      <c r="L158" s="98"/>
    </row>
    <row r="159">
      <c r="B159" s="95" t="s">
        <v>526</v>
      </c>
      <c r="C159" s="95" t="s">
        <v>861</v>
      </c>
      <c r="D159" s="95" t="s">
        <v>69</v>
      </c>
      <c r="E159" s="95" t="s">
        <v>555</v>
      </c>
      <c r="F159" s="95" t="s">
        <v>586</v>
      </c>
      <c r="G159" s="9">
        <v>780000.0</v>
      </c>
      <c r="H159" s="95" t="s">
        <v>530</v>
      </c>
      <c r="I159" s="13">
        <f t="shared" si="7"/>
        <v>78000</v>
      </c>
      <c r="J159" s="97" t="s">
        <v>863</v>
      </c>
      <c r="K159" s="98"/>
      <c r="L159" s="98"/>
    </row>
    <row r="160">
      <c r="B160" s="95" t="s">
        <v>526</v>
      </c>
      <c r="C160" s="95" t="s">
        <v>830</v>
      </c>
      <c r="D160" s="95" t="s">
        <v>69</v>
      </c>
      <c r="E160" s="95" t="s">
        <v>555</v>
      </c>
      <c r="F160" s="95" t="s">
        <v>586</v>
      </c>
      <c r="G160" s="9">
        <v>650000.0</v>
      </c>
      <c r="H160" s="95" t="s">
        <v>530</v>
      </c>
      <c r="I160" s="13">
        <f t="shared" si="7"/>
        <v>65000</v>
      </c>
      <c r="J160" s="97" t="s">
        <v>863</v>
      </c>
      <c r="K160" s="98"/>
      <c r="L160" s="98"/>
    </row>
    <row r="161">
      <c r="B161" s="95" t="s">
        <v>526</v>
      </c>
      <c r="C161" s="95" t="s">
        <v>864</v>
      </c>
      <c r="D161" s="95" t="s">
        <v>69</v>
      </c>
      <c r="E161" s="95" t="s">
        <v>555</v>
      </c>
      <c r="F161" s="95" t="s">
        <v>586</v>
      </c>
      <c r="G161" s="9">
        <v>400000.0</v>
      </c>
      <c r="H161" s="95" t="s">
        <v>530</v>
      </c>
      <c r="I161" s="13">
        <f t="shared" si="7"/>
        <v>40000</v>
      </c>
      <c r="J161" s="97" t="s">
        <v>863</v>
      </c>
      <c r="K161" s="98"/>
      <c r="L161" s="98"/>
    </row>
    <row r="162">
      <c r="B162" s="95" t="s">
        <v>526</v>
      </c>
      <c r="C162" s="95" t="s">
        <v>829</v>
      </c>
      <c r="D162" s="95" t="s">
        <v>69</v>
      </c>
      <c r="E162" s="95" t="s">
        <v>555</v>
      </c>
      <c r="F162" s="95" t="s">
        <v>586</v>
      </c>
      <c r="G162" s="9">
        <v>400000.0</v>
      </c>
      <c r="H162" s="95" t="s">
        <v>530</v>
      </c>
      <c r="I162" s="13">
        <f t="shared" si="7"/>
        <v>40000</v>
      </c>
      <c r="J162" s="97" t="s">
        <v>863</v>
      </c>
      <c r="K162" s="98"/>
      <c r="L162" s="98"/>
    </row>
    <row r="163">
      <c r="B163" s="95" t="s">
        <v>526</v>
      </c>
      <c r="C163" s="95" t="s">
        <v>866</v>
      </c>
      <c r="D163" s="95" t="s">
        <v>69</v>
      </c>
      <c r="E163" s="95" t="s">
        <v>555</v>
      </c>
      <c r="F163" s="95" t="s">
        <v>586</v>
      </c>
      <c r="G163" s="9">
        <v>400000.0</v>
      </c>
      <c r="H163" s="95" t="s">
        <v>530</v>
      </c>
      <c r="I163" s="13">
        <f t="shared" si="7"/>
        <v>40000</v>
      </c>
      <c r="J163" s="97" t="s">
        <v>863</v>
      </c>
      <c r="K163" s="98"/>
      <c r="L163" s="98"/>
    </row>
    <row r="164">
      <c r="B164" s="95" t="s">
        <v>526</v>
      </c>
      <c r="C164" s="95" t="s">
        <v>868</v>
      </c>
      <c r="D164" s="95" t="s">
        <v>69</v>
      </c>
      <c r="E164" s="95" t="s">
        <v>555</v>
      </c>
      <c r="F164" s="95" t="s">
        <v>586</v>
      </c>
      <c r="G164" s="9">
        <v>360000.0</v>
      </c>
      <c r="H164" s="95" t="s">
        <v>530</v>
      </c>
      <c r="I164" s="13">
        <f t="shared" si="7"/>
        <v>36000</v>
      </c>
      <c r="J164" s="97" t="s">
        <v>863</v>
      </c>
      <c r="K164" s="98"/>
      <c r="L164" s="98"/>
    </row>
    <row r="165">
      <c r="B165" s="95" t="s">
        <v>526</v>
      </c>
      <c r="C165" s="95" t="s">
        <v>870</v>
      </c>
      <c r="D165" s="95" t="s">
        <v>69</v>
      </c>
      <c r="E165" s="95" t="s">
        <v>555</v>
      </c>
      <c r="F165" s="95" t="s">
        <v>586</v>
      </c>
      <c r="G165" s="9">
        <v>340000.0</v>
      </c>
      <c r="H165" s="95" t="s">
        <v>530</v>
      </c>
      <c r="I165" s="13">
        <f t="shared" si="7"/>
        <v>34000</v>
      </c>
      <c r="J165" s="97" t="s">
        <v>863</v>
      </c>
      <c r="K165" s="98"/>
      <c r="L165" s="98"/>
    </row>
    <row r="166">
      <c r="B166" s="95" t="s">
        <v>526</v>
      </c>
      <c r="C166" s="95" t="s">
        <v>842</v>
      </c>
      <c r="D166" s="95" t="s">
        <v>69</v>
      </c>
      <c r="E166" s="95" t="s">
        <v>555</v>
      </c>
      <c r="F166" s="95" t="s">
        <v>586</v>
      </c>
      <c r="G166" s="9">
        <v>320000.0</v>
      </c>
      <c r="H166" s="95" t="s">
        <v>530</v>
      </c>
      <c r="I166" s="13">
        <f t="shared" si="7"/>
        <v>32000</v>
      </c>
      <c r="J166" s="97" t="s">
        <v>863</v>
      </c>
      <c r="K166" s="98"/>
      <c r="L166" s="98"/>
    </row>
    <row r="167">
      <c r="B167" s="95" t="s">
        <v>526</v>
      </c>
      <c r="C167" s="95" t="s">
        <v>871</v>
      </c>
      <c r="D167" s="95" t="s">
        <v>69</v>
      </c>
      <c r="E167" s="95" t="s">
        <v>555</v>
      </c>
      <c r="F167" s="95" t="s">
        <v>586</v>
      </c>
      <c r="G167" s="9">
        <v>300000.0</v>
      </c>
      <c r="H167" s="95" t="s">
        <v>872</v>
      </c>
      <c r="I167" s="13">
        <f>G167/3</f>
        <v>100000</v>
      </c>
      <c r="J167" s="97" t="s">
        <v>863</v>
      </c>
      <c r="K167" s="98"/>
      <c r="L167" s="98"/>
    </row>
    <row r="168">
      <c r="B168" s="95" t="s">
        <v>526</v>
      </c>
      <c r="C168" s="95" t="s">
        <v>814</v>
      </c>
      <c r="D168" s="95" t="s">
        <v>69</v>
      </c>
      <c r="E168" s="95" t="s">
        <v>555</v>
      </c>
      <c r="F168" s="95" t="s">
        <v>586</v>
      </c>
      <c r="G168" s="9">
        <v>1000000.0</v>
      </c>
      <c r="H168" s="95" t="s">
        <v>530</v>
      </c>
      <c r="I168" s="13">
        <f t="shared" ref="I168:I180" si="8">G168/10</f>
        <v>100000</v>
      </c>
      <c r="J168" s="97" t="s">
        <v>863</v>
      </c>
      <c r="K168" s="98"/>
      <c r="L168" s="98"/>
    </row>
    <row r="169">
      <c r="B169" s="95" t="s">
        <v>526</v>
      </c>
      <c r="C169" s="95" t="s">
        <v>849</v>
      </c>
      <c r="D169" s="95" t="s">
        <v>69</v>
      </c>
      <c r="E169" s="95" t="s">
        <v>555</v>
      </c>
      <c r="F169" s="95" t="s">
        <v>586</v>
      </c>
      <c r="G169" s="9">
        <v>530000.0</v>
      </c>
      <c r="H169" s="95" t="s">
        <v>530</v>
      </c>
      <c r="I169" s="13">
        <f t="shared" si="8"/>
        <v>53000</v>
      </c>
      <c r="J169" s="97" t="s">
        <v>863</v>
      </c>
      <c r="K169" s="98"/>
      <c r="L169" s="98"/>
    </row>
    <row r="170">
      <c r="B170" s="95" t="s">
        <v>526</v>
      </c>
      <c r="C170" s="95" t="s">
        <v>839</v>
      </c>
      <c r="D170" s="95" t="s">
        <v>69</v>
      </c>
      <c r="E170" s="95" t="s">
        <v>555</v>
      </c>
      <c r="F170" s="95" t="s">
        <v>586</v>
      </c>
      <c r="G170" s="9">
        <v>400000.0</v>
      </c>
      <c r="H170" s="95" t="s">
        <v>530</v>
      </c>
      <c r="I170" s="13">
        <f t="shared" si="8"/>
        <v>40000</v>
      </c>
      <c r="J170" s="97" t="s">
        <v>863</v>
      </c>
      <c r="K170" s="98"/>
      <c r="L170" s="98"/>
    </row>
    <row r="171">
      <c r="B171" s="95" t="s">
        <v>526</v>
      </c>
      <c r="C171" s="95" t="s">
        <v>802</v>
      </c>
      <c r="D171" s="95" t="s">
        <v>69</v>
      </c>
      <c r="E171" s="95" t="s">
        <v>555</v>
      </c>
      <c r="F171" s="95" t="s">
        <v>586</v>
      </c>
      <c r="G171" s="9">
        <v>350000.0</v>
      </c>
      <c r="H171" s="95" t="s">
        <v>530</v>
      </c>
      <c r="I171" s="13">
        <f t="shared" si="8"/>
        <v>35000</v>
      </c>
      <c r="J171" s="97" t="s">
        <v>863</v>
      </c>
      <c r="K171" s="98"/>
      <c r="L171" s="98"/>
    </row>
    <row r="172">
      <c r="B172" s="95" t="s">
        <v>526</v>
      </c>
      <c r="C172" s="95" t="s">
        <v>857</v>
      </c>
      <c r="D172" s="95" t="s">
        <v>69</v>
      </c>
      <c r="E172" s="95" t="s">
        <v>555</v>
      </c>
      <c r="F172" s="95" t="s">
        <v>586</v>
      </c>
      <c r="G172" s="9">
        <v>300000.0</v>
      </c>
      <c r="H172" s="95" t="s">
        <v>530</v>
      </c>
      <c r="I172" s="13">
        <f t="shared" si="8"/>
        <v>30000</v>
      </c>
      <c r="J172" s="97" t="s">
        <v>863</v>
      </c>
      <c r="K172" s="98"/>
      <c r="L172" s="98"/>
    </row>
    <row r="173">
      <c r="B173" s="95" t="s">
        <v>526</v>
      </c>
      <c r="C173" s="95" t="s">
        <v>762</v>
      </c>
      <c r="D173" s="95" t="s">
        <v>69</v>
      </c>
      <c r="E173" s="95" t="s">
        <v>555</v>
      </c>
      <c r="F173" s="95" t="s">
        <v>586</v>
      </c>
      <c r="G173" s="9">
        <v>180000.0</v>
      </c>
      <c r="H173" s="95" t="s">
        <v>530</v>
      </c>
      <c r="I173" s="13">
        <f t="shared" si="8"/>
        <v>18000</v>
      </c>
      <c r="J173" s="97" t="s">
        <v>863</v>
      </c>
      <c r="K173" s="98"/>
      <c r="L173" s="98"/>
    </row>
    <row r="174">
      <c r="B174" s="95" t="s">
        <v>526</v>
      </c>
      <c r="C174" s="95" t="s">
        <v>552</v>
      </c>
      <c r="D174" s="95" t="s">
        <v>69</v>
      </c>
      <c r="E174" s="95" t="s">
        <v>131</v>
      </c>
      <c r="F174" s="95" t="s">
        <v>643</v>
      </c>
      <c r="G174" s="9">
        <v>100000.0</v>
      </c>
      <c r="H174" s="95" t="s">
        <v>530</v>
      </c>
      <c r="I174" s="13">
        <f t="shared" si="8"/>
        <v>10000</v>
      </c>
      <c r="J174" s="97" t="s">
        <v>873</v>
      </c>
      <c r="K174" s="98"/>
      <c r="L174" s="98"/>
    </row>
    <row r="175">
      <c r="B175" s="95" t="s">
        <v>526</v>
      </c>
      <c r="C175" s="95" t="s">
        <v>842</v>
      </c>
      <c r="D175" s="95" t="s">
        <v>69</v>
      </c>
      <c r="E175" s="95" t="s">
        <v>555</v>
      </c>
      <c r="F175" s="95" t="s">
        <v>643</v>
      </c>
      <c r="G175" s="9">
        <v>280000.0</v>
      </c>
      <c r="H175" s="95" t="s">
        <v>530</v>
      </c>
      <c r="I175" s="13">
        <f t="shared" si="8"/>
        <v>28000</v>
      </c>
      <c r="J175" s="97" t="s">
        <v>874</v>
      </c>
      <c r="K175" s="98"/>
      <c r="L175" s="98"/>
    </row>
    <row r="176">
      <c r="B176" s="95" t="s">
        <v>526</v>
      </c>
      <c r="C176" s="95" t="s">
        <v>875</v>
      </c>
      <c r="D176" s="95" t="s">
        <v>69</v>
      </c>
      <c r="E176" s="95" t="s">
        <v>555</v>
      </c>
      <c r="F176" s="95" t="s">
        <v>643</v>
      </c>
      <c r="G176" s="9">
        <v>330000.0</v>
      </c>
      <c r="H176" s="95" t="s">
        <v>530</v>
      </c>
      <c r="I176" s="13">
        <f t="shared" si="8"/>
        <v>33000</v>
      </c>
      <c r="J176" s="97" t="s">
        <v>874</v>
      </c>
      <c r="K176" s="98"/>
      <c r="L176" s="98"/>
    </row>
    <row r="177">
      <c r="B177" s="95" t="s">
        <v>526</v>
      </c>
      <c r="C177" s="95" t="s">
        <v>857</v>
      </c>
      <c r="D177" s="95" t="s">
        <v>69</v>
      </c>
      <c r="E177" s="95" t="s">
        <v>555</v>
      </c>
      <c r="F177" s="95" t="s">
        <v>643</v>
      </c>
      <c r="G177" s="9">
        <v>350000.0</v>
      </c>
      <c r="H177" s="95" t="s">
        <v>530</v>
      </c>
      <c r="I177" s="13">
        <f t="shared" si="8"/>
        <v>35000</v>
      </c>
      <c r="J177" s="97" t="s">
        <v>874</v>
      </c>
      <c r="K177" s="98"/>
      <c r="L177" s="98"/>
    </row>
    <row r="178">
      <c r="B178" s="95" t="s">
        <v>526</v>
      </c>
      <c r="C178" s="95" t="s">
        <v>876</v>
      </c>
      <c r="D178" s="95" t="s">
        <v>69</v>
      </c>
      <c r="E178" s="95" t="s">
        <v>877</v>
      </c>
      <c r="F178" s="95" t="s">
        <v>643</v>
      </c>
      <c r="G178" s="9">
        <v>350000.0</v>
      </c>
      <c r="H178" s="95" t="s">
        <v>530</v>
      </c>
      <c r="I178" s="13">
        <f t="shared" si="8"/>
        <v>35000</v>
      </c>
      <c r="J178" s="97" t="s">
        <v>874</v>
      </c>
      <c r="K178" s="98"/>
      <c r="L178" s="98"/>
    </row>
    <row r="179">
      <c r="B179" s="95" t="s">
        <v>526</v>
      </c>
      <c r="C179" s="95" t="s">
        <v>829</v>
      </c>
      <c r="D179" s="95" t="s">
        <v>69</v>
      </c>
      <c r="E179" s="95" t="s">
        <v>555</v>
      </c>
      <c r="F179" s="95" t="s">
        <v>643</v>
      </c>
      <c r="G179" s="9">
        <v>400000.0</v>
      </c>
      <c r="H179" s="95" t="s">
        <v>530</v>
      </c>
      <c r="I179" s="13">
        <f t="shared" si="8"/>
        <v>40000</v>
      </c>
      <c r="J179" s="97" t="s">
        <v>874</v>
      </c>
      <c r="K179" s="98"/>
      <c r="L179" s="98"/>
    </row>
    <row r="180">
      <c r="B180" s="95" t="s">
        <v>526</v>
      </c>
      <c r="C180" s="95" t="s">
        <v>814</v>
      </c>
      <c r="D180" s="95" t="s">
        <v>114</v>
      </c>
      <c r="E180" s="95" t="s">
        <v>389</v>
      </c>
      <c r="F180" s="95" t="s">
        <v>643</v>
      </c>
      <c r="G180" s="9">
        <v>900000.0</v>
      </c>
      <c r="H180" s="95" t="s">
        <v>530</v>
      </c>
      <c r="I180" s="13">
        <f t="shared" si="8"/>
        <v>90000</v>
      </c>
      <c r="J180" s="97" t="s">
        <v>878</v>
      </c>
      <c r="K180" s="97" t="s">
        <v>879</v>
      </c>
      <c r="L180" s="97" t="s">
        <v>880</v>
      </c>
    </row>
    <row r="181">
      <c r="B181" s="95" t="s">
        <v>526</v>
      </c>
      <c r="C181" s="95" t="s">
        <v>881</v>
      </c>
      <c r="D181" s="95" t="s">
        <v>69</v>
      </c>
      <c r="E181" s="95" t="s">
        <v>555</v>
      </c>
      <c r="F181" s="95" t="s">
        <v>643</v>
      </c>
      <c r="G181" s="9">
        <v>420000.0</v>
      </c>
      <c r="H181" s="95" t="s">
        <v>728</v>
      </c>
      <c r="I181" s="13">
        <f>G181/7</f>
        <v>60000</v>
      </c>
      <c r="J181" s="97" t="s">
        <v>874</v>
      </c>
      <c r="K181" s="98"/>
      <c r="L181" s="98"/>
    </row>
    <row r="182">
      <c r="B182" s="95" t="s">
        <v>526</v>
      </c>
      <c r="C182" s="95" t="s">
        <v>830</v>
      </c>
      <c r="D182" s="95" t="s">
        <v>69</v>
      </c>
      <c r="E182" s="95" t="s">
        <v>555</v>
      </c>
      <c r="F182" s="95" t="s">
        <v>643</v>
      </c>
      <c r="G182" s="9">
        <v>650000.0</v>
      </c>
      <c r="H182" s="95" t="s">
        <v>530</v>
      </c>
      <c r="I182" s="13">
        <f t="shared" ref="I182:I186" si="9">G182/10</f>
        <v>65000</v>
      </c>
      <c r="J182" s="97" t="s">
        <v>874</v>
      </c>
      <c r="K182" s="98"/>
      <c r="L182" s="98"/>
    </row>
    <row r="183">
      <c r="B183" s="95" t="s">
        <v>526</v>
      </c>
      <c r="C183" s="95" t="s">
        <v>724</v>
      </c>
      <c r="D183" s="95" t="s">
        <v>69</v>
      </c>
      <c r="E183" s="95" t="s">
        <v>555</v>
      </c>
      <c r="F183" s="95" t="s">
        <v>643</v>
      </c>
      <c r="G183" s="9">
        <v>670000.0</v>
      </c>
      <c r="H183" s="95" t="s">
        <v>530</v>
      </c>
      <c r="I183" s="13">
        <f t="shared" si="9"/>
        <v>67000</v>
      </c>
      <c r="J183" s="97" t="s">
        <v>874</v>
      </c>
      <c r="K183" s="98"/>
      <c r="L183" s="98"/>
    </row>
    <row r="184">
      <c r="B184" s="95" t="s">
        <v>526</v>
      </c>
      <c r="C184" s="95" t="s">
        <v>883</v>
      </c>
      <c r="D184" s="95" t="s">
        <v>69</v>
      </c>
      <c r="E184" s="95" t="s">
        <v>555</v>
      </c>
      <c r="F184" s="95" t="s">
        <v>643</v>
      </c>
      <c r="G184" s="9">
        <v>770000.0</v>
      </c>
      <c r="H184" s="95" t="s">
        <v>530</v>
      </c>
      <c r="I184" s="13">
        <f t="shared" si="9"/>
        <v>77000</v>
      </c>
      <c r="J184" s="97" t="s">
        <v>874</v>
      </c>
      <c r="K184" s="98"/>
      <c r="L184" s="98"/>
    </row>
    <row r="185">
      <c r="B185" s="95" t="s">
        <v>526</v>
      </c>
      <c r="C185" s="95" t="s">
        <v>768</v>
      </c>
      <c r="D185" s="95" t="s">
        <v>69</v>
      </c>
      <c r="E185" s="95" t="s">
        <v>561</v>
      </c>
      <c r="F185" s="95" t="s">
        <v>562</v>
      </c>
      <c r="G185" s="9">
        <v>280000.0</v>
      </c>
      <c r="H185" s="95" t="s">
        <v>530</v>
      </c>
      <c r="I185" s="13">
        <f t="shared" si="9"/>
        <v>28000</v>
      </c>
      <c r="J185" s="97" t="s">
        <v>563</v>
      </c>
      <c r="K185" s="97" t="s">
        <v>570</v>
      </c>
      <c r="L185" s="98"/>
    </row>
    <row r="186">
      <c r="B186" s="95" t="s">
        <v>526</v>
      </c>
      <c r="C186" s="95" t="s">
        <v>884</v>
      </c>
      <c r="D186" s="95" t="s">
        <v>69</v>
      </c>
      <c r="E186" s="95" t="s">
        <v>877</v>
      </c>
      <c r="F186" s="95" t="s">
        <v>643</v>
      </c>
      <c r="G186" s="9">
        <v>140000.0</v>
      </c>
      <c r="H186" s="95" t="s">
        <v>530</v>
      </c>
      <c r="I186" s="13">
        <f t="shared" si="9"/>
        <v>14000</v>
      </c>
      <c r="J186" s="97" t="s">
        <v>885</v>
      </c>
      <c r="K186" s="98"/>
      <c r="L186" s="98"/>
    </row>
    <row r="187">
      <c r="B187" s="95" t="s">
        <v>526</v>
      </c>
      <c r="C187" s="95" t="s">
        <v>856</v>
      </c>
      <c r="D187" s="95" t="s">
        <v>69</v>
      </c>
      <c r="E187" s="95" t="s">
        <v>542</v>
      </c>
      <c r="F187" s="95" t="s">
        <v>643</v>
      </c>
      <c r="G187" s="9">
        <f>7*14000</f>
        <v>98000</v>
      </c>
      <c r="H187" s="95" t="s">
        <v>728</v>
      </c>
      <c r="I187" s="13">
        <f>G187/7</f>
        <v>14000</v>
      </c>
      <c r="J187" s="97" t="s">
        <v>885</v>
      </c>
      <c r="K187" s="98"/>
      <c r="L187" s="98"/>
    </row>
    <row r="188">
      <c r="B188" s="95" t="s">
        <v>526</v>
      </c>
      <c r="C188" s="95" t="s">
        <v>886</v>
      </c>
      <c r="D188" s="95" t="s">
        <v>69</v>
      </c>
      <c r="E188" s="95" t="s">
        <v>877</v>
      </c>
      <c r="F188" s="95" t="s">
        <v>643</v>
      </c>
      <c r="G188" s="9">
        <v>150000.0</v>
      </c>
      <c r="H188" s="95" t="s">
        <v>530</v>
      </c>
      <c r="I188" s="13">
        <f t="shared" ref="I188:I227" si="10">G188/10</f>
        <v>15000</v>
      </c>
      <c r="J188" s="97" t="s">
        <v>885</v>
      </c>
      <c r="K188" s="98"/>
      <c r="L188" s="98"/>
    </row>
    <row r="189">
      <c r="B189" s="95" t="s">
        <v>526</v>
      </c>
      <c r="C189" s="95" t="s">
        <v>888</v>
      </c>
      <c r="D189" s="95" t="s">
        <v>69</v>
      </c>
      <c r="E189" s="95" t="s">
        <v>561</v>
      </c>
      <c r="F189" s="95" t="s">
        <v>562</v>
      </c>
      <c r="G189" s="9">
        <v>250000.0</v>
      </c>
      <c r="H189" s="95" t="s">
        <v>530</v>
      </c>
      <c r="I189" s="13">
        <f t="shared" si="10"/>
        <v>25000</v>
      </c>
      <c r="J189" s="97" t="s">
        <v>563</v>
      </c>
      <c r="K189" s="97" t="s">
        <v>570</v>
      </c>
      <c r="L189" s="98"/>
    </row>
    <row r="190">
      <c r="B190" s="95" t="s">
        <v>526</v>
      </c>
      <c r="C190" s="95" t="s">
        <v>781</v>
      </c>
      <c r="D190" s="95" t="s">
        <v>69</v>
      </c>
      <c r="E190" s="95" t="s">
        <v>561</v>
      </c>
      <c r="F190" s="95" t="s">
        <v>799</v>
      </c>
      <c r="G190" s="9">
        <v>165000.0</v>
      </c>
      <c r="H190" s="95" t="s">
        <v>530</v>
      </c>
      <c r="I190" s="13">
        <f t="shared" si="10"/>
        <v>16500</v>
      </c>
      <c r="J190" s="97" t="s">
        <v>889</v>
      </c>
      <c r="K190" s="97" t="s">
        <v>890</v>
      </c>
      <c r="L190" s="98"/>
    </row>
    <row r="191">
      <c r="B191" s="95" t="s">
        <v>526</v>
      </c>
      <c r="C191" s="95" t="s">
        <v>786</v>
      </c>
      <c r="D191" s="95" t="s">
        <v>69</v>
      </c>
      <c r="E191" s="95" t="s">
        <v>561</v>
      </c>
      <c r="F191" s="95" t="s">
        <v>799</v>
      </c>
      <c r="G191" s="9">
        <v>110000.0</v>
      </c>
      <c r="H191" s="95" t="s">
        <v>530</v>
      </c>
      <c r="I191" s="13">
        <f t="shared" si="10"/>
        <v>11000</v>
      </c>
      <c r="J191" s="97" t="s">
        <v>889</v>
      </c>
      <c r="K191" s="97" t="s">
        <v>890</v>
      </c>
      <c r="L191" s="98"/>
    </row>
    <row r="192">
      <c r="B192" s="95" t="s">
        <v>526</v>
      </c>
      <c r="C192" s="95" t="s">
        <v>786</v>
      </c>
      <c r="D192" s="95" t="s">
        <v>69</v>
      </c>
      <c r="E192" s="95" t="s">
        <v>877</v>
      </c>
      <c r="F192" s="95" t="s">
        <v>643</v>
      </c>
      <c r="G192" s="9">
        <v>200000.0</v>
      </c>
      <c r="H192" s="95" t="s">
        <v>530</v>
      </c>
      <c r="I192" s="13">
        <f t="shared" si="10"/>
        <v>20000</v>
      </c>
      <c r="J192" s="97" t="s">
        <v>885</v>
      </c>
      <c r="K192" s="98"/>
      <c r="L192" s="98"/>
    </row>
    <row r="193">
      <c r="B193" s="95" t="s">
        <v>526</v>
      </c>
      <c r="C193" s="95" t="s">
        <v>844</v>
      </c>
      <c r="D193" s="95" t="s">
        <v>69</v>
      </c>
      <c r="E193" s="95" t="s">
        <v>877</v>
      </c>
      <c r="F193" s="95" t="s">
        <v>643</v>
      </c>
      <c r="G193" s="9">
        <v>210000.0</v>
      </c>
      <c r="H193" s="95" t="s">
        <v>530</v>
      </c>
      <c r="I193" s="13">
        <f t="shared" si="10"/>
        <v>21000</v>
      </c>
      <c r="J193" s="97" t="s">
        <v>885</v>
      </c>
      <c r="K193" s="98"/>
      <c r="L193" s="98"/>
    </row>
    <row r="194">
      <c r="B194" s="95" t="s">
        <v>526</v>
      </c>
      <c r="C194" s="95" t="s">
        <v>802</v>
      </c>
      <c r="D194" s="95" t="s">
        <v>69</v>
      </c>
      <c r="E194" s="95" t="s">
        <v>555</v>
      </c>
      <c r="F194" s="95" t="s">
        <v>643</v>
      </c>
      <c r="G194" s="9">
        <v>220000.0</v>
      </c>
      <c r="H194" s="95" t="s">
        <v>530</v>
      </c>
      <c r="I194" s="13">
        <f t="shared" si="10"/>
        <v>22000</v>
      </c>
      <c r="J194" s="97" t="s">
        <v>885</v>
      </c>
      <c r="K194" s="98"/>
      <c r="L194" s="98"/>
    </row>
    <row r="195">
      <c r="B195" s="95" t="s">
        <v>526</v>
      </c>
      <c r="C195" s="95" t="s">
        <v>831</v>
      </c>
      <c r="D195" s="95" t="s">
        <v>13</v>
      </c>
      <c r="E195" s="95" t="s">
        <v>19</v>
      </c>
      <c r="F195" s="95" t="s">
        <v>643</v>
      </c>
      <c r="G195" s="9">
        <v>825000.0</v>
      </c>
      <c r="H195" s="95" t="s">
        <v>530</v>
      </c>
      <c r="I195" s="13">
        <f t="shared" si="10"/>
        <v>82500</v>
      </c>
      <c r="J195" s="97" t="s">
        <v>878</v>
      </c>
      <c r="K195" s="98"/>
      <c r="L195" s="98"/>
    </row>
    <row r="196">
      <c r="B196" s="95" t="s">
        <v>526</v>
      </c>
      <c r="C196" s="95" t="s">
        <v>831</v>
      </c>
      <c r="D196" s="95" t="s">
        <v>13</v>
      </c>
      <c r="E196" s="95" t="s">
        <v>19</v>
      </c>
      <c r="F196" s="95" t="s">
        <v>586</v>
      </c>
      <c r="G196" s="9">
        <v>1000000.0</v>
      </c>
      <c r="H196" s="95" t="s">
        <v>530</v>
      </c>
      <c r="I196" s="13">
        <f t="shared" si="10"/>
        <v>100000</v>
      </c>
      <c r="J196" s="97" t="s">
        <v>894</v>
      </c>
      <c r="K196" s="98"/>
      <c r="L196" s="98"/>
    </row>
    <row r="197">
      <c r="B197" s="95" t="s">
        <v>526</v>
      </c>
      <c r="C197" s="95" t="s">
        <v>831</v>
      </c>
      <c r="D197" s="95" t="s">
        <v>13</v>
      </c>
      <c r="E197" s="95" t="s">
        <v>19</v>
      </c>
      <c r="F197" s="95" t="s">
        <v>650</v>
      </c>
      <c r="G197" s="9">
        <v>860000.0</v>
      </c>
      <c r="H197" s="95" t="s">
        <v>530</v>
      </c>
      <c r="I197" s="13">
        <f t="shared" si="10"/>
        <v>86000</v>
      </c>
      <c r="J197" s="97" t="s">
        <v>894</v>
      </c>
      <c r="K197" s="98"/>
      <c r="L197" s="98"/>
    </row>
    <row r="198">
      <c r="B198" s="95" t="s">
        <v>526</v>
      </c>
      <c r="C198" s="95" t="s">
        <v>896</v>
      </c>
      <c r="D198" s="95" t="s">
        <v>69</v>
      </c>
      <c r="E198" s="95" t="s">
        <v>877</v>
      </c>
      <c r="F198" s="95" t="s">
        <v>643</v>
      </c>
      <c r="G198" s="9">
        <v>260000.0</v>
      </c>
      <c r="H198" s="95" t="s">
        <v>530</v>
      </c>
      <c r="I198" s="13">
        <f t="shared" si="10"/>
        <v>26000</v>
      </c>
      <c r="J198" s="97" t="s">
        <v>885</v>
      </c>
      <c r="K198" s="98"/>
      <c r="L198" s="98"/>
    </row>
    <row r="199">
      <c r="B199" s="95" t="s">
        <v>526</v>
      </c>
      <c r="C199" s="95" t="s">
        <v>898</v>
      </c>
      <c r="D199" s="95" t="s">
        <v>69</v>
      </c>
      <c r="E199" s="95" t="s">
        <v>550</v>
      </c>
      <c r="F199" s="95" t="s">
        <v>643</v>
      </c>
      <c r="G199" s="9">
        <v>100000.0</v>
      </c>
      <c r="H199" s="95" t="s">
        <v>530</v>
      </c>
      <c r="I199" s="13">
        <f t="shared" si="10"/>
        <v>10000</v>
      </c>
      <c r="J199" s="97" t="s">
        <v>873</v>
      </c>
      <c r="K199" s="98"/>
      <c r="L199" s="98"/>
    </row>
    <row r="200">
      <c r="B200" s="95" t="s">
        <v>526</v>
      </c>
      <c r="C200" s="95" t="s">
        <v>900</v>
      </c>
      <c r="D200" s="95" t="s">
        <v>69</v>
      </c>
      <c r="E200" s="95" t="s">
        <v>550</v>
      </c>
      <c r="F200" s="95" t="s">
        <v>643</v>
      </c>
      <c r="G200" s="9">
        <v>100000.0</v>
      </c>
      <c r="H200" s="95" t="s">
        <v>530</v>
      </c>
      <c r="I200" s="13">
        <f t="shared" si="10"/>
        <v>10000</v>
      </c>
      <c r="J200" s="97" t="s">
        <v>873</v>
      </c>
      <c r="K200" s="98"/>
      <c r="L200" s="98"/>
    </row>
    <row r="201">
      <c r="B201" s="95" t="s">
        <v>526</v>
      </c>
      <c r="C201" s="95" t="s">
        <v>901</v>
      </c>
      <c r="D201" s="95" t="s">
        <v>69</v>
      </c>
      <c r="E201" s="95" t="s">
        <v>877</v>
      </c>
      <c r="F201" s="95" t="s">
        <v>643</v>
      </c>
      <c r="G201" s="9">
        <v>110000.0</v>
      </c>
      <c r="H201" s="95" t="s">
        <v>530</v>
      </c>
      <c r="I201" s="13">
        <f t="shared" si="10"/>
        <v>11000</v>
      </c>
      <c r="J201" s="97" t="s">
        <v>873</v>
      </c>
      <c r="K201" s="98"/>
      <c r="L201" s="98"/>
    </row>
    <row r="202">
      <c r="B202" s="95" t="s">
        <v>526</v>
      </c>
      <c r="C202" s="95" t="s">
        <v>821</v>
      </c>
      <c r="D202" s="95" t="s">
        <v>69</v>
      </c>
      <c r="E202" s="95" t="s">
        <v>561</v>
      </c>
      <c r="F202" s="95" t="s">
        <v>799</v>
      </c>
      <c r="G202" s="9">
        <v>100000.0</v>
      </c>
      <c r="H202" s="95" t="s">
        <v>530</v>
      </c>
      <c r="I202" s="13">
        <f t="shared" si="10"/>
        <v>10000</v>
      </c>
      <c r="J202" s="97" t="s">
        <v>889</v>
      </c>
      <c r="K202" s="98"/>
      <c r="L202" s="98"/>
    </row>
    <row r="203">
      <c r="B203" s="95" t="s">
        <v>526</v>
      </c>
      <c r="C203" s="95" t="s">
        <v>762</v>
      </c>
      <c r="D203" s="95" t="s">
        <v>69</v>
      </c>
      <c r="E203" s="95" t="s">
        <v>555</v>
      </c>
      <c r="F203" s="95" t="s">
        <v>643</v>
      </c>
      <c r="G203" s="9">
        <v>120000.0</v>
      </c>
      <c r="H203" s="95" t="s">
        <v>530</v>
      </c>
      <c r="I203" s="13">
        <f t="shared" si="10"/>
        <v>12000</v>
      </c>
      <c r="J203" s="97" t="s">
        <v>873</v>
      </c>
      <c r="K203" s="98"/>
      <c r="L203" s="98"/>
    </row>
    <row r="204">
      <c r="B204" s="95" t="s">
        <v>526</v>
      </c>
      <c r="C204" s="95" t="s">
        <v>903</v>
      </c>
      <c r="D204" s="95" t="s">
        <v>69</v>
      </c>
      <c r="E204" s="95" t="s">
        <v>877</v>
      </c>
      <c r="F204" s="95" t="s">
        <v>643</v>
      </c>
      <c r="G204" s="9">
        <v>120000.0</v>
      </c>
      <c r="H204" s="95" t="s">
        <v>530</v>
      </c>
      <c r="I204" s="13">
        <f t="shared" si="10"/>
        <v>12000</v>
      </c>
      <c r="J204" s="97" t="s">
        <v>873</v>
      </c>
      <c r="K204" s="98"/>
      <c r="L204" s="98"/>
    </row>
    <row r="205">
      <c r="B205" s="95" t="s">
        <v>526</v>
      </c>
      <c r="C205" s="95" t="s">
        <v>904</v>
      </c>
      <c r="D205" s="95" t="s">
        <v>69</v>
      </c>
      <c r="E205" s="95" t="s">
        <v>561</v>
      </c>
      <c r="F205" s="95" t="s">
        <v>799</v>
      </c>
      <c r="G205" s="9">
        <v>250000.0</v>
      </c>
      <c r="H205" s="95" t="s">
        <v>530</v>
      </c>
      <c r="I205" s="13">
        <f t="shared" si="10"/>
        <v>25000</v>
      </c>
      <c r="J205" s="97" t="s">
        <v>905</v>
      </c>
      <c r="K205" s="97" t="s">
        <v>890</v>
      </c>
      <c r="L205" s="98"/>
    </row>
    <row r="206">
      <c r="B206" s="95" t="s">
        <v>526</v>
      </c>
      <c r="C206" s="95" t="s">
        <v>781</v>
      </c>
      <c r="D206" s="95" t="s">
        <v>222</v>
      </c>
      <c r="E206" s="95" t="s">
        <v>304</v>
      </c>
      <c r="F206" s="95" t="s">
        <v>906</v>
      </c>
      <c r="G206" s="9">
        <v>250000.0</v>
      </c>
      <c r="H206" s="95" t="s">
        <v>530</v>
      </c>
      <c r="I206" s="13">
        <f t="shared" si="10"/>
        <v>25000</v>
      </c>
      <c r="J206" s="97" t="s">
        <v>907</v>
      </c>
      <c r="K206" s="98"/>
      <c r="L206" s="98"/>
    </row>
    <row r="207">
      <c r="B207" s="95" t="s">
        <v>526</v>
      </c>
      <c r="C207" s="95" t="s">
        <v>781</v>
      </c>
      <c r="D207" s="95" t="s">
        <v>69</v>
      </c>
      <c r="E207" s="95" t="s">
        <v>131</v>
      </c>
      <c r="F207" s="95" t="s">
        <v>643</v>
      </c>
      <c r="G207" s="9">
        <v>130000.0</v>
      </c>
      <c r="H207" s="95" t="s">
        <v>530</v>
      </c>
      <c r="I207" s="13">
        <f t="shared" si="10"/>
        <v>13000</v>
      </c>
      <c r="J207" s="97" t="s">
        <v>873</v>
      </c>
      <c r="K207" s="98"/>
      <c r="L207" s="98"/>
    </row>
    <row r="208">
      <c r="B208" s="95" t="s">
        <v>526</v>
      </c>
      <c r="C208" s="95" t="s">
        <v>909</v>
      </c>
      <c r="D208" s="95" t="s">
        <v>69</v>
      </c>
      <c r="E208" s="95" t="s">
        <v>877</v>
      </c>
      <c r="F208" s="95" t="s">
        <v>643</v>
      </c>
      <c r="G208" s="9">
        <v>130000.0</v>
      </c>
      <c r="H208" s="95" t="s">
        <v>530</v>
      </c>
      <c r="I208" s="13">
        <f t="shared" si="10"/>
        <v>13000</v>
      </c>
      <c r="J208" s="97" t="s">
        <v>873</v>
      </c>
      <c r="K208" s="98"/>
      <c r="L208" s="98"/>
    </row>
    <row r="209">
      <c r="B209" s="95" t="s">
        <v>526</v>
      </c>
      <c r="C209" s="95" t="s">
        <v>910</v>
      </c>
      <c r="D209" s="95" t="s">
        <v>69</v>
      </c>
      <c r="E209" s="95" t="s">
        <v>561</v>
      </c>
      <c r="F209" s="95" t="s">
        <v>799</v>
      </c>
      <c r="G209" s="9">
        <v>200000.0</v>
      </c>
      <c r="H209" s="95" t="s">
        <v>530</v>
      </c>
      <c r="I209" s="13">
        <f t="shared" si="10"/>
        <v>20000</v>
      </c>
      <c r="J209" s="97" t="s">
        <v>905</v>
      </c>
      <c r="K209" s="97" t="s">
        <v>890</v>
      </c>
      <c r="L209" s="98"/>
    </row>
    <row r="210">
      <c r="B210" s="95" t="s">
        <v>526</v>
      </c>
      <c r="C210" s="95" t="s">
        <v>911</v>
      </c>
      <c r="D210" s="95" t="s">
        <v>69</v>
      </c>
      <c r="E210" s="95" t="s">
        <v>877</v>
      </c>
      <c r="F210" s="95" t="s">
        <v>643</v>
      </c>
      <c r="G210" s="9">
        <v>140000.0</v>
      </c>
      <c r="H210" s="95" t="s">
        <v>530</v>
      </c>
      <c r="I210" s="13">
        <f t="shared" si="10"/>
        <v>14000</v>
      </c>
      <c r="J210" s="97" t="s">
        <v>885</v>
      </c>
      <c r="K210" s="98"/>
      <c r="L210" s="98"/>
    </row>
    <row r="211">
      <c r="B211" s="95" t="s">
        <v>526</v>
      </c>
      <c r="C211" s="95" t="s">
        <v>868</v>
      </c>
      <c r="D211" s="95" t="s">
        <v>69</v>
      </c>
      <c r="E211" s="95" t="s">
        <v>555</v>
      </c>
      <c r="F211" s="95" t="s">
        <v>643</v>
      </c>
      <c r="G211" s="9">
        <v>270000.0</v>
      </c>
      <c r="H211" s="95" t="s">
        <v>530</v>
      </c>
      <c r="I211" s="13">
        <f t="shared" si="10"/>
        <v>27000</v>
      </c>
      <c r="J211" s="97" t="s">
        <v>874</v>
      </c>
      <c r="K211" s="98"/>
      <c r="L211" s="98"/>
    </row>
    <row r="212">
      <c r="B212" s="95" t="s">
        <v>526</v>
      </c>
      <c r="C212" s="95" t="s">
        <v>913</v>
      </c>
      <c r="D212" s="95" t="s">
        <v>69</v>
      </c>
      <c r="E212" s="95" t="s">
        <v>561</v>
      </c>
      <c r="F212" s="95" t="s">
        <v>799</v>
      </c>
      <c r="G212" s="9">
        <v>180000.0</v>
      </c>
      <c r="H212" s="95" t="s">
        <v>530</v>
      </c>
      <c r="I212" s="13">
        <f t="shared" si="10"/>
        <v>18000</v>
      </c>
      <c r="J212" s="97" t="s">
        <v>905</v>
      </c>
      <c r="K212" s="97" t="s">
        <v>890</v>
      </c>
      <c r="L212" s="98"/>
    </row>
    <row r="213">
      <c r="B213" s="95" t="s">
        <v>526</v>
      </c>
      <c r="C213" s="95" t="s">
        <v>914</v>
      </c>
      <c r="D213" s="95" t="s">
        <v>69</v>
      </c>
      <c r="E213" s="95" t="s">
        <v>555</v>
      </c>
      <c r="F213" s="95" t="s">
        <v>799</v>
      </c>
      <c r="G213" s="9">
        <v>150000.0</v>
      </c>
      <c r="H213" s="95" t="s">
        <v>530</v>
      </c>
      <c r="I213" s="13">
        <f t="shared" si="10"/>
        <v>15000</v>
      </c>
      <c r="J213" s="97" t="s">
        <v>889</v>
      </c>
      <c r="K213" s="97" t="s">
        <v>890</v>
      </c>
      <c r="L213" s="98"/>
    </row>
    <row r="214">
      <c r="B214" s="95" t="s">
        <v>526</v>
      </c>
      <c r="C214" s="95" t="s">
        <v>915</v>
      </c>
      <c r="D214" s="95" t="s">
        <v>69</v>
      </c>
      <c r="E214" s="95" t="s">
        <v>542</v>
      </c>
      <c r="F214" s="95" t="s">
        <v>799</v>
      </c>
      <c r="G214" s="9">
        <v>130000.0</v>
      </c>
      <c r="H214" s="95" t="s">
        <v>530</v>
      </c>
      <c r="I214" s="13">
        <f t="shared" si="10"/>
        <v>13000</v>
      </c>
      <c r="J214" s="97" t="s">
        <v>889</v>
      </c>
      <c r="K214" s="97" t="s">
        <v>890</v>
      </c>
      <c r="L214" s="98"/>
    </row>
    <row r="215">
      <c r="B215" s="95" t="s">
        <v>526</v>
      </c>
      <c r="C215" s="95" t="s">
        <v>888</v>
      </c>
      <c r="D215" s="95" t="s">
        <v>69</v>
      </c>
      <c r="E215" s="95" t="s">
        <v>561</v>
      </c>
      <c r="F215" s="95" t="s">
        <v>799</v>
      </c>
      <c r="G215" s="9">
        <v>350000.0</v>
      </c>
      <c r="H215" s="95" t="s">
        <v>530</v>
      </c>
      <c r="I215" s="13">
        <f t="shared" si="10"/>
        <v>35000</v>
      </c>
      <c r="J215" s="97" t="s">
        <v>917</v>
      </c>
      <c r="K215" s="97" t="s">
        <v>890</v>
      </c>
      <c r="L215" s="98"/>
    </row>
    <row r="216">
      <c r="B216" s="95" t="s">
        <v>526</v>
      </c>
      <c r="C216" s="95" t="s">
        <v>919</v>
      </c>
      <c r="D216" s="95" t="s">
        <v>69</v>
      </c>
      <c r="E216" s="95" t="s">
        <v>555</v>
      </c>
      <c r="F216" s="95" t="s">
        <v>799</v>
      </c>
      <c r="G216" s="9">
        <v>100000.0</v>
      </c>
      <c r="H216" s="95" t="s">
        <v>530</v>
      </c>
      <c r="I216" s="13">
        <f t="shared" si="10"/>
        <v>10000</v>
      </c>
      <c r="J216" s="97" t="s">
        <v>889</v>
      </c>
      <c r="K216" s="97" t="s">
        <v>890</v>
      </c>
      <c r="L216" s="98"/>
    </row>
    <row r="217">
      <c r="B217" s="95" t="s">
        <v>526</v>
      </c>
      <c r="C217" s="95" t="s">
        <v>913</v>
      </c>
      <c r="D217" s="95" t="s">
        <v>69</v>
      </c>
      <c r="E217" s="95" t="s">
        <v>561</v>
      </c>
      <c r="F217" s="95" t="s">
        <v>920</v>
      </c>
      <c r="G217" s="9">
        <v>210000.0</v>
      </c>
      <c r="H217" s="95" t="s">
        <v>530</v>
      </c>
      <c r="I217" s="13">
        <f t="shared" si="10"/>
        <v>21000</v>
      </c>
      <c r="J217" s="97" t="s">
        <v>921</v>
      </c>
      <c r="K217" s="97" t="s">
        <v>922</v>
      </c>
      <c r="L217" s="98"/>
    </row>
    <row r="218">
      <c r="B218" s="95" t="s">
        <v>526</v>
      </c>
      <c r="C218" s="95" t="s">
        <v>923</v>
      </c>
      <c r="D218" s="95" t="s">
        <v>69</v>
      </c>
      <c r="E218" s="95" t="s">
        <v>561</v>
      </c>
      <c r="F218" s="95" t="s">
        <v>920</v>
      </c>
      <c r="G218" s="9">
        <v>240000.0</v>
      </c>
      <c r="H218" s="95" t="s">
        <v>530</v>
      </c>
      <c r="I218" s="13">
        <f t="shared" si="10"/>
        <v>24000</v>
      </c>
      <c r="J218" s="97" t="s">
        <v>921</v>
      </c>
      <c r="K218" s="97" t="s">
        <v>922</v>
      </c>
      <c r="L218" s="98"/>
    </row>
    <row r="219">
      <c r="B219" s="95" t="s">
        <v>526</v>
      </c>
      <c r="C219" s="95" t="s">
        <v>925</v>
      </c>
      <c r="D219" s="95" t="s">
        <v>69</v>
      </c>
      <c r="E219" s="95" t="s">
        <v>926</v>
      </c>
      <c r="F219" s="95" t="s">
        <v>906</v>
      </c>
      <c r="G219" s="9">
        <v>40000.0</v>
      </c>
      <c r="H219" s="95" t="s">
        <v>530</v>
      </c>
      <c r="I219" s="13">
        <f t="shared" si="10"/>
        <v>4000</v>
      </c>
      <c r="J219" s="97" t="s">
        <v>927</v>
      </c>
      <c r="K219" s="98"/>
      <c r="L219" s="98"/>
    </row>
    <row r="220">
      <c r="B220" s="95" t="s">
        <v>526</v>
      </c>
      <c r="C220" s="95" t="s">
        <v>929</v>
      </c>
      <c r="D220" s="95" t="s">
        <v>69</v>
      </c>
      <c r="E220" s="95" t="s">
        <v>930</v>
      </c>
      <c r="F220" s="95" t="s">
        <v>906</v>
      </c>
      <c r="G220" s="9">
        <v>50000.0</v>
      </c>
      <c r="H220" s="95" t="s">
        <v>530</v>
      </c>
      <c r="I220" s="13">
        <f t="shared" si="10"/>
        <v>5000</v>
      </c>
      <c r="J220" s="97" t="s">
        <v>927</v>
      </c>
      <c r="K220" s="98"/>
      <c r="L220" s="98"/>
    </row>
    <row r="221">
      <c r="B221" s="95" t="s">
        <v>526</v>
      </c>
      <c r="C221" s="95" t="s">
        <v>931</v>
      </c>
      <c r="D221" s="95" t="s">
        <v>69</v>
      </c>
      <c r="E221" s="95" t="s">
        <v>542</v>
      </c>
      <c r="F221" s="95" t="s">
        <v>906</v>
      </c>
      <c r="G221" s="9">
        <v>70000.0</v>
      </c>
      <c r="H221" s="95" t="s">
        <v>530</v>
      </c>
      <c r="I221" s="13">
        <f t="shared" si="10"/>
        <v>7000</v>
      </c>
      <c r="J221" s="97" t="s">
        <v>927</v>
      </c>
      <c r="K221" s="98"/>
      <c r="L221" s="98"/>
    </row>
    <row r="222">
      <c r="B222" s="95" t="s">
        <v>526</v>
      </c>
      <c r="C222" s="95" t="s">
        <v>932</v>
      </c>
      <c r="D222" s="95" t="s">
        <v>69</v>
      </c>
      <c r="E222" s="95" t="s">
        <v>561</v>
      </c>
      <c r="F222" s="95" t="s">
        <v>920</v>
      </c>
      <c r="G222" s="9">
        <v>140000.0</v>
      </c>
      <c r="H222" s="95" t="s">
        <v>530</v>
      </c>
      <c r="I222" s="13">
        <f t="shared" si="10"/>
        <v>14000</v>
      </c>
      <c r="J222" s="97" t="s">
        <v>934</v>
      </c>
      <c r="K222" s="98"/>
      <c r="L222" s="98"/>
    </row>
    <row r="223">
      <c r="B223" s="95" t="s">
        <v>526</v>
      </c>
      <c r="C223" s="95" t="s">
        <v>936</v>
      </c>
      <c r="D223" s="95" t="s">
        <v>69</v>
      </c>
      <c r="E223" s="95" t="s">
        <v>555</v>
      </c>
      <c r="F223" s="95" t="s">
        <v>799</v>
      </c>
      <c r="G223" s="9">
        <v>240000.0</v>
      </c>
      <c r="H223" s="95" t="s">
        <v>530</v>
      </c>
      <c r="I223" s="13">
        <f t="shared" si="10"/>
        <v>24000</v>
      </c>
      <c r="J223" s="97" t="s">
        <v>905</v>
      </c>
      <c r="K223" s="97" t="s">
        <v>890</v>
      </c>
      <c r="L223" s="98"/>
    </row>
    <row r="224">
      <c r="B224" s="95" t="s">
        <v>526</v>
      </c>
      <c r="C224" s="95" t="s">
        <v>904</v>
      </c>
      <c r="D224" s="95" t="s">
        <v>69</v>
      </c>
      <c r="E224" s="95" t="s">
        <v>561</v>
      </c>
      <c r="F224" s="95" t="s">
        <v>920</v>
      </c>
      <c r="G224" s="9">
        <v>260000.0</v>
      </c>
      <c r="H224" s="95" t="s">
        <v>530</v>
      </c>
      <c r="I224" s="13">
        <f t="shared" si="10"/>
        <v>26000</v>
      </c>
      <c r="J224" s="97" t="s">
        <v>937</v>
      </c>
      <c r="K224" s="97" t="s">
        <v>938</v>
      </c>
      <c r="L224" s="98"/>
    </row>
    <row r="225">
      <c r="B225" s="95" t="s">
        <v>526</v>
      </c>
      <c r="C225" s="95" t="s">
        <v>939</v>
      </c>
      <c r="D225" s="95" t="s">
        <v>69</v>
      </c>
      <c r="E225" s="95" t="s">
        <v>555</v>
      </c>
      <c r="F225" s="95" t="s">
        <v>799</v>
      </c>
      <c r="G225" s="9">
        <v>200000.0</v>
      </c>
      <c r="H225" s="95" t="s">
        <v>530</v>
      </c>
      <c r="I225" s="13">
        <f t="shared" si="10"/>
        <v>20000</v>
      </c>
      <c r="J225" s="97" t="s">
        <v>905</v>
      </c>
      <c r="K225" s="97" t="s">
        <v>890</v>
      </c>
      <c r="L225" s="98"/>
    </row>
    <row r="226">
      <c r="B226" s="95" t="s">
        <v>526</v>
      </c>
      <c r="C226" s="95" t="s">
        <v>940</v>
      </c>
      <c r="D226" s="95" t="s">
        <v>69</v>
      </c>
      <c r="E226" s="95" t="s">
        <v>561</v>
      </c>
      <c r="F226" s="95" t="s">
        <v>906</v>
      </c>
      <c r="G226" s="9">
        <v>140000.0</v>
      </c>
      <c r="H226" s="95" t="s">
        <v>530</v>
      </c>
      <c r="I226" s="13">
        <f t="shared" si="10"/>
        <v>14000</v>
      </c>
      <c r="J226" s="97" t="s">
        <v>941</v>
      </c>
      <c r="K226" s="98"/>
      <c r="L226" s="98"/>
    </row>
    <row r="227">
      <c r="B227" s="95" t="s">
        <v>526</v>
      </c>
      <c r="C227" s="95" t="s">
        <v>822</v>
      </c>
      <c r="D227" s="95" t="s">
        <v>69</v>
      </c>
      <c r="E227" s="95" t="s">
        <v>555</v>
      </c>
      <c r="F227" s="95" t="s">
        <v>799</v>
      </c>
      <c r="G227" s="9">
        <v>460000.0</v>
      </c>
      <c r="H227" s="95" t="s">
        <v>530</v>
      </c>
      <c r="I227" s="13">
        <f t="shared" si="10"/>
        <v>46000</v>
      </c>
      <c r="J227" s="97" t="s">
        <v>917</v>
      </c>
      <c r="K227" s="97" t="s">
        <v>890</v>
      </c>
      <c r="L227" s="98"/>
    </row>
    <row r="228">
      <c r="B228" s="95" t="s">
        <v>526</v>
      </c>
      <c r="C228" s="95" t="s">
        <v>943</v>
      </c>
      <c r="D228" s="95" t="s">
        <v>69</v>
      </c>
      <c r="E228" s="95" t="s">
        <v>555</v>
      </c>
      <c r="F228" s="95" t="s">
        <v>799</v>
      </c>
      <c r="G228" s="9">
        <v>100000.0</v>
      </c>
      <c r="H228" s="95" t="s">
        <v>745</v>
      </c>
      <c r="I228" s="13">
        <f>G228/5</f>
        <v>20000</v>
      </c>
      <c r="J228" s="97" t="s">
        <v>944</v>
      </c>
      <c r="K228" s="98"/>
      <c r="L228" s="98"/>
    </row>
    <row r="229">
      <c r="B229" s="95" t="s">
        <v>526</v>
      </c>
      <c r="C229" s="95" t="s">
        <v>828</v>
      </c>
      <c r="D229" s="95" t="s">
        <v>69</v>
      </c>
      <c r="E229" s="95" t="s">
        <v>555</v>
      </c>
      <c r="F229" s="95" t="s">
        <v>799</v>
      </c>
      <c r="G229" s="9">
        <v>450000.0</v>
      </c>
      <c r="H229" s="95" t="s">
        <v>530</v>
      </c>
      <c r="I229" s="13">
        <f t="shared" ref="I229:I311" si="11">G229/10</f>
        <v>45000</v>
      </c>
      <c r="J229" s="97" t="s">
        <v>917</v>
      </c>
      <c r="K229" s="97" t="s">
        <v>890</v>
      </c>
      <c r="L229" s="98"/>
    </row>
    <row r="230">
      <c r="B230" s="95" t="s">
        <v>526</v>
      </c>
      <c r="C230" s="95" t="s">
        <v>946</v>
      </c>
      <c r="D230" s="95" t="s">
        <v>69</v>
      </c>
      <c r="E230" s="95" t="s">
        <v>561</v>
      </c>
      <c r="F230" s="95" t="s">
        <v>906</v>
      </c>
      <c r="G230" s="9">
        <v>150000.0</v>
      </c>
      <c r="H230" s="95" t="s">
        <v>530</v>
      </c>
      <c r="I230" s="13">
        <f t="shared" si="11"/>
        <v>15000</v>
      </c>
      <c r="J230" s="97" t="s">
        <v>941</v>
      </c>
      <c r="K230" s="97" t="s">
        <v>927</v>
      </c>
      <c r="L230" s="98"/>
    </row>
    <row r="231">
      <c r="B231" s="95" t="s">
        <v>526</v>
      </c>
      <c r="C231" s="95" t="s">
        <v>947</v>
      </c>
      <c r="D231" s="95" t="s">
        <v>69</v>
      </c>
      <c r="E231" s="95" t="s">
        <v>542</v>
      </c>
      <c r="F231" s="95" t="s">
        <v>920</v>
      </c>
      <c r="G231" s="9">
        <v>120000.0</v>
      </c>
      <c r="H231" s="95" t="s">
        <v>530</v>
      </c>
      <c r="I231" s="13">
        <f t="shared" si="11"/>
        <v>12000</v>
      </c>
      <c r="J231" s="97" t="s">
        <v>948</v>
      </c>
      <c r="K231" s="98"/>
      <c r="L231" s="98"/>
    </row>
    <row r="232">
      <c r="B232" s="95" t="s">
        <v>526</v>
      </c>
      <c r="C232" s="95" t="s">
        <v>845</v>
      </c>
      <c r="D232" s="95" t="s">
        <v>826</v>
      </c>
      <c r="E232" s="95" t="s">
        <v>950</v>
      </c>
      <c r="F232" s="95" t="s">
        <v>799</v>
      </c>
      <c r="G232" s="9">
        <v>400000.0</v>
      </c>
      <c r="H232" s="95" t="s">
        <v>530</v>
      </c>
      <c r="I232" s="13">
        <f t="shared" si="11"/>
        <v>40000</v>
      </c>
      <c r="J232" s="97" t="s">
        <v>921</v>
      </c>
      <c r="K232" s="97" t="s">
        <v>890</v>
      </c>
      <c r="L232" s="98"/>
    </row>
    <row r="233">
      <c r="B233" s="95" t="s">
        <v>526</v>
      </c>
      <c r="C233" s="95" t="s">
        <v>845</v>
      </c>
      <c r="D233" s="95" t="s">
        <v>69</v>
      </c>
      <c r="E233" s="95" t="s">
        <v>555</v>
      </c>
      <c r="F233" s="95" t="s">
        <v>920</v>
      </c>
      <c r="G233" s="9">
        <v>215000.0</v>
      </c>
      <c r="H233" s="95" t="s">
        <v>530</v>
      </c>
      <c r="I233" s="13">
        <f t="shared" si="11"/>
        <v>21500</v>
      </c>
      <c r="J233" s="97" t="s">
        <v>921</v>
      </c>
      <c r="K233" s="97" t="s">
        <v>922</v>
      </c>
      <c r="L233" s="98"/>
    </row>
    <row r="234">
      <c r="B234" s="95" t="s">
        <v>526</v>
      </c>
      <c r="C234" s="95" t="s">
        <v>560</v>
      </c>
      <c r="D234" s="95" t="s">
        <v>69</v>
      </c>
      <c r="E234" s="95" t="s">
        <v>561</v>
      </c>
      <c r="F234" s="95" t="s">
        <v>906</v>
      </c>
      <c r="G234" s="9">
        <v>100000.0</v>
      </c>
      <c r="H234" s="95" t="s">
        <v>530</v>
      </c>
      <c r="I234" s="13">
        <f t="shared" si="11"/>
        <v>10000</v>
      </c>
      <c r="J234" s="97" t="s">
        <v>927</v>
      </c>
      <c r="K234" s="98"/>
      <c r="L234" s="98"/>
    </row>
    <row r="235">
      <c r="B235" s="95" t="s">
        <v>526</v>
      </c>
      <c r="C235" s="95" t="s">
        <v>952</v>
      </c>
      <c r="D235" s="95" t="s">
        <v>69</v>
      </c>
      <c r="E235" s="95" t="s">
        <v>555</v>
      </c>
      <c r="F235" s="95" t="s">
        <v>799</v>
      </c>
      <c r="G235" s="9">
        <v>400000.0</v>
      </c>
      <c r="H235" s="95" t="s">
        <v>530</v>
      </c>
      <c r="I235" s="13">
        <f t="shared" si="11"/>
        <v>40000</v>
      </c>
      <c r="J235" s="97" t="s">
        <v>921</v>
      </c>
      <c r="K235" s="97" t="s">
        <v>917</v>
      </c>
      <c r="L235" s="98"/>
    </row>
    <row r="236">
      <c r="B236" s="95" t="s">
        <v>526</v>
      </c>
      <c r="C236" s="95" t="s">
        <v>952</v>
      </c>
      <c r="D236" s="95" t="s">
        <v>69</v>
      </c>
      <c r="E236" s="95" t="s">
        <v>555</v>
      </c>
      <c r="F236" s="95" t="s">
        <v>920</v>
      </c>
      <c r="G236" s="9">
        <v>210000.0</v>
      </c>
      <c r="H236" s="95" t="s">
        <v>530</v>
      </c>
      <c r="I236" s="13">
        <f t="shared" si="11"/>
        <v>21000</v>
      </c>
      <c r="J236" s="97" t="s">
        <v>921</v>
      </c>
      <c r="K236" s="97" t="s">
        <v>922</v>
      </c>
      <c r="L236" s="98"/>
    </row>
    <row r="237">
      <c r="B237" s="95" t="s">
        <v>526</v>
      </c>
      <c r="C237" s="95" t="s">
        <v>953</v>
      </c>
      <c r="D237" s="95" t="s">
        <v>69</v>
      </c>
      <c r="E237" s="95" t="s">
        <v>555</v>
      </c>
      <c r="F237" s="95" t="s">
        <v>920</v>
      </c>
      <c r="G237" s="9">
        <v>210000.0</v>
      </c>
      <c r="H237" s="95" t="s">
        <v>530</v>
      </c>
      <c r="I237" s="13">
        <f t="shared" si="11"/>
        <v>21000</v>
      </c>
      <c r="J237" s="97" t="s">
        <v>921</v>
      </c>
      <c r="K237" s="97" t="s">
        <v>948</v>
      </c>
      <c r="L237" s="98"/>
    </row>
    <row r="238">
      <c r="B238" s="95" t="s">
        <v>526</v>
      </c>
      <c r="C238" s="95" t="s">
        <v>936</v>
      </c>
      <c r="D238" s="95" t="s">
        <v>69</v>
      </c>
      <c r="E238" s="95" t="s">
        <v>555</v>
      </c>
      <c r="F238" s="95" t="s">
        <v>920</v>
      </c>
      <c r="G238" s="9">
        <v>260000.0</v>
      </c>
      <c r="H238" s="95" t="s">
        <v>530</v>
      </c>
      <c r="I238" s="13">
        <f t="shared" si="11"/>
        <v>26000</v>
      </c>
      <c r="J238" s="97" t="s">
        <v>921</v>
      </c>
      <c r="K238" s="97" t="s">
        <v>938</v>
      </c>
      <c r="L238" s="98"/>
    </row>
    <row r="239">
      <c r="B239" s="95" t="s">
        <v>526</v>
      </c>
      <c r="C239" s="95" t="s">
        <v>954</v>
      </c>
      <c r="D239" s="95" t="s">
        <v>69</v>
      </c>
      <c r="E239" s="95" t="s">
        <v>561</v>
      </c>
      <c r="F239" s="95" t="s">
        <v>906</v>
      </c>
      <c r="G239" s="9">
        <v>170000.0</v>
      </c>
      <c r="H239" s="95" t="s">
        <v>530</v>
      </c>
      <c r="I239" s="13">
        <f t="shared" si="11"/>
        <v>17000</v>
      </c>
      <c r="J239" s="97" t="s">
        <v>941</v>
      </c>
      <c r="K239" s="98"/>
      <c r="L239" s="98"/>
    </row>
    <row r="240">
      <c r="B240" s="95" t="s">
        <v>526</v>
      </c>
      <c r="C240" s="95" t="s">
        <v>955</v>
      </c>
      <c r="D240" s="95" t="s">
        <v>69</v>
      </c>
      <c r="E240" s="95" t="s">
        <v>542</v>
      </c>
      <c r="F240" s="95" t="s">
        <v>920</v>
      </c>
      <c r="G240" s="9">
        <v>110000.0</v>
      </c>
      <c r="H240" s="95" t="s">
        <v>530</v>
      </c>
      <c r="I240" s="13">
        <f t="shared" si="11"/>
        <v>11000</v>
      </c>
      <c r="J240" s="97" t="s">
        <v>934</v>
      </c>
      <c r="K240" s="97" t="s">
        <v>948</v>
      </c>
      <c r="L240" s="98"/>
    </row>
    <row r="241">
      <c r="B241" s="95" t="s">
        <v>526</v>
      </c>
      <c r="C241" s="95" t="s">
        <v>957</v>
      </c>
      <c r="D241" s="95" t="s">
        <v>69</v>
      </c>
      <c r="E241" s="95" t="s">
        <v>542</v>
      </c>
      <c r="F241" s="95" t="s">
        <v>920</v>
      </c>
      <c r="G241" s="9">
        <v>130000.0</v>
      </c>
      <c r="H241" s="95" t="s">
        <v>530</v>
      </c>
      <c r="I241" s="13">
        <f t="shared" si="11"/>
        <v>13000</v>
      </c>
      <c r="J241" s="97" t="s">
        <v>934</v>
      </c>
      <c r="K241" s="98"/>
      <c r="L241" s="98"/>
    </row>
    <row r="242">
      <c r="B242" s="95" t="s">
        <v>526</v>
      </c>
      <c r="C242" s="95" t="s">
        <v>958</v>
      </c>
      <c r="D242" s="95" t="s">
        <v>69</v>
      </c>
      <c r="E242" s="95" t="s">
        <v>561</v>
      </c>
      <c r="F242" s="95" t="s">
        <v>906</v>
      </c>
      <c r="G242" s="9">
        <v>170000.0</v>
      </c>
      <c r="H242" s="95" t="s">
        <v>530</v>
      </c>
      <c r="I242" s="13">
        <f t="shared" si="11"/>
        <v>17000</v>
      </c>
      <c r="J242" s="97" t="s">
        <v>941</v>
      </c>
      <c r="K242" s="98"/>
      <c r="L242" s="98"/>
    </row>
    <row r="243">
      <c r="B243" s="95" t="s">
        <v>526</v>
      </c>
      <c r="C243" s="95" t="s">
        <v>959</v>
      </c>
      <c r="D243" s="95" t="s">
        <v>69</v>
      </c>
      <c r="E243" s="95" t="s">
        <v>555</v>
      </c>
      <c r="F243" s="95" t="s">
        <v>920</v>
      </c>
      <c r="G243" s="9">
        <v>170000.0</v>
      </c>
      <c r="H243" s="95" t="s">
        <v>530</v>
      </c>
      <c r="I243" s="13">
        <f t="shared" si="11"/>
        <v>17000</v>
      </c>
      <c r="J243" s="97" t="s">
        <v>934</v>
      </c>
      <c r="K243" s="97" t="s">
        <v>948</v>
      </c>
      <c r="L243" s="98"/>
    </row>
    <row r="244">
      <c r="B244" s="95" t="s">
        <v>526</v>
      </c>
      <c r="C244" s="95" t="s">
        <v>959</v>
      </c>
      <c r="D244" s="95" t="s">
        <v>69</v>
      </c>
      <c r="E244" s="95" t="s">
        <v>555</v>
      </c>
      <c r="F244" s="95" t="s">
        <v>799</v>
      </c>
      <c r="G244" s="9">
        <v>270000.0</v>
      </c>
      <c r="H244" s="95" t="s">
        <v>530</v>
      </c>
      <c r="I244" s="13">
        <f t="shared" si="11"/>
        <v>27000</v>
      </c>
      <c r="J244" s="97" t="s">
        <v>934</v>
      </c>
      <c r="K244" s="97" t="s">
        <v>917</v>
      </c>
      <c r="L244" s="98"/>
    </row>
    <row r="245">
      <c r="B245" s="95" t="s">
        <v>526</v>
      </c>
      <c r="C245" s="95" t="s">
        <v>830</v>
      </c>
      <c r="D245" s="95" t="s">
        <v>69</v>
      </c>
      <c r="E245" s="95" t="s">
        <v>555</v>
      </c>
      <c r="F245" s="95" t="s">
        <v>920</v>
      </c>
      <c r="G245" s="9">
        <v>170000.0</v>
      </c>
      <c r="H245" s="95" t="s">
        <v>530</v>
      </c>
      <c r="I245" s="13">
        <f t="shared" si="11"/>
        <v>17000</v>
      </c>
      <c r="J245" s="97" t="s">
        <v>934</v>
      </c>
      <c r="K245" s="98"/>
      <c r="L245" s="98"/>
    </row>
    <row r="246">
      <c r="B246" s="95" t="s">
        <v>526</v>
      </c>
      <c r="C246" s="95" t="s">
        <v>888</v>
      </c>
      <c r="D246" s="95" t="s">
        <v>69</v>
      </c>
      <c r="E246" s="95" t="s">
        <v>555</v>
      </c>
      <c r="F246" s="95" t="s">
        <v>920</v>
      </c>
      <c r="G246" s="9">
        <v>285000.0</v>
      </c>
      <c r="H246" s="95" t="s">
        <v>530</v>
      </c>
      <c r="I246" s="13">
        <f t="shared" si="11"/>
        <v>28500</v>
      </c>
      <c r="J246" s="97" t="s">
        <v>937</v>
      </c>
      <c r="K246" s="97" t="s">
        <v>938</v>
      </c>
      <c r="L246" s="98"/>
    </row>
    <row r="247">
      <c r="B247" s="95" t="s">
        <v>526</v>
      </c>
      <c r="C247" s="95" t="s">
        <v>961</v>
      </c>
      <c r="D247" s="95" t="s">
        <v>69</v>
      </c>
      <c r="E247" s="95" t="s">
        <v>561</v>
      </c>
      <c r="F247" s="95" t="s">
        <v>906</v>
      </c>
      <c r="G247" s="9">
        <v>180000.0</v>
      </c>
      <c r="H247" s="95" t="s">
        <v>530</v>
      </c>
      <c r="I247" s="13">
        <f t="shared" si="11"/>
        <v>18000</v>
      </c>
      <c r="J247" s="97" t="s">
        <v>941</v>
      </c>
      <c r="K247" s="98"/>
      <c r="L247" s="98"/>
    </row>
    <row r="248">
      <c r="B248" s="95" t="s">
        <v>526</v>
      </c>
      <c r="C248" s="95" t="s">
        <v>962</v>
      </c>
      <c r="D248" s="95" t="s">
        <v>69</v>
      </c>
      <c r="E248" s="95" t="s">
        <v>555</v>
      </c>
      <c r="F248" s="95" t="s">
        <v>920</v>
      </c>
      <c r="G248" s="9">
        <v>250000.0</v>
      </c>
      <c r="H248" s="95" t="s">
        <v>530</v>
      </c>
      <c r="I248" s="13">
        <f t="shared" si="11"/>
        <v>25000</v>
      </c>
      <c r="J248" s="97" t="s">
        <v>937</v>
      </c>
      <c r="K248" s="97" t="s">
        <v>922</v>
      </c>
      <c r="L248" s="98"/>
    </row>
    <row r="249">
      <c r="B249" s="95" t="s">
        <v>526</v>
      </c>
      <c r="C249" s="95" t="s">
        <v>963</v>
      </c>
      <c r="D249" s="95" t="s">
        <v>69</v>
      </c>
      <c r="E249" s="95" t="s">
        <v>555</v>
      </c>
      <c r="F249" s="95" t="s">
        <v>920</v>
      </c>
      <c r="G249" s="9">
        <v>270000.0</v>
      </c>
      <c r="H249" s="95" t="s">
        <v>530</v>
      </c>
      <c r="I249" s="13">
        <f t="shared" si="11"/>
        <v>27000</v>
      </c>
      <c r="J249" s="97" t="s">
        <v>937</v>
      </c>
      <c r="K249" s="97" t="s">
        <v>938</v>
      </c>
      <c r="L249" s="98"/>
    </row>
    <row r="250">
      <c r="B250" s="95" t="s">
        <v>526</v>
      </c>
      <c r="C250" s="95" t="s">
        <v>822</v>
      </c>
      <c r="D250" s="95" t="s">
        <v>69</v>
      </c>
      <c r="E250" s="95" t="s">
        <v>555</v>
      </c>
      <c r="F250" s="95" t="s">
        <v>920</v>
      </c>
      <c r="G250" s="9">
        <v>535000.0</v>
      </c>
      <c r="H250" s="95" t="s">
        <v>530</v>
      </c>
      <c r="I250" s="13">
        <f t="shared" si="11"/>
        <v>53500</v>
      </c>
      <c r="J250" s="97" t="s">
        <v>937</v>
      </c>
      <c r="K250" s="97" t="s">
        <v>938</v>
      </c>
      <c r="L250" s="98"/>
    </row>
    <row r="251">
      <c r="B251" s="95" t="s">
        <v>526</v>
      </c>
      <c r="C251" s="95" t="s">
        <v>829</v>
      </c>
      <c r="D251" s="95" t="s">
        <v>69</v>
      </c>
      <c r="E251" s="95" t="s">
        <v>555</v>
      </c>
      <c r="F251" s="95" t="s">
        <v>920</v>
      </c>
      <c r="G251" s="9">
        <v>90000.0</v>
      </c>
      <c r="H251" s="95" t="s">
        <v>530</v>
      </c>
      <c r="I251" s="13">
        <f t="shared" si="11"/>
        <v>9000</v>
      </c>
      <c r="J251" s="97" t="s">
        <v>965</v>
      </c>
      <c r="K251" s="98"/>
      <c r="L251" s="98"/>
    </row>
    <row r="252">
      <c r="B252" s="95" t="s">
        <v>526</v>
      </c>
      <c r="C252" s="95" t="s">
        <v>966</v>
      </c>
      <c r="D252" s="95" t="s">
        <v>69</v>
      </c>
      <c r="E252" s="95" t="s">
        <v>555</v>
      </c>
      <c r="F252" s="95" t="s">
        <v>920</v>
      </c>
      <c r="G252" s="9">
        <v>30000.0</v>
      </c>
      <c r="H252" s="95" t="s">
        <v>530</v>
      </c>
      <c r="I252" s="13">
        <f t="shared" si="11"/>
        <v>3000</v>
      </c>
      <c r="J252" s="97" t="s">
        <v>965</v>
      </c>
      <c r="K252" s="98"/>
      <c r="L252" s="98"/>
    </row>
    <row r="253">
      <c r="B253" s="95" t="s">
        <v>526</v>
      </c>
      <c r="C253" s="95" t="s">
        <v>821</v>
      </c>
      <c r="D253" s="95" t="s">
        <v>69</v>
      </c>
      <c r="E253" s="95" t="s">
        <v>131</v>
      </c>
      <c r="F253" s="95" t="s">
        <v>920</v>
      </c>
      <c r="G253" s="9">
        <v>80000.0</v>
      </c>
      <c r="H253" s="95" t="s">
        <v>530</v>
      </c>
      <c r="I253" s="13">
        <f t="shared" si="11"/>
        <v>8000</v>
      </c>
      <c r="J253" s="97" t="s">
        <v>965</v>
      </c>
      <c r="K253" s="98"/>
      <c r="L253" s="98"/>
    </row>
    <row r="254">
      <c r="B254" s="95" t="s">
        <v>526</v>
      </c>
      <c r="C254" s="95" t="s">
        <v>968</v>
      </c>
      <c r="D254" s="95" t="s">
        <v>69</v>
      </c>
      <c r="E254" s="95" t="s">
        <v>131</v>
      </c>
      <c r="F254" s="95" t="s">
        <v>920</v>
      </c>
      <c r="G254" s="9">
        <v>80000.0</v>
      </c>
      <c r="H254" s="95" t="s">
        <v>530</v>
      </c>
      <c r="I254" s="13">
        <f t="shared" si="11"/>
        <v>8000</v>
      </c>
      <c r="J254" s="97" t="s">
        <v>965</v>
      </c>
      <c r="K254" s="98"/>
      <c r="L254" s="98"/>
    </row>
    <row r="255">
      <c r="B255" s="95" t="s">
        <v>526</v>
      </c>
      <c r="C255" s="95" t="s">
        <v>560</v>
      </c>
      <c r="D255" s="95" t="s">
        <v>69</v>
      </c>
      <c r="E255" s="95" t="s">
        <v>131</v>
      </c>
      <c r="F255" s="95" t="s">
        <v>920</v>
      </c>
      <c r="G255" s="9">
        <v>60000.0</v>
      </c>
      <c r="H255" s="95" t="s">
        <v>530</v>
      </c>
      <c r="I255" s="13">
        <f t="shared" si="11"/>
        <v>6000</v>
      </c>
      <c r="J255" s="97" t="s">
        <v>965</v>
      </c>
      <c r="K255" s="98"/>
      <c r="L255" s="98"/>
    </row>
    <row r="256">
      <c r="B256" s="95" t="s">
        <v>526</v>
      </c>
      <c r="C256" s="95" t="s">
        <v>541</v>
      </c>
      <c r="D256" s="95" t="s">
        <v>69</v>
      </c>
      <c r="E256" s="95" t="s">
        <v>131</v>
      </c>
      <c r="F256" s="95" t="s">
        <v>920</v>
      </c>
      <c r="G256" s="9">
        <v>50000.0</v>
      </c>
      <c r="H256" s="95" t="s">
        <v>530</v>
      </c>
      <c r="I256" s="13">
        <f t="shared" si="11"/>
        <v>5000</v>
      </c>
      <c r="J256" s="97" t="s">
        <v>965</v>
      </c>
      <c r="K256" s="98"/>
      <c r="L256" s="98"/>
    </row>
    <row r="257">
      <c r="B257" s="95" t="s">
        <v>526</v>
      </c>
      <c r="C257" s="95" t="s">
        <v>969</v>
      </c>
      <c r="D257" s="95" t="s">
        <v>69</v>
      </c>
      <c r="E257" s="95" t="s">
        <v>131</v>
      </c>
      <c r="F257" s="95" t="s">
        <v>920</v>
      </c>
      <c r="G257" s="9">
        <v>50000.0</v>
      </c>
      <c r="H257" s="95" t="s">
        <v>530</v>
      </c>
      <c r="I257" s="13">
        <f t="shared" si="11"/>
        <v>5000</v>
      </c>
      <c r="J257" s="97" t="s">
        <v>965</v>
      </c>
      <c r="K257" s="98"/>
      <c r="L257" s="98"/>
    </row>
    <row r="258">
      <c r="B258" s="95" t="s">
        <v>526</v>
      </c>
      <c r="C258" s="95" t="s">
        <v>971</v>
      </c>
      <c r="D258" s="95" t="s">
        <v>69</v>
      </c>
      <c r="E258" s="95" t="s">
        <v>131</v>
      </c>
      <c r="F258" s="95" t="s">
        <v>920</v>
      </c>
      <c r="G258" s="9">
        <v>45000.0</v>
      </c>
      <c r="H258" s="95" t="s">
        <v>530</v>
      </c>
      <c r="I258" s="13">
        <f t="shared" si="11"/>
        <v>4500</v>
      </c>
      <c r="J258" s="97" t="s">
        <v>965</v>
      </c>
      <c r="K258" s="98"/>
      <c r="L258" s="98"/>
    </row>
    <row r="259">
      <c r="B259" s="95" t="s">
        <v>526</v>
      </c>
      <c r="C259" s="95" t="s">
        <v>783</v>
      </c>
      <c r="D259" s="95" t="s">
        <v>69</v>
      </c>
      <c r="E259" s="95" t="s">
        <v>131</v>
      </c>
      <c r="F259" s="95" t="s">
        <v>920</v>
      </c>
      <c r="G259" s="9">
        <v>30000.0</v>
      </c>
      <c r="H259" s="95" t="s">
        <v>530</v>
      </c>
      <c r="I259" s="13">
        <f t="shared" si="11"/>
        <v>3000</v>
      </c>
      <c r="J259" s="97" t="s">
        <v>965</v>
      </c>
      <c r="K259" s="98"/>
      <c r="L259" s="98"/>
    </row>
    <row r="260">
      <c r="B260" s="95" t="s">
        <v>526</v>
      </c>
      <c r="C260" s="95" t="s">
        <v>972</v>
      </c>
      <c r="D260" s="95" t="s">
        <v>69</v>
      </c>
      <c r="E260" s="95" t="s">
        <v>131</v>
      </c>
      <c r="F260" s="95" t="s">
        <v>920</v>
      </c>
      <c r="G260" s="9">
        <v>30000.0</v>
      </c>
      <c r="H260" s="95" t="s">
        <v>530</v>
      </c>
      <c r="I260" s="13">
        <f t="shared" si="11"/>
        <v>3000</v>
      </c>
      <c r="J260" s="97" t="s">
        <v>965</v>
      </c>
      <c r="K260" s="98"/>
      <c r="L260" s="98"/>
    </row>
    <row r="261">
      <c r="B261" s="95" t="s">
        <v>526</v>
      </c>
      <c r="C261" s="95" t="s">
        <v>973</v>
      </c>
      <c r="D261" s="95" t="s">
        <v>69</v>
      </c>
      <c r="E261" s="95" t="s">
        <v>131</v>
      </c>
      <c r="F261" s="95" t="s">
        <v>920</v>
      </c>
      <c r="G261" s="9">
        <v>20000.0</v>
      </c>
      <c r="H261" s="95" t="s">
        <v>530</v>
      </c>
      <c r="I261" s="13">
        <f t="shared" si="11"/>
        <v>2000</v>
      </c>
      <c r="J261" s="97" t="s">
        <v>965</v>
      </c>
      <c r="K261" s="98"/>
      <c r="L261" s="98"/>
    </row>
    <row r="262">
      <c r="B262" s="95" t="s">
        <v>526</v>
      </c>
      <c r="C262" s="95" t="s">
        <v>974</v>
      </c>
      <c r="D262" s="95" t="s">
        <v>69</v>
      </c>
      <c r="E262" s="95" t="s">
        <v>131</v>
      </c>
      <c r="F262" s="95" t="s">
        <v>920</v>
      </c>
      <c r="G262" s="9">
        <v>10000.0</v>
      </c>
      <c r="H262" s="95" t="s">
        <v>530</v>
      </c>
      <c r="I262" s="13">
        <f t="shared" si="11"/>
        <v>1000</v>
      </c>
      <c r="J262" s="97" t="s">
        <v>965</v>
      </c>
      <c r="K262" s="98"/>
      <c r="L262" s="98"/>
    </row>
    <row r="263">
      <c r="B263" s="95" t="s">
        <v>526</v>
      </c>
      <c r="C263" s="95" t="s">
        <v>975</v>
      </c>
      <c r="D263" s="95" t="s">
        <v>69</v>
      </c>
      <c r="E263" s="95" t="s">
        <v>561</v>
      </c>
      <c r="F263" s="95" t="s">
        <v>906</v>
      </c>
      <c r="G263" s="9">
        <v>190000.0</v>
      </c>
      <c r="H263" s="95" t="s">
        <v>530</v>
      </c>
      <c r="I263" s="13">
        <f t="shared" si="11"/>
        <v>19000</v>
      </c>
      <c r="J263" s="97" t="s">
        <v>941</v>
      </c>
      <c r="K263" s="98"/>
      <c r="L263" s="98"/>
    </row>
    <row r="264">
      <c r="B264" s="95" t="s">
        <v>526</v>
      </c>
      <c r="C264" s="95" t="s">
        <v>976</v>
      </c>
      <c r="D264" s="95" t="s">
        <v>69</v>
      </c>
      <c r="E264" s="95" t="s">
        <v>542</v>
      </c>
      <c r="F264" s="95" t="s">
        <v>562</v>
      </c>
      <c r="G264" s="9">
        <v>90000.0</v>
      </c>
      <c r="H264" s="95" t="s">
        <v>530</v>
      </c>
      <c r="I264" s="13">
        <f t="shared" si="11"/>
        <v>9000</v>
      </c>
      <c r="J264" s="97" t="s">
        <v>563</v>
      </c>
      <c r="K264" s="97" t="s">
        <v>570</v>
      </c>
      <c r="L264" s="98"/>
    </row>
    <row r="265">
      <c r="B265" s="95" t="s">
        <v>526</v>
      </c>
      <c r="C265" s="95" t="s">
        <v>977</v>
      </c>
      <c r="D265" s="95" t="s">
        <v>69</v>
      </c>
      <c r="E265" s="95" t="s">
        <v>561</v>
      </c>
      <c r="F265" s="95" t="s">
        <v>906</v>
      </c>
      <c r="G265" s="9">
        <v>270000.0</v>
      </c>
      <c r="H265" s="95" t="s">
        <v>530</v>
      </c>
      <c r="I265" s="13">
        <f t="shared" si="11"/>
        <v>27000</v>
      </c>
      <c r="J265" s="97" t="s">
        <v>978</v>
      </c>
      <c r="K265" s="98"/>
      <c r="L265" s="98"/>
    </row>
    <row r="266">
      <c r="B266" s="95" t="s">
        <v>526</v>
      </c>
      <c r="C266" s="95" t="s">
        <v>980</v>
      </c>
      <c r="D266" s="95" t="s">
        <v>69</v>
      </c>
      <c r="E266" s="95" t="s">
        <v>561</v>
      </c>
      <c r="F266" s="95" t="s">
        <v>537</v>
      </c>
      <c r="G266" s="9">
        <v>150000.0</v>
      </c>
      <c r="H266" s="95" t="s">
        <v>530</v>
      </c>
      <c r="I266" s="13">
        <f t="shared" si="11"/>
        <v>15000</v>
      </c>
      <c r="J266" s="97" t="s">
        <v>982</v>
      </c>
      <c r="K266" s="97" t="s">
        <v>983</v>
      </c>
      <c r="L266" s="98"/>
    </row>
    <row r="267">
      <c r="B267" s="95" t="s">
        <v>526</v>
      </c>
      <c r="C267" s="95" t="s">
        <v>984</v>
      </c>
      <c r="D267" s="95" t="s">
        <v>69</v>
      </c>
      <c r="E267" s="95" t="s">
        <v>561</v>
      </c>
      <c r="F267" s="95" t="s">
        <v>537</v>
      </c>
      <c r="G267" s="9">
        <v>290000.0</v>
      </c>
      <c r="H267" s="95" t="s">
        <v>530</v>
      </c>
      <c r="I267" s="13">
        <f t="shared" si="11"/>
        <v>29000</v>
      </c>
      <c r="J267" s="97" t="s">
        <v>985</v>
      </c>
      <c r="K267" s="98"/>
      <c r="L267" s="98"/>
    </row>
    <row r="268">
      <c r="B268" s="95" t="s">
        <v>526</v>
      </c>
      <c r="C268" s="95" t="s">
        <v>986</v>
      </c>
      <c r="D268" s="95" t="s">
        <v>69</v>
      </c>
      <c r="E268" s="95" t="s">
        <v>561</v>
      </c>
      <c r="F268" s="95" t="s">
        <v>537</v>
      </c>
      <c r="G268" s="9">
        <v>300000.0</v>
      </c>
      <c r="H268" s="95" t="s">
        <v>530</v>
      </c>
      <c r="I268" s="13">
        <f t="shared" si="11"/>
        <v>30000</v>
      </c>
      <c r="J268" s="97" t="s">
        <v>985</v>
      </c>
      <c r="K268" s="98"/>
      <c r="L268" s="98"/>
    </row>
    <row r="269">
      <c r="B269" s="95" t="s">
        <v>526</v>
      </c>
      <c r="C269" s="95" t="s">
        <v>975</v>
      </c>
      <c r="D269" s="95" t="s">
        <v>69</v>
      </c>
      <c r="E269" s="95" t="s">
        <v>561</v>
      </c>
      <c r="F269" s="95" t="s">
        <v>537</v>
      </c>
      <c r="G269" s="9">
        <v>300000.0</v>
      </c>
      <c r="H269" s="95" t="s">
        <v>530</v>
      </c>
      <c r="I269" s="13">
        <f t="shared" si="11"/>
        <v>30000</v>
      </c>
      <c r="J269" s="97" t="s">
        <v>985</v>
      </c>
      <c r="K269" s="98"/>
      <c r="L269" s="98"/>
    </row>
    <row r="270">
      <c r="B270" s="95" t="s">
        <v>526</v>
      </c>
      <c r="C270" s="95" t="s">
        <v>846</v>
      </c>
      <c r="D270" s="95" t="s">
        <v>69</v>
      </c>
      <c r="E270" s="95" t="s">
        <v>561</v>
      </c>
      <c r="F270" s="95" t="s">
        <v>537</v>
      </c>
      <c r="G270" s="9">
        <v>70000.0</v>
      </c>
      <c r="H270" s="95" t="s">
        <v>530</v>
      </c>
      <c r="I270" s="13">
        <f t="shared" si="11"/>
        <v>7000</v>
      </c>
      <c r="J270" s="97" t="s">
        <v>987</v>
      </c>
      <c r="K270" s="98"/>
      <c r="L270" s="98"/>
    </row>
    <row r="271">
      <c r="B271" s="95" t="s">
        <v>526</v>
      </c>
      <c r="C271" s="95" t="s">
        <v>988</v>
      </c>
      <c r="D271" s="95" t="s">
        <v>69</v>
      </c>
      <c r="E271" s="95" t="s">
        <v>561</v>
      </c>
      <c r="F271" s="95" t="s">
        <v>537</v>
      </c>
      <c r="G271" s="9">
        <v>150000.0</v>
      </c>
      <c r="H271" s="95" t="s">
        <v>530</v>
      </c>
      <c r="I271" s="13">
        <f t="shared" si="11"/>
        <v>15000</v>
      </c>
      <c r="J271" s="97" t="s">
        <v>983</v>
      </c>
      <c r="K271" s="98"/>
      <c r="L271" s="98"/>
    </row>
    <row r="272">
      <c r="B272" s="95" t="s">
        <v>526</v>
      </c>
      <c r="C272" s="95" t="s">
        <v>992</v>
      </c>
      <c r="D272" s="95" t="s">
        <v>69</v>
      </c>
      <c r="E272" s="95" t="s">
        <v>542</v>
      </c>
      <c r="F272" s="95" t="s">
        <v>562</v>
      </c>
      <c r="G272" s="9">
        <v>138000.0</v>
      </c>
      <c r="H272" s="95" t="s">
        <v>530</v>
      </c>
      <c r="I272" s="13">
        <f t="shared" si="11"/>
        <v>13800</v>
      </c>
      <c r="J272" s="97" t="s">
        <v>570</v>
      </c>
      <c r="K272" s="98"/>
      <c r="L272" s="98"/>
    </row>
    <row r="273">
      <c r="B273" s="95" t="s">
        <v>526</v>
      </c>
      <c r="C273" s="95" t="s">
        <v>993</v>
      </c>
      <c r="D273" s="95" t="s">
        <v>69</v>
      </c>
      <c r="E273" s="95" t="s">
        <v>542</v>
      </c>
      <c r="F273" s="95" t="s">
        <v>562</v>
      </c>
      <c r="G273" s="9">
        <v>60000.0</v>
      </c>
      <c r="H273" s="95" t="s">
        <v>530</v>
      </c>
      <c r="I273" s="13">
        <f t="shared" si="11"/>
        <v>6000</v>
      </c>
      <c r="J273" s="97" t="s">
        <v>570</v>
      </c>
      <c r="K273" s="98"/>
      <c r="L273" s="98"/>
    </row>
    <row r="274">
      <c r="B274" s="95" t="s">
        <v>526</v>
      </c>
      <c r="C274" s="95" t="s">
        <v>969</v>
      </c>
      <c r="D274" s="95" t="s">
        <v>69</v>
      </c>
      <c r="E274" s="95" t="s">
        <v>542</v>
      </c>
      <c r="F274" s="95" t="s">
        <v>562</v>
      </c>
      <c r="G274" s="9">
        <v>50000.0</v>
      </c>
      <c r="H274" s="95" t="s">
        <v>530</v>
      </c>
      <c r="I274" s="13">
        <f t="shared" si="11"/>
        <v>5000</v>
      </c>
      <c r="J274" s="97" t="s">
        <v>570</v>
      </c>
      <c r="K274" s="98"/>
      <c r="L274" s="98"/>
    </row>
    <row r="275">
      <c r="B275" s="95" t="s">
        <v>526</v>
      </c>
      <c r="C275" s="95" t="s">
        <v>995</v>
      </c>
      <c r="D275" s="95" t="s">
        <v>69</v>
      </c>
      <c r="E275" s="95" t="s">
        <v>542</v>
      </c>
      <c r="F275" s="95" t="s">
        <v>562</v>
      </c>
      <c r="G275" s="9">
        <v>50000.0</v>
      </c>
      <c r="H275" s="95" t="s">
        <v>530</v>
      </c>
      <c r="I275" s="13">
        <f t="shared" si="11"/>
        <v>5000</v>
      </c>
      <c r="J275" s="97" t="s">
        <v>570</v>
      </c>
      <c r="K275" s="98"/>
      <c r="L275" s="98"/>
    </row>
    <row r="276">
      <c r="B276" s="95" t="s">
        <v>526</v>
      </c>
      <c r="C276" s="95" t="s">
        <v>997</v>
      </c>
      <c r="D276" s="95" t="s">
        <v>69</v>
      </c>
      <c r="E276" s="95" t="s">
        <v>542</v>
      </c>
      <c r="F276" s="95" t="s">
        <v>562</v>
      </c>
      <c r="G276" s="9">
        <v>50000.0</v>
      </c>
      <c r="H276" s="95" t="s">
        <v>530</v>
      </c>
      <c r="I276" s="13">
        <f t="shared" si="11"/>
        <v>5000</v>
      </c>
      <c r="J276" s="97" t="s">
        <v>570</v>
      </c>
      <c r="K276" s="98"/>
      <c r="L276" s="98"/>
    </row>
    <row r="277">
      <c r="B277" s="95" t="s">
        <v>526</v>
      </c>
      <c r="C277" s="95" t="s">
        <v>998</v>
      </c>
      <c r="D277" s="95" t="s">
        <v>69</v>
      </c>
      <c r="E277" s="95" t="s">
        <v>542</v>
      </c>
      <c r="F277" s="95" t="s">
        <v>562</v>
      </c>
      <c r="G277" s="9">
        <v>37000.0</v>
      </c>
      <c r="H277" s="95" t="s">
        <v>530</v>
      </c>
      <c r="I277" s="13">
        <f t="shared" si="11"/>
        <v>3700</v>
      </c>
      <c r="J277" s="97" t="s">
        <v>570</v>
      </c>
      <c r="K277" s="98"/>
      <c r="L277" s="98"/>
    </row>
    <row r="278">
      <c r="B278" s="95" t="s">
        <v>526</v>
      </c>
      <c r="C278" s="95" t="s">
        <v>988</v>
      </c>
      <c r="D278" s="95" t="s">
        <v>69</v>
      </c>
      <c r="E278" s="95" t="s">
        <v>542</v>
      </c>
      <c r="F278" s="95" t="s">
        <v>562</v>
      </c>
      <c r="G278" s="9">
        <v>30000.0</v>
      </c>
      <c r="H278" s="95" t="s">
        <v>530</v>
      </c>
      <c r="I278" s="13">
        <f t="shared" si="11"/>
        <v>3000</v>
      </c>
      <c r="J278" s="97" t="s">
        <v>570</v>
      </c>
      <c r="K278" s="98"/>
      <c r="L278" s="98"/>
    </row>
    <row r="279">
      <c r="B279" s="95" t="s">
        <v>526</v>
      </c>
      <c r="C279" s="95" t="s">
        <v>857</v>
      </c>
      <c r="D279" s="95" t="s">
        <v>69</v>
      </c>
      <c r="E279" s="95" t="s">
        <v>542</v>
      </c>
      <c r="F279" s="95" t="s">
        <v>562</v>
      </c>
      <c r="G279" s="9">
        <v>30000.0</v>
      </c>
      <c r="H279" s="95" t="s">
        <v>530</v>
      </c>
      <c r="I279" s="13">
        <f t="shared" si="11"/>
        <v>3000</v>
      </c>
      <c r="J279" s="97" t="s">
        <v>570</v>
      </c>
      <c r="K279" s="98"/>
      <c r="L279" s="98"/>
    </row>
    <row r="280">
      <c r="B280" s="95" t="s">
        <v>526</v>
      </c>
      <c r="C280" s="95" t="s">
        <v>999</v>
      </c>
      <c r="D280" s="95" t="s">
        <v>69</v>
      </c>
      <c r="E280" s="95" t="s">
        <v>542</v>
      </c>
      <c r="F280" s="95" t="s">
        <v>562</v>
      </c>
      <c r="G280" s="9">
        <v>184000.0</v>
      </c>
      <c r="H280" s="95" t="s">
        <v>530</v>
      </c>
      <c r="I280" s="13">
        <f t="shared" si="11"/>
        <v>18400</v>
      </c>
      <c r="J280" s="97" t="s">
        <v>570</v>
      </c>
      <c r="K280" s="98"/>
      <c r="L280" s="98"/>
    </row>
    <row r="281">
      <c r="B281" s="95" t="s">
        <v>526</v>
      </c>
      <c r="C281" s="95" t="s">
        <v>909</v>
      </c>
      <c r="D281" s="95" t="s">
        <v>69</v>
      </c>
      <c r="E281" s="95" t="s">
        <v>555</v>
      </c>
      <c r="F281" s="95" t="s">
        <v>562</v>
      </c>
      <c r="G281" s="9">
        <v>23000.0</v>
      </c>
      <c r="H281" s="95" t="s">
        <v>530</v>
      </c>
      <c r="I281" s="13">
        <f t="shared" si="11"/>
        <v>2300</v>
      </c>
      <c r="J281" s="97" t="s">
        <v>570</v>
      </c>
      <c r="K281" s="98"/>
      <c r="L281" s="98"/>
    </row>
    <row r="282">
      <c r="B282" s="95" t="s">
        <v>526</v>
      </c>
      <c r="C282" s="95" t="s">
        <v>973</v>
      </c>
      <c r="D282" s="95" t="s">
        <v>69</v>
      </c>
      <c r="E282" s="95" t="s">
        <v>555</v>
      </c>
      <c r="F282" s="95" t="s">
        <v>562</v>
      </c>
      <c r="G282" s="9">
        <v>17000.0</v>
      </c>
      <c r="H282" s="95" t="s">
        <v>530</v>
      </c>
      <c r="I282" s="13">
        <f t="shared" si="11"/>
        <v>1700</v>
      </c>
      <c r="J282" s="97" t="s">
        <v>570</v>
      </c>
      <c r="K282" s="98"/>
      <c r="L282" s="98"/>
    </row>
    <row r="283">
      <c r="B283" s="95" t="s">
        <v>526</v>
      </c>
      <c r="C283" s="95" t="s">
        <v>780</v>
      </c>
      <c r="D283" s="95" t="s">
        <v>69</v>
      </c>
      <c r="E283" s="95" t="s">
        <v>555</v>
      </c>
      <c r="F283" s="95" t="s">
        <v>562</v>
      </c>
      <c r="G283" s="9">
        <v>65000.0</v>
      </c>
      <c r="H283" s="95" t="s">
        <v>530</v>
      </c>
      <c r="I283" s="13">
        <f t="shared" si="11"/>
        <v>6500</v>
      </c>
      <c r="J283" s="97" t="s">
        <v>570</v>
      </c>
      <c r="K283" s="98"/>
      <c r="L283" s="98"/>
    </row>
    <row r="284">
      <c r="B284" s="95" t="s">
        <v>526</v>
      </c>
      <c r="C284" s="95" t="s">
        <v>904</v>
      </c>
      <c r="D284" s="95" t="s">
        <v>69</v>
      </c>
      <c r="E284" s="95" t="s">
        <v>555</v>
      </c>
      <c r="F284" s="95" t="s">
        <v>562</v>
      </c>
      <c r="G284" s="9">
        <v>60000.0</v>
      </c>
      <c r="H284" s="95" t="s">
        <v>530</v>
      </c>
      <c r="I284" s="13">
        <f t="shared" si="11"/>
        <v>6000</v>
      </c>
      <c r="J284" s="97" t="s">
        <v>570</v>
      </c>
      <c r="K284" s="98"/>
      <c r="L284" s="98"/>
    </row>
    <row r="285">
      <c r="B285" s="95" t="s">
        <v>526</v>
      </c>
      <c r="C285" s="95" t="s">
        <v>842</v>
      </c>
      <c r="D285" s="95" t="s">
        <v>69</v>
      </c>
      <c r="E285" s="95" t="s">
        <v>555</v>
      </c>
      <c r="F285" s="95" t="s">
        <v>562</v>
      </c>
      <c r="G285" s="9">
        <v>60000.0</v>
      </c>
      <c r="H285" s="95" t="s">
        <v>530</v>
      </c>
      <c r="I285" s="13">
        <f t="shared" si="11"/>
        <v>6000</v>
      </c>
      <c r="J285" s="97" t="s">
        <v>570</v>
      </c>
      <c r="K285" s="98"/>
      <c r="L285" s="98"/>
    </row>
    <row r="286">
      <c r="B286" s="95" t="s">
        <v>526</v>
      </c>
      <c r="C286" s="95" t="s">
        <v>829</v>
      </c>
      <c r="D286" s="95" t="s">
        <v>69</v>
      </c>
      <c r="E286" s="95" t="s">
        <v>555</v>
      </c>
      <c r="F286" s="95" t="s">
        <v>562</v>
      </c>
      <c r="G286" s="9">
        <v>40000.0</v>
      </c>
      <c r="H286" s="95" t="s">
        <v>530</v>
      </c>
      <c r="I286" s="13">
        <f t="shared" si="11"/>
        <v>4000</v>
      </c>
      <c r="J286" s="97" t="s">
        <v>570</v>
      </c>
      <c r="K286" s="98"/>
      <c r="L286" s="98"/>
    </row>
    <row r="287">
      <c r="B287" s="95" t="s">
        <v>526</v>
      </c>
      <c r="C287" s="95" t="s">
        <v>830</v>
      </c>
      <c r="D287" s="95" t="s">
        <v>69</v>
      </c>
      <c r="E287" s="95" t="s">
        <v>555</v>
      </c>
      <c r="F287" s="95" t="s">
        <v>562</v>
      </c>
      <c r="G287" s="9">
        <v>30000.0</v>
      </c>
      <c r="H287" s="95" t="s">
        <v>530</v>
      </c>
      <c r="I287" s="13">
        <f t="shared" si="11"/>
        <v>3000</v>
      </c>
      <c r="J287" s="97" t="s">
        <v>570</v>
      </c>
      <c r="K287" s="98"/>
      <c r="L287" s="98"/>
    </row>
    <row r="288">
      <c r="B288" s="95" t="s">
        <v>526</v>
      </c>
      <c r="C288" s="95" t="s">
        <v>1003</v>
      </c>
      <c r="D288" s="95" t="s">
        <v>69</v>
      </c>
      <c r="E288" s="95" t="s">
        <v>555</v>
      </c>
      <c r="F288" s="95" t="s">
        <v>562</v>
      </c>
      <c r="G288" s="9">
        <v>184000.0</v>
      </c>
      <c r="H288" s="95" t="s">
        <v>530</v>
      </c>
      <c r="I288" s="13">
        <f t="shared" si="11"/>
        <v>18400</v>
      </c>
      <c r="J288" s="97" t="s">
        <v>570</v>
      </c>
      <c r="K288" s="98"/>
      <c r="L288" s="98"/>
    </row>
    <row r="289">
      <c r="B289" s="95" t="s">
        <v>526</v>
      </c>
      <c r="C289" s="95" t="s">
        <v>1005</v>
      </c>
      <c r="D289" s="95" t="s">
        <v>69</v>
      </c>
      <c r="E289" s="95" t="s">
        <v>555</v>
      </c>
      <c r="F289" s="95" t="s">
        <v>562</v>
      </c>
      <c r="G289" s="9">
        <v>100000.0</v>
      </c>
      <c r="H289" s="95" t="s">
        <v>530</v>
      </c>
      <c r="I289" s="13">
        <f t="shared" si="11"/>
        <v>10000</v>
      </c>
      <c r="J289" s="97" t="s">
        <v>570</v>
      </c>
      <c r="K289" s="98"/>
      <c r="L289" s="98"/>
    </row>
    <row r="290">
      <c r="B290" s="95" t="s">
        <v>526</v>
      </c>
      <c r="C290" s="95" t="s">
        <v>845</v>
      </c>
      <c r="D290" s="95" t="s">
        <v>69</v>
      </c>
      <c r="E290" s="95" t="s">
        <v>555</v>
      </c>
      <c r="F290" s="95" t="s">
        <v>562</v>
      </c>
      <c r="G290" s="9">
        <v>80000.0</v>
      </c>
      <c r="H290" s="95" t="s">
        <v>530</v>
      </c>
      <c r="I290" s="13">
        <f t="shared" si="11"/>
        <v>8000</v>
      </c>
      <c r="J290" s="97" t="s">
        <v>570</v>
      </c>
      <c r="K290" s="98"/>
      <c r="L290" s="98"/>
    </row>
    <row r="291">
      <c r="B291" s="95" t="s">
        <v>526</v>
      </c>
      <c r="C291" s="95" t="s">
        <v>1006</v>
      </c>
      <c r="D291" s="95" t="s">
        <v>69</v>
      </c>
      <c r="E291" s="95" t="s">
        <v>555</v>
      </c>
      <c r="F291" s="95" t="s">
        <v>562</v>
      </c>
      <c r="G291" s="9">
        <v>65000.0</v>
      </c>
      <c r="H291" s="95" t="s">
        <v>530</v>
      </c>
      <c r="I291" s="13">
        <f t="shared" si="11"/>
        <v>6500</v>
      </c>
      <c r="J291" s="97" t="s">
        <v>570</v>
      </c>
      <c r="K291" s="98"/>
      <c r="L291" s="98"/>
    </row>
    <row r="292">
      <c r="B292" s="95" t="s">
        <v>526</v>
      </c>
      <c r="C292" s="95" t="s">
        <v>1007</v>
      </c>
      <c r="D292" s="95" t="s">
        <v>69</v>
      </c>
      <c r="E292" s="95" t="s">
        <v>555</v>
      </c>
      <c r="F292" s="95" t="s">
        <v>562</v>
      </c>
      <c r="G292" s="9">
        <v>230000.0</v>
      </c>
      <c r="H292" s="95" t="s">
        <v>530</v>
      </c>
      <c r="I292" s="13">
        <f t="shared" si="11"/>
        <v>23000</v>
      </c>
      <c r="J292" s="97" t="s">
        <v>570</v>
      </c>
      <c r="K292" s="98"/>
      <c r="L292" s="98"/>
    </row>
    <row r="293">
      <c r="B293" s="95" t="s">
        <v>526</v>
      </c>
      <c r="C293" s="95" t="s">
        <v>947</v>
      </c>
      <c r="D293" s="95" t="s">
        <v>69</v>
      </c>
      <c r="E293" s="95" t="s">
        <v>542</v>
      </c>
      <c r="F293" s="95" t="s">
        <v>562</v>
      </c>
      <c r="G293" s="9">
        <v>100000.0</v>
      </c>
      <c r="H293" s="95" t="s">
        <v>530</v>
      </c>
      <c r="I293" s="13">
        <f t="shared" si="11"/>
        <v>10000</v>
      </c>
      <c r="J293" s="97" t="s">
        <v>563</v>
      </c>
      <c r="K293" s="97" t="s">
        <v>570</v>
      </c>
      <c r="L293" s="98"/>
    </row>
    <row r="294">
      <c r="B294" s="95" t="s">
        <v>526</v>
      </c>
      <c r="C294" s="95" t="s">
        <v>857</v>
      </c>
      <c r="D294" s="95" t="s">
        <v>69</v>
      </c>
      <c r="E294" s="95" t="s">
        <v>561</v>
      </c>
      <c r="F294" s="95" t="s">
        <v>537</v>
      </c>
      <c r="G294" s="9">
        <v>170000.0</v>
      </c>
      <c r="H294" s="95" t="s">
        <v>530</v>
      </c>
      <c r="I294" s="13">
        <f t="shared" si="11"/>
        <v>17000</v>
      </c>
      <c r="J294" s="97" t="s">
        <v>983</v>
      </c>
      <c r="K294" s="98"/>
      <c r="L294" s="98"/>
    </row>
    <row r="295">
      <c r="B295" s="95" t="s">
        <v>526</v>
      </c>
      <c r="C295" s="95" t="s">
        <v>819</v>
      </c>
      <c r="D295" s="95" t="s">
        <v>69</v>
      </c>
      <c r="E295" s="95" t="s">
        <v>561</v>
      </c>
      <c r="F295" s="95" t="s">
        <v>537</v>
      </c>
      <c r="G295" s="9">
        <v>180000.0</v>
      </c>
      <c r="H295" s="95" t="s">
        <v>530</v>
      </c>
      <c r="I295" s="13">
        <f t="shared" si="11"/>
        <v>18000</v>
      </c>
      <c r="J295" s="97" t="s">
        <v>983</v>
      </c>
      <c r="K295" s="98"/>
      <c r="L295" s="98"/>
    </row>
    <row r="296">
      <c r="B296" s="95" t="s">
        <v>526</v>
      </c>
      <c r="C296" s="95" t="s">
        <v>913</v>
      </c>
      <c r="D296" s="95" t="s">
        <v>69</v>
      </c>
      <c r="E296" s="95" t="s">
        <v>542</v>
      </c>
      <c r="F296" s="95" t="s">
        <v>562</v>
      </c>
      <c r="G296" s="9">
        <v>175000.0</v>
      </c>
      <c r="H296" s="95" t="s">
        <v>530</v>
      </c>
      <c r="I296" s="13">
        <f t="shared" si="11"/>
        <v>17500</v>
      </c>
      <c r="J296" s="97" t="s">
        <v>563</v>
      </c>
      <c r="K296" s="97" t="s">
        <v>570</v>
      </c>
      <c r="L296" s="98"/>
    </row>
    <row r="297">
      <c r="B297" s="95" t="s">
        <v>526</v>
      </c>
      <c r="C297" s="95" t="s">
        <v>819</v>
      </c>
      <c r="D297" s="95" t="s">
        <v>69</v>
      </c>
      <c r="E297" s="95" t="s">
        <v>561</v>
      </c>
      <c r="F297" s="95" t="s">
        <v>529</v>
      </c>
      <c r="G297" s="9">
        <v>230000.0</v>
      </c>
      <c r="H297" s="95" t="s">
        <v>530</v>
      </c>
      <c r="I297" s="13">
        <f t="shared" si="11"/>
        <v>23000</v>
      </c>
      <c r="J297" s="97" t="s">
        <v>982</v>
      </c>
      <c r="K297" s="98"/>
      <c r="L297" s="98"/>
    </row>
    <row r="298">
      <c r="B298" s="95" t="s">
        <v>526</v>
      </c>
      <c r="C298" s="95" t="s">
        <v>857</v>
      </c>
      <c r="D298" s="95" t="s">
        <v>69</v>
      </c>
      <c r="E298" s="95" t="s">
        <v>561</v>
      </c>
      <c r="F298" s="95" t="s">
        <v>529</v>
      </c>
      <c r="G298" s="9">
        <v>210000.0</v>
      </c>
      <c r="H298" s="95" t="s">
        <v>530</v>
      </c>
      <c r="I298" s="13">
        <f t="shared" si="11"/>
        <v>21000</v>
      </c>
      <c r="J298" s="97" t="s">
        <v>982</v>
      </c>
      <c r="K298" s="98"/>
      <c r="L298" s="98"/>
    </row>
    <row r="299">
      <c r="B299" s="95" t="s">
        <v>526</v>
      </c>
      <c r="C299" s="95" t="s">
        <v>959</v>
      </c>
      <c r="D299" s="95" t="s">
        <v>69</v>
      </c>
      <c r="E299" s="95" t="s">
        <v>555</v>
      </c>
      <c r="F299" s="95" t="s">
        <v>562</v>
      </c>
      <c r="G299" s="9">
        <v>350000.0</v>
      </c>
      <c r="H299" s="95" t="s">
        <v>530</v>
      </c>
      <c r="I299" s="13">
        <f t="shared" si="11"/>
        <v>35000</v>
      </c>
      <c r="J299" s="97" t="s">
        <v>563</v>
      </c>
      <c r="K299" s="98"/>
      <c r="L299" s="98"/>
    </row>
    <row r="300">
      <c r="B300" s="95" t="s">
        <v>526</v>
      </c>
      <c r="C300" s="95" t="s">
        <v>822</v>
      </c>
      <c r="D300" s="95" t="s">
        <v>69</v>
      </c>
      <c r="E300" s="95" t="s">
        <v>555</v>
      </c>
      <c r="F300" s="95" t="s">
        <v>562</v>
      </c>
      <c r="G300" s="9">
        <v>450000.0</v>
      </c>
      <c r="H300" s="95" t="s">
        <v>530</v>
      </c>
      <c r="I300" s="13">
        <f t="shared" si="11"/>
        <v>45000</v>
      </c>
      <c r="J300" s="97" t="s">
        <v>563</v>
      </c>
      <c r="K300" s="98"/>
      <c r="L300" s="98"/>
    </row>
    <row r="301">
      <c r="B301" s="95" t="s">
        <v>526</v>
      </c>
      <c r="C301" s="95" t="s">
        <v>786</v>
      </c>
      <c r="D301" s="95" t="s">
        <v>69</v>
      </c>
      <c r="E301" s="95" t="s">
        <v>131</v>
      </c>
      <c r="F301" s="95" t="s">
        <v>906</v>
      </c>
      <c r="G301" s="9">
        <v>110000.0</v>
      </c>
      <c r="H301" s="95" t="s">
        <v>530</v>
      </c>
      <c r="I301" s="13">
        <f t="shared" si="11"/>
        <v>11000</v>
      </c>
      <c r="J301" s="97" t="s">
        <v>941</v>
      </c>
      <c r="K301" s="97" t="s">
        <v>1010</v>
      </c>
      <c r="L301" s="98"/>
    </row>
    <row r="302">
      <c r="B302" s="95" t="s">
        <v>526</v>
      </c>
      <c r="C302" s="95" t="s">
        <v>952</v>
      </c>
      <c r="D302" s="95" t="s">
        <v>69</v>
      </c>
      <c r="E302" s="95" t="s">
        <v>542</v>
      </c>
      <c r="F302" s="95" t="s">
        <v>906</v>
      </c>
      <c r="G302" s="9">
        <v>100000.0</v>
      </c>
      <c r="H302" s="95" t="s">
        <v>530</v>
      </c>
      <c r="I302" s="13">
        <f t="shared" si="11"/>
        <v>10000</v>
      </c>
      <c r="J302" s="97" t="s">
        <v>941</v>
      </c>
      <c r="K302" s="98"/>
      <c r="L302" s="98"/>
    </row>
    <row r="303">
      <c r="B303" s="95" t="s">
        <v>526</v>
      </c>
      <c r="C303" s="95" t="s">
        <v>782</v>
      </c>
      <c r="D303" s="95" t="s">
        <v>69</v>
      </c>
      <c r="E303" s="95" t="s">
        <v>542</v>
      </c>
      <c r="F303" s="95" t="s">
        <v>906</v>
      </c>
      <c r="G303" s="9">
        <v>120000.0</v>
      </c>
      <c r="H303" s="95" t="s">
        <v>530</v>
      </c>
      <c r="I303" s="13">
        <f t="shared" si="11"/>
        <v>12000</v>
      </c>
      <c r="J303" s="97" t="s">
        <v>941</v>
      </c>
      <c r="K303" s="97" t="s">
        <v>1011</v>
      </c>
      <c r="L303" s="98"/>
    </row>
    <row r="304">
      <c r="B304" s="95" t="s">
        <v>526</v>
      </c>
      <c r="C304" s="95" t="s">
        <v>1012</v>
      </c>
      <c r="D304" s="95" t="s">
        <v>69</v>
      </c>
      <c r="E304" s="95" t="s">
        <v>561</v>
      </c>
      <c r="F304" s="95" t="s">
        <v>529</v>
      </c>
      <c r="G304" s="9">
        <v>180000.0</v>
      </c>
      <c r="H304" s="95" t="s">
        <v>530</v>
      </c>
      <c r="I304" s="13">
        <f t="shared" si="11"/>
        <v>18000</v>
      </c>
      <c r="J304" s="97" t="s">
        <v>982</v>
      </c>
      <c r="K304" s="98"/>
      <c r="L304" s="98"/>
    </row>
    <row r="305">
      <c r="B305" s="95" t="s">
        <v>526</v>
      </c>
      <c r="C305" s="95" t="s">
        <v>1013</v>
      </c>
      <c r="D305" s="95" t="s">
        <v>69</v>
      </c>
      <c r="E305" s="95" t="s">
        <v>561</v>
      </c>
      <c r="F305" s="95" t="s">
        <v>529</v>
      </c>
      <c r="G305" s="9">
        <v>135000.0</v>
      </c>
      <c r="H305" s="95" t="s">
        <v>530</v>
      </c>
      <c r="I305" s="13">
        <f t="shared" si="11"/>
        <v>13500</v>
      </c>
      <c r="J305" s="97" t="s">
        <v>982</v>
      </c>
      <c r="K305" s="98"/>
      <c r="L305" s="98"/>
    </row>
    <row r="306">
      <c r="B306" s="95" t="s">
        <v>526</v>
      </c>
      <c r="C306" s="95" t="s">
        <v>946</v>
      </c>
      <c r="D306" s="95" t="s">
        <v>69</v>
      </c>
      <c r="E306" s="95" t="s">
        <v>131</v>
      </c>
      <c r="F306" s="95" t="s">
        <v>920</v>
      </c>
      <c r="G306" s="9">
        <v>50000.0</v>
      </c>
      <c r="H306" s="95" t="s">
        <v>530</v>
      </c>
      <c r="I306" s="13">
        <f t="shared" si="11"/>
        <v>5000</v>
      </c>
      <c r="J306" s="97" t="s">
        <v>941</v>
      </c>
      <c r="K306" s="98"/>
      <c r="L306" s="98"/>
    </row>
    <row r="307">
      <c r="B307" s="95" t="s">
        <v>526</v>
      </c>
      <c r="C307" s="95" t="s">
        <v>1016</v>
      </c>
      <c r="D307" s="95" t="s">
        <v>69</v>
      </c>
      <c r="E307" s="95" t="s">
        <v>561</v>
      </c>
      <c r="F307" s="95" t="s">
        <v>529</v>
      </c>
      <c r="G307" s="9">
        <v>135000.0</v>
      </c>
      <c r="H307" s="95" t="s">
        <v>530</v>
      </c>
      <c r="I307" s="13">
        <f t="shared" si="11"/>
        <v>13500</v>
      </c>
      <c r="J307" s="97" t="s">
        <v>982</v>
      </c>
      <c r="K307" s="98"/>
      <c r="L307" s="98"/>
    </row>
    <row r="308">
      <c r="B308" s="95" t="s">
        <v>526</v>
      </c>
      <c r="C308" s="95" t="s">
        <v>988</v>
      </c>
      <c r="D308" s="95" t="s">
        <v>69</v>
      </c>
      <c r="E308" s="95" t="s">
        <v>561</v>
      </c>
      <c r="F308" s="95" t="s">
        <v>529</v>
      </c>
      <c r="G308" s="9">
        <v>120000.0</v>
      </c>
      <c r="H308" s="95" t="s">
        <v>530</v>
      </c>
      <c r="I308" s="13">
        <f t="shared" si="11"/>
        <v>12000</v>
      </c>
      <c r="J308" s="97" t="s">
        <v>982</v>
      </c>
      <c r="K308" s="98"/>
      <c r="L308" s="98"/>
    </row>
    <row r="309">
      <c r="B309" s="95" t="s">
        <v>641</v>
      </c>
      <c r="C309" s="95" t="s">
        <v>1017</v>
      </c>
      <c r="D309" s="95" t="s">
        <v>69</v>
      </c>
      <c r="E309" s="95" t="s">
        <v>561</v>
      </c>
      <c r="F309" s="95" t="s">
        <v>529</v>
      </c>
      <c r="G309" s="9">
        <v>150000.0</v>
      </c>
      <c r="H309" s="95" t="s">
        <v>530</v>
      </c>
      <c r="I309" s="13">
        <f t="shared" si="11"/>
        <v>15000</v>
      </c>
      <c r="J309" s="97" t="s">
        <v>1018</v>
      </c>
      <c r="K309" s="98"/>
      <c r="L309" s="98"/>
    </row>
    <row r="310">
      <c r="B310" s="95" t="s">
        <v>526</v>
      </c>
      <c r="C310" s="95" t="s">
        <v>846</v>
      </c>
      <c r="D310" s="95" t="s">
        <v>69</v>
      </c>
      <c r="E310" s="95" t="s">
        <v>561</v>
      </c>
      <c r="F310" s="95" t="s">
        <v>529</v>
      </c>
      <c r="G310" s="9">
        <v>120000.0</v>
      </c>
      <c r="H310" s="95" t="s">
        <v>530</v>
      </c>
      <c r="I310" s="13">
        <f t="shared" si="11"/>
        <v>12000</v>
      </c>
      <c r="J310" s="97" t="s">
        <v>982</v>
      </c>
      <c r="K310" s="98"/>
      <c r="L310" s="98"/>
    </row>
    <row r="311">
      <c r="B311" s="95" t="s">
        <v>526</v>
      </c>
      <c r="C311" s="95" t="s">
        <v>980</v>
      </c>
      <c r="D311" s="95" t="s">
        <v>69</v>
      </c>
      <c r="E311" s="95" t="s">
        <v>561</v>
      </c>
      <c r="F311" s="95" t="s">
        <v>529</v>
      </c>
      <c r="G311" s="9">
        <v>75000.0</v>
      </c>
      <c r="H311" s="95" t="s">
        <v>530</v>
      </c>
      <c r="I311" s="13">
        <f t="shared" si="11"/>
        <v>7500</v>
      </c>
      <c r="J311" s="97" t="s">
        <v>982</v>
      </c>
      <c r="K311" s="98"/>
      <c r="L311" s="98"/>
    </row>
    <row r="312">
      <c r="B312" s="95" t="s">
        <v>526</v>
      </c>
      <c r="C312" s="95" t="s">
        <v>828</v>
      </c>
      <c r="D312" s="95" t="s">
        <v>222</v>
      </c>
      <c r="E312" s="95" t="s">
        <v>1019</v>
      </c>
      <c r="F312" s="95" t="s">
        <v>799</v>
      </c>
      <c r="G312" s="9">
        <v>300000.0</v>
      </c>
      <c r="H312" s="95" t="s">
        <v>745</v>
      </c>
      <c r="I312" s="13">
        <f>G312/5</f>
        <v>60000</v>
      </c>
      <c r="J312" s="97" t="s">
        <v>1020</v>
      </c>
      <c r="K312" s="97" t="s">
        <v>1021</v>
      </c>
      <c r="L312" s="98"/>
    </row>
    <row r="313">
      <c r="B313" s="95" t="s">
        <v>526</v>
      </c>
      <c r="C313" s="95" t="s">
        <v>828</v>
      </c>
      <c r="D313" s="95" t="s">
        <v>222</v>
      </c>
      <c r="E313" s="95" t="s">
        <v>1019</v>
      </c>
      <c r="F313" s="95" t="s">
        <v>920</v>
      </c>
      <c r="G313" s="9">
        <v>600000.0</v>
      </c>
      <c r="H313" s="95" t="s">
        <v>530</v>
      </c>
      <c r="I313" s="13">
        <f t="shared" ref="I313:I315" si="12">G313/10</f>
        <v>60000</v>
      </c>
      <c r="J313" s="97" t="s">
        <v>1020</v>
      </c>
      <c r="K313" s="97" t="s">
        <v>1021</v>
      </c>
      <c r="L313" s="98"/>
    </row>
    <row r="314">
      <c r="B314" s="95" t="s">
        <v>526</v>
      </c>
      <c r="C314" s="95" t="s">
        <v>828</v>
      </c>
      <c r="D314" s="95" t="s">
        <v>222</v>
      </c>
      <c r="E314" s="95" t="s">
        <v>1019</v>
      </c>
      <c r="F314" s="95" t="s">
        <v>906</v>
      </c>
      <c r="G314" s="9">
        <v>650000.0</v>
      </c>
      <c r="H314" s="95" t="s">
        <v>530</v>
      </c>
      <c r="I314" s="13">
        <f t="shared" si="12"/>
        <v>65000</v>
      </c>
      <c r="J314" s="97" t="s">
        <v>1010</v>
      </c>
      <c r="K314" s="97" t="s">
        <v>1022</v>
      </c>
      <c r="L314" s="97" t="s">
        <v>1023</v>
      </c>
    </row>
    <row r="315">
      <c r="B315" s="95" t="s">
        <v>526</v>
      </c>
      <c r="C315" s="95" t="s">
        <v>528</v>
      </c>
      <c r="D315" s="95" t="s">
        <v>140</v>
      </c>
      <c r="E315" s="95" t="s">
        <v>141</v>
      </c>
      <c r="F315" s="95" t="s">
        <v>906</v>
      </c>
      <c r="G315" s="9">
        <v>850000.0</v>
      </c>
      <c r="H315" s="95" t="s">
        <v>530</v>
      </c>
      <c r="I315" s="13">
        <f t="shared" si="12"/>
        <v>85000</v>
      </c>
      <c r="J315" s="97" t="s">
        <v>1010</v>
      </c>
      <c r="K315" s="97" t="s">
        <v>1022</v>
      </c>
      <c r="L315" s="97" t="s">
        <v>1023</v>
      </c>
    </row>
    <row r="316">
      <c r="B316" s="95" t="s">
        <v>526</v>
      </c>
      <c r="C316" s="95" t="s">
        <v>831</v>
      </c>
      <c r="D316" s="95" t="s">
        <v>1024</v>
      </c>
      <c r="E316" s="95" t="s">
        <v>1025</v>
      </c>
      <c r="F316" s="95" t="s">
        <v>906</v>
      </c>
      <c r="G316" s="9">
        <v>2070000.0</v>
      </c>
      <c r="H316" s="95" t="s">
        <v>635</v>
      </c>
      <c r="I316" s="13">
        <f>G316/6</f>
        <v>345000</v>
      </c>
      <c r="J316" s="97" t="s">
        <v>1010</v>
      </c>
      <c r="K316" s="97" t="s">
        <v>1026</v>
      </c>
      <c r="L316" s="98"/>
    </row>
    <row r="317">
      <c r="B317" s="95" t="s">
        <v>526</v>
      </c>
      <c r="C317" s="95" t="s">
        <v>819</v>
      </c>
      <c r="D317" s="95" t="s">
        <v>140</v>
      </c>
      <c r="E317" s="95" t="s">
        <v>793</v>
      </c>
      <c r="F317" s="95" t="s">
        <v>906</v>
      </c>
      <c r="G317" s="9">
        <v>160000.0</v>
      </c>
      <c r="H317" s="95" t="s">
        <v>530</v>
      </c>
      <c r="I317" s="13">
        <f t="shared" ref="I317:I336" si="13">G317/10</f>
        <v>16000</v>
      </c>
      <c r="J317" s="97" t="s">
        <v>1010</v>
      </c>
      <c r="K317" s="98"/>
      <c r="L317" s="98"/>
    </row>
    <row r="318">
      <c r="B318" s="95" t="s">
        <v>526</v>
      </c>
      <c r="C318" s="95" t="s">
        <v>612</v>
      </c>
      <c r="D318" s="95" t="s">
        <v>71</v>
      </c>
      <c r="E318" s="95" t="s">
        <v>1027</v>
      </c>
      <c r="F318" s="95" t="s">
        <v>906</v>
      </c>
      <c r="G318" s="9">
        <v>150000.0</v>
      </c>
      <c r="H318" s="95" t="s">
        <v>530</v>
      </c>
      <c r="I318" s="13">
        <f t="shared" si="13"/>
        <v>15000</v>
      </c>
      <c r="J318" s="97" t="s">
        <v>1010</v>
      </c>
      <c r="K318" s="98"/>
      <c r="L318" s="98"/>
    </row>
    <row r="319">
      <c r="B319" s="95" t="s">
        <v>526</v>
      </c>
      <c r="C319" s="95" t="s">
        <v>830</v>
      </c>
      <c r="D319" s="95" t="s">
        <v>69</v>
      </c>
      <c r="E319" s="95" t="s">
        <v>555</v>
      </c>
      <c r="F319" s="95" t="s">
        <v>906</v>
      </c>
      <c r="G319" s="9">
        <v>200000.0</v>
      </c>
      <c r="H319" s="95" t="s">
        <v>530</v>
      </c>
      <c r="I319" s="13">
        <f t="shared" si="13"/>
        <v>20000</v>
      </c>
      <c r="J319" s="97" t="s">
        <v>941</v>
      </c>
      <c r="K319" s="98"/>
      <c r="L319" s="98"/>
    </row>
    <row r="320">
      <c r="B320" s="95" t="s">
        <v>526</v>
      </c>
      <c r="C320" s="95" t="s">
        <v>1028</v>
      </c>
      <c r="D320" s="95" t="s">
        <v>69</v>
      </c>
      <c r="E320" s="95" t="s">
        <v>555</v>
      </c>
      <c r="F320" s="95" t="s">
        <v>906</v>
      </c>
      <c r="G320" s="9">
        <v>210000.0</v>
      </c>
      <c r="H320" s="95" t="s">
        <v>530</v>
      </c>
      <c r="I320" s="13">
        <f t="shared" si="13"/>
        <v>21000</v>
      </c>
      <c r="J320" s="97" t="s">
        <v>978</v>
      </c>
      <c r="K320" s="98"/>
      <c r="L320" s="98"/>
    </row>
    <row r="321">
      <c r="B321" s="95" t="s">
        <v>526</v>
      </c>
      <c r="C321" s="95" t="s">
        <v>1029</v>
      </c>
      <c r="D321" s="95" t="s">
        <v>69</v>
      </c>
      <c r="E321" s="95" t="s">
        <v>555</v>
      </c>
      <c r="F321" s="95" t="s">
        <v>906</v>
      </c>
      <c r="G321" s="9">
        <v>250000.0</v>
      </c>
      <c r="H321" s="95" t="s">
        <v>530</v>
      </c>
      <c r="I321" s="13">
        <f t="shared" si="13"/>
        <v>25000</v>
      </c>
      <c r="J321" s="97" t="s">
        <v>978</v>
      </c>
      <c r="K321" s="98"/>
      <c r="L321" s="98"/>
    </row>
    <row r="322">
      <c r="B322" s="95" t="s">
        <v>526</v>
      </c>
      <c r="C322" s="95" t="s">
        <v>1030</v>
      </c>
      <c r="D322" s="95" t="s">
        <v>69</v>
      </c>
      <c r="E322" s="95" t="s">
        <v>555</v>
      </c>
      <c r="F322" s="95" t="s">
        <v>906</v>
      </c>
      <c r="G322" s="9">
        <v>250000.0</v>
      </c>
      <c r="H322" s="95" t="s">
        <v>530</v>
      </c>
      <c r="I322" s="13">
        <f t="shared" si="13"/>
        <v>25000</v>
      </c>
      <c r="J322" s="97" t="s">
        <v>978</v>
      </c>
      <c r="K322" s="98"/>
      <c r="L322" s="98"/>
    </row>
    <row r="323">
      <c r="B323" s="95" t="s">
        <v>526</v>
      </c>
      <c r="C323" s="95" t="s">
        <v>962</v>
      </c>
      <c r="D323" s="95" t="s">
        <v>69</v>
      </c>
      <c r="E323" s="95" t="s">
        <v>555</v>
      </c>
      <c r="F323" s="95" t="s">
        <v>906</v>
      </c>
      <c r="G323" s="9">
        <v>260000.0</v>
      </c>
      <c r="H323" s="95" t="s">
        <v>530</v>
      </c>
      <c r="I323" s="13">
        <f t="shared" si="13"/>
        <v>26000</v>
      </c>
      <c r="J323" s="97" t="s">
        <v>978</v>
      </c>
      <c r="K323" s="98"/>
      <c r="L323" s="98"/>
    </row>
    <row r="324">
      <c r="B324" s="95" t="s">
        <v>526</v>
      </c>
      <c r="C324" s="95" t="s">
        <v>845</v>
      </c>
      <c r="D324" s="95" t="s">
        <v>69</v>
      </c>
      <c r="E324" s="95" t="s">
        <v>555</v>
      </c>
      <c r="F324" s="95" t="s">
        <v>906</v>
      </c>
      <c r="G324" s="9">
        <v>280000.0</v>
      </c>
      <c r="H324" s="95" t="s">
        <v>530</v>
      </c>
      <c r="I324" s="13">
        <f t="shared" si="13"/>
        <v>28000</v>
      </c>
      <c r="J324" s="97" t="s">
        <v>978</v>
      </c>
      <c r="K324" s="97" t="s">
        <v>1010</v>
      </c>
      <c r="L324" s="98"/>
    </row>
    <row r="325">
      <c r="B325" s="95" t="s">
        <v>526</v>
      </c>
      <c r="C325" s="95" t="s">
        <v>839</v>
      </c>
      <c r="D325" s="95" t="s">
        <v>69</v>
      </c>
      <c r="E325" s="95" t="s">
        <v>561</v>
      </c>
      <c r="F325" s="95" t="s">
        <v>529</v>
      </c>
      <c r="G325" s="9">
        <v>70000.0</v>
      </c>
      <c r="H325" s="95" t="s">
        <v>530</v>
      </c>
      <c r="I325" s="13">
        <f t="shared" si="13"/>
        <v>7000</v>
      </c>
      <c r="J325" s="97" t="s">
        <v>982</v>
      </c>
      <c r="K325" s="97" t="s">
        <v>1031</v>
      </c>
      <c r="L325" s="98"/>
    </row>
    <row r="326">
      <c r="B326" s="95" t="s">
        <v>526</v>
      </c>
      <c r="C326" s="95" t="s">
        <v>1032</v>
      </c>
      <c r="D326" s="95" t="s">
        <v>69</v>
      </c>
      <c r="E326" s="95" t="s">
        <v>555</v>
      </c>
      <c r="F326" s="95" t="s">
        <v>906</v>
      </c>
      <c r="G326" s="9">
        <v>280000.0</v>
      </c>
      <c r="H326" s="95" t="s">
        <v>530</v>
      </c>
      <c r="I326" s="13">
        <f t="shared" si="13"/>
        <v>28000</v>
      </c>
      <c r="J326" s="97" t="s">
        <v>978</v>
      </c>
      <c r="K326" s="98"/>
      <c r="L326" s="98"/>
    </row>
    <row r="327">
      <c r="B327" s="95" t="s">
        <v>526</v>
      </c>
      <c r="C327" s="95" t="s">
        <v>888</v>
      </c>
      <c r="D327" s="95" t="s">
        <v>69</v>
      </c>
      <c r="E327" s="95" t="s">
        <v>555</v>
      </c>
      <c r="F327" s="95" t="s">
        <v>906</v>
      </c>
      <c r="G327" s="9">
        <v>300000.0</v>
      </c>
      <c r="H327" s="95" t="s">
        <v>530</v>
      </c>
      <c r="I327" s="13">
        <f t="shared" si="13"/>
        <v>30000</v>
      </c>
      <c r="J327" s="97" t="s">
        <v>978</v>
      </c>
      <c r="K327" s="98"/>
      <c r="L327" s="98"/>
    </row>
    <row r="328">
      <c r="B328" s="95" t="s">
        <v>526</v>
      </c>
      <c r="C328" s="95" t="s">
        <v>1033</v>
      </c>
      <c r="D328" s="95" t="s">
        <v>69</v>
      </c>
      <c r="E328" s="95" t="s">
        <v>555</v>
      </c>
      <c r="F328" s="95" t="s">
        <v>906</v>
      </c>
      <c r="G328" s="9">
        <v>310000.0</v>
      </c>
      <c r="H328" s="95" t="s">
        <v>530</v>
      </c>
      <c r="I328" s="13">
        <f t="shared" si="13"/>
        <v>31000</v>
      </c>
      <c r="J328" s="97" t="s">
        <v>978</v>
      </c>
      <c r="K328" s="98"/>
      <c r="L328" s="98"/>
    </row>
    <row r="329">
      <c r="B329" s="95" t="s">
        <v>526</v>
      </c>
      <c r="C329" s="95" t="s">
        <v>822</v>
      </c>
      <c r="D329" s="95" t="s">
        <v>69</v>
      </c>
      <c r="E329" s="95" t="s">
        <v>555</v>
      </c>
      <c r="F329" s="95" t="s">
        <v>906</v>
      </c>
      <c r="G329" s="9">
        <v>550000.0</v>
      </c>
      <c r="H329" s="95" t="s">
        <v>530</v>
      </c>
      <c r="I329" s="13">
        <f t="shared" si="13"/>
        <v>55000</v>
      </c>
      <c r="J329" s="97" t="s">
        <v>978</v>
      </c>
      <c r="K329" s="98"/>
      <c r="L329" s="98"/>
    </row>
    <row r="330">
      <c r="B330" s="95" t="s">
        <v>526</v>
      </c>
      <c r="C330" s="95" t="s">
        <v>1034</v>
      </c>
      <c r="D330" s="95" t="s">
        <v>69</v>
      </c>
      <c r="E330" s="95" t="s">
        <v>561</v>
      </c>
      <c r="F330" s="95" t="s">
        <v>543</v>
      </c>
      <c r="G330" s="9">
        <v>100000.0</v>
      </c>
      <c r="H330" s="95" t="s">
        <v>530</v>
      </c>
      <c r="I330" s="13">
        <f t="shared" si="13"/>
        <v>10000</v>
      </c>
      <c r="J330" s="97" t="s">
        <v>545</v>
      </c>
      <c r="K330" s="98"/>
      <c r="L330" s="98"/>
    </row>
    <row r="331">
      <c r="B331" s="95" t="s">
        <v>526</v>
      </c>
      <c r="C331" s="95" t="s">
        <v>830</v>
      </c>
      <c r="D331" s="95" t="s">
        <v>69</v>
      </c>
      <c r="E331" s="95" t="s">
        <v>555</v>
      </c>
      <c r="F331" s="95" t="s">
        <v>537</v>
      </c>
      <c r="G331" s="9">
        <v>500000.0</v>
      </c>
      <c r="H331" s="95" t="s">
        <v>530</v>
      </c>
      <c r="I331" s="13">
        <f t="shared" si="13"/>
        <v>50000</v>
      </c>
      <c r="J331" s="97" t="s">
        <v>982</v>
      </c>
      <c r="K331" s="97" t="s">
        <v>985</v>
      </c>
      <c r="L331" s="98"/>
    </row>
    <row r="332">
      <c r="B332" s="95" t="s">
        <v>526</v>
      </c>
      <c r="C332" s="95" t="s">
        <v>830</v>
      </c>
      <c r="D332" s="95" t="s">
        <v>69</v>
      </c>
      <c r="E332" s="95" t="s">
        <v>555</v>
      </c>
      <c r="F332" s="95" t="s">
        <v>529</v>
      </c>
      <c r="G332" s="9">
        <v>550000.0</v>
      </c>
      <c r="H332" s="95" t="s">
        <v>530</v>
      </c>
      <c r="I332" s="13">
        <f t="shared" si="13"/>
        <v>55000</v>
      </c>
      <c r="J332" s="97" t="s">
        <v>982</v>
      </c>
      <c r="K332" s="98"/>
      <c r="L332" s="98"/>
    </row>
    <row r="333">
      <c r="B333" s="95" t="s">
        <v>526</v>
      </c>
      <c r="C333" s="95" t="s">
        <v>1035</v>
      </c>
      <c r="D333" s="95" t="s">
        <v>69</v>
      </c>
      <c r="E333" s="95" t="s">
        <v>555</v>
      </c>
      <c r="F333" s="95" t="s">
        <v>529</v>
      </c>
      <c r="G333" s="9">
        <v>525000.0</v>
      </c>
      <c r="H333" s="95" t="s">
        <v>530</v>
      </c>
      <c r="I333" s="13">
        <f t="shared" si="13"/>
        <v>52500</v>
      </c>
      <c r="J333" s="97" t="s">
        <v>982</v>
      </c>
      <c r="K333" s="98"/>
      <c r="L333" s="98"/>
    </row>
    <row r="334">
      <c r="B334" s="95" t="s">
        <v>526</v>
      </c>
      <c r="C334" s="95" t="s">
        <v>828</v>
      </c>
      <c r="D334" s="95" t="s">
        <v>826</v>
      </c>
      <c r="E334" s="95" t="s">
        <v>834</v>
      </c>
      <c r="F334" s="95" t="s">
        <v>529</v>
      </c>
      <c r="G334" s="9">
        <v>400000.0</v>
      </c>
      <c r="H334" s="95" t="s">
        <v>530</v>
      </c>
      <c r="I334" s="13">
        <f t="shared" si="13"/>
        <v>40000</v>
      </c>
      <c r="J334" s="97" t="s">
        <v>1018</v>
      </c>
      <c r="K334" s="98"/>
      <c r="L334" s="98"/>
    </row>
    <row r="335">
      <c r="B335" s="95" t="s">
        <v>526</v>
      </c>
      <c r="C335" s="95" t="s">
        <v>952</v>
      </c>
      <c r="D335" s="95" t="s">
        <v>140</v>
      </c>
      <c r="E335" s="95" t="s">
        <v>1036</v>
      </c>
      <c r="F335" s="95" t="s">
        <v>529</v>
      </c>
      <c r="G335" s="9">
        <v>150000.0</v>
      </c>
      <c r="H335" s="95" t="s">
        <v>530</v>
      </c>
      <c r="I335" s="13">
        <f t="shared" si="13"/>
        <v>15000</v>
      </c>
      <c r="J335" s="97" t="s">
        <v>1018</v>
      </c>
      <c r="K335" s="98"/>
      <c r="L335" s="98"/>
    </row>
    <row r="336">
      <c r="B336" s="95" t="s">
        <v>526</v>
      </c>
      <c r="C336" s="95" t="s">
        <v>1037</v>
      </c>
      <c r="D336" s="95" t="s">
        <v>71</v>
      </c>
      <c r="E336" s="95" t="s">
        <v>798</v>
      </c>
      <c r="F336" s="95" t="s">
        <v>537</v>
      </c>
      <c r="G336" s="9">
        <v>800000.0</v>
      </c>
      <c r="H336" s="95" t="s">
        <v>530</v>
      </c>
      <c r="I336" s="13">
        <f t="shared" si="13"/>
        <v>80000</v>
      </c>
      <c r="J336" s="97" t="s">
        <v>1038</v>
      </c>
      <c r="K336" s="98"/>
      <c r="L336" s="98"/>
    </row>
    <row r="337">
      <c r="B337" s="95" t="s">
        <v>526</v>
      </c>
      <c r="C337" s="95" t="s">
        <v>528</v>
      </c>
      <c r="D337" s="95" t="s">
        <v>826</v>
      </c>
      <c r="E337" s="95" t="s">
        <v>834</v>
      </c>
      <c r="F337" s="95" t="s">
        <v>906</v>
      </c>
      <c r="G337" s="9">
        <v>200000.0</v>
      </c>
      <c r="H337" s="95" t="s">
        <v>872</v>
      </c>
      <c r="I337" s="13">
        <f>G337/3</f>
        <v>66666.66667</v>
      </c>
      <c r="J337" s="97" t="s">
        <v>907</v>
      </c>
      <c r="K337" s="98"/>
      <c r="L337" s="98"/>
    </row>
    <row r="338">
      <c r="B338" s="95" t="s">
        <v>526</v>
      </c>
      <c r="C338" s="95" t="s">
        <v>1039</v>
      </c>
      <c r="D338" s="95" t="s">
        <v>114</v>
      </c>
      <c r="E338" s="95" t="s">
        <v>370</v>
      </c>
      <c r="F338" s="95" t="s">
        <v>529</v>
      </c>
      <c r="G338" s="9">
        <f>0.9*225000</f>
        <v>202500</v>
      </c>
      <c r="H338" s="95" t="s">
        <v>530</v>
      </c>
      <c r="I338" s="13">
        <f>G338/10</f>
        <v>20250</v>
      </c>
      <c r="J338" s="97" t="s">
        <v>1040</v>
      </c>
      <c r="K338" s="98"/>
      <c r="L338" s="98"/>
    </row>
    <row r="339">
      <c r="B339" s="95" t="s">
        <v>526</v>
      </c>
      <c r="C339" s="95" t="s">
        <v>832</v>
      </c>
      <c r="D339" s="95" t="s">
        <v>826</v>
      </c>
      <c r="E339" s="95" t="s">
        <v>834</v>
      </c>
      <c r="F339" s="95" t="s">
        <v>529</v>
      </c>
      <c r="G339" s="9">
        <v>725000.0</v>
      </c>
      <c r="H339" s="95" t="s">
        <v>728</v>
      </c>
      <c r="I339" s="13">
        <f>G339/7</f>
        <v>103571.4286</v>
      </c>
      <c r="J339" s="97" t="s">
        <v>1041</v>
      </c>
      <c r="K339" s="98"/>
      <c r="L339" s="98"/>
    </row>
    <row r="340">
      <c r="B340" s="95" t="s">
        <v>526</v>
      </c>
      <c r="C340" s="95" t="s">
        <v>832</v>
      </c>
      <c r="D340" s="95" t="s">
        <v>114</v>
      </c>
      <c r="E340" s="95" t="s">
        <v>389</v>
      </c>
      <c r="F340" s="95" t="s">
        <v>529</v>
      </c>
      <c r="G340" s="9">
        <v>700000.0</v>
      </c>
      <c r="H340" s="95" t="s">
        <v>530</v>
      </c>
      <c r="I340" s="13">
        <f t="shared" ref="I340:I389" si="14">G340/10</f>
        <v>70000</v>
      </c>
      <c r="J340" s="97" t="s">
        <v>1018</v>
      </c>
      <c r="K340" s="98"/>
      <c r="L340" s="98"/>
    </row>
    <row r="341">
      <c r="B341" s="95" t="s">
        <v>526</v>
      </c>
      <c r="C341" s="95" t="s">
        <v>822</v>
      </c>
      <c r="D341" s="95" t="s">
        <v>69</v>
      </c>
      <c r="E341" s="95" t="s">
        <v>555</v>
      </c>
      <c r="F341" s="95" t="s">
        <v>529</v>
      </c>
      <c r="G341" s="9">
        <v>425000.0</v>
      </c>
      <c r="H341" s="95" t="s">
        <v>530</v>
      </c>
      <c r="I341" s="13">
        <f t="shared" si="14"/>
        <v>42500</v>
      </c>
      <c r="J341" s="97" t="s">
        <v>982</v>
      </c>
      <c r="K341" s="98"/>
      <c r="L341" s="98"/>
    </row>
    <row r="342">
      <c r="B342" s="95" t="s">
        <v>526</v>
      </c>
      <c r="C342" s="95" t="s">
        <v>612</v>
      </c>
      <c r="D342" s="95" t="s">
        <v>69</v>
      </c>
      <c r="E342" s="95" t="s">
        <v>555</v>
      </c>
      <c r="F342" s="95" t="s">
        <v>529</v>
      </c>
      <c r="G342" s="9">
        <v>400000.0</v>
      </c>
      <c r="H342" s="95" t="s">
        <v>530</v>
      </c>
      <c r="I342" s="13">
        <f t="shared" si="14"/>
        <v>40000</v>
      </c>
      <c r="J342" s="97" t="s">
        <v>982</v>
      </c>
      <c r="K342" s="98"/>
      <c r="L342" s="98"/>
    </row>
    <row r="343">
      <c r="B343" s="95" t="s">
        <v>526</v>
      </c>
      <c r="C343" s="95" t="s">
        <v>1042</v>
      </c>
      <c r="D343" s="95" t="s">
        <v>69</v>
      </c>
      <c r="E343" s="95" t="s">
        <v>561</v>
      </c>
      <c r="F343" s="95" t="s">
        <v>543</v>
      </c>
      <c r="G343" s="9">
        <v>105000.0</v>
      </c>
      <c r="H343" s="95" t="s">
        <v>530</v>
      </c>
      <c r="I343" s="13">
        <f t="shared" si="14"/>
        <v>10500</v>
      </c>
      <c r="J343" s="97" t="s">
        <v>545</v>
      </c>
      <c r="K343" s="98"/>
      <c r="L343" s="98"/>
    </row>
    <row r="344">
      <c r="B344" s="95" t="s">
        <v>526</v>
      </c>
      <c r="C344" s="95" t="s">
        <v>830</v>
      </c>
      <c r="D344" s="95" t="s">
        <v>195</v>
      </c>
      <c r="E344" s="95" t="s">
        <v>432</v>
      </c>
      <c r="F344" s="95" t="s">
        <v>543</v>
      </c>
      <c r="G344" s="9">
        <v>850000.0</v>
      </c>
      <c r="H344" s="95" t="s">
        <v>530</v>
      </c>
      <c r="I344" s="13">
        <f t="shared" si="14"/>
        <v>85000</v>
      </c>
      <c r="J344" s="97" t="s">
        <v>835</v>
      </c>
      <c r="K344" s="98"/>
      <c r="L344" s="98"/>
    </row>
    <row r="345">
      <c r="B345" s="95" t="s">
        <v>526</v>
      </c>
      <c r="C345" s="95" t="s">
        <v>988</v>
      </c>
      <c r="D345" s="95" t="s">
        <v>69</v>
      </c>
      <c r="E345" s="95" t="s">
        <v>561</v>
      </c>
      <c r="F345" s="95" t="s">
        <v>543</v>
      </c>
      <c r="G345" s="9">
        <v>140000.0</v>
      </c>
      <c r="H345" s="95" t="s">
        <v>530</v>
      </c>
      <c r="I345" s="13">
        <f t="shared" si="14"/>
        <v>14000</v>
      </c>
      <c r="J345" s="97" t="s">
        <v>545</v>
      </c>
      <c r="K345" s="98"/>
      <c r="L345" s="98"/>
    </row>
    <row r="346">
      <c r="B346" s="95" t="s">
        <v>526</v>
      </c>
      <c r="C346" s="95" t="s">
        <v>1043</v>
      </c>
      <c r="D346" s="95" t="s">
        <v>69</v>
      </c>
      <c r="E346" s="95" t="s">
        <v>561</v>
      </c>
      <c r="F346" s="95" t="s">
        <v>543</v>
      </c>
      <c r="G346" s="9">
        <v>150000.0</v>
      </c>
      <c r="H346" s="95" t="s">
        <v>530</v>
      </c>
      <c r="I346" s="13">
        <f t="shared" si="14"/>
        <v>15000</v>
      </c>
      <c r="J346" s="97" t="s">
        <v>545</v>
      </c>
      <c r="K346" s="98"/>
      <c r="L346" s="98"/>
    </row>
    <row r="347">
      <c r="B347" s="95" t="s">
        <v>526</v>
      </c>
      <c r="C347" s="95" t="s">
        <v>1044</v>
      </c>
      <c r="D347" s="95" t="s">
        <v>69</v>
      </c>
      <c r="E347" s="95" t="s">
        <v>555</v>
      </c>
      <c r="F347" s="95" t="s">
        <v>537</v>
      </c>
      <c r="G347" s="9">
        <v>310000.0</v>
      </c>
      <c r="H347" s="95" t="s">
        <v>530</v>
      </c>
      <c r="I347" s="13">
        <f t="shared" si="14"/>
        <v>31000</v>
      </c>
      <c r="J347" s="97" t="s">
        <v>985</v>
      </c>
      <c r="K347" s="98"/>
      <c r="L347" s="98"/>
    </row>
    <row r="348">
      <c r="B348" s="95" t="s">
        <v>526</v>
      </c>
      <c r="C348" s="95" t="s">
        <v>612</v>
      </c>
      <c r="D348" s="95" t="s">
        <v>69</v>
      </c>
      <c r="E348" s="95" t="s">
        <v>555</v>
      </c>
      <c r="F348" s="95" t="s">
        <v>537</v>
      </c>
      <c r="G348" s="9">
        <v>320000.0</v>
      </c>
      <c r="H348" s="95" t="s">
        <v>530</v>
      </c>
      <c r="I348" s="13">
        <f t="shared" si="14"/>
        <v>32000</v>
      </c>
      <c r="J348" s="97" t="s">
        <v>985</v>
      </c>
      <c r="K348" s="98"/>
      <c r="L348" s="98"/>
    </row>
    <row r="349">
      <c r="B349" s="95" t="s">
        <v>526</v>
      </c>
      <c r="C349" s="95" t="s">
        <v>845</v>
      </c>
      <c r="D349" s="95" t="s">
        <v>69</v>
      </c>
      <c r="E349" s="95" t="s">
        <v>555</v>
      </c>
      <c r="F349" s="95" t="s">
        <v>537</v>
      </c>
      <c r="G349" s="9">
        <v>330000.0</v>
      </c>
      <c r="H349" s="95" t="s">
        <v>530</v>
      </c>
      <c r="I349" s="13">
        <f t="shared" si="14"/>
        <v>33000</v>
      </c>
      <c r="J349" s="97" t="s">
        <v>985</v>
      </c>
      <c r="K349" s="98"/>
      <c r="L349" s="98"/>
    </row>
    <row r="350">
      <c r="B350" s="95" t="s">
        <v>526</v>
      </c>
      <c r="C350" s="95" t="s">
        <v>1033</v>
      </c>
      <c r="D350" s="95" t="s">
        <v>69</v>
      </c>
      <c r="E350" s="95" t="s">
        <v>555</v>
      </c>
      <c r="F350" s="95" t="s">
        <v>537</v>
      </c>
      <c r="G350" s="9">
        <v>340000.0</v>
      </c>
      <c r="H350" s="95" t="s">
        <v>530</v>
      </c>
      <c r="I350" s="13">
        <f t="shared" si="14"/>
        <v>34000</v>
      </c>
      <c r="J350" s="97" t="s">
        <v>985</v>
      </c>
      <c r="K350" s="98"/>
      <c r="L350" s="98"/>
    </row>
    <row r="351">
      <c r="B351" s="95" t="s">
        <v>526</v>
      </c>
      <c r="C351" s="95" t="s">
        <v>822</v>
      </c>
      <c r="D351" s="95" t="s">
        <v>69</v>
      </c>
      <c r="E351" s="95" t="s">
        <v>555</v>
      </c>
      <c r="F351" s="95" t="s">
        <v>537</v>
      </c>
      <c r="G351" s="9">
        <v>475000.0</v>
      </c>
      <c r="H351" s="95" t="s">
        <v>530</v>
      </c>
      <c r="I351" s="13">
        <f t="shared" si="14"/>
        <v>47500</v>
      </c>
      <c r="J351" s="97" t="s">
        <v>985</v>
      </c>
      <c r="K351" s="98"/>
      <c r="L351" s="98"/>
    </row>
    <row r="352">
      <c r="B352" s="95" t="s">
        <v>526</v>
      </c>
      <c r="C352" s="95" t="s">
        <v>1032</v>
      </c>
      <c r="D352" s="95" t="s">
        <v>69</v>
      </c>
      <c r="E352" s="95" t="s">
        <v>555</v>
      </c>
      <c r="F352" s="95" t="s">
        <v>537</v>
      </c>
      <c r="G352" s="9">
        <v>490000.0</v>
      </c>
      <c r="H352" s="95" t="s">
        <v>530</v>
      </c>
      <c r="I352" s="13">
        <f t="shared" si="14"/>
        <v>49000</v>
      </c>
      <c r="J352" s="97" t="s">
        <v>985</v>
      </c>
      <c r="K352" s="98"/>
      <c r="L352" s="98"/>
    </row>
    <row r="353">
      <c r="B353" s="95" t="s">
        <v>526</v>
      </c>
      <c r="C353" s="95" t="s">
        <v>857</v>
      </c>
      <c r="D353" s="95" t="s">
        <v>69</v>
      </c>
      <c r="E353" s="95" t="s">
        <v>561</v>
      </c>
      <c r="F353" s="95" t="s">
        <v>543</v>
      </c>
      <c r="G353" s="9">
        <v>220000.0</v>
      </c>
      <c r="H353" s="95" t="s">
        <v>530</v>
      </c>
      <c r="I353" s="13">
        <f t="shared" si="14"/>
        <v>22000</v>
      </c>
      <c r="J353" s="97" t="s">
        <v>545</v>
      </c>
      <c r="K353" s="98"/>
      <c r="L353" s="98"/>
    </row>
    <row r="354">
      <c r="B354" s="95" t="s">
        <v>526</v>
      </c>
      <c r="C354" s="95" t="s">
        <v>780</v>
      </c>
      <c r="D354" s="95" t="s">
        <v>69</v>
      </c>
      <c r="E354" s="95" t="s">
        <v>131</v>
      </c>
      <c r="F354" s="95" t="s">
        <v>537</v>
      </c>
      <c r="G354" s="9">
        <v>70000.0</v>
      </c>
      <c r="H354" s="95" t="s">
        <v>530</v>
      </c>
      <c r="I354" s="13">
        <f t="shared" si="14"/>
        <v>7000</v>
      </c>
      <c r="J354" s="97" t="s">
        <v>987</v>
      </c>
      <c r="K354" s="98"/>
      <c r="L354" s="98"/>
    </row>
    <row r="355">
      <c r="B355" s="95" t="s">
        <v>526</v>
      </c>
      <c r="C355" s="95" t="s">
        <v>1045</v>
      </c>
      <c r="D355" s="95" t="s">
        <v>69</v>
      </c>
      <c r="E355" s="95" t="s">
        <v>542</v>
      </c>
      <c r="F355" s="95" t="s">
        <v>537</v>
      </c>
      <c r="G355" s="9">
        <v>73000.0</v>
      </c>
      <c r="H355" s="95" t="s">
        <v>530</v>
      </c>
      <c r="I355" s="13">
        <f t="shared" si="14"/>
        <v>7300</v>
      </c>
      <c r="J355" s="97" t="s">
        <v>987</v>
      </c>
      <c r="K355" s="98"/>
      <c r="L355" s="98"/>
    </row>
    <row r="356">
      <c r="B356" s="95" t="s">
        <v>526</v>
      </c>
      <c r="C356" s="95" t="s">
        <v>1046</v>
      </c>
      <c r="D356" s="95" t="s">
        <v>69</v>
      </c>
      <c r="E356" s="95" t="s">
        <v>131</v>
      </c>
      <c r="F356" s="95" t="s">
        <v>537</v>
      </c>
      <c r="G356" s="9">
        <v>75000.0</v>
      </c>
      <c r="H356" s="95" t="s">
        <v>530</v>
      </c>
      <c r="I356" s="13">
        <f t="shared" si="14"/>
        <v>7500</v>
      </c>
      <c r="J356" s="97" t="s">
        <v>987</v>
      </c>
      <c r="K356" s="98"/>
      <c r="L356" s="98"/>
    </row>
    <row r="357">
      <c r="B357" s="95" t="s">
        <v>526</v>
      </c>
      <c r="C357" s="95" t="s">
        <v>552</v>
      </c>
      <c r="D357" s="95" t="s">
        <v>69</v>
      </c>
      <c r="E357" s="95" t="s">
        <v>131</v>
      </c>
      <c r="F357" s="95" t="s">
        <v>537</v>
      </c>
      <c r="G357" s="9">
        <v>75000.0</v>
      </c>
      <c r="H357" s="95" t="s">
        <v>530</v>
      </c>
      <c r="I357" s="13">
        <f t="shared" si="14"/>
        <v>7500</v>
      </c>
      <c r="J357" s="97" t="s">
        <v>987</v>
      </c>
      <c r="K357" s="98"/>
      <c r="L357" s="98"/>
    </row>
    <row r="358">
      <c r="B358" s="95" t="s">
        <v>526</v>
      </c>
      <c r="C358" s="95" t="s">
        <v>1047</v>
      </c>
      <c r="D358" s="95" t="s">
        <v>69</v>
      </c>
      <c r="E358" s="95" t="s">
        <v>772</v>
      </c>
      <c r="F358" s="95" t="s">
        <v>537</v>
      </c>
      <c r="G358" s="9">
        <v>75000.0</v>
      </c>
      <c r="H358" s="95" t="s">
        <v>530</v>
      </c>
      <c r="I358" s="13">
        <f t="shared" si="14"/>
        <v>7500</v>
      </c>
      <c r="J358" s="97" t="s">
        <v>987</v>
      </c>
      <c r="K358" s="98"/>
      <c r="L358" s="98"/>
    </row>
    <row r="359">
      <c r="B359" s="95" t="s">
        <v>526</v>
      </c>
      <c r="C359" s="95" t="s">
        <v>548</v>
      </c>
      <c r="D359" s="95" t="s">
        <v>69</v>
      </c>
      <c r="E359" s="95" t="s">
        <v>131</v>
      </c>
      <c r="F359" s="95" t="s">
        <v>537</v>
      </c>
      <c r="G359" s="9">
        <v>80000.0</v>
      </c>
      <c r="H359" s="95" t="s">
        <v>530</v>
      </c>
      <c r="I359" s="13">
        <f t="shared" si="14"/>
        <v>8000</v>
      </c>
      <c r="J359" s="97" t="s">
        <v>987</v>
      </c>
      <c r="K359" s="98"/>
      <c r="L359" s="98"/>
    </row>
    <row r="360">
      <c r="B360" s="95" t="s">
        <v>526</v>
      </c>
      <c r="C360" s="95" t="s">
        <v>1042</v>
      </c>
      <c r="D360" s="95" t="s">
        <v>69</v>
      </c>
      <c r="E360" s="95" t="s">
        <v>131</v>
      </c>
      <c r="F360" s="95" t="s">
        <v>537</v>
      </c>
      <c r="G360" s="9">
        <v>80000.0</v>
      </c>
      <c r="H360" s="95" t="s">
        <v>530</v>
      </c>
      <c r="I360" s="13">
        <f t="shared" si="14"/>
        <v>8000</v>
      </c>
      <c r="J360" s="97" t="s">
        <v>987</v>
      </c>
      <c r="K360" s="98"/>
      <c r="L360" s="98"/>
    </row>
    <row r="361">
      <c r="B361" s="95" t="s">
        <v>526</v>
      </c>
      <c r="C361" s="95" t="s">
        <v>1048</v>
      </c>
      <c r="D361" s="95" t="s">
        <v>69</v>
      </c>
      <c r="E361" s="95" t="s">
        <v>542</v>
      </c>
      <c r="F361" s="95" t="s">
        <v>537</v>
      </c>
      <c r="G361" s="9">
        <v>80000.0</v>
      </c>
      <c r="H361" s="95" t="s">
        <v>530</v>
      </c>
      <c r="I361" s="13">
        <f t="shared" si="14"/>
        <v>8000</v>
      </c>
      <c r="J361" s="97" t="s">
        <v>987</v>
      </c>
      <c r="K361" s="98"/>
      <c r="L361" s="98"/>
    </row>
    <row r="362">
      <c r="B362" s="95" t="s">
        <v>526</v>
      </c>
      <c r="C362" s="95" t="s">
        <v>768</v>
      </c>
      <c r="D362" s="95" t="s">
        <v>69</v>
      </c>
      <c r="E362" s="95" t="s">
        <v>930</v>
      </c>
      <c r="F362" s="95" t="s">
        <v>537</v>
      </c>
      <c r="G362" s="9">
        <v>80000.0</v>
      </c>
      <c r="H362" s="95" t="s">
        <v>530</v>
      </c>
      <c r="I362" s="13">
        <f t="shared" si="14"/>
        <v>8000</v>
      </c>
      <c r="J362" s="97" t="s">
        <v>987</v>
      </c>
      <c r="K362" s="98"/>
      <c r="L362" s="98"/>
    </row>
    <row r="363">
      <c r="B363" s="95" t="s">
        <v>526</v>
      </c>
      <c r="C363" s="95" t="s">
        <v>1049</v>
      </c>
      <c r="D363" s="95" t="s">
        <v>69</v>
      </c>
      <c r="E363" s="95" t="s">
        <v>131</v>
      </c>
      <c r="F363" s="95" t="s">
        <v>537</v>
      </c>
      <c r="G363" s="9">
        <v>100000.0</v>
      </c>
      <c r="H363" s="95" t="s">
        <v>530</v>
      </c>
      <c r="I363" s="13">
        <f t="shared" si="14"/>
        <v>10000</v>
      </c>
      <c r="J363" s="97" t="s">
        <v>983</v>
      </c>
      <c r="K363" s="98"/>
      <c r="L363" s="98"/>
    </row>
    <row r="364">
      <c r="B364" s="95" t="s">
        <v>526</v>
      </c>
      <c r="C364" s="95" t="s">
        <v>1050</v>
      </c>
      <c r="D364" s="95" t="s">
        <v>69</v>
      </c>
      <c r="E364" s="95" t="s">
        <v>131</v>
      </c>
      <c r="F364" s="95" t="s">
        <v>537</v>
      </c>
      <c r="G364" s="9">
        <v>100000.0</v>
      </c>
      <c r="H364" s="95" t="s">
        <v>530</v>
      </c>
      <c r="I364" s="13">
        <f t="shared" si="14"/>
        <v>10000</v>
      </c>
      <c r="J364" s="97" t="s">
        <v>983</v>
      </c>
      <c r="K364" s="98"/>
      <c r="L364" s="98"/>
    </row>
    <row r="365">
      <c r="B365" s="95" t="s">
        <v>526</v>
      </c>
      <c r="C365" s="95" t="s">
        <v>1051</v>
      </c>
      <c r="D365" s="95" t="s">
        <v>69</v>
      </c>
      <c r="E365" s="95" t="s">
        <v>131</v>
      </c>
      <c r="F365" s="95" t="s">
        <v>537</v>
      </c>
      <c r="G365" s="9">
        <v>100000.0</v>
      </c>
      <c r="H365" s="95" t="s">
        <v>530</v>
      </c>
      <c r="I365" s="13">
        <f t="shared" si="14"/>
        <v>10000</v>
      </c>
      <c r="J365" s="97" t="s">
        <v>983</v>
      </c>
      <c r="K365" s="98"/>
      <c r="L365" s="98"/>
    </row>
    <row r="366">
      <c r="B366" s="95" t="s">
        <v>526</v>
      </c>
      <c r="C366" s="95" t="s">
        <v>955</v>
      </c>
      <c r="D366" s="95" t="s">
        <v>69</v>
      </c>
      <c r="E366" s="95" t="s">
        <v>542</v>
      </c>
      <c r="F366" s="95" t="s">
        <v>537</v>
      </c>
      <c r="G366" s="9">
        <v>125000.0</v>
      </c>
      <c r="H366" s="95" t="s">
        <v>530</v>
      </c>
      <c r="I366" s="13">
        <f t="shared" si="14"/>
        <v>12500</v>
      </c>
      <c r="J366" s="97" t="s">
        <v>983</v>
      </c>
      <c r="K366" s="98"/>
      <c r="L366" s="98"/>
    </row>
    <row r="367">
      <c r="B367" s="95" t="s">
        <v>526</v>
      </c>
      <c r="C367" s="95" t="s">
        <v>1052</v>
      </c>
      <c r="D367" s="95" t="s">
        <v>69</v>
      </c>
      <c r="E367" s="95" t="s">
        <v>561</v>
      </c>
      <c r="F367" s="95" t="s">
        <v>543</v>
      </c>
      <c r="G367" s="9">
        <v>70000.0</v>
      </c>
      <c r="H367" s="95" t="s">
        <v>530</v>
      </c>
      <c r="I367" s="13">
        <f t="shared" si="14"/>
        <v>7000</v>
      </c>
      <c r="J367" s="97" t="s">
        <v>545</v>
      </c>
      <c r="K367" s="98"/>
      <c r="L367" s="98"/>
    </row>
    <row r="368">
      <c r="B368" s="95" t="s">
        <v>526</v>
      </c>
      <c r="C368" s="95" t="s">
        <v>785</v>
      </c>
      <c r="D368" s="95" t="s">
        <v>69</v>
      </c>
      <c r="E368" s="95" t="s">
        <v>561</v>
      </c>
      <c r="F368" s="95" t="s">
        <v>543</v>
      </c>
      <c r="G368" s="9">
        <v>70000.0</v>
      </c>
      <c r="H368" s="95" t="s">
        <v>530</v>
      </c>
      <c r="I368" s="13">
        <f t="shared" si="14"/>
        <v>7000</v>
      </c>
      <c r="J368" s="97" t="s">
        <v>545</v>
      </c>
      <c r="K368" s="98"/>
      <c r="L368" s="98"/>
    </row>
    <row r="369">
      <c r="B369" s="95" t="s">
        <v>526</v>
      </c>
      <c r="C369" s="95" t="s">
        <v>1053</v>
      </c>
      <c r="D369" s="95" t="s">
        <v>69</v>
      </c>
      <c r="E369" s="95" t="s">
        <v>561</v>
      </c>
      <c r="F369" s="95" t="s">
        <v>543</v>
      </c>
      <c r="G369" s="9">
        <v>90000.0</v>
      </c>
      <c r="H369" s="95" t="s">
        <v>530</v>
      </c>
      <c r="I369" s="13">
        <f t="shared" si="14"/>
        <v>9000</v>
      </c>
      <c r="J369" s="97" t="s">
        <v>545</v>
      </c>
      <c r="K369" s="98"/>
      <c r="L369" s="98"/>
    </row>
    <row r="370">
      <c r="B370" s="95" t="s">
        <v>526</v>
      </c>
      <c r="C370" s="95" t="s">
        <v>888</v>
      </c>
      <c r="D370" s="95" t="s">
        <v>69</v>
      </c>
      <c r="E370" s="95" t="s">
        <v>555</v>
      </c>
      <c r="F370" s="95" t="s">
        <v>537</v>
      </c>
      <c r="G370" s="9">
        <v>190000.0</v>
      </c>
      <c r="H370" s="95" t="s">
        <v>530</v>
      </c>
      <c r="I370" s="13">
        <f t="shared" si="14"/>
        <v>19000</v>
      </c>
      <c r="J370" s="97" t="s">
        <v>983</v>
      </c>
      <c r="K370" s="98"/>
      <c r="L370" s="98"/>
    </row>
    <row r="371">
      <c r="B371" s="95" t="s">
        <v>526</v>
      </c>
      <c r="C371" s="95" t="s">
        <v>719</v>
      </c>
      <c r="D371" s="95" t="s">
        <v>69</v>
      </c>
      <c r="E371" s="95" t="s">
        <v>555</v>
      </c>
      <c r="F371" s="95" t="s">
        <v>537</v>
      </c>
      <c r="G371" s="9">
        <v>215000.0</v>
      </c>
      <c r="H371" s="95" t="s">
        <v>530</v>
      </c>
      <c r="I371" s="13">
        <f t="shared" si="14"/>
        <v>21500</v>
      </c>
      <c r="J371" s="97" t="s">
        <v>983</v>
      </c>
      <c r="K371" s="98"/>
      <c r="L371" s="98"/>
    </row>
    <row r="372">
      <c r="B372" s="95" t="s">
        <v>526</v>
      </c>
      <c r="C372" s="95" t="s">
        <v>953</v>
      </c>
      <c r="D372" s="95" t="s">
        <v>69</v>
      </c>
      <c r="E372" s="95" t="s">
        <v>555</v>
      </c>
      <c r="F372" s="95" t="s">
        <v>537</v>
      </c>
      <c r="G372" s="9">
        <v>280000.0</v>
      </c>
      <c r="H372" s="95" t="s">
        <v>530</v>
      </c>
      <c r="I372" s="13">
        <f t="shared" si="14"/>
        <v>28000</v>
      </c>
      <c r="J372" s="97" t="s">
        <v>983</v>
      </c>
      <c r="K372" s="98"/>
      <c r="L372" s="98"/>
    </row>
    <row r="373">
      <c r="B373" s="95" t="s">
        <v>526</v>
      </c>
      <c r="C373" s="95" t="s">
        <v>829</v>
      </c>
      <c r="D373" s="95" t="s">
        <v>114</v>
      </c>
      <c r="E373" s="95" t="s">
        <v>396</v>
      </c>
      <c r="F373" s="95" t="s">
        <v>537</v>
      </c>
      <c r="G373" s="9">
        <v>450000.0</v>
      </c>
      <c r="H373" s="95" t="s">
        <v>530</v>
      </c>
      <c r="I373" s="13">
        <f t="shared" si="14"/>
        <v>45000</v>
      </c>
      <c r="J373" s="97" t="s">
        <v>982</v>
      </c>
      <c r="K373" s="98"/>
      <c r="L373" s="98"/>
    </row>
    <row r="374">
      <c r="B374" s="95" t="s">
        <v>526</v>
      </c>
      <c r="C374" s="95" t="s">
        <v>829</v>
      </c>
      <c r="D374" s="95" t="s">
        <v>69</v>
      </c>
      <c r="E374" s="95" t="s">
        <v>555</v>
      </c>
      <c r="F374" s="95" t="s">
        <v>529</v>
      </c>
      <c r="G374" s="9">
        <v>350000.0</v>
      </c>
      <c r="H374" s="95" t="s">
        <v>530</v>
      </c>
      <c r="I374" s="13">
        <f t="shared" si="14"/>
        <v>35000</v>
      </c>
      <c r="J374" s="97" t="s">
        <v>982</v>
      </c>
      <c r="K374" s="98"/>
      <c r="L374" s="98"/>
    </row>
    <row r="375">
      <c r="B375" s="95" t="s">
        <v>526</v>
      </c>
      <c r="C375" s="95" t="s">
        <v>679</v>
      </c>
      <c r="D375" s="95" t="s">
        <v>69</v>
      </c>
      <c r="E375" s="95" t="s">
        <v>555</v>
      </c>
      <c r="F375" s="95" t="s">
        <v>529</v>
      </c>
      <c r="G375" s="9">
        <v>370000.0</v>
      </c>
      <c r="H375" s="95" t="s">
        <v>530</v>
      </c>
      <c r="I375" s="13">
        <f t="shared" si="14"/>
        <v>37000</v>
      </c>
      <c r="J375" s="97" t="s">
        <v>982</v>
      </c>
      <c r="K375" s="98"/>
      <c r="L375" s="98"/>
    </row>
    <row r="376">
      <c r="B376" s="95" t="s">
        <v>526</v>
      </c>
      <c r="C376" s="95" t="s">
        <v>1054</v>
      </c>
      <c r="D376" s="95" t="s">
        <v>69</v>
      </c>
      <c r="E376" s="95" t="s">
        <v>555</v>
      </c>
      <c r="F376" s="95" t="s">
        <v>529</v>
      </c>
      <c r="G376" s="9">
        <v>320000.0</v>
      </c>
      <c r="H376" s="95" t="s">
        <v>530</v>
      </c>
      <c r="I376" s="13">
        <f t="shared" si="14"/>
        <v>32000</v>
      </c>
      <c r="J376" s="97" t="s">
        <v>982</v>
      </c>
      <c r="K376" s="98"/>
      <c r="L376" s="98"/>
    </row>
    <row r="377">
      <c r="B377" s="95" t="s">
        <v>526</v>
      </c>
      <c r="C377" s="95" t="s">
        <v>719</v>
      </c>
      <c r="D377" s="95" t="s">
        <v>69</v>
      </c>
      <c r="E377" s="95" t="s">
        <v>555</v>
      </c>
      <c r="F377" s="95" t="s">
        <v>529</v>
      </c>
      <c r="G377" s="9">
        <v>320000.0</v>
      </c>
      <c r="H377" s="95" t="s">
        <v>530</v>
      </c>
      <c r="I377" s="13">
        <f t="shared" si="14"/>
        <v>32000</v>
      </c>
      <c r="J377" s="97" t="s">
        <v>982</v>
      </c>
      <c r="K377" s="98"/>
      <c r="L377" s="98"/>
    </row>
    <row r="378">
      <c r="B378" s="95" t="s">
        <v>526</v>
      </c>
      <c r="C378" s="95" t="s">
        <v>845</v>
      </c>
      <c r="D378" s="95" t="s">
        <v>69</v>
      </c>
      <c r="E378" s="95" t="s">
        <v>555</v>
      </c>
      <c r="F378" s="95" t="s">
        <v>529</v>
      </c>
      <c r="G378" s="9">
        <v>280000.0</v>
      </c>
      <c r="H378" s="95" t="s">
        <v>530</v>
      </c>
      <c r="I378" s="13">
        <f t="shared" si="14"/>
        <v>28000</v>
      </c>
      <c r="J378" s="97" t="s">
        <v>982</v>
      </c>
      <c r="K378" s="98"/>
      <c r="L378" s="98"/>
    </row>
    <row r="379">
      <c r="B379" s="95" t="s">
        <v>526</v>
      </c>
      <c r="C379" s="95" t="s">
        <v>1055</v>
      </c>
      <c r="D379" s="95" t="s">
        <v>69</v>
      </c>
      <c r="E379" s="95" t="s">
        <v>555</v>
      </c>
      <c r="F379" s="95" t="s">
        <v>529</v>
      </c>
      <c r="G379" s="9">
        <v>250000.0</v>
      </c>
      <c r="H379" s="95" t="s">
        <v>530</v>
      </c>
      <c r="I379" s="13">
        <f t="shared" si="14"/>
        <v>25000</v>
      </c>
      <c r="J379" s="97" t="s">
        <v>982</v>
      </c>
      <c r="K379" s="98"/>
      <c r="L379" s="98"/>
    </row>
    <row r="380">
      <c r="B380" s="95" t="s">
        <v>526</v>
      </c>
      <c r="C380" s="95" t="s">
        <v>1056</v>
      </c>
      <c r="D380" s="95" t="s">
        <v>69</v>
      </c>
      <c r="E380" s="95" t="s">
        <v>550</v>
      </c>
      <c r="F380" s="95" t="s">
        <v>543</v>
      </c>
      <c r="G380" s="9">
        <v>35000.0</v>
      </c>
      <c r="H380" s="95" t="s">
        <v>530</v>
      </c>
      <c r="I380" s="13">
        <f t="shared" si="14"/>
        <v>3500</v>
      </c>
      <c r="J380" s="97" t="s">
        <v>1057</v>
      </c>
      <c r="K380" s="98"/>
      <c r="L380" s="98"/>
    </row>
    <row r="381">
      <c r="B381" s="95" t="s">
        <v>526</v>
      </c>
      <c r="C381" s="95" t="s">
        <v>911</v>
      </c>
      <c r="D381" s="95" t="s">
        <v>69</v>
      </c>
      <c r="E381" s="95" t="s">
        <v>926</v>
      </c>
      <c r="F381" s="95" t="s">
        <v>543</v>
      </c>
      <c r="G381" s="9">
        <v>25000.0</v>
      </c>
      <c r="H381" s="95" t="s">
        <v>530</v>
      </c>
      <c r="I381" s="13">
        <f t="shared" si="14"/>
        <v>2500</v>
      </c>
      <c r="J381" s="97" t="s">
        <v>1057</v>
      </c>
      <c r="K381" s="98"/>
      <c r="L381" s="98"/>
    </row>
    <row r="382">
      <c r="B382" s="95" t="s">
        <v>526</v>
      </c>
      <c r="C382" s="95" t="s">
        <v>1058</v>
      </c>
      <c r="D382" s="95" t="s">
        <v>69</v>
      </c>
      <c r="E382" s="95" t="s">
        <v>772</v>
      </c>
      <c r="F382" s="95" t="s">
        <v>543</v>
      </c>
      <c r="G382" s="9">
        <v>30000.0</v>
      </c>
      <c r="H382" s="95" t="s">
        <v>530</v>
      </c>
      <c r="I382" s="13">
        <f t="shared" si="14"/>
        <v>3000</v>
      </c>
      <c r="J382" s="97" t="s">
        <v>1057</v>
      </c>
      <c r="K382" s="98"/>
      <c r="L382" s="98"/>
    </row>
    <row r="383">
      <c r="B383" s="95" t="s">
        <v>526</v>
      </c>
      <c r="C383" s="95" t="s">
        <v>1059</v>
      </c>
      <c r="D383" s="95" t="s">
        <v>69</v>
      </c>
      <c r="E383" s="95" t="s">
        <v>123</v>
      </c>
      <c r="F383" s="95" t="s">
        <v>543</v>
      </c>
      <c r="G383" s="9">
        <v>35000.0</v>
      </c>
      <c r="H383" s="95" t="s">
        <v>530</v>
      </c>
      <c r="I383" s="13">
        <f t="shared" si="14"/>
        <v>3500</v>
      </c>
      <c r="J383" s="97" t="s">
        <v>1057</v>
      </c>
      <c r="K383" s="98"/>
      <c r="L383" s="98"/>
    </row>
    <row r="384">
      <c r="B384" s="95" t="s">
        <v>526</v>
      </c>
      <c r="C384" s="95" t="s">
        <v>786</v>
      </c>
      <c r="D384" s="95" t="s">
        <v>826</v>
      </c>
      <c r="E384" s="95" t="s">
        <v>827</v>
      </c>
      <c r="F384" s="95" t="s">
        <v>543</v>
      </c>
      <c r="G384" s="9">
        <v>270000.0</v>
      </c>
      <c r="H384" s="95" t="s">
        <v>530</v>
      </c>
      <c r="I384" s="13">
        <f t="shared" si="14"/>
        <v>27000</v>
      </c>
      <c r="J384" s="97" t="s">
        <v>791</v>
      </c>
      <c r="K384" s="97" t="s">
        <v>836</v>
      </c>
      <c r="L384" s="98"/>
    </row>
    <row r="385">
      <c r="B385" s="95" t="s">
        <v>526</v>
      </c>
      <c r="C385" s="95" t="s">
        <v>1060</v>
      </c>
      <c r="D385" s="95" t="s">
        <v>69</v>
      </c>
      <c r="E385" s="95" t="s">
        <v>131</v>
      </c>
      <c r="F385" s="95" t="s">
        <v>543</v>
      </c>
      <c r="G385" s="9">
        <v>30000.0</v>
      </c>
      <c r="H385" s="95" t="s">
        <v>530</v>
      </c>
      <c r="I385" s="13">
        <f t="shared" si="14"/>
        <v>3000</v>
      </c>
      <c r="J385" s="97" t="s">
        <v>1057</v>
      </c>
      <c r="K385" s="98"/>
      <c r="L385" s="98"/>
    </row>
    <row r="386">
      <c r="B386" s="95" t="s">
        <v>526</v>
      </c>
      <c r="C386" s="95" t="s">
        <v>837</v>
      </c>
      <c r="D386" s="95" t="s">
        <v>140</v>
      </c>
      <c r="E386" s="95" t="s">
        <v>203</v>
      </c>
      <c r="F386" s="95" t="s">
        <v>543</v>
      </c>
      <c r="G386" s="9">
        <v>625000.0</v>
      </c>
      <c r="H386" s="95" t="s">
        <v>530</v>
      </c>
      <c r="I386" s="13">
        <f t="shared" si="14"/>
        <v>62500</v>
      </c>
      <c r="J386" s="97" t="s">
        <v>791</v>
      </c>
      <c r="K386" s="98"/>
      <c r="L386" s="98"/>
    </row>
    <row r="387">
      <c r="B387" s="95" t="s">
        <v>526</v>
      </c>
      <c r="C387" s="95" t="s">
        <v>783</v>
      </c>
      <c r="D387" s="95" t="s">
        <v>69</v>
      </c>
      <c r="E387" s="95" t="s">
        <v>550</v>
      </c>
      <c r="F387" s="95" t="s">
        <v>543</v>
      </c>
      <c r="G387" s="9">
        <v>40000.0</v>
      </c>
      <c r="H387" s="95" t="s">
        <v>530</v>
      </c>
      <c r="I387" s="13">
        <f t="shared" si="14"/>
        <v>4000</v>
      </c>
      <c r="J387" s="97" t="s">
        <v>1057</v>
      </c>
      <c r="K387" s="98"/>
      <c r="L387" s="98"/>
    </row>
    <row r="388">
      <c r="B388" s="95" t="s">
        <v>526</v>
      </c>
      <c r="C388" s="95" t="s">
        <v>1061</v>
      </c>
      <c r="D388" s="95" t="s">
        <v>69</v>
      </c>
      <c r="E388" s="95" t="s">
        <v>930</v>
      </c>
      <c r="F388" s="95" t="s">
        <v>543</v>
      </c>
      <c r="G388" s="9">
        <v>25000.0</v>
      </c>
      <c r="H388" s="95" t="s">
        <v>530</v>
      </c>
      <c r="I388" s="13">
        <f t="shared" si="14"/>
        <v>2500</v>
      </c>
      <c r="J388" s="97" t="s">
        <v>1057</v>
      </c>
      <c r="K388" s="98"/>
      <c r="L388" s="98"/>
    </row>
    <row r="389">
      <c r="B389" s="95" t="s">
        <v>526</v>
      </c>
      <c r="C389" s="95" t="s">
        <v>1062</v>
      </c>
      <c r="D389" s="95" t="s">
        <v>69</v>
      </c>
      <c r="E389" s="95" t="s">
        <v>926</v>
      </c>
      <c r="F389" s="95" t="s">
        <v>543</v>
      </c>
      <c r="G389" s="9">
        <v>15000.0</v>
      </c>
      <c r="H389" s="95" t="s">
        <v>530</v>
      </c>
      <c r="I389" s="13">
        <f t="shared" si="14"/>
        <v>1500</v>
      </c>
      <c r="J389" s="97" t="s">
        <v>1057</v>
      </c>
      <c r="K389" s="98"/>
      <c r="L389" s="98"/>
    </row>
    <row r="390">
      <c r="B390" s="95" t="s">
        <v>526</v>
      </c>
      <c r="C390" s="95" t="s">
        <v>1063</v>
      </c>
      <c r="D390" s="95" t="s">
        <v>69</v>
      </c>
      <c r="E390" s="95" t="s">
        <v>561</v>
      </c>
      <c r="F390" s="95" t="s">
        <v>543</v>
      </c>
      <c r="G390" s="9">
        <f>4*12000</f>
        <v>48000</v>
      </c>
      <c r="H390" s="95" t="s">
        <v>680</v>
      </c>
      <c r="I390" s="13">
        <f>G390/4</f>
        <v>12000</v>
      </c>
      <c r="J390" s="98" t="s">
        <v>1064</v>
      </c>
      <c r="K390" s="98"/>
      <c r="L390" s="98"/>
    </row>
    <row r="391">
      <c r="B391" s="95" t="s">
        <v>526</v>
      </c>
      <c r="C391" s="95" t="s">
        <v>846</v>
      </c>
      <c r="D391" s="95" t="s">
        <v>69</v>
      </c>
      <c r="E391" s="95" t="s">
        <v>561</v>
      </c>
      <c r="F391" s="95" t="s">
        <v>543</v>
      </c>
      <c r="G391" s="9">
        <v>170000.0</v>
      </c>
      <c r="H391" s="95" t="s">
        <v>530</v>
      </c>
      <c r="I391" s="13">
        <f t="shared" ref="I391:I393" si="15">G391/10</f>
        <v>17000</v>
      </c>
      <c r="J391" s="97" t="s">
        <v>791</v>
      </c>
      <c r="K391" s="98"/>
      <c r="L391" s="98"/>
    </row>
    <row r="392">
      <c r="B392" s="95" t="s">
        <v>526</v>
      </c>
      <c r="C392" s="95" t="s">
        <v>857</v>
      </c>
      <c r="D392" s="95" t="s">
        <v>69</v>
      </c>
      <c r="E392" s="95" t="s">
        <v>561</v>
      </c>
      <c r="F392" s="95" t="s">
        <v>763</v>
      </c>
      <c r="G392" s="9">
        <v>230000.0</v>
      </c>
      <c r="H392" s="95" t="s">
        <v>530</v>
      </c>
      <c r="I392" s="13">
        <f t="shared" si="15"/>
        <v>23000</v>
      </c>
      <c r="J392" s="97" t="s">
        <v>791</v>
      </c>
      <c r="K392" s="97" t="s">
        <v>764</v>
      </c>
      <c r="L392" s="98"/>
    </row>
    <row r="393">
      <c r="B393" s="95" t="s">
        <v>526</v>
      </c>
      <c r="C393" s="95" t="s">
        <v>813</v>
      </c>
      <c r="D393" s="95" t="s">
        <v>69</v>
      </c>
      <c r="E393" s="95" t="s">
        <v>555</v>
      </c>
      <c r="F393" s="95" t="s">
        <v>543</v>
      </c>
      <c r="G393" s="9">
        <v>120000.0</v>
      </c>
      <c r="H393" s="95" t="s">
        <v>530</v>
      </c>
      <c r="I393" s="13">
        <f t="shared" si="15"/>
        <v>12000</v>
      </c>
      <c r="J393" s="97" t="s">
        <v>545</v>
      </c>
      <c r="K393" s="98"/>
      <c r="L393" s="98"/>
    </row>
    <row r="394">
      <c r="B394" s="95" t="s">
        <v>526</v>
      </c>
      <c r="C394" s="95" t="s">
        <v>1065</v>
      </c>
      <c r="D394" s="95" t="s">
        <v>69</v>
      </c>
      <c r="E394" s="95" t="s">
        <v>561</v>
      </c>
      <c r="F394" s="95" t="s">
        <v>763</v>
      </c>
      <c r="G394" s="9">
        <v>50000.0</v>
      </c>
      <c r="H394" s="95" t="s">
        <v>610</v>
      </c>
      <c r="I394" s="13">
        <f>G394/9</f>
        <v>5555.555556</v>
      </c>
      <c r="J394" s="97" t="s">
        <v>1066</v>
      </c>
      <c r="K394" s="97" t="s">
        <v>764</v>
      </c>
      <c r="L394" s="98"/>
    </row>
    <row r="395">
      <c r="B395" s="95" t="s">
        <v>526</v>
      </c>
      <c r="C395" s="95" t="s">
        <v>842</v>
      </c>
      <c r="D395" s="95" t="s">
        <v>69</v>
      </c>
      <c r="E395" s="95" t="s">
        <v>555</v>
      </c>
      <c r="F395" s="95" t="s">
        <v>543</v>
      </c>
      <c r="G395" s="9">
        <v>150000.0</v>
      </c>
      <c r="H395" s="95" t="s">
        <v>530</v>
      </c>
      <c r="I395" s="13">
        <f t="shared" ref="I395:I417" si="16">G395/10</f>
        <v>15000</v>
      </c>
      <c r="J395" s="97" t="s">
        <v>545</v>
      </c>
      <c r="K395" s="98"/>
      <c r="L395" s="98"/>
    </row>
    <row r="396">
      <c r="B396" s="95" t="s">
        <v>526</v>
      </c>
      <c r="C396" s="95" t="s">
        <v>909</v>
      </c>
      <c r="D396" s="95" t="s">
        <v>69</v>
      </c>
      <c r="E396" s="95" t="s">
        <v>561</v>
      </c>
      <c r="F396" s="95" t="s">
        <v>763</v>
      </c>
      <c r="G396" s="9">
        <v>110000.0</v>
      </c>
      <c r="H396" s="95" t="s">
        <v>530</v>
      </c>
      <c r="I396" s="13">
        <f t="shared" si="16"/>
        <v>11000</v>
      </c>
      <c r="J396" s="97" t="s">
        <v>791</v>
      </c>
      <c r="K396" s="98"/>
      <c r="L396" s="98"/>
    </row>
    <row r="397">
      <c r="B397" s="95" t="s">
        <v>526</v>
      </c>
      <c r="C397" s="95" t="s">
        <v>1067</v>
      </c>
      <c r="D397" s="95" t="s">
        <v>69</v>
      </c>
      <c r="E397" s="95" t="s">
        <v>555</v>
      </c>
      <c r="F397" s="95" t="s">
        <v>543</v>
      </c>
      <c r="G397" s="9">
        <v>200000.0</v>
      </c>
      <c r="H397" s="95" t="s">
        <v>530</v>
      </c>
      <c r="I397" s="13">
        <f t="shared" si="16"/>
        <v>20000</v>
      </c>
      <c r="J397" s="97" t="s">
        <v>545</v>
      </c>
      <c r="K397" s="98"/>
      <c r="L397" s="98"/>
    </row>
    <row r="398">
      <c r="B398" s="95" t="s">
        <v>526</v>
      </c>
      <c r="C398" s="95" t="s">
        <v>1068</v>
      </c>
      <c r="D398" s="95" t="s">
        <v>69</v>
      </c>
      <c r="E398" s="95" t="s">
        <v>561</v>
      </c>
      <c r="F398" s="95" t="s">
        <v>763</v>
      </c>
      <c r="G398" s="9">
        <v>80000.0</v>
      </c>
      <c r="H398" s="95" t="s">
        <v>530</v>
      </c>
      <c r="I398" s="13">
        <f t="shared" si="16"/>
        <v>8000</v>
      </c>
      <c r="J398" s="97" t="s">
        <v>775</v>
      </c>
      <c r="K398" s="97" t="s">
        <v>764</v>
      </c>
      <c r="L398" s="98"/>
    </row>
    <row r="399">
      <c r="B399" s="95" t="s">
        <v>526</v>
      </c>
      <c r="C399" s="95" t="s">
        <v>845</v>
      </c>
      <c r="D399" s="95" t="s">
        <v>69</v>
      </c>
      <c r="E399" s="95" t="s">
        <v>555</v>
      </c>
      <c r="F399" s="95" t="s">
        <v>543</v>
      </c>
      <c r="G399" s="9">
        <v>250000.0</v>
      </c>
      <c r="H399" s="95" t="s">
        <v>530</v>
      </c>
      <c r="I399" s="13">
        <f t="shared" si="16"/>
        <v>25000</v>
      </c>
      <c r="J399" s="97" t="s">
        <v>545</v>
      </c>
      <c r="K399" s="98"/>
      <c r="L399" s="98"/>
    </row>
    <row r="400">
      <c r="B400" s="95" t="s">
        <v>526</v>
      </c>
      <c r="C400" s="95" t="s">
        <v>719</v>
      </c>
      <c r="D400" s="95" t="s">
        <v>69</v>
      </c>
      <c r="E400" s="95" t="s">
        <v>555</v>
      </c>
      <c r="F400" s="95" t="s">
        <v>543</v>
      </c>
      <c r="G400" s="9">
        <v>350000.0</v>
      </c>
      <c r="H400" s="95" t="s">
        <v>530</v>
      </c>
      <c r="I400" s="13">
        <f t="shared" si="16"/>
        <v>35000</v>
      </c>
      <c r="J400" s="97" t="s">
        <v>545</v>
      </c>
      <c r="K400" s="98"/>
      <c r="L400" s="98"/>
    </row>
    <row r="401">
      <c r="B401" s="95" t="s">
        <v>526</v>
      </c>
      <c r="C401" s="95" t="s">
        <v>829</v>
      </c>
      <c r="D401" s="95" t="s">
        <v>69</v>
      </c>
      <c r="E401" s="95" t="s">
        <v>555</v>
      </c>
      <c r="F401" s="95" t="s">
        <v>543</v>
      </c>
      <c r="G401" s="9">
        <v>350000.0</v>
      </c>
      <c r="H401" s="95" t="s">
        <v>530</v>
      </c>
      <c r="I401" s="13">
        <f t="shared" si="16"/>
        <v>35000</v>
      </c>
      <c r="J401" s="97" t="s">
        <v>545</v>
      </c>
      <c r="K401" s="98"/>
      <c r="L401" s="98"/>
    </row>
    <row r="402">
      <c r="B402" s="95" t="s">
        <v>526</v>
      </c>
      <c r="C402" s="95" t="s">
        <v>679</v>
      </c>
      <c r="D402" s="95" t="s">
        <v>69</v>
      </c>
      <c r="E402" s="95" t="s">
        <v>555</v>
      </c>
      <c r="F402" s="95" t="s">
        <v>543</v>
      </c>
      <c r="G402" s="9">
        <v>370000.0</v>
      </c>
      <c r="H402" s="95" t="s">
        <v>530</v>
      </c>
      <c r="I402" s="13">
        <f t="shared" si="16"/>
        <v>37000</v>
      </c>
      <c r="J402" s="97" t="s">
        <v>545</v>
      </c>
      <c r="K402" s="98"/>
      <c r="L402" s="98"/>
    </row>
    <row r="403">
      <c r="B403" s="95" t="s">
        <v>526</v>
      </c>
      <c r="C403" s="95" t="s">
        <v>1069</v>
      </c>
      <c r="D403" s="95" t="s">
        <v>69</v>
      </c>
      <c r="E403" s="95" t="s">
        <v>555</v>
      </c>
      <c r="F403" s="95" t="s">
        <v>543</v>
      </c>
      <c r="G403" s="9">
        <v>400000.0</v>
      </c>
      <c r="H403" s="95" t="s">
        <v>530</v>
      </c>
      <c r="I403" s="13">
        <f t="shared" si="16"/>
        <v>40000</v>
      </c>
      <c r="J403" s="97" t="s">
        <v>545</v>
      </c>
      <c r="K403" s="98"/>
      <c r="L403" s="98"/>
    </row>
    <row r="404">
      <c r="B404" s="95" t="s">
        <v>526</v>
      </c>
      <c r="C404" s="95" t="s">
        <v>822</v>
      </c>
      <c r="D404" s="95" t="s">
        <v>69</v>
      </c>
      <c r="E404" s="95" t="s">
        <v>555</v>
      </c>
      <c r="F404" s="95" t="s">
        <v>543</v>
      </c>
      <c r="G404" s="9">
        <v>425000.0</v>
      </c>
      <c r="H404" s="95" t="s">
        <v>530</v>
      </c>
      <c r="I404" s="13">
        <f t="shared" si="16"/>
        <v>42500</v>
      </c>
      <c r="J404" s="97" t="s">
        <v>545</v>
      </c>
      <c r="K404" s="98"/>
      <c r="L404" s="98"/>
    </row>
    <row r="405">
      <c r="B405" s="95" t="s">
        <v>526</v>
      </c>
      <c r="C405" s="95" t="s">
        <v>1070</v>
      </c>
      <c r="D405" s="95" t="s">
        <v>69</v>
      </c>
      <c r="E405" s="95" t="s">
        <v>555</v>
      </c>
      <c r="F405" s="95" t="s">
        <v>543</v>
      </c>
      <c r="G405" s="9">
        <v>450000.0</v>
      </c>
      <c r="H405" s="95" t="s">
        <v>530</v>
      </c>
      <c r="I405" s="13">
        <f t="shared" si="16"/>
        <v>45000</v>
      </c>
      <c r="J405" s="97" t="s">
        <v>545</v>
      </c>
      <c r="K405" s="98"/>
      <c r="L405" s="98"/>
    </row>
    <row r="406">
      <c r="B406" s="95" t="s">
        <v>526</v>
      </c>
      <c r="C406" s="95" t="s">
        <v>612</v>
      </c>
      <c r="D406" s="95" t="s">
        <v>69</v>
      </c>
      <c r="E406" s="95" t="s">
        <v>555</v>
      </c>
      <c r="F406" s="95" t="s">
        <v>543</v>
      </c>
      <c r="G406" s="9">
        <v>450000.0</v>
      </c>
      <c r="H406" s="95" t="s">
        <v>530</v>
      </c>
      <c r="I406" s="13">
        <f t="shared" si="16"/>
        <v>45000</v>
      </c>
      <c r="J406" s="97" t="s">
        <v>545</v>
      </c>
      <c r="K406" s="98"/>
      <c r="L406" s="98"/>
    </row>
    <row r="407">
      <c r="B407" s="95" t="s">
        <v>526</v>
      </c>
      <c r="C407" s="95" t="s">
        <v>1071</v>
      </c>
      <c r="D407" s="95" t="s">
        <v>69</v>
      </c>
      <c r="E407" s="95" t="s">
        <v>555</v>
      </c>
      <c r="F407" s="95" t="s">
        <v>543</v>
      </c>
      <c r="G407" s="9">
        <v>500000.0</v>
      </c>
      <c r="H407" s="95" t="s">
        <v>530</v>
      </c>
      <c r="I407" s="13">
        <f t="shared" si="16"/>
        <v>50000</v>
      </c>
      <c r="J407" s="97" t="s">
        <v>545</v>
      </c>
      <c r="K407" s="98"/>
      <c r="L407" s="98"/>
    </row>
    <row r="408">
      <c r="B408" s="95" t="s">
        <v>526</v>
      </c>
      <c r="C408" s="95" t="s">
        <v>1072</v>
      </c>
      <c r="D408" s="95" t="s">
        <v>69</v>
      </c>
      <c r="E408" s="95" t="s">
        <v>1073</v>
      </c>
      <c r="F408" s="95" t="s">
        <v>543</v>
      </c>
      <c r="G408" s="9">
        <v>25000.0</v>
      </c>
      <c r="H408" s="95" t="s">
        <v>530</v>
      </c>
      <c r="I408" s="13">
        <f t="shared" si="16"/>
        <v>2500</v>
      </c>
      <c r="J408" s="97" t="s">
        <v>1057</v>
      </c>
      <c r="K408" s="98"/>
      <c r="L408" s="98"/>
    </row>
    <row r="409">
      <c r="B409" s="95" t="s">
        <v>526</v>
      </c>
      <c r="C409" s="95" t="s">
        <v>909</v>
      </c>
      <c r="D409" s="95" t="s">
        <v>69</v>
      </c>
      <c r="E409" s="95" t="s">
        <v>550</v>
      </c>
      <c r="F409" s="95" t="s">
        <v>543</v>
      </c>
      <c r="G409" s="9">
        <v>70000.0</v>
      </c>
      <c r="H409" s="95" t="s">
        <v>530</v>
      </c>
      <c r="I409" s="13">
        <f t="shared" si="16"/>
        <v>7000</v>
      </c>
      <c r="J409" s="97" t="s">
        <v>1057</v>
      </c>
      <c r="K409" s="98"/>
      <c r="L409" s="98"/>
    </row>
    <row r="410">
      <c r="B410" s="95" t="s">
        <v>526</v>
      </c>
      <c r="C410" s="95" t="s">
        <v>1060</v>
      </c>
      <c r="D410" s="95" t="s">
        <v>69</v>
      </c>
      <c r="E410" s="95" t="s">
        <v>561</v>
      </c>
      <c r="F410" s="95" t="s">
        <v>763</v>
      </c>
      <c r="G410" s="9">
        <v>100000.0</v>
      </c>
      <c r="H410" s="95" t="s">
        <v>530</v>
      </c>
      <c r="I410" s="13">
        <f t="shared" si="16"/>
        <v>10000</v>
      </c>
      <c r="J410" s="97" t="s">
        <v>791</v>
      </c>
      <c r="K410" s="98"/>
      <c r="L410" s="98"/>
    </row>
    <row r="411">
      <c r="B411" s="95" t="s">
        <v>526</v>
      </c>
      <c r="C411" s="95" t="s">
        <v>1074</v>
      </c>
      <c r="D411" s="95" t="s">
        <v>69</v>
      </c>
      <c r="E411" s="95" t="s">
        <v>561</v>
      </c>
      <c r="F411" s="95" t="s">
        <v>763</v>
      </c>
      <c r="G411" s="9">
        <v>75000.0</v>
      </c>
      <c r="H411" s="95" t="s">
        <v>530</v>
      </c>
      <c r="I411" s="13">
        <f t="shared" si="16"/>
        <v>7500</v>
      </c>
      <c r="J411" s="97" t="s">
        <v>764</v>
      </c>
      <c r="K411" s="98"/>
      <c r="L411" s="98"/>
    </row>
    <row r="412">
      <c r="B412" s="95" t="s">
        <v>526</v>
      </c>
      <c r="C412" s="95" t="s">
        <v>1075</v>
      </c>
      <c r="D412" s="95" t="s">
        <v>69</v>
      </c>
      <c r="E412" s="95" t="s">
        <v>542</v>
      </c>
      <c r="F412" s="95" t="s">
        <v>763</v>
      </c>
      <c r="G412" s="9">
        <v>75000.0</v>
      </c>
      <c r="H412" s="95" t="s">
        <v>530</v>
      </c>
      <c r="I412" s="13">
        <f t="shared" si="16"/>
        <v>7500</v>
      </c>
      <c r="J412" s="97" t="s">
        <v>764</v>
      </c>
      <c r="K412" s="98"/>
      <c r="L412" s="98"/>
    </row>
    <row r="413">
      <c r="B413" s="95" t="s">
        <v>526</v>
      </c>
      <c r="C413" s="95" t="s">
        <v>884</v>
      </c>
      <c r="D413" s="95" t="s">
        <v>69</v>
      </c>
      <c r="E413" s="95" t="s">
        <v>555</v>
      </c>
      <c r="F413" s="95" t="s">
        <v>763</v>
      </c>
      <c r="G413" s="9">
        <v>80000.0</v>
      </c>
      <c r="H413" s="95" t="s">
        <v>530</v>
      </c>
      <c r="I413" s="13">
        <f t="shared" si="16"/>
        <v>8000</v>
      </c>
      <c r="J413" s="97" t="s">
        <v>764</v>
      </c>
      <c r="K413" s="98"/>
      <c r="L413" s="98"/>
    </row>
    <row r="414">
      <c r="B414" s="95" t="s">
        <v>526</v>
      </c>
      <c r="C414" s="95" t="s">
        <v>903</v>
      </c>
      <c r="D414" s="95" t="s">
        <v>69</v>
      </c>
      <c r="E414" s="95" t="s">
        <v>131</v>
      </c>
      <c r="F414" s="95" t="s">
        <v>763</v>
      </c>
      <c r="G414" s="9">
        <v>85000.0</v>
      </c>
      <c r="H414" s="95" t="s">
        <v>530</v>
      </c>
      <c r="I414" s="13">
        <f t="shared" si="16"/>
        <v>8500</v>
      </c>
      <c r="J414" s="97" t="s">
        <v>764</v>
      </c>
      <c r="K414" s="98"/>
      <c r="L414" s="98"/>
    </row>
    <row r="415">
      <c r="B415" s="95" t="s">
        <v>526</v>
      </c>
      <c r="C415" s="95" t="s">
        <v>913</v>
      </c>
      <c r="D415" s="95" t="s">
        <v>69</v>
      </c>
      <c r="E415" s="95" t="s">
        <v>542</v>
      </c>
      <c r="F415" s="95" t="s">
        <v>763</v>
      </c>
      <c r="G415" s="9">
        <v>90000.0</v>
      </c>
      <c r="H415" s="95" t="s">
        <v>530</v>
      </c>
      <c r="I415" s="13">
        <f t="shared" si="16"/>
        <v>9000</v>
      </c>
      <c r="J415" s="97" t="s">
        <v>764</v>
      </c>
      <c r="K415" s="98"/>
      <c r="L415" s="98"/>
    </row>
    <row r="416">
      <c r="B416" s="95" t="s">
        <v>526</v>
      </c>
      <c r="C416" s="95" t="s">
        <v>1076</v>
      </c>
      <c r="D416" s="95" t="s">
        <v>69</v>
      </c>
      <c r="E416" s="95" t="s">
        <v>561</v>
      </c>
      <c r="F416" s="95" t="s">
        <v>763</v>
      </c>
      <c r="G416" s="9">
        <v>100000.0</v>
      </c>
      <c r="H416" s="95" t="s">
        <v>530</v>
      </c>
      <c r="I416" s="13">
        <f t="shared" si="16"/>
        <v>10000</v>
      </c>
      <c r="J416" s="97" t="s">
        <v>764</v>
      </c>
      <c r="K416" s="98"/>
      <c r="L416" s="98"/>
    </row>
    <row r="417">
      <c r="B417" s="95" t="s">
        <v>526</v>
      </c>
      <c r="C417" s="95" t="s">
        <v>1077</v>
      </c>
      <c r="D417" s="95" t="s">
        <v>69</v>
      </c>
      <c r="E417" s="95" t="s">
        <v>550</v>
      </c>
      <c r="F417" s="95" t="s">
        <v>763</v>
      </c>
      <c r="G417" s="9">
        <v>105000.0</v>
      </c>
      <c r="H417" s="95" t="s">
        <v>530</v>
      </c>
      <c r="I417" s="13">
        <f t="shared" si="16"/>
        <v>10500</v>
      </c>
      <c r="J417" s="97" t="s">
        <v>764</v>
      </c>
      <c r="K417" s="98"/>
      <c r="L417" s="98"/>
    </row>
    <row r="418">
      <c r="B418" s="95" t="s">
        <v>526</v>
      </c>
      <c r="C418" s="95" t="s">
        <v>1078</v>
      </c>
      <c r="D418" s="95" t="s">
        <v>69</v>
      </c>
      <c r="E418" s="95" t="s">
        <v>555</v>
      </c>
      <c r="F418" s="95" t="s">
        <v>763</v>
      </c>
      <c r="G418" s="9">
        <v>73500.0</v>
      </c>
      <c r="H418" s="95" t="s">
        <v>728</v>
      </c>
      <c r="I418" s="13">
        <f>G418/7</f>
        <v>10500</v>
      </c>
      <c r="J418" s="97" t="s">
        <v>764</v>
      </c>
      <c r="K418" s="98"/>
      <c r="L418" s="98"/>
    </row>
    <row r="419">
      <c r="B419" s="95" t="s">
        <v>526</v>
      </c>
      <c r="C419" s="95" t="s">
        <v>1079</v>
      </c>
      <c r="D419" s="95" t="s">
        <v>69</v>
      </c>
      <c r="E419" s="95" t="s">
        <v>550</v>
      </c>
      <c r="F419" s="95" t="s">
        <v>763</v>
      </c>
      <c r="G419" s="9">
        <v>30000.0</v>
      </c>
      <c r="H419" s="95" t="s">
        <v>677</v>
      </c>
      <c r="I419" s="13">
        <f>G419/2</f>
        <v>15000</v>
      </c>
      <c r="J419" s="97" t="s">
        <v>764</v>
      </c>
      <c r="K419" s="98"/>
      <c r="L419" s="98"/>
    </row>
    <row r="420">
      <c r="B420" s="95" t="s">
        <v>526</v>
      </c>
      <c r="C420" s="95" t="s">
        <v>1080</v>
      </c>
      <c r="D420" s="95" t="s">
        <v>69</v>
      </c>
      <c r="E420" s="95" t="s">
        <v>561</v>
      </c>
      <c r="F420" s="95" t="s">
        <v>763</v>
      </c>
      <c r="G420" s="9">
        <f>6*18000</f>
        <v>108000</v>
      </c>
      <c r="H420" s="95" t="s">
        <v>635</v>
      </c>
      <c r="I420" s="13">
        <f>G420/6</f>
        <v>18000</v>
      </c>
      <c r="J420" s="98" t="s">
        <v>1064</v>
      </c>
      <c r="K420" s="98"/>
      <c r="L420" s="98"/>
    </row>
    <row r="421">
      <c r="B421" s="95" t="s">
        <v>526</v>
      </c>
      <c r="C421" s="95" t="s">
        <v>1081</v>
      </c>
      <c r="D421" s="95" t="s">
        <v>69</v>
      </c>
      <c r="E421" s="95" t="s">
        <v>561</v>
      </c>
      <c r="F421" s="95" t="s">
        <v>763</v>
      </c>
      <c r="G421" s="9">
        <v>6000.0</v>
      </c>
      <c r="H421" s="95" t="s">
        <v>1082</v>
      </c>
      <c r="I421" s="13">
        <f>G421/1</f>
        <v>6000</v>
      </c>
      <c r="J421" s="98" t="s">
        <v>1064</v>
      </c>
      <c r="K421" s="98"/>
      <c r="L421" s="98"/>
    </row>
    <row r="422">
      <c r="B422" s="95" t="s">
        <v>526</v>
      </c>
      <c r="C422" s="95" t="s">
        <v>980</v>
      </c>
      <c r="D422" s="95" t="s">
        <v>69</v>
      </c>
      <c r="E422" s="95" t="s">
        <v>561</v>
      </c>
      <c r="F422" s="95" t="s">
        <v>763</v>
      </c>
      <c r="G422" s="9">
        <f>8000*4</f>
        <v>32000</v>
      </c>
      <c r="H422" s="95" t="s">
        <v>680</v>
      </c>
      <c r="I422" s="13">
        <f>G422/4</f>
        <v>8000</v>
      </c>
      <c r="J422" s="98" t="s">
        <v>1064</v>
      </c>
      <c r="K422" s="98"/>
      <c r="L422" s="98"/>
    </row>
    <row r="423">
      <c r="B423" s="95" t="s">
        <v>526</v>
      </c>
      <c r="C423" s="95" t="s">
        <v>1063</v>
      </c>
      <c r="D423" s="95" t="s">
        <v>69</v>
      </c>
      <c r="E423" s="95" t="s">
        <v>561</v>
      </c>
      <c r="F423" s="95" t="s">
        <v>763</v>
      </c>
      <c r="G423" s="9">
        <v>190000.0</v>
      </c>
      <c r="H423" s="95" t="s">
        <v>530</v>
      </c>
      <c r="I423" s="13">
        <f t="shared" ref="I423:I438" si="17">G423/10</f>
        <v>19000</v>
      </c>
      <c r="J423" s="97" t="s">
        <v>764</v>
      </c>
      <c r="K423" s="98"/>
      <c r="L423" s="98"/>
    </row>
    <row r="424">
      <c r="B424" s="95" t="s">
        <v>526</v>
      </c>
      <c r="C424" s="95" t="s">
        <v>1083</v>
      </c>
      <c r="D424" s="95" t="s">
        <v>69</v>
      </c>
      <c r="E424" s="95" t="s">
        <v>555</v>
      </c>
      <c r="F424" s="95" t="s">
        <v>763</v>
      </c>
      <c r="G424" s="9">
        <v>220000.0</v>
      </c>
      <c r="H424" s="95" t="s">
        <v>530</v>
      </c>
      <c r="I424" s="13">
        <f t="shared" si="17"/>
        <v>22000</v>
      </c>
      <c r="J424" s="97" t="s">
        <v>764</v>
      </c>
      <c r="K424" s="98"/>
      <c r="L424" s="98"/>
    </row>
    <row r="425">
      <c r="B425" s="95" t="s">
        <v>526</v>
      </c>
      <c r="C425" s="95" t="s">
        <v>1084</v>
      </c>
      <c r="D425" s="95" t="s">
        <v>69</v>
      </c>
      <c r="E425" s="95" t="s">
        <v>555</v>
      </c>
      <c r="F425" s="95" t="s">
        <v>763</v>
      </c>
      <c r="G425" s="9">
        <v>240000.0</v>
      </c>
      <c r="H425" s="95" t="s">
        <v>530</v>
      </c>
      <c r="I425" s="13">
        <f t="shared" si="17"/>
        <v>24000</v>
      </c>
      <c r="J425" s="97" t="s">
        <v>764</v>
      </c>
      <c r="K425" s="98"/>
      <c r="L425" s="98"/>
    </row>
    <row r="426">
      <c r="B426" s="95" t="s">
        <v>526</v>
      </c>
      <c r="C426" s="95" t="s">
        <v>1085</v>
      </c>
      <c r="D426" s="95" t="s">
        <v>69</v>
      </c>
      <c r="E426" s="95" t="s">
        <v>555</v>
      </c>
      <c r="F426" s="95" t="s">
        <v>763</v>
      </c>
      <c r="G426" s="9">
        <v>330000.0</v>
      </c>
      <c r="H426" s="95" t="s">
        <v>530</v>
      </c>
      <c r="I426" s="13">
        <f t="shared" si="17"/>
        <v>33000</v>
      </c>
      <c r="J426" s="97" t="s">
        <v>764</v>
      </c>
      <c r="K426" s="98"/>
      <c r="L426" s="98"/>
    </row>
    <row r="427">
      <c r="B427" s="95" t="s">
        <v>526</v>
      </c>
      <c r="C427" s="95" t="s">
        <v>837</v>
      </c>
      <c r="D427" s="95" t="s">
        <v>71</v>
      </c>
      <c r="E427" s="95" t="s">
        <v>1027</v>
      </c>
      <c r="F427" s="95" t="s">
        <v>529</v>
      </c>
      <c r="G427" s="9">
        <v>375000.0</v>
      </c>
      <c r="H427" s="95" t="s">
        <v>530</v>
      </c>
      <c r="I427" s="13">
        <f t="shared" si="17"/>
        <v>37500</v>
      </c>
      <c r="J427" s="97" t="s">
        <v>1018</v>
      </c>
      <c r="K427" s="98"/>
      <c r="L427" s="98"/>
    </row>
    <row r="428">
      <c r="B428" s="95" t="s">
        <v>526</v>
      </c>
      <c r="C428" s="95" t="s">
        <v>1086</v>
      </c>
      <c r="D428" s="95" t="s">
        <v>69</v>
      </c>
      <c r="E428" s="95" t="s">
        <v>555</v>
      </c>
      <c r="F428" s="95" t="s">
        <v>763</v>
      </c>
      <c r="G428" s="9">
        <v>400000.0</v>
      </c>
      <c r="H428" s="95" t="s">
        <v>530</v>
      </c>
      <c r="I428" s="13">
        <f t="shared" si="17"/>
        <v>40000</v>
      </c>
      <c r="J428" s="97" t="s">
        <v>764</v>
      </c>
      <c r="K428" s="98"/>
      <c r="L428" s="98"/>
    </row>
    <row r="429">
      <c r="B429" s="95" t="s">
        <v>526</v>
      </c>
      <c r="C429" s="95" t="s">
        <v>1086</v>
      </c>
      <c r="D429" s="95" t="s">
        <v>826</v>
      </c>
      <c r="E429" s="95" t="s">
        <v>841</v>
      </c>
      <c r="F429" s="95" t="s">
        <v>543</v>
      </c>
      <c r="G429" s="9">
        <v>1000000.0</v>
      </c>
      <c r="H429" s="95" t="s">
        <v>530</v>
      </c>
      <c r="I429" s="13">
        <f t="shared" si="17"/>
        <v>100000</v>
      </c>
      <c r="J429" s="97" t="s">
        <v>764</v>
      </c>
      <c r="K429" s="98"/>
      <c r="L429" s="98"/>
    </row>
    <row r="430">
      <c r="B430" s="95" t="s">
        <v>526</v>
      </c>
      <c r="C430" s="95" t="s">
        <v>1071</v>
      </c>
      <c r="D430" s="95" t="s">
        <v>69</v>
      </c>
      <c r="E430" s="95" t="s">
        <v>555</v>
      </c>
      <c r="F430" s="95" t="s">
        <v>763</v>
      </c>
      <c r="G430" s="9">
        <v>600000.0</v>
      </c>
      <c r="H430" s="95" t="s">
        <v>530</v>
      </c>
      <c r="I430" s="13">
        <f t="shared" si="17"/>
        <v>60000</v>
      </c>
      <c r="J430" s="97" t="s">
        <v>764</v>
      </c>
      <c r="K430" s="98"/>
      <c r="L430" s="98"/>
    </row>
    <row r="431">
      <c r="B431" s="95" t="s">
        <v>526</v>
      </c>
      <c r="C431" s="95" t="s">
        <v>988</v>
      </c>
      <c r="D431" s="95" t="s">
        <v>69</v>
      </c>
      <c r="E431" s="95" t="s">
        <v>561</v>
      </c>
      <c r="F431" s="95" t="s">
        <v>763</v>
      </c>
      <c r="G431" s="9">
        <v>140000.0</v>
      </c>
      <c r="H431" s="95" t="s">
        <v>530</v>
      </c>
      <c r="I431" s="13">
        <f t="shared" si="17"/>
        <v>14000</v>
      </c>
      <c r="J431" s="97" t="s">
        <v>791</v>
      </c>
      <c r="K431" s="98"/>
      <c r="L431" s="98"/>
    </row>
    <row r="432">
      <c r="B432" s="95" t="s">
        <v>526</v>
      </c>
      <c r="C432" s="95" t="s">
        <v>1060</v>
      </c>
      <c r="D432" s="95" t="s">
        <v>69</v>
      </c>
      <c r="E432" s="95" t="s">
        <v>561</v>
      </c>
      <c r="F432" s="95" t="s">
        <v>738</v>
      </c>
      <c r="G432" s="9">
        <v>110000.0</v>
      </c>
      <c r="H432" s="95" t="s">
        <v>530</v>
      </c>
      <c r="I432" s="13">
        <f t="shared" si="17"/>
        <v>11000</v>
      </c>
      <c r="J432" s="97" t="s">
        <v>1087</v>
      </c>
      <c r="K432" s="98"/>
      <c r="L432" s="98"/>
    </row>
    <row r="433">
      <c r="B433" s="95" t="s">
        <v>526</v>
      </c>
      <c r="C433" s="95" t="s">
        <v>1088</v>
      </c>
      <c r="D433" s="95" t="s">
        <v>69</v>
      </c>
      <c r="E433" s="95" t="s">
        <v>561</v>
      </c>
      <c r="F433" s="95" t="s">
        <v>738</v>
      </c>
      <c r="G433" s="9">
        <v>170000.0</v>
      </c>
      <c r="H433" s="95" t="s">
        <v>530</v>
      </c>
      <c r="I433" s="13">
        <f t="shared" si="17"/>
        <v>17000</v>
      </c>
      <c r="J433" s="97" t="s">
        <v>1089</v>
      </c>
      <c r="K433" s="98"/>
      <c r="L433" s="98"/>
    </row>
    <row r="434">
      <c r="B434" s="95" t="s">
        <v>526</v>
      </c>
      <c r="C434" s="95" t="s">
        <v>913</v>
      </c>
      <c r="D434" s="95" t="s">
        <v>69</v>
      </c>
      <c r="E434" s="95" t="s">
        <v>542</v>
      </c>
      <c r="F434" s="95" t="s">
        <v>529</v>
      </c>
      <c r="G434" s="9">
        <v>130000.0</v>
      </c>
      <c r="H434" s="95" t="s">
        <v>530</v>
      </c>
      <c r="I434" s="13">
        <f t="shared" si="17"/>
        <v>13000</v>
      </c>
      <c r="J434" s="97" t="s">
        <v>982</v>
      </c>
      <c r="K434" s="98"/>
      <c r="L434" s="98"/>
    </row>
    <row r="435">
      <c r="B435" s="95" t="s">
        <v>526</v>
      </c>
      <c r="C435" s="95" t="s">
        <v>802</v>
      </c>
      <c r="D435" s="95" t="s">
        <v>69</v>
      </c>
      <c r="E435" s="95" t="s">
        <v>555</v>
      </c>
      <c r="F435" s="95" t="s">
        <v>529</v>
      </c>
      <c r="G435" s="9">
        <v>120000.0</v>
      </c>
      <c r="H435" s="95" t="s">
        <v>530</v>
      </c>
      <c r="I435" s="13">
        <f t="shared" si="17"/>
        <v>12000</v>
      </c>
      <c r="J435" s="97" t="s">
        <v>982</v>
      </c>
      <c r="K435" s="98"/>
      <c r="L435" s="98"/>
    </row>
    <row r="436">
      <c r="B436" s="95" t="s">
        <v>526</v>
      </c>
      <c r="C436" s="95" t="s">
        <v>1059</v>
      </c>
      <c r="D436" s="95" t="s">
        <v>69</v>
      </c>
      <c r="E436" s="95" t="s">
        <v>561</v>
      </c>
      <c r="F436" s="95" t="s">
        <v>738</v>
      </c>
      <c r="G436" s="9">
        <v>100000.0</v>
      </c>
      <c r="H436" s="95" t="s">
        <v>530</v>
      </c>
      <c r="I436" s="13">
        <f t="shared" si="17"/>
        <v>10000</v>
      </c>
      <c r="J436" s="98" t="s">
        <v>1064</v>
      </c>
      <c r="K436" s="98"/>
      <c r="L436" s="98"/>
    </row>
    <row r="437">
      <c r="B437" s="95" t="s">
        <v>526</v>
      </c>
      <c r="C437" s="95" t="s">
        <v>1068</v>
      </c>
      <c r="D437" s="95" t="s">
        <v>69</v>
      </c>
      <c r="E437" s="95" t="s">
        <v>561</v>
      </c>
      <c r="F437" s="95" t="s">
        <v>738</v>
      </c>
      <c r="G437" s="9">
        <v>85000.0</v>
      </c>
      <c r="H437" s="95" t="s">
        <v>530</v>
      </c>
      <c r="I437" s="13">
        <f t="shared" si="17"/>
        <v>8500</v>
      </c>
      <c r="J437" s="97" t="s">
        <v>1090</v>
      </c>
      <c r="K437" s="98"/>
      <c r="L437" s="98"/>
    </row>
    <row r="438">
      <c r="B438" s="95" t="s">
        <v>526</v>
      </c>
      <c r="C438" s="95" t="s">
        <v>581</v>
      </c>
      <c r="D438" s="95" t="s">
        <v>69</v>
      </c>
      <c r="E438" s="95" t="s">
        <v>561</v>
      </c>
      <c r="F438" s="95" t="s">
        <v>738</v>
      </c>
      <c r="G438" s="9">
        <v>110000.0</v>
      </c>
      <c r="H438" s="95" t="s">
        <v>530</v>
      </c>
      <c r="I438" s="13">
        <f t="shared" si="17"/>
        <v>11000</v>
      </c>
      <c r="J438" s="98" t="s">
        <v>1064</v>
      </c>
      <c r="K438" s="98"/>
      <c r="L438" s="98"/>
    </row>
    <row r="439">
      <c r="B439" s="95" t="s">
        <v>526</v>
      </c>
      <c r="C439" s="95" t="s">
        <v>1091</v>
      </c>
      <c r="D439" s="95" t="s">
        <v>69</v>
      </c>
      <c r="E439" s="95" t="s">
        <v>561</v>
      </c>
      <c r="F439" s="95" t="s">
        <v>738</v>
      </c>
      <c r="G439" s="9">
        <v>35000.0</v>
      </c>
      <c r="H439" s="95" t="s">
        <v>1092</v>
      </c>
      <c r="I439" s="13">
        <f>G439/3.5</f>
        <v>10000</v>
      </c>
      <c r="J439" s="98" t="s">
        <v>1064</v>
      </c>
      <c r="K439" s="98"/>
      <c r="L439" s="98"/>
    </row>
    <row r="440">
      <c r="B440" s="95" t="s">
        <v>526</v>
      </c>
      <c r="C440" s="95" t="s">
        <v>846</v>
      </c>
      <c r="D440" s="95" t="s">
        <v>69</v>
      </c>
      <c r="E440" s="95" t="s">
        <v>561</v>
      </c>
      <c r="F440" s="95" t="s">
        <v>738</v>
      </c>
      <c r="G440" s="9">
        <v>180000.0</v>
      </c>
      <c r="H440" s="95" t="s">
        <v>530</v>
      </c>
      <c r="I440" s="13">
        <f t="shared" ref="I440:I465" si="18">G440/10</f>
        <v>18000</v>
      </c>
      <c r="J440" s="97" t="s">
        <v>1089</v>
      </c>
      <c r="K440" s="98"/>
      <c r="L440" s="98"/>
    </row>
    <row r="441">
      <c r="B441" s="95" t="s">
        <v>526</v>
      </c>
      <c r="C441" s="95" t="s">
        <v>1093</v>
      </c>
      <c r="D441" s="95" t="s">
        <v>69</v>
      </c>
      <c r="E441" s="95" t="s">
        <v>930</v>
      </c>
      <c r="F441" s="95" t="s">
        <v>763</v>
      </c>
      <c r="G441" s="9">
        <v>30000.0</v>
      </c>
      <c r="H441" s="95" t="s">
        <v>530</v>
      </c>
      <c r="I441" s="13">
        <f t="shared" si="18"/>
        <v>3000</v>
      </c>
      <c r="J441" s="97" t="s">
        <v>775</v>
      </c>
      <c r="K441" s="98"/>
      <c r="L441" s="98"/>
    </row>
    <row r="442">
      <c r="B442" s="95" t="s">
        <v>526</v>
      </c>
      <c r="C442" s="95" t="s">
        <v>1093</v>
      </c>
      <c r="D442" s="95" t="s">
        <v>69</v>
      </c>
      <c r="E442" s="95" t="s">
        <v>542</v>
      </c>
      <c r="F442" s="95" t="s">
        <v>643</v>
      </c>
      <c r="G442" s="9">
        <v>80000.0</v>
      </c>
      <c r="H442" s="95" t="s">
        <v>530</v>
      </c>
      <c r="I442" s="13">
        <f t="shared" si="18"/>
        <v>8000</v>
      </c>
      <c r="J442" s="98" t="s">
        <v>1094</v>
      </c>
      <c r="K442" s="98"/>
      <c r="L442" s="98"/>
    </row>
    <row r="443">
      <c r="B443" s="95" t="s">
        <v>526</v>
      </c>
      <c r="C443" s="95" t="s">
        <v>541</v>
      </c>
      <c r="D443" s="95" t="s">
        <v>69</v>
      </c>
      <c r="E443" s="95" t="s">
        <v>542</v>
      </c>
      <c r="F443" s="95" t="s">
        <v>643</v>
      </c>
      <c r="G443" s="9">
        <v>80000.0</v>
      </c>
      <c r="H443" s="95" t="s">
        <v>530</v>
      </c>
      <c r="I443" s="13">
        <f t="shared" si="18"/>
        <v>8000</v>
      </c>
      <c r="J443" s="98" t="s">
        <v>1094</v>
      </c>
      <c r="K443" s="98"/>
      <c r="L443" s="98"/>
    </row>
    <row r="444">
      <c r="B444" s="95" t="s">
        <v>526</v>
      </c>
      <c r="C444" s="95" t="s">
        <v>1095</v>
      </c>
      <c r="D444" s="95" t="s">
        <v>69</v>
      </c>
      <c r="E444" s="95" t="s">
        <v>542</v>
      </c>
      <c r="F444" s="95" t="s">
        <v>643</v>
      </c>
      <c r="G444" s="9">
        <v>80000.0</v>
      </c>
      <c r="H444" s="95" t="s">
        <v>530</v>
      </c>
      <c r="I444" s="13">
        <f t="shared" si="18"/>
        <v>8000</v>
      </c>
      <c r="J444" s="98" t="s">
        <v>1094</v>
      </c>
      <c r="K444" s="98"/>
      <c r="L444" s="98"/>
    </row>
    <row r="445">
      <c r="B445" s="95" t="s">
        <v>526</v>
      </c>
      <c r="C445" s="95" t="s">
        <v>1096</v>
      </c>
      <c r="D445" s="95" t="s">
        <v>69</v>
      </c>
      <c r="E445" s="95" t="s">
        <v>1073</v>
      </c>
      <c r="F445" s="95" t="s">
        <v>763</v>
      </c>
      <c r="G445" s="9">
        <v>30000.0</v>
      </c>
      <c r="H445" s="95" t="s">
        <v>530</v>
      </c>
      <c r="I445" s="13">
        <f t="shared" si="18"/>
        <v>3000</v>
      </c>
      <c r="J445" s="97" t="s">
        <v>775</v>
      </c>
      <c r="K445" s="98"/>
      <c r="L445" s="98"/>
    </row>
    <row r="446">
      <c r="B446" s="95" t="s">
        <v>526</v>
      </c>
      <c r="C446" s="95" t="s">
        <v>1097</v>
      </c>
      <c r="D446" s="95" t="s">
        <v>69</v>
      </c>
      <c r="E446" s="95" t="s">
        <v>930</v>
      </c>
      <c r="F446" s="95" t="s">
        <v>763</v>
      </c>
      <c r="G446" s="9">
        <v>35000.0</v>
      </c>
      <c r="H446" s="95" t="s">
        <v>530</v>
      </c>
      <c r="I446" s="13">
        <f t="shared" si="18"/>
        <v>3500</v>
      </c>
      <c r="J446" s="97" t="s">
        <v>775</v>
      </c>
      <c r="K446" s="98"/>
      <c r="L446" s="98"/>
    </row>
    <row r="447">
      <c r="B447" s="95" t="s">
        <v>526</v>
      </c>
      <c r="C447" s="95" t="s">
        <v>627</v>
      </c>
      <c r="D447" s="95" t="s">
        <v>69</v>
      </c>
      <c r="E447" s="95" t="s">
        <v>131</v>
      </c>
      <c r="F447" s="95" t="s">
        <v>763</v>
      </c>
      <c r="G447" s="9">
        <v>42000.0</v>
      </c>
      <c r="H447" s="95" t="s">
        <v>530</v>
      </c>
      <c r="I447" s="13">
        <f t="shared" si="18"/>
        <v>4200</v>
      </c>
      <c r="J447" s="97" t="s">
        <v>775</v>
      </c>
      <c r="K447" s="97" t="s">
        <v>1098</v>
      </c>
      <c r="L447" s="98"/>
    </row>
    <row r="448">
      <c r="B448" s="95" t="s">
        <v>526</v>
      </c>
      <c r="C448" s="95" t="s">
        <v>1099</v>
      </c>
      <c r="D448" s="95" t="s">
        <v>69</v>
      </c>
      <c r="E448" s="95" t="s">
        <v>561</v>
      </c>
      <c r="F448" s="95" t="s">
        <v>643</v>
      </c>
      <c r="G448" s="9">
        <v>140000.0</v>
      </c>
      <c r="H448" s="95" t="s">
        <v>530</v>
      </c>
      <c r="I448" s="13">
        <f t="shared" si="18"/>
        <v>14000</v>
      </c>
      <c r="J448" s="97" t="s">
        <v>885</v>
      </c>
      <c r="K448" s="98"/>
      <c r="L448" s="98"/>
    </row>
    <row r="449">
      <c r="B449" s="95" t="s">
        <v>526</v>
      </c>
      <c r="C449" s="95" t="s">
        <v>1059</v>
      </c>
      <c r="D449" s="95" t="s">
        <v>232</v>
      </c>
      <c r="E449" s="95" t="s">
        <v>233</v>
      </c>
      <c r="F449" s="95" t="s">
        <v>763</v>
      </c>
      <c r="G449" s="9">
        <v>110000.0</v>
      </c>
      <c r="H449" s="95" t="s">
        <v>530</v>
      </c>
      <c r="I449" s="13">
        <f t="shared" si="18"/>
        <v>11000</v>
      </c>
      <c r="J449" s="97" t="s">
        <v>775</v>
      </c>
      <c r="K449" s="98"/>
      <c r="L449" s="98"/>
    </row>
    <row r="450">
      <c r="B450" s="95" t="s">
        <v>526</v>
      </c>
      <c r="C450" s="95" t="s">
        <v>1068</v>
      </c>
      <c r="D450" s="95" t="s">
        <v>69</v>
      </c>
      <c r="E450" s="95" t="s">
        <v>561</v>
      </c>
      <c r="F450" s="95" t="s">
        <v>643</v>
      </c>
      <c r="G450" s="9">
        <v>160000.0</v>
      </c>
      <c r="H450" s="95" t="s">
        <v>530</v>
      </c>
      <c r="I450" s="13">
        <f t="shared" si="18"/>
        <v>16000</v>
      </c>
      <c r="J450" s="97" t="s">
        <v>885</v>
      </c>
      <c r="K450" s="98"/>
      <c r="L450" s="98"/>
    </row>
    <row r="451">
      <c r="B451" s="95" t="s">
        <v>526</v>
      </c>
      <c r="C451" s="95" t="s">
        <v>1100</v>
      </c>
      <c r="D451" s="95" t="s">
        <v>69</v>
      </c>
      <c r="E451" s="95" t="s">
        <v>131</v>
      </c>
      <c r="F451" s="95" t="s">
        <v>529</v>
      </c>
      <c r="G451" s="9">
        <v>92000.0</v>
      </c>
      <c r="H451" s="95" t="s">
        <v>530</v>
      </c>
      <c r="I451" s="13">
        <f t="shared" si="18"/>
        <v>9200</v>
      </c>
      <c r="J451" s="97" t="s">
        <v>982</v>
      </c>
      <c r="K451" s="98"/>
      <c r="L451" s="98"/>
    </row>
    <row r="452">
      <c r="B452" s="95" t="s">
        <v>526</v>
      </c>
      <c r="C452" s="95" t="s">
        <v>581</v>
      </c>
      <c r="D452" s="95" t="s">
        <v>69</v>
      </c>
      <c r="E452" s="95" t="s">
        <v>542</v>
      </c>
      <c r="F452" s="95" t="s">
        <v>529</v>
      </c>
      <c r="G452" s="9">
        <v>90000.0</v>
      </c>
      <c r="H452" s="95" t="s">
        <v>530</v>
      </c>
      <c r="I452" s="13">
        <f t="shared" si="18"/>
        <v>9000</v>
      </c>
      <c r="J452" s="97" t="s">
        <v>982</v>
      </c>
      <c r="K452" s="98"/>
      <c r="L452" s="98"/>
    </row>
    <row r="453">
      <c r="B453" s="95" t="s">
        <v>526</v>
      </c>
      <c r="C453" s="95" t="s">
        <v>1060</v>
      </c>
      <c r="D453" s="95" t="s">
        <v>69</v>
      </c>
      <c r="E453" s="95" t="s">
        <v>561</v>
      </c>
      <c r="F453" s="95" t="s">
        <v>643</v>
      </c>
      <c r="G453" s="9">
        <v>170000.0</v>
      </c>
      <c r="H453" s="95" t="s">
        <v>530</v>
      </c>
      <c r="I453" s="13">
        <f t="shared" si="18"/>
        <v>17000</v>
      </c>
      <c r="J453" s="97" t="s">
        <v>885</v>
      </c>
      <c r="K453" s="98"/>
      <c r="L453" s="98"/>
    </row>
    <row r="454">
      <c r="B454" s="95" t="s">
        <v>526</v>
      </c>
      <c r="C454" s="95" t="s">
        <v>541</v>
      </c>
      <c r="D454" s="95" t="s">
        <v>69</v>
      </c>
      <c r="E454" s="95" t="s">
        <v>542</v>
      </c>
      <c r="F454" s="95" t="s">
        <v>529</v>
      </c>
      <c r="G454" s="9">
        <v>75000.0</v>
      </c>
      <c r="H454" s="95" t="s">
        <v>530</v>
      </c>
      <c r="I454" s="13">
        <f t="shared" si="18"/>
        <v>7500</v>
      </c>
      <c r="J454" s="97" t="s">
        <v>982</v>
      </c>
      <c r="K454" s="98"/>
      <c r="L454" s="98"/>
    </row>
    <row r="455">
      <c r="B455" s="95" t="s">
        <v>526</v>
      </c>
      <c r="C455" s="95" t="s">
        <v>846</v>
      </c>
      <c r="D455" s="95" t="s">
        <v>69</v>
      </c>
      <c r="E455" s="95" t="s">
        <v>561</v>
      </c>
      <c r="F455" s="95" t="s">
        <v>643</v>
      </c>
      <c r="G455" s="9">
        <v>190000.0</v>
      </c>
      <c r="H455" s="95" t="s">
        <v>530</v>
      </c>
      <c r="I455" s="13">
        <f t="shared" si="18"/>
        <v>19000</v>
      </c>
      <c r="J455" s="97" t="s">
        <v>885</v>
      </c>
      <c r="K455" s="98"/>
      <c r="L455" s="98"/>
    </row>
    <row r="456">
      <c r="B456" s="95" t="s">
        <v>526</v>
      </c>
      <c r="C456" s="95" t="s">
        <v>780</v>
      </c>
      <c r="D456" s="95" t="s">
        <v>69</v>
      </c>
      <c r="E456" s="95" t="s">
        <v>131</v>
      </c>
      <c r="F456" s="95" t="s">
        <v>529</v>
      </c>
      <c r="G456" s="9">
        <v>75000.0</v>
      </c>
      <c r="H456" s="95" t="s">
        <v>530</v>
      </c>
      <c r="I456" s="13">
        <f t="shared" si="18"/>
        <v>7500</v>
      </c>
      <c r="J456" s="97" t="s">
        <v>982</v>
      </c>
      <c r="K456" s="98"/>
      <c r="L456" s="98"/>
    </row>
    <row r="457">
      <c r="B457" s="95" t="s">
        <v>526</v>
      </c>
      <c r="C457" s="95" t="s">
        <v>551</v>
      </c>
      <c r="D457" s="95" t="s">
        <v>69</v>
      </c>
      <c r="E457" s="95" t="s">
        <v>550</v>
      </c>
      <c r="F457" s="95" t="s">
        <v>529</v>
      </c>
      <c r="G457" s="9">
        <v>72000.0</v>
      </c>
      <c r="H457" s="95" t="s">
        <v>530</v>
      </c>
      <c r="I457" s="13">
        <f t="shared" si="18"/>
        <v>7200</v>
      </c>
      <c r="J457" s="97" t="s">
        <v>982</v>
      </c>
      <c r="K457" s="98"/>
      <c r="L457" s="98"/>
    </row>
    <row r="458">
      <c r="B458" s="95" t="s">
        <v>526</v>
      </c>
      <c r="C458" s="95" t="s">
        <v>1101</v>
      </c>
      <c r="D458" s="95" t="s">
        <v>69</v>
      </c>
      <c r="E458" s="95" t="s">
        <v>542</v>
      </c>
      <c r="F458" s="95" t="s">
        <v>529</v>
      </c>
      <c r="G458" s="9">
        <v>72000.0</v>
      </c>
      <c r="H458" s="95" t="s">
        <v>530</v>
      </c>
      <c r="I458" s="13">
        <f t="shared" si="18"/>
        <v>7200</v>
      </c>
      <c r="J458" s="97" t="s">
        <v>982</v>
      </c>
      <c r="K458" s="98"/>
      <c r="L458" s="98"/>
    </row>
    <row r="459">
      <c r="B459" s="95" t="s">
        <v>526</v>
      </c>
      <c r="C459" s="95" t="s">
        <v>1102</v>
      </c>
      <c r="D459" s="95" t="s">
        <v>69</v>
      </c>
      <c r="E459" s="95" t="s">
        <v>772</v>
      </c>
      <c r="F459" s="95" t="s">
        <v>529</v>
      </c>
      <c r="G459" s="9">
        <v>72000.0</v>
      </c>
      <c r="H459" s="95" t="s">
        <v>530</v>
      </c>
      <c r="I459" s="13">
        <f t="shared" si="18"/>
        <v>7200</v>
      </c>
      <c r="J459" s="97" t="s">
        <v>982</v>
      </c>
      <c r="K459" s="98"/>
      <c r="L459" s="98"/>
    </row>
    <row r="460">
      <c r="B460" s="95" t="s">
        <v>526</v>
      </c>
      <c r="C460" s="95" t="s">
        <v>1048</v>
      </c>
      <c r="D460" s="95" t="s">
        <v>69</v>
      </c>
      <c r="E460" s="95" t="s">
        <v>542</v>
      </c>
      <c r="F460" s="95" t="s">
        <v>529</v>
      </c>
      <c r="G460" s="9">
        <v>70000.0</v>
      </c>
      <c r="H460" s="95" t="s">
        <v>530</v>
      </c>
      <c r="I460" s="13">
        <f t="shared" si="18"/>
        <v>7000</v>
      </c>
      <c r="J460" s="97" t="s">
        <v>982</v>
      </c>
      <c r="K460" s="98"/>
      <c r="L460" s="98"/>
    </row>
    <row r="461">
      <c r="B461" s="95" t="s">
        <v>526</v>
      </c>
      <c r="C461" s="95" t="s">
        <v>581</v>
      </c>
      <c r="D461" s="95" t="s">
        <v>69</v>
      </c>
      <c r="E461" s="95" t="s">
        <v>561</v>
      </c>
      <c r="F461" s="95" t="s">
        <v>643</v>
      </c>
      <c r="G461" s="9">
        <v>120000.0</v>
      </c>
      <c r="H461" s="95" t="s">
        <v>530</v>
      </c>
      <c r="I461" s="13">
        <f t="shared" si="18"/>
        <v>12000</v>
      </c>
      <c r="J461" s="97" t="s">
        <v>873</v>
      </c>
      <c r="K461" s="98"/>
      <c r="L461" s="98"/>
    </row>
    <row r="462">
      <c r="B462" s="95" t="s">
        <v>526</v>
      </c>
      <c r="C462" s="95" t="s">
        <v>1103</v>
      </c>
      <c r="D462" s="95" t="s">
        <v>69</v>
      </c>
      <c r="E462" s="95" t="s">
        <v>131</v>
      </c>
      <c r="F462" s="95" t="s">
        <v>529</v>
      </c>
      <c r="G462" s="9">
        <v>70000.0</v>
      </c>
      <c r="H462" s="95" t="s">
        <v>530</v>
      </c>
      <c r="I462" s="13">
        <f t="shared" si="18"/>
        <v>7000</v>
      </c>
      <c r="J462" s="97" t="s">
        <v>982</v>
      </c>
      <c r="K462" s="98"/>
      <c r="L462" s="98"/>
    </row>
    <row r="463">
      <c r="B463" s="95" t="s">
        <v>641</v>
      </c>
      <c r="C463" s="95" t="s">
        <v>1104</v>
      </c>
      <c r="D463" s="95" t="s">
        <v>69</v>
      </c>
      <c r="E463" s="95" t="s">
        <v>555</v>
      </c>
      <c r="F463" s="95" t="s">
        <v>529</v>
      </c>
      <c r="G463" s="9">
        <v>1000000.0</v>
      </c>
      <c r="H463" s="95" t="s">
        <v>530</v>
      </c>
      <c r="I463" s="13">
        <f t="shared" si="18"/>
        <v>100000</v>
      </c>
      <c r="J463" s="97" t="s">
        <v>1105</v>
      </c>
      <c r="K463" s="98"/>
      <c r="L463" s="98"/>
    </row>
    <row r="464">
      <c r="B464" s="95" t="s">
        <v>641</v>
      </c>
      <c r="C464" s="95" t="s">
        <v>1104</v>
      </c>
      <c r="D464" s="95" t="s">
        <v>140</v>
      </c>
      <c r="E464" s="95" t="s">
        <v>194</v>
      </c>
      <c r="F464" s="95" t="s">
        <v>738</v>
      </c>
      <c r="G464" s="9">
        <v>1200000.0</v>
      </c>
      <c r="H464" s="95" t="s">
        <v>530</v>
      </c>
      <c r="I464" s="13">
        <f t="shared" si="18"/>
        <v>120000</v>
      </c>
      <c r="J464" s="97" t="s">
        <v>1105</v>
      </c>
      <c r="K464" s="98"/>
      <c r="L464" s="98"/>
    </row>
    <row r="465">
      <c r="B465" s="95" t="s">
        <v>526</v>
      </c>
      <c r="C465" s="95" t="s">
        <v>612</v>
      </c>
      <c r="D465" s="95" t="s">
        <v>114</v>
      </c>
      <c r="E465" s="95" t="s">
        <v>396</v>
      </c>
      <c r="F465" s="95" t="s">
        <v>738</v>
      </c>
      <c r="G465" s="9">
        <v>850000.0</v>
      </c>
      <c r="H465" s="95" t="s">
        <v>530</v>
      </c>
      <c r="I465" s="13">
        <f t="shared" si="18"/>
        <v>85000</v>
      </c>
      <c r="J465" s="97" t="s">
        <v>1105</v>
      </c>
      <c r="K465" s="98"/>
      <c r="L465" s="98"/>
    </row>
    <row r="466">
      <c r="B466" s="95" t="s">
        <v>526</v>
      </c>
      <c r="C466" s="95" t="s">
        <v>831</v>
      </c>
      <c r="D466" s="95" t="s">
        <v>1024</v>
      </c>
      <c r="E466" s="95" t="s">
        <v>1106</v>
      </c>
      <c r="F466" s="95" t="s">
        <v>543</v>
      </c>
      <c r="G466" s="9">
        <v>2500000.0</v>
      </c>
      <c r="H466" s="95" t="s">
        <v>728</v>
      </c>
      <c r="I466" s="13">
        <f>G466/7</f>
        <v>357142.8571</v>
      </c>
      <c r="J466" s="97" t="s">
        <v>836</v>
      </c>
      <c r="K466" s="98"/>
      <c r="L466" s="98"/>
    </row>
    <row r="467">
      <c r="B467" s="95" t="s">
        <v>526</v>
      </c>
      <c r="C467" s="95" t="s">
        <v>831</v>
      </c>
      <c r="D467" s="95" t="s">
        <v>13</v>
      </c>
      <c r="E467" s="95" t="s">
        <v>19</v>
      </c>
      <c r="F467" s="95" t="s">
        <v>738</v>
      </c>
      <c r="G467" s="9">
        <v>800000.0</v>
      </c>
      <c r="H467" s="95" t="s">
        <v>530</v>
      </c>
      <c r="I467" s="13">
        <f t="shared" ref="I467:I486" si="19">G467/10</f>
        <v>80000</v>
      </c>
      <c r="J467" s="97" t="s">
        <v>1105</v>
      </c>
      <c r="K467" s="98"/>
      <c r="L467" s="98"/>
    </row>
    <row r="468">
      <c r="B468" s="95" t="s">
        <v>526</v>
      </c>
      <c r="C468" s="95" t="s">
        <v>837</v>
      </c>
      <c r="D468" s="95" t="s">
        <v>140</v>
      </c>
      <c r="E468" s="95" t="s">
        <v>203</v>
      </c>
      <c r="F468" s="95" t="s">
        <v>738</v>
      </c>
      <c r="G468" s="9">
        <v>750000.0</v>
      </c>
      <c r="H468" s="95" t="s">
        <v>530</v>
      </c>
      <c r="I468" s="13">
        <f t="shared" si="19"/>
        <v>75000</v>
      </c>
      <c r="J468" s="97" t="s">
        <v>1105</v>
      </c>
      <c r="K468" s="98"/>
      <c r="L468" s="98"/>
    </row>
    <row r="469">
      <c r="B469" s="95" t="s">
        <v>526</v>
      </c>
      <c r="C469" s="95" t="s">
        <v>830</v>
      </c>
      <c r="D469" s="95" t="s">
        <v>69</v>
      </c>
      <c r="E469" s="95" t="s">
        <v>555</v>
      </c>
      <c r="F469" s="95" t="s">
        <v>738</v>
      </c>
      <c r="G469" s="9">
        <v>500000.0</v>
      </c>
      <c r="H469" s="95" t="s">
        <v>530</v>
      </c>
      <c r="I469" s="13">
        <f t="shared" si="19"/>
        <v>50000</v>
      </c>
      <c r="J469" s="97" t="s">
        <v>1105</v>
      </c>
      <c r="K469" s="98"/>
      <c r="L469" s="98"/>
    </row>
    <row r="470">
      <c r="B470" s="95" t="s">
        <v>526</v>
      </c>
      <c r="C470" s="95" t="s">
        <v>904</v>
      </c>
      <c r="D470" s="95" t="s">
        <v>222</v>
      </c>
      <c r="E470" s="95" t="s">
        <v>1019</v>
      </c>
      <c r="F470" s="95" t="s">
        <v>906</v>
      </c>
      <c r="G470" s="9">
        <v>600000.0</v>
      </c>
      <c r="H470" s="95" t="s">
        <v>530</v>
      </c>
      <c r="I470" s="13">
        <f t="shared" si="19"/>
        <v>60000</v>
      </c>
      <c r="J470" s="97" t="s">
        <v>907</v>
      </c>
      <c r="K470" s="98"/>
      <c r="L470" s="98"/>
    </row>
    <row r="471">
      <c r="B471" s="95" t="s">
        <v>526</v>
      </c>
      <c r="C471" s="95" t="s">
        <v>904</v>
      </c>
      <c r="D471" s="95" t="s">
        <v>826</v>
      </c>
      <c r="E471" s="95" t="s">
        <v>833</v>
      </c>
      <c r="F471" s="95" t="s">
        <v>543</v>
      </c>
      <c r="G471" s="9">
        <v>1100000.0</v>
      </c>
      <c r="H471" s="95" t="s">
        <v>530</v>
      </c>
      <c r="I471" s="13">
        <f t="shared" si="19"/>
        <v>110000</v>
      </c>
      <c r="J471" s="97" t="s">
        <v>835</v>
      </c>
      <c r="K471" s="98"/>
      <c r="L471" s="98"/>
    </row>
    <row r="472">
      <c r="B472" s="95" t="s">
        <v>526</v>
      </c>
      <c r="C472" s="95" t="s">
        <v>904</v>
      </c>
      <c r="D472" s="95" t="s">
        <v>826</v>
      </c>
      <c r="E472" s="95" t="s">
        <v>833</v>
      </c>
      <c r="F472" s="95" t="s">
        <v>763</v>
      </c>
      <c r="G472" s="9">
        <v>1100000.0</v>
      </c>
      <c r="H472" s="95" t="s">
        <v>530</v>
      </c>
      <c r="I472" s="13">
        <f t="shared" si="19"/>
        <v>110000</v>
      </c>
      <c r="J472" s="97" t="s">
        <v>791</v>
      </c>
      <c r="K472" s="98"/>
      <c r="L472" s="98"/>
    </row>
    <row r="473">
      <c r="B473" s="95" t="s">
        <v>526</v>
      </c>
      <c r="C473" s="95" t="s">
        <v>904</v>
      </c>
      <c r="D473" s="95" t="s">
        <v>114</v>
      </c>
      <c r="E473" s="95" t="s">
        <v>396</v>
      </c>
      <c r="F473" s="95" t="s">
        <v>738</v>
      </c>
      <c r="G473" s="9">
        <v>450000.0</v>
      </c>
      <c r="H473" s="95" t="s">
        <v>530</v>
      </c>
      <c r="I473" s="13">
        <f t="shared" si="19"/>
        <v>45000</v>
      </c>
      <c r="J473" s="97" t="s">
        <v>1105</v>
      </c>
      <c r="K473" s="98"/>
      <c r="L473" s="98"/>
    </row>
    <row r="474">
      <c r="B474" s="95" t="s">
        <v>526</v>
      </c>
      <c r="C474" s="95" t="s">
        <v>829</v>
      </c>
      <c r="D474" s="95" t="s">
        <v>69</v>
      </c>
      <c r="E474" s="95" t="s">
        <v>555</v>
      </c>
      <c r="F474" s="95" t="s">
        <v>738</v>
      </c>
      <c r="G474" s="9">
        <v>400000.0</v>
      </c>
      <c r="H474" s="95" t="s">
        <v>530</v>
      </c>
      <c r="I474" s="13">
        <f t="shared" si="19"/>
        <v>40000</v>
      </c>
      <c r="J474" s="97" t="s">
        <v>1105</v>
      </c>
      <c r="K474" s="98"/>
      <c r="L474" s="98"/>
    </row>
    <row r="475">
      <c r="B475" s="95" t="s">
        <v>526</v>
      </c>
      <c r="C475" s="95" t="s">
        <v>857</v>
      </c>
      <c r="D475" s="95" t="s">
        <v>69</v>
      </c>
      <c r="E475" s="95" t="s">
        <v>555</v>
      </c>
      <c r="F475" s="95" t="s">
        <v>738</v>
      </c>
      <c r="G475" s="9">
        <v>230000.0</v>
      </c>
      <c r="H475" s="95" t="s">
        <v>530</v>
      </c>
      <c r="I475" s="13">
        <f t="shared" si="19"/>
        <v>23000</v>
      </c>
      <c r="J475" s="97" t="s">
        <v>1105</v>
      </c>
      <c r="K475" s="98"/>
      <c r="L475" s="98"/>
    </row>
    <row r="476">
      <c r="B476" s="95" t="s">
        <v>526</v>
      </c>
      <c r="C476" s="95" t="s">
        <v>844</v>
      </c>
      <c r="D476" s="95" t="s">
        <v>69</v>
      </c>
      <c r="E476" s="95" t="s">
        <v>877</v>
      </c>
      <c r="F476" s="95" t="s">
        <v>738</v>
      </c>
      <c r="G476" s="9">
        <v>220000.0</v>
      </c>
      <c r="H476" s="95" t="s">
        <v>530</v>
      </c>
      <c r="I476" s="13">
        <f t="shared" si="19"/>
        <v>22000</v>
      </c>
      <c r="J476" s="97" t="s">
        <v>1105</v>
      </c>
      <c r="K476" s="98"/>
      <c r="L476" s="98"/>
    </row>
    <row r="477">
      <c r="B477" s="95" t="s">
        <v>526</v>
      </c>
      <c r="C477" s="95" t="s">
        <v>814</v>
      </c>
      <c r="D477" s="95" t="s">
        <v>69</v>
      </c>
      <c r="E477" s="95" t="s">
        <v>555</v>
      </c>
      <c r="F477" s="95" t="s">
        <v>738</v>
      </c>
      <c r="G477" s="9">
        <v>700000.0</v>
      </c>
      <c r="H477" s="95" t="s">
        <v>530</v>
      </c>
      <c r="I477" s="13">
        <f t="shared" si="19"/>
        <v>70000</v>
      </c>
      <c r="J477" s="97" t="s">
        <v>1087</v>
      </c>
      <c r="K477" s="97" t="s">
        <v>1107</v>
      </c>
      <c r="L477" s="98"/>
    </row>
    <row r="478">
      <c r="B478" s="95" t="s">
        <v>526</v>
      </c>
      <c r="C478" s="95" t="s">
        <v>823</v>
      </c>
      <c r="D478" s="95" t="s">
        <v>140</v>
      </c>
      <c r="E478" s="95" t="s">
        <v>203</v>
      </c>
      <c r="F478" s="95" t="s">
        <v>738</v>
      </c>
      <c r="G478" s="9">
        <v>390000.0</v>
      </c>
      <c r="H478" s="95" t="s">
        <v>530</v>
      </c>
      <c r="I478" s="13">
        <f t="shared" si="19"/>
        <v>39000</v>
      </c>
      <c r="J478" s="97" t="s">
        <v>1087</v>
      </c>
      <c r="K478" s="98"/>
      <c r="L478" s="98"/>
    </row>
    <row r="479">
      <c r="B479" s="95" t="s">
        <v>526</v>
      </c>
      <c r="C479" s="95" t="s">
        <v>554</v>
      </c>
      <c r="D479" s="95" t="s">
        <v>140</v>
      </c>
      <c r="E479" s="95" t="s">
        <v>194</v>
      </c>
      <c r="F479" s="95" t="s">
        <v>738</v>
      </c>
      <c r="G479" s="9">
        <v>350000.0</v>
      </c>
      <c r="H479" s="95" t="s">
        <v>530</v>
      </c>
      <c r="I479" s="13">
        <f t="shared" si="19"/>
        <v>35000</v>
      </c>
      <c r="J479" s="97" t="s">
        <v>1105</v>
      </c>
      <c r="K479" s="98"/>
      <c r="L479" s="98"/>
    </row>
    <row r="480">
      <c r="B480" s="95" t="s">
        <v>526</v>
      </c>
      <c r="C480" s="95" t="s">
        <v>1108</v>
      </c>
      <c r="D480" s="95" t="s">
        <v>195</v>
      </c>
      <c r="E480" s="95" t="s">
        <v>466</v>
      </c>
      <c r="F480" s="95" t="s">
        <v>529</v>
      </c>
      <c r="G480" s="9">
        <f>185000*0.9</f>
        <v>166500</v>
      </c>
      <c r="H480" s="95" t="s">
        <v>530</v>
      </c>
      <c r="I480" s="13">
        <f t="shared" si="19"/>
        <v>16650</v>
      </c>
      <c r="J480" s="97" t="s">
        <v>1109</v>
      </c>
      <c r="K480" s="98"/>
      <c r="L480" s="98"/>
    </row>
    <row r="481">
      <c r="B481" s="95" t="s">
        <v>526</v>
      </c>
      <c r="C481" s="95" t="s">
        <v>842</v>
      </c>
      <c r="D481" s="95" t="s">
        <v>69</v>
      </c>
      <c r="E481" s="95" t="s">
        <v>555</v>
      </c>
      <c r="F481" s="95" t="s">
        <v>738</v>
      </c>
      <c r="G481" s="9">
        <v>250000.0</v>
      </c>
      <c r="H481" s="95" t="s">
        <v>530</v>
      </c>
      <c r="I481" s="13">
        <f t="shared" si="19"/>
        <v>25000</v>
      </c>
      <c r="J481" s="97" t="s">
        <v>1087</v>
      </c>
      <c r="K481" s="98"/>
      <c r="L481" s="98"/>
    </row>
    <row r="482">
      <c r="B482" s="95" t="s">
        <v>526</v>
      </c>
      <c r="C482" s="95" t="s">
        <v>819</v>
      </c>
      <c r="D482" s="95" t="s">
        <v>222</v>
      </c>
      <c r="E482" s="95" t="s">
        <v>820</v>
      </c>
      <c r="F482" s="95" t="s">
        <v>738</v>
      </c>
      <c r="G482" s="9">
        <v>220000.0</v>
      </c>
      <c r="H482" s="95" t="s">
        <v>530</v>
      </c>
      <c r="I482" s="13">
        <f t="shared" si="19"/>
        <v>22000</v>
      </c>
      <c r="J482" s="97" t="s">
        <v>1087</v>
      </c>
      <c r="K482" s="98"/>
      <c r="L482" s="98"/>
    </row>
    <row r="483">
      <c r="B483" s="95" t="s">
        <v>526</v>
      </c>
      <c r="C483" s="95" t="s">
        <v>909</v>
      </c>
      <c r="D483" s="95" t="s">
        <v>59</v>
      </c>
      <c r="E483" s="95" t="s">
        <v>1110</v>
      </c>
      <c r="F483" s="95" t="s">
        <v>738</v>
      </c>
      <c r="G483" s="9">
        <v>120000.0</v>
      </c>
      <c r="H483" s="95" t="s">
        <v>530</v>
      </c>
      <c r="I483" s="13">
        <f t="shared" si="19"/>
        <v>12000</v>
      </c>
      <c r="J483" s="97" t="s">
        <v>1087</v>
      </c>
      <c r="K483" s="98"/>
      <c r="L483" s="98"/>
    </row>
    <row r="484">
      <c r="B484" s="95" t="s">
        <v>526</v>
      </c>
      <c r="C484" s="95" t="s">
        <v>909</v>
      </c>
      <c r="D484" s="95" t="s">
        <v>69</v>
      </c>
      <c r="E484" s="95" t="s">
        <v>1111</v>
      </c>
      <c r="F484" s="95" t="s">
        <v>643</v>
      </c>
      <c r="G484" s="9">
        <v>100000.0</v>
      </c>
      <c r="H484" s="95" t="s">
        <v>530</v>
      </c>
      <c r="I484" s="13">
        <f t="shared" si="19"/>
        <v>10000</v>
      </c>
      <c r="J484" s="97" t="s">
        <v>1087</v>
      </c>
      <c r="K484" s="98"/>
      <c r="L484" s="98"/>
    </row>
    <row r="485">
      <c r="B485" s="95" t="s">
        <v>526</v>
      </c>
      <c r="C485" s="95" t="s">
        <v>1112</v>
      </c>
      <c r="D485" s="95" t="s">
        <v>69</v>
      </c>
      <c r="E485" s="95" t="s">
        <v>1073</v>
      </c>
      <c r="F485" s="95" t="s">
        <v>738</v>
      </c>
      <c r="G485" s="9">
        <v>30000.0</v>
      </c>
      <c r="H485" s="95" t="s">
        <v>530</v>
      </c>
      <c r="I485" s="13">
        <f t="shared" si="19"/>
        <v>3000</v>
      </c>
      <c r="J485" s="97" t="s">
        <v>1113</v>
      </c>
      <c r="K485" s="98"/>
      <c r="L485" s="98"/>
    </row>
    <row r="486">
      <c r="B486" s="95" t="s">
        <v>526</v>
      </c>
      <c r="C486" s="95" t="s">
        <v>1114</v>
      </c>
      <c r="D486" s="95" t="s">
        <v>69</v>
      </c>
      <c r="E486" s="95" t="s">
        <v>1073</v>
      </c>
      <c r="F486" s="95" t="s">
        <v>586</v>
      </c>
      <c r="G486" s="9">
        <v>30000.0</v>
      </c>
      <c r="H486" s="95" t="s">
        <v>530</v>
      </c>
      <c r="I486" s="13">
        <f t="shared" si="19"/>
        <v>3000</v>
      </c>
      <c r="J486" s="97" t="s">
        <v>1113</v>
      </c>
      <c r="K486" s="98"/>
      <c r="L486" s="98"/>
    </row>
    <row r="487">
      <c r="B487" s="95" t="s">
        <v>526</v>
      </c>
      <c r="C487" s="95" t="s">
        <v>1115</v>
      </c>
      <c r="D487" s="95" t="s">
        <v>69</v>
      </c>
      <c r="E487" s="95" t="s">
        <v>542</v>
      </c>
      <c r="F487" s="95" t="s">
        <v>586</v>
      </c>
      <c r="G487" s="9">
        <v>60000.0</v>
      </c>
      <c r="H487" s="95" t="s">
        <v>635</v>
      </c>
      <c r="I487" s="13">
        <f>G487/6</f>
        <v>10000</v>
      </c>
      <c r="J487" s="97" t="s">
        <v>1116</v>
      </c>
      <c r="K487" s="98"/>
      <c r="L487" s="98"/>
    </row>
    <row r="488">
      <c r="B488" s="95" t="s">
        <v>526</v>
      </c>
      <c r="C488" s="95" t="s">
        <v>1117</v>
      </c>
      <c r="D488" s="95" t="s">
        <v>69</v>
      </c>
      <c r="E488" s="95" t="s">
        <v>1073</v>
      </c>
      <c r="F488" s="95" t="s">
        <v>586</v>
      </c>
      <c r="G488" s="9">
        <v>55000.0</v>
      </c>
      <c r="H488" s="95" t="s">
        <v>530</v>
      </c>
      <c r="I488" s="13">
        <f t="shared" ref="I488:I510" si="20">G488/10</f>
        <v>5500</v>
      </c>
      <c r="J488" s="97" t="s">
        <v>1113</v>
      </c>
      <c r="K488" s="98"/>
      <c r="L488" s="98"/>
    </row>
    <row r="489">
      <c r="B489" s="95" t="s">
        <v>526</v>
      </c>
      <c r="C489" s="95" t="s">
        <v>1118</v>
      </c>
      <c r="D489" s="95" t="s">
        <v>69</v>
      </c>
      <c r="E489" s="95" t="s">
        <v>94</v>
      </c>
      <c r="F489" s="95" t="s">
        <v>586</v>
      </c>
      <c r="G489" s="9">
        <v>45000.0</v>
      </c>
      <c r="H489" s="95" t="s">
        <v>530</v>
      </c>
      <c r="I489" s="13">
        <f t="shared" si="20"/>
        <v>4500</v>
      </c>
      <c r="J489" s="97" t="s">
        <v>1113</v>
      </c>
      <c r="K489" s="98"/>
      <c r="L489" s="98"/>
    </row>
    <row r="490">
      <c r="B490" s="95" t="s">
        <v>526</v>
      </c>
      <c r="C490" s="95" t="s">
        <v>1119</v>
      </c>
      <c r="D490" s="95" t="s">
        <v>69</v>
      </c>
      <c r="E490" s="95" t="s">
        <v>94</v>
      </c>
      <c r="F490" s="95" t="s">
        <v>586</v>
      </c>
      <c r="G490" s="9">
        <v>70000.0</v>
      </c>
      <c r="H490" s="95" t="s">
        <v>530</v>
      </c>
      <c r="I490" s="13">
        <f t="shared" si="20"/>
        <v>7000</v>
      </c>
      <c r="J490" s="97" t="s">
        <v>1113</v>
      </c>
      <c r="K490" s="98"/>
      <c r="L490" s="98"/>
    </row>
    <row r="491">
      <c r="B491" s="95" t="s">
        <v>526</v>
      </c>
      <c r="C491" s="95" t="s">
        <v>1120</v>
      </c>
      <c r="D491" s="95" t="s">
        <v>69</v>
      </c>
      <c r="E491" s="95" t="s">
        <v>877</v>
      </c>
      <c r="F491" s="95" t="s">
        <v>586</v>
      </c>
      <c r="G491" s="9">
        <v>290000.0</v>
      </c>
      <c r="H491" s="95" t="s">
        <v>530</v>
      </c>
      <c r="I491" s="13">
        <f t="shared" si="20"/>
        <v>29000</v>
      </c>
      <c r="J491" s="97" t="s">
        <v>1113</v>
      </c>
      <c r="K491" s="98"/>
      <c r="L491" s="98"/>
    </row>
    <row r="492">
      <c r="B492" s="95" t="s">
        <v>526</v>
      </c>
      <c r="C492" s="95" t="s">
        <v>876</v>
      </c>
      <c r="D492" s="95" t="s">
        <v>69</v>
      </c>
      <c r="E492" s="95" t="s">
        <v>877</v>
      </c>
      <c r="F492" s="95" t="s">
        <v>586</v>
      </c>
      <c r="G492" s="9">
        <v>310000.0</v>
      </c>
      <c r="H492" s="95" t="s">
        <v>530</v>
      </c>
      <c r="I492" s="13">
        <f t="shared" si="20"/>
        <v>31000</v>
      </c>
      <c r="J492" s="97" t="s">
        <v>1116</v>
      </c>
      <c r="K492" s="98"/>
      <c r="L492" s="98"/>
    </row>
    <row r="493">
      <c r="B493" s="95" t="s">
        <v>526</v>
      </c>
      <c r="C493" s="95" t="s">
        <v>1121</v>
      </c>
      <c r="D493" s="95" t="s">
        <v>69</v>
      </c>
      <c r="E493" s="95" t="s">
        <v>561</v>
      </c>
      <c r="F493" s="95" t="s">
        <v>643</v>
      </c>
      <c r="G493" s="9">
        <v>130000.0</v>
      </c>
      <c r="H493" s="95" t="s">
        <v>530</v>
      </c>
      <c r="I493" s="13">
        <f t="shared" si="20"/>
        <v>13000</v>
      </c>
      <c r="J493" s="97" t="s">
        <v>873</v>
      </c>
      <c r="K493" s="98"/>
      <c r="L493" s="98"/>
    </row>
    <row r="494">
      <c r="B494" s="95" t="s">
        <v>526</v>
      </c>
      <c r="C494" s="95" t="s">
        <v>1122</v>
      </c>
      <c r="D494" s="95" t="s">
        <v>69</v>
      </c>
      <c r="E494" s="95" t="s">
        <v>131</v>
      </c>
      <c r="F494" s="95" t="s">
        <v>738</v>
      </c>
      <c r="G494" s="9">
        <v>40000.0</v>
      </c>
      <c r="H494" s="95" t="s">
        <v>530</v>
      </c>
      <c r="I494" s="13">
        <f t="shared" si="20"/>
        <v>4000</v>
      </c>
      <c r="J494" s="97" t="s">
        <v>1087</v>
      </c>
      <c r="K494" s="98"/>
      <c r="L494" s="98"/>
    </row>
    <row r="495">
      <c r="B495" s="95" t="s">
        <v>526</v>
      </c>
      <c r="C495" s="95" t="s">
        <v>839</v>
      </c>
      <c r="D495" s="95" t="s">
        <v>815</v>
      </c>
      <c r="E495" s="95" t="s">
        <v>1123</v>
      </c>
      <c r="F495" s="95" t="s">
        <v>738</v>
      </c>
      <c r="G495" s="9">
        <v>40000.0</v>
      </c>
      <c r="H495" s="95" t="s">
        <v>530</v>
      </c>
      <c r="I495" s="13">
        <f t="shared" si="20"/>
        <v>4000</v>
      </c>
      <c r="J495" s="97" t="s">
        <v>1087</v>
      </c>
      <c r="K495" s="98"/>
      <c r="L495" s="98"/>
    </row>
    <row r="496">
      <c r="B496" s="95" t="s">
        <v>526</v>
      </c>
      <c r="C496" s="95" t="s">
        <v>1124</v>
      </c>
      <c r="D496" s="95" t="s">
        <v>174</v>
      </c>
      <c r="E496" s="95" t="s">
        <v>411</v>
      </c>
      <c r="F496" s="95" t="s">
        <v>537</v>
      </c>
      <c r="G496" s="9">
        <v>340000.0</v>
      </c>
      <c r="H496" s="95" t="s">
        <v>530</v>
      </c>
      <c r="I496" s="13">
        <f t="shared" si="20"/>
        <v>34000</v>
      </c>
      <c r="J496" s="97" t="s">
        <v>538</v>
      </c>
      <c r="K496" s="98"/>
      <c r="L496" s="98"/>
    </row>
    <row r="497">
      <c r="B497" s="95" t="s">
        <v>526</v>
      </c>
      <c r="C497" s="95" t="s">
        <v>1125</v>
      </c>
      <c r="D497" s="95" t="s">
        <v>174</v>
      </c>
      <c r="E497" s="95" t="s">
        <v>411</v>
      </c>
      <c r="F497" s="95" t="s">
        <v>537</v>
      </c>
      <c r="G497" s="9">
        <v>255000.0</v>
      </c>
      <c r="H497" s="95" t="s">
        <v>530</v>
      </c>
      <c r="I497" s="13">
        <f t="shared" si="20"/>
        <v>25500</v>
      </c>
      <c r="J497" s="97" t="s">
        <v>538</v>
      </c>
      <c r="K497" s="98"/>
      <c r="L497" s="98"/>
    </row>
    <row r="498">
      <c r="B498" s="95" t="s">
        <v>526</v>
      </c>
      <c r="C498" s="95" t="s">
        <v>1126</v>
      </c>
      <c r="D498" s="95" t="s">
        <v>174</v>
      </c>
      <c r="E498" s="95" t="s">
        <v>411</v>
      </c>
      <c r="F498" s="95" t="s">
        <v>537</v>
      </c>
      <c r="G498" s="9">
        <v>255000.0</v>
      </c>
      <c r="H498" s="95" t="s">
        <v>530</v>
      </c>
      <c r="I498" s="13">
        <f t="shared" si="20"/>
        <v>25500</v>
      </c>
      <c r="J498" s="97" t="s">
        <v>538</v>
      </c>
      <c r="K498" s="98"/>
      <c r="L498" s="98"/>
    </row>
    <row r="499">
      <c r="B499" s="95" t="s">
        <v>526</v>
      </c>
      <c r="C499" s="95" t="s">
        <v>1127</v>
      </c>
      <c r="D499" s="95" t="s">
        <v>174</v>
      </c>
      <c r="E499" s="95" t="s">
        <v>411</v>
      </c>
      <c r="F499" s="95" t="s">
        <v>537</v>
      </c>
      <c r="G499" s="9">
        <v>212500.0</v>
      </c>
      <c r="H499" s="95" t="s">
        <v>530</v>
      </c>
      <c r="I499" s="13">
        <f t="shared" si="20"/>
        <v>21250</v>
      </c>
      <c r="J499" s="97" t="s">
        <v>538</v>
      </c>
      <c r="K499" s="98"/>
      <c r="L499" s="98"/>
    </row>
    <row r="500">
      <c r="B500" s="95" t="s">
        <v>526</v>
      </c>
      <c r="C500" s="95" t="s">
        <v>1128</v>
      </c>
      <c r="D500" s="95" t="s">
        <v>174</v>
      </c>
      <c r="E500" s="95" t="s">
        <v>411</v>
      </c>
      <c r="F500" s="95" t="s">
        <v>537</v>
      </c>
      <c r="G500" s="9">
        <v>187000.0</v>
      </c>
      <c r="H500" s="95" t="s">
        <v>530</v>
      </c>
      <c r="I500" s="13">
        <f t="shared" si="20"/>
        <v>18700</v>
      </c>
      <c r="J500" s="97" t="s">
        <v>538</v>
      </c>
      <c r="K500" s="98"/>
      <c r="L500" s="98"/>
    </row>
    <row r="501">
      <c r="B501" s="95" t="s">
        <v>526</v>
      </c>
      <c r="C501" s="95" t="s">
        <v>1129</v>
      </c>
      <c r="D501" s="95" t="s">
        <v>174</v>
      </c>
      <c r="E501" s="95" t="s">
        <v>411</v>
      </c>
      <c r="F501" s="95" t="s">
        <v>537</v>
      </c>
      <c r="G501" s="9">
        <v>187000.0</v>
      </c>
      <c r="H501" s="95" t="s">
        <v>530</v>
      </c>
      <c r="I501" s="13">
        <f t="shared" si="20"/>
        <v>18700</v>
      </c>
      <c r="J501" s="97" t="s">
        <v>538</v>
      </c>
      <c r="K501" s="98"/>
      <c r="L501" s="98"/>
    </row>
    <row r="502">
      <c r="B502" s="95" t="s">
        <v>526</v>
      </c>
      <c r="C502" s="95" t="s">
        <v>1130</v>
      </c>
      <c r="D502" s="95" t="s">
        <v>174</v>
      </c>
      <c r="E502" s="95" t="s">
        <v>411</v>
      </c>
      <c r="F502" s="95" t="s">
        <v>537</v>
      </c>
      <c r="G502" s="9">
        <v>170000.0</v>
      </c>
      <c r="H502" s="95" t="s">
        <v>530</v>
      </c>
      <c r="I502" s="13">
        <f t="shared" si="20"/>
        <v>17000</v>
      </c>
      <c r="J502" s="97" t="s">
        <v>538</v>
      </c>
      <c r="K502" s="98"/>
      <c r="L502" s="98"/>
    </row>
    <row r="503">
      <c r="B503" s="95" t="s">
        <v>526</v>
      </c>
      <c r="C503" s="95" t="s">
        <v>1131</v>
      </c>
      <c r="D503" s="95" t="s">
        <v>174</v>
      </c>
      <c r="E503" s="95" t="s">
        <v>411</v>
      </c>
      <c r="F503" s="95" t="s">
        <v>537</v>
      </c>
      <c r="G503" s="9">
        <v>153000.0</v>
      </c>
      <c r="H503" s="95" t="s">
        <v>530</v>
      </c>
      <c r="I503" s="13">
        <f t="shared" si="20"/>
        <v>15300</v>
      </c>
      <c r="J503" s="97" t="s">
        <v>538</v>
      </c>
      <c r="K503" s="98"/>
      <c r="L503" s="98"/>
    </row>
    <row r="504">
      <c r="B504" s="95" t="s">
        <v>526</v>
      </c>
      <c r="C504" s="95" t="s">
        <v>1132</v>
      </c>
      <c r="D504" s="95" t="s">
        <v>174</v>
      </c>
      <c r="E504" s="95" t="s">
        <v>411</v>
      </c>
      <c r="F504" s="95" t="s">
        <v>537</v>
      </c>
      <c r="G504" s="9">
        <v>119000.0</v>
      </c>
      <c r="H504" s="95" t="s">
        <v>530</v>
      </c>
      <c r="I504" s="13">
        <f t="shared" si="20"/>
        <v>11900</v>
      </c>
      <c r="J504" s="97" t="s">
        <v>538</v>
      </c>
      <c r="K504" s="98"/>
      <c r="L504" s="98"/>
    </row>
    <row r="505">
      <c r="B505" s="95" t="s">
        <v>526</v>
      </c>
      <c r="C505" s="95" t="s">
        <v>1133</v>
      </c>
      <c r="D505" s="95" t="s">
        <v>174</v>
      </c>
      <c r="E505" s="95" t="s">
        <v>411</v>
      </c>
      <c r="F505" s="95" t="s">
        <v>537</v>
      </c>
      <c r="G505" s="9">
        <v>114750.0</v>
      </c>
      <c r="H505" s="95" t="s">
        <v>530</v>
      </c>
      <c r="I505" s="13">
        <f t="shared" si="20"/>
        <v>11475</v>
      </c>
      <c r="J505" s="97" t="s">
        <v>538</v>
      </c>
      <c r="K505" s="98"/>
      <c r="L505" s="98"/>
    </row>
    <row r="506">
      <c r="B506" s="95" t="s">
        <v>526</v>
      </c>
      <c r="C506" s="95" t="s">
        <v>1134</v>
      </c>
      <c r="D506" s="95" t="s">
        <v>174</v>
      </c>
      <c r="E506" s="95" t="s">
        <v>411</v>
      </c>
      <c r="F506" s="95" t="s">
        <v>537</v>
      </c>
      <c r="G506" s="9">
        <v>110500.0</v>
      </c>
      <c r="H506" s="95" t="s">
        <v>530</v>
      </c>
      <c r="I506" s="13">
        <f t="shared" si="20"/>
        <v>11050</v>
      </c>
      <c r="J506" s="97" t="s">
        <v>538</v>
      </c>
      <c r="K506" s="98"/>
      <c r="L506" s="98"/>
    </row>
    <row r="507">
      <c r="B507" s="95" t="s">
        <v>526</v>
      </c>
      <c r="C507" s="95" t="s">
        <v>1135</v>
      </c>
      <c r="D507" s="95" t="s">
        <v>174</v>
      </c>
      <c r="E507" s="95" t="s">
        <v>411</v>
      </c>
      <c r="F507" s="95" t="s">
        <v>537</v>
      </c>
      <c r="G507" s="9">
        <v>85000.0</v>
      </c>
      <c r="H507" s="95" t="s">
        <v>530</v>
      </c>
      <c r="I507" s="13">
        <f t="shared" si="20"/>
        <v>8500</v>
      </c>
      <c r="J507" s="97" t="s">
        <v>538</v>
      </c>
      <c r="K507" s="98"/>
      <c r="L507" s="98"/>
    </row>
    <row r="508">
      <c r="B508" s="95" t="s">
        <v>526</v>
      </c>
      <c r="C508" s="95" t="s">
        <v>1136</v>
      </c>
      <c r="D508" s="95" t="s">
        <v>174</v>
      </c>
      <c r="E508" s="95" t="s">
        <v>1137</v>
      </c>
      <c r="F508" s="95" t="s">
        <v>537</v>
      </c>
      <c r="G508" s="9">
        <f>0.85*160000</f>
        <v>136000</v>
      </c>
      <c r="H508" s="95" t="s">
        <v>530</v>
      </c>
      <c r="I508" s="13">
        <f t="shared" si="20"/>
        <v>13600</v>
      </c>
      <c r="J508" s="97" t="s">
        <v>1138</v>
      </c>
      <c r="K508" s="98"/>
      <c r="L508" s="98"/>
    </row>
    <row r="509">
      <c r="B509" s="95" t="s">
        <v>526</v>
      </c>
      <c r="C509" s="95" t="s">
        <v>1139</v>
      </c>
      <c r="D509" s="95" t="s">
        <v>174</v>
      </c>
      <c r="E509" s="95" t="s">
        <v>373</v>
      </c>
      <c r="F509" s="95" t="s">
        <v>537</v>
      </c>
      <c r="G509" s="9">
        <f>0.23*600000</f>
        <v>138000</v>
      </c>
      <c r="H509" s="95" t="s">
        <v>530</v>
      </c>
      <c r="I509" s="13">
        <f t="shared" si="20"/>
        <v>13800</v>
      </c>
      <c r="J509" s="97" t="s">
        <v>1140</v>
      </c>
      <c r="K509" s="98"/>
      <c r="L509" s="98"/>
    </row>
    <row r="510">
      <c r="B510" s="95" t="s">
        <v>526</v>
      </c>
      <c r="C510" s="95" t="s">
        <v>1139</v>
      </c>
      <c r="D510" s="95" t="s">
        <v>174</v>
      </c>
      <c r="E510" s="95" t="s">
        <v>373</v>
      </c>
      <c r="F510" s="95" t="s">
        <v>529</v>
      </c>
      <c r="G510" s="9">
        <f>0.24*700000</f>
        <v>168000</v>
      </c>
      <c r="H510" s="95" t="s">
        <v>530</v>
      </c>
      <c r="I510" s="13">
        <f t="shared" si="20"/>
        <v>16800</v>
      </c>
      <c r="J510" s="97" t="s">
        <v>1140</v>
      </c>
      <c r="K510" s="98"/>
      <c r="L510" s="98"/>
    </row>
    <row r="511">
      <c r="B511" s="95" t="s">
        <v>526</v>
      </c>
      <c r="C511" s="95" t="s">
        <v>1141</v>
      </c>
      <c r="D511" s="95" t="s">
        <v>174</v>
      </c>
      <c r="E511" s="95" t="s">
        <v>373</v>
      </c>
      <c r="F511" s="95" t="s">
        <v>799</v>
      </c>
      <c r="G511" s="9">
        <f>0.9*40000</f>
        <v>36000</v>
      </c>
      <c r="H511" s="95" t="s">
        <v>872</v>
      </c>
      <c r="I511" s="13">
        <f>G511/3</f>
        <v>12000</v>
      </c>
      <c r="J511" s="97" t="s">
        <v>1142</v>
      </c>
      <c r="K511" s="98"/>
      <c r="L511" s="98"/>
    </row>
    <row r="512">
      <c r="B512" s="95" t="s">
        <v>526</v>
      </c>
      <c r="C512" s="95" t="s">
        <v>1143</v>
      </c>
      <c r="D512" s="95" t="s">
        <v>174</v>
      </c>
      <c r="E512" s="95" t="s">
        <v>1144</v>
      </c>
      <c r="F512" s="95" t="s">
        <v>543</v>
      </c>
      <c r="G512" s="9">
        <f>0.25*181000</f>
        <v>45250</v>
      </c>
      <c r="H512" s="95" t="s">
        <v>530</v>
      </c>
      <c r="I512" s="13">
        <f t="shared" ref="I512:I521" si="21">G512/10</f>
        <v>4525</v>
      </c>
      <c r="J512" s="97" t="s">
        <v>1145</v>
      </c>
      <c r="K512" s="98"/>
      <c r="L512" s="98"/>
    </row>
    <row r="513">
      <c r="B513" s="95" t="s">
        <v>526</v>
      </c>
      <c r="C513" s="95" t="s">
        <v>1146</v>
      </c>
      <c r="D513" s="95" t="s">
        <v>174</v>
      </c>
      <c r="E513" s="95" t="s">
        <v>419</v>
      </c>
      <c r="F513" s="95" t="s">
        <v>529</v>
      </c>
      <c r="G513" s="9">
        <v>1157000.0</v>
      </c>
      <c r="H513" s="95" t="s">
        <v>530</v>
      </c>
      <c r="I513" s="13">
        <f t="shared" si="21"/>
        <v>115700</v>
      </c>
      <c r="J513" s="97" t="s">
        <v>1138</v>
      </c>
      <c r="K513" s="98"/>
      <c r="L513" s="98"/>
    </row>
    <row r="514">
      <c r="B514" s="95" t="s">
        <v>526</v>
      </c>
      <c r="C514" s="95" t="s">
        <v>1131</v>
      </c>
      <c r="D514" s="95" t="s">
        <v>174</v>
      </c>
      <c r="E514" s="95" t="s">
        <v>438</v>
      </c>
      <c r="F514" s="95" t="s">
        <v>763</v>
      </c>
      <c r="G514" s="9">
        <v>136000.0</v>
      </c>
      <c r="H514" s="95" t="s">
        <v>530</v>
      </c>
      <c r="I514" s="13">
        <f t="shared" si="21"/>
        <v>13600</v>
      </c>
      <c r="J514" s="97" t="s">
        <v>1147</v>
      </c>
      <c r="K514" s="98"/>
      <c r="L514" s="98"/>
    </row>
    <row r="515">
      <c r="B515" s="95" t="s">
        <v>526</v>
      </c>
      <c r="C515" s="95" t="s">
        <v>1128</v>
      </c>
      <c r="D515" s="95" t="s">
        <v>174</v>
      </c>
      <c r="E515" s="95" t="s">
        <v>438</v>
      </c>
      <c r="F515" s="95" t="s">
        <v>763</v>
      </c>
      <c r="G515" s="9">
        <v>119000.0</v>
      </c>
      <c r="H515" s="95" t="s">
        <v>530</v>
      </c>
      <c r="I515" s="13">
        <f t="shared" si="21"/>
        <v>11900</v>
      </c>
      <c r="J515" s="97" t="s">
        <v>1147</v>
      </c>
      <c r="K515" s="98"/>
      <c r="L515" s="98"/>
      <c r="O515" s="93"/>
    </row>
    <row r="516">
      <c r="B516" s="95" t="s">
        <v>526</v>
      </c>
      <c r="C516" s="95" t="s">
        <v>1148</v>
      </c>
      <c r="D516" s="95" t="s">
        <v>174</v>
      </c>
      <c r="E516" s="95" t="s">
        <v>438</v>
      </c>
      <c r="F516" s="95" t="s">
        <v>763</v>
      </c>
      <c r="G516" s="9">
        <v>110500.0</v>
      </c>
      <c r="H516" s="95" t="s">
        <v>530</v>
      </c>
      <c r="I516" s="13">
        <f t="shared" si="21"/>
        <v>11050</v>
      </c>
      <c r="J516" s="97" t="s">
        <v>1147</v>
      </c>
      <c r="K516" s="98"/>
      <c r="L516" s="98"/>
    </row>
    <row r="517">
      <c r="B517" s="95" t="s">
        <v>526</v>
      </c>
      <c r="C517" s="95" t="s">
        <v>1149</v>
      </c>
      <c r="D517" s="95" t="s">
        <v>174</v>
      </c>
      <c r="E517" s="95" t="s">
        <v>438</v>
      </c>
      <c r="F517" s="95" t="s">
        <v>763</v>
      </c>
      <c r="G517" s="9">
        <v>106250.0</v>
      </c>
      <c r="H517" s="95" t="s">
        <v>530</v>
      </c>
      <c r="I517" s="13">
        <f t="shared" si="21"/>
        <v>10625</v>
      </c>
      <c r="J517" s="97" t="s">
        <v>1147</v>
      </c>
      <c r="K517" s="98"/>
      <c r="L517" s="98"/>
    </row>
    <row r="518">
      <c r="B518" s="95" t="s">
        <v>526</v>
      </c>
      <c r="C518" s="95" t="s">
        <v>1150</v>
      </c>
      <c r="D518" s="95" t="s">
        <v>174</v>
      </c>
      <c r="E518" s="95" t="s">
        <v>438</v>
      </c>
      <c r="F518" s="95" t="s">
        <v>763</v>
      </c>
      <c r="G518" s="9">
        <v>102000.0</v>
      </c>
      <c r="H518" s="95" t="s">
        <v>530</v>
      </c>
      <c r="I518" s="13">
        <f t="shared" si="21"/>
        <v>10200</v>
      </c>
      <c r="J518" s="97" t="s">
        <v>1147</v>
      </c>
      <c r="K518" s="98"/>
      <c r="L518" s="98"/>
    </row>
    <row r="519">
      <c r="B519" s="95" t="s">
        <v>526</v>
      </c>
      <c r="C519" s="95" t="s">
        <v>1151</v>
      </c>
      <c r="D519" s="95" t="s">
        <v>174</v>
      </c>
      <c r="E519" s="95" t="s">
        <v>438</v>
      </c>
      <c r="F519" s="95" t="s">
        <v>763</v>
      </c>
      <c r="G519" s="9">
        <v>63750.0</v>
      </c>
      <c r="H519" s="95" t="s">
        <v>530</v>
      </c>
      <c r="I519" s="13">
        <f t="shared" si="21"/>
        <v>6375</v>
      </c>
      <c r="J519" s="97" t="s">
        <v>1147</v>
      </c>
      <c r="K519" s="98"/>
      <c r="L519" s="98"/>
    </row>
    <row r="520">
      <c r="B520" s="95" t="s">
        <v>526</v>
      </c>
      <c r="C520" s="95" t="s">
        <v>1152</v>
      </c>
      <c r="D520" s="95" t="s">
        <v>174</v>
      </c>
      <c r="E520" s="95" t="s">
        <v>438</v>
      </c>
      <c r="F520" s="95" t="s">
        <v>763</v>
      </c>
      <c r="G520" s="9">
        <v>38250.0</v>
      </c>
      <c r="H520" s="95" t="s">
        <v>530</v>
      </c>
      <c r="I520" s="13">
        <f t="shared" si="21"/>
        <v>3825</v>
      </c>
      <c r="J520" s="97" t="s">
        <v>1147</v>
      </c>
      <c r="K520" s="98"/>
      <c r="L520" s="98"/>
    </row>
    <row r="521">
      <c r="B521" s="95" t="s">
        <v>526</v>
      </c>
      <c r="C521" s="95" t="s">
        <v>1153</v>
      </c>
      <c r="D521" s="95" t="s">
        <v>174</v>
      </c>
      <c r="E521" s="95" t="s">
        <v>438</v>
      </c>
      <c r="F521" s="95" t="s">
        <v>763</v>
      </c>
      <c r="G521" s="9">
        <v>42500.0</v>
      </c>
      <c r="H521" s="95" t="s">
        <v>530</v>
      </c>
      <c r="I521" s="13">
        <f t="shared" si="21"/>
        <v>4250</v>
      </c>
      <c r="J521" s="97" t="s">
        <v>1147</v>
      </c>
      <c r="K521" s="98"/>
      <c r="L521" s="98"/>
    </row>
    <row r="522">
      <c r="B522" s="95" t="s">
        <v>526</v>
      </c>
      <c r="C522" s="95" t="s">
        <v>1154</v>
      </c>
      <c r="D522" s="95" t="s">
        <v>174</v>
      </c>
      <c r="E522" s="95" t="s">
        <v>438</v>
      </c>
      <c r="F522" s="95" t="s">
        <v>763</v>
      </c>
      <c r="G522" s="9">
        <v>85000.0</v>
      </c>
      <c r="H522" s="95" t="s">
        <v>1155</v>
      </c>
      <c r="I522" s="13">
        <f>G522/8</f>
        <v>10625</v>
      </c>
      <c r="J522" s="97" t="s">
        <v>1147</v>
      </c>
      <c r="K522" s="98"/>
      <c r="L522" s="98"/>
    </row>
    <row r="523">
      <c r="B523" s="95" t="s">
        <v>526</v>
      </c>
      <c r="C523" s="95" t="s">
        <v>1127</v>
      </c>
      <c r="D523" s="95" t="s">
        <v>174</v>
      </c>
      <c r="E523" s="95" t="s">
        <v>373</v>
      </c>
      <c r="F523" s="95" t="s">
        <v>763</v>
      </c>
      <c r="G523" s="9">
        <f>0.85*180000</f>
        <v>153000</v>
      </c>
      <c r="H523" s="95" t="s">
        <v>530</v>
      </c>
      <c r="I523" s="13">
        <f t="shared" ref="I523:I591" si="22">G523/10</f>
        <v>15300</v>
      </c>
      <c r="J523" s="97" t="s">
        <v>1156</v>
      </c>
      <c r="K523" s="98"/>
      <c r="L523" s="98"/>
    </row>
    <row r="524">
      <c r="B524" s="95" t="s">
        <v>526</v>
      </c>
      <c r="C524" s="95" t="s">
        <v>1157</v>
      </c>
      <c r="D524" s="95" t="s">
        <v>174</v>
      </c>
      <c r="E524" s="95" t="s">
        <v>373</v>
      </c>
      <c r="F524" s="95" t="s">
        <v>763</v>
      </c>
      <c r="G524" s="9">
        <v>127500.0</v>
      </c>
      <c r="H524" s="95" t="s">
        <v>530</v>
      </c>
      <c r="I524" s="13">
        <f t="shared" si="22"/>
        <v>12750</v>
      </c>
      <c r="J524" s="97" t="s">
        <v>1147</v>
      </c>
      <c r="K524" s="98"/>
      <c r="L524" s="98"/>
    </row>
    <row r="525">
      <c r="B525" s="95" t="s">
        <v>526</v>
      </c>
      <c r="C525" s="95" t="s">
        <v>1158</v>
      </c>
      <c r="D525" s="95" t="s">
        <v>174</v>
      </c>
      <c r="E525" s="95" t="s">
        <v>373</v>
      </c>
      <c r="F525" s="95" t="s">
        <v>763</v>
      </c>
      <c r="G525" s="9">
        <v>119000.0</v>
      </c>
      <c r="H525" s="95" t="s">
        <v>530</v>
      </c>
      <c r="I525" s="13">
        <f t="shared" si="22"/>
        <v>11900</v>
      </c>
      <c r="J525" s="97" t="s">
        <v>1147</v>
      </c>
      <c r="K525" s="98"/>
      <c r="L525" s="98"/>
    </row>
    <row r="526">
      <c r="B526" s="95" t="s">
        <v>526</v>
      </c>
      <c r="C526" s="95" t="s">
        <v>1159</v>
      </c>
      <c r="D526" s="95" t="s">
        <v>174</v>
      </c>
      <c r="E526" s="95" t="s">
        <v>373</v>
      </c>
      <c r="F526" s="95" t="s">
        <v>763</v>
      </c>
      <c r="G526" s="9">
        <v>106250.0</v>
      </c>
      <c r="H526" s="95" t="s">
        <v>530</v>
      </c>
      <c r="I526" s="13">
        <f t="shared" si="22"/>
        <v>10625</v>
      </c>
      <c r="J526" s="97" t="s">
        <v>1147</v>
      </c>
      <c r="K526" s="98"/>
      <c r="L526" s="98"/>
    </row>
    <row r="527">
      <c r="B527" s="95" t="s">
        <v>526</v>
      </c>
      <c r="C527" s="95" t="s">
        <v>1160</v>
      </c>
      <c r="D527" s="95" t="s">
        <v>174</v>
      </c>
      <c r="E527" s="95" t="s">
        <v>373</v>
      </c>
      <c r="F527" s="95" t="s">
        <v>763</v>
      </c>
      <c r="G527" s="9">
        <v>102000.0</v>
      </c>
      <c r="H527" s="95" t="s">
        <v>530</v>
      </c>
      <c r="I527" s="13">
        <f t="shared" si="22"/>
        <v>10200</v>
      </c>
      <c r="J527" s="97" t="s">
        <v>1147</v>
      </c>
      <c r="K527" s="98"/>
      <c r="L527" s="98"/>
    </row>
    <row r="528">
      <c r="B528" s="95" t="s">
        <v>526</v>
      </c>
      <c r="C528" s="95" t="s">
        <v>1161</v>
      </c>
      <c r="D528" s="95" t="s">
        <v>174</v>
      </c>
      <c r="E528" s="95" t="s">
        <v>373</v>
      </c>
      <c r="F528" s="95" t="s">
        <v>763</v>
      </c>
      <c r="G528" s="9">
        <v>97750.0</v>
      </c>
      <c r="H528" s="95" t="s">
        <v>530</v>
      </c>
      <c r="I528" s="13">
        <f t="shared" si="22"/>
        <v>9775</v>
      </c>
      <c r="J528" s="97" t="s">
        <v>1147</v>
      </c>
      <c r="K528" s="98"/>
      <c r="L528" s="98"/>
    </row>
    <row r="529">
      <c r="B529" s="95" t="s">
        <v>526</v>
      </c>
      <c r="C529" s="95" t="s">
        <v>1162</v>
      </c>
      <c r="D529" s="95" t="s">
        <v>174</v>
      </c>
      <c r="E529" s="95" t="s">
        <v>373</v>
      </c>
      <c r="F529" s="95" t="s">
        <v>763</v>
      </c>
      <c r="G529" s="9">
        <v>93500.0</v>
      </c>
      <c r="H529" s="95" t="s">
        <v>530</v>
      </c>
      <c r="I529" s="13">
        <f t="shared" si="22"/>
        <v>9350</v>
      </c>
      <c r="J529" s="97" t="s">
        <v>1147</v>
      </c>
      <c r="K529" s="98"/>
      <c r="L529" s="98"/>
    </row>
    <row r="530">
      <c r="B530" s="95" t="s">
        <v>526</v>
      </c>
      <c r="C530" s="95" t="s">
        <v>1163</v>
      </c>
      <c r="D530" s="95" t="s">
        <v>174</v>
      </c>
      <c r="E530" s="95" t="s">
        <v>373</v>
      </c>
      <c r="F530" s="95" t="s">
        <v>763</v>
      </c>
      <c r="G530" s="9">
        <v>80750.0</v>
      </c>
      <c r="H530" s="95" t="s">
        <v>530</v>
      </c>
      <c r="I530" s="13">
        <f t="shared" si="22"/>
        <v>8075</v>
      </c>
      <c r="J530" s="97" t="s">
        <v>1147</v>
      </c>
      <c r="K530" s="98"/>
      <c r="L530" s="98"/>
    </row>
    <row r="531">
      <c r="B531" s="95" t="s">
        <v>526</v>
      </c>
      <c r="C531" s="95" t="s">
        <v>1164</v>
      </c>
      <c r="D531" s="95" t="s">
        <v>174</v>
      </c>
      <c r="E531" s="95" t="s">
        <v>373</v>
      </c>
      <c r="F531" s="95" t="s">
        <v>763</v>
      </c>
      <c r="G531" s="9">
        <v>51000.0</v>
      </c>
      <c r="H531" s="95" t="s">
        <v>530</v>
      </c>
      <c r="I531" s="13">
        <f t="shared" si="22"/>
        <v>5100</v>
      </c>
      <c r="J531" s="97" t="s">
        <v>1147</v>
      </c>
      <c r="K531" s="98"/>
      <c r="L531" s="98"/>
    </row>
    <row r="532">
      <c r="B532" s="95" t="s">
        <v>526</v>
      </c>
      <c r="C532" s="95" t="s">
        <v>1165</v>
      </c>
      <c r="D532" s="95" t="s">
        <v>174</v>
      </c>
      <c r="E532" s="95" t="s">
        <v>373</v>
      </c>
      <c r="F532" s="95" t="s">
        <v>763</v>
      </c>
      <c r="G532" s="9">
        <v>42500.0</v>
      </c>
      <c r="H532" s="95" t="s">
        <v>530</v>
      </c>
      <c r="I532" s="13">
        <f t="shared" si="22"/>
        <v>4250</v>
      </c>
      <c r="J532" s="97" t="s">
        <v>1147</v>
      </c>
      <c r="K532" s="98"/>
      <c r="L532" s="98"/>
    </row>
    <row r="533">
      <c r="B533" s="95" t="s">
        <v>526</v>
      </c>
      <c r="C533" s="95" t="s">
        <v>1166</v>
      </c>
      <c r="D533" s="95" t="s">
        <v>174</v>
      </c>
      <c r="E533" s="95" t="s">
        <v>411</v>
      </c>
      <c r="F533" s="95" t="s">
        <v>763</v>
      </c>
      <c r="G533" s="9">
        <v>238000.0</v>
      </c>
      <c r="H533" s="95" t="s">
        <v>530</v>
      </c>
      <c r="I533" s="13">
        <f t="shared" si="22"/>
        <v>23800</v>
      </c>
      <c r="J533" s="97" t="s">
        <v>1147</v>
      </c>
      <c r="K533" s="98"/>
      <c r="L533" s="98"/>
    </row>
    <row r="534">
      <c r="B534" s="95" t="s">
        <v>526</v>
      </c>
      <c r="C534" s="95" t="s">
        <v>1167</v>
      </c>
      <c r="D534" s="95" t="s">
        <v>174</v>
      </c>
      <c r="E534" s="95" t="s">
        <v>411</v>
      </c>
      <c r="F534" s="95" t="s">
        <v>763</v>
      </c>
      <c r="G534" s="9">
        <v>195500.0</v>
      </c>
      <c r="H534" s="95" t="s">
        <v>530</v>
      </c>
      <c r="I534" s="13">
        <f t="shared" si="22"/>
        <v>19550</v>
      </c>
      <c r="J534" s="97" t="s">
        <v>1147</v>
      </c>
      <c r="K534" s="98"/>
      <c r="L534" s="98"/>
    </row>
    <row r="535">
      <c r="B535" s="95" t="s">
        <v>526</v>
      </c>
      <c r="C535" s="95" t="s">
        <v>1168</v>
      </c>
      <c r="D535" s="95" t="s">
        <v>174</v>
      </c>
      <c r="E535" s="95" t="s">
        <v>411</v>
      </c>
      <c r="F535" s="95" t="s">
        <v>763</v>
      </c>
      <c r="G535" s="9">
        <v>136000.0</v>
      </c>
      <c r="H535" s="95" t="s">
        <v>530</v>
      </c>
      <c r="I535" s="13">
        <f t="shared" si="22"/>
        <v>13600</v>
      </c>
      <c r="J535" s="97" t="s">
        <v>1147</v>
      </c>
      <c r="K535" s="98"/>
      <c r="L535" s="98"/>
    </row>
    <row r="536">
      <c r="B536" s="95" t="s">
        <v>526</v>
      </c>
      <c r="C536" s="95" t="s">
        <v>1169</v>
      </c>
      <c r="D536" s="95" t="s">
        <v>174</v>
      </c>
      <c r="E536" s="95" t="s">
        <v>411</v>
      </c>
      <c r="F536" s="95" t="s">
        <v>763</v>
      </c>
      <c r="G536" s="9">
        <v>136000.0</v>
      </c>
      <c r="H536" s="95" t="s">
        <v>530</v>
      </c>
      <c r="I536" s="13">
        <f t="shared" si="22"/>
        <v>13600</v>
      </c>
      <c r="J536" s="97" t="s">
        <v>1147</v>
      </c>
      <c r="K536" s="98"/>
      <c r="L536" s="98"/>
    </row>
    <row r="537">
      <c r="B537" s="95" t="s">
        <v>526</v>
      </c>
      <c r="C537" s="95" t="s">
        <v>1170</v>
      </c>
      <c r="D537" s="95" t="s">
        <v>174</v>
      </c>
      <c r="E537" s="95" t="s">
        <v>411</v>
      </c>
      <c r="F537" s="95" t="s">
        <v>763</v>
      </c>
      <c r="G537" s="9">
        <v>127500.0</v>
      </c>
      <c r="H537" s="95" t="s">
        <v>530</v>
      </c>
      <c r="I537" s="13">
        <f t="shared" si="22"/>
        <v>12750</v>
      </c>
      <c r="J537" s="97" t="s">
        <v>1147</v>
      </c>
      <c r="K537" s="98"/>
      <c r="L537" s="98"/>
    </row>
    <row r="538">
      <c r="B538" s="95" t="s">
        <v>526</v>
      </c>
      <c r="C538" s="95" t="s">
        <v>1171</v>
      </c>
      <c r="D538" s="95" t="s">
        <v>174</v>
      </c>
      <c r="E538" s="95" t="s">
        <v>419</v>
      </c>
      <c r="F538" s="134">
        <v>46369.0</v>
      </c>
      <c r="G538" s="9">
        <f>0.8*300000</f>
        <v>240000</v>
      </c>
      <c r="H538" s="95" t="s">
        <v>530</v>
      </c>
      <c r="I538" s="13">
        <f t="shared" si="22"/>
        <v>24000</v>
      </c>
      <c r="J538" s="97" t="s">
        <v>1172</v>
      </c>
      <c r="K538" s="98"/>
      <c r="L538" s="98"/>
    </row>
    <row r="539">
      <c r="B539" s="95" t="s">
        <v>526</v>
      </c>
      <c r="C539" s="95" t="s">
        <v>1171</v>
      </c>
      <c r="D539" s="95" t="s">
        <v>174</v>
      </c>
      <c r="E539" s="95" t="s">
        <v>419</v>
      </c>
      <c r="F539" s="95" t="s">
        <v>1173</v>
      </c>
      <c r="G539" s="9">
        <f>0.75*400000</f>
        <v>300000</v>
      </c>
      <c r="H539" s="95" t="s">
        <v>530</v>
      </c>
      <c r="I539" s="13">
        <f t="shared" si="22"/>
        <v>30000</v>
      </c>
      <c r="J539" s="97" t="s">
        <v>1172</v>
      </c>
      <c r="K539" s="98"/>
      <c r="L539" s="98"/>
    </row>
    <row r="540">
      <c r="B540" s="95" t="s">
        <v>526</v>
      </c>
      <c r="C540" s="95" t="s">
        <v>1171</v>
      </c>
      <c r="D540" s="95" t="s">
        <v>195</v>
      </c>
      <c r="E540" s="95" t="s">
        <v>432</v>
      </c>
      <c r="F540" s="95" t="s">
        <v>562</v>
      </c>
      <c r="G540" s="9">
        <f>0.75*1500000</f>
        <v>1125000</v>
      </c>
      <c r="H540" s="95" t="s">
        <v>530</v>
      </c>
      <c r="I540" s="13">
        <f t="shared" si="22"/>
        <v>112500</v>
      </c>
      <c r="J540" s="97" t="s">
        <v>1172</v>
      </c>
      <c r="K540" s="98"/>
      <c r="L540" s="98"/>
    </row>
    <row r="541">
      <c r="B541" s="95" t="s">
        <v>526</v>
      </c>
      <c r="C541" s="95" t="s">
        <v>1174</v>
      </c>
      <c r="D541" s="95" t="s">
        <v>174</v>
      </c>
      <c r="E541" s="95" t="s">
        <v>419</v>
      </c>
      <c r="F541" s="95" t="s">
        <v>1173</v>
      </c>
      <c r="G541" s="9">
        <f>0.75*450000</f>
        <v>337500</v>
      </c>
      <c r="H541" s="95" t="s">
        <v>530</v>
      </c>
      <c r="I541" s="13">
        <f t="shared" si="22"/>
        <v>33750</v>
      </c>
      <c r="J541" s="97" t="s">
        <v>1172</v>
      </c>
      <c r="K541" s="98"/>
      <c r="L541" s="98"/>
    </row>
    <row r="542">
      <c r="B542" s="95" t="s">
        <v>526</v>
      </c>
      <c r="C542" s="95" t="s">
        <v>1174</v>
      </c>
      <c r="D542" s="95" t="s">
        <v>826</v>
      </c>
      <c r="E542" s="95" t="s">
        <v>1175</v>
      </c>
      <c r="F542" s="95" t="s">
        <v>562</v>
      </c>
      <c r="G542" s="9">
        <f>0.75*2500000</f>
        <v>1875000</v>
      </c>
      <c r="H542" s="95" t="s">
        <v>530</v>
      </c>
      <c r="I542" s="13">
        <f t="shared" si="22"/>
        <v>187500</v>
      </c>
      <c r="J542" s="97" t="s">
        <v>1172</v>
      </c>
      <c r="K542" s="98"/>
      <c r="L542" s="98"/>
    </row>
    <row r="543">
      <c r="B543" s="95" t="s">
        <v>526</v>
      </c>
      <c r="C543" s="95" t="s">
        <v>1176</v>
      </c>
      <c r="D543" s="95" t="s">
        <v>174</v>
      </c>
      <c r="E543" s="95" t="s">
        <v>1177</v>
      </c>
      <c r="F543" s="95" t="s">
        <v>1173</v>
      </c>
      <c r="G543" s="9">
        <f>10000*0.75</f>
        <v>7500</v>
      </c>
      <c r="H543" s="95" t="s">
        <v>530</v>
      </c>
      <c r="I543" s="13">
        <f t="shared" si="22"/>
        <v>750</v>
      </c>
      <c r="J543" s="97" t="s">
        <v>1178</v>
      </c>
      <c r="K543" s="98"/>
      <c r="L543" s="98"/>
    </row>
    <row r="544">
      <c r="B544" s="95" t="s">
        <v>526</v>
      </c>
      <c r="C544" s="95" t="s">
        <v>1176</v>
      </c>
      <c r="D544" s="95" t="s">
        <v>174</v>
      </c>
      <c r="E544" s="95" t="s">
        <v>411</v>
      </c>
      <c r="F544" s="95" t="s">
        <v>763</v>
      </c>
      <c r="G544" s="9">
        <v>110500.0</v>
      </c>
      <c r="H544" s="95" t="s">
        <v>530</v>
      </c>
      <c r="I544" s="13">
        <f t="shared" si="22"/>
        <v>11050</v>
      </c>
      <c r="J544" s="97" t="s">
        <v>1147</v>
      </c>
      <c r="K544" s="98"/>
      <c r="L544" s="98"/>
    </row>
    <row r="545">
      <c r="B545" s="95" t="s">
        <v>526</v>
      </c>
      <c r="C545" s="95" t="s">
        <v>1179</v>
      </c>
      <c r="D545" s="95" t="s">
        <v>174</v>
      </c>
      <c r="E545" s="95" t="s">
        <v>411</v>
      </c>
      <c r="F545" s="95" t="s">
        <v>763</v>
      </c>
      <c r="G545" s="9">
        <v>93500.0</v>
      </c>
      <c r="H545" s="95" t="s">
        <v>530</v>
      </c>
      <c r="I545" s="13">
        <f t="shared" si="22"/>
        <v>9350</v>
      </c>
      <c r="J545" s="97" t="s">
        <v>1147</v>
      </c>
      <c r="K545" s="98"/>
      <c r="L545" s="98"/>
    </row>
    <row r="546">
      <c r="B546" s="95" t="s">
        <v>526</v>
      </c>
      <c r="C546" s="95" t="s">
        <v>1180</v>
      </c>
      <c r="D546" s="95" t="s">
        <v>174</v>
      </c>
      <c r="E546" s="95" t="s">
        <v>411</v>
      </c>
      <c r="F546" s="95" t="s">
        <v>763</v>
      </c>
      <c r="G546" s="9">
        <v>80750.0</v>
      </c>
      <c r="H546" s="95" t="s">
        <v>530</v>
      </c>
      <c r="I546" s="13">
        <f t="shared" si="22"/>
        <v>8075</v>
      </c>
      <c r="J546" s="97" t="s">
        <v>1147</v>
      </c>
      <c r="K546" s="98"/>
      <c r="L546" s="98"/>
    </row>
    <row r="547">
      <c r="B547" s="95" t="s">
        <v>526</v>
      </c>
      <c r="C547" s="95" t="s">
        <v>1181</v>
      </c>
      <c r="D547" s="95" t="s">
        <v>174</v>
      </c>
      <c r="E547" s="95" t="s">
        <v>411</v>
      </c>
      <c r="F547" s="95" t="s">
        <v>763</v>
      </c>
      <c r="G547" s="9">
        <v>63750.0</v>
      </c>
      <c r="H547" s="95" t="s">
        <v>530</v>
      </c>
      <c r="I547" s="13">
        <f t="shared" si="22"/>
        <v>6375</v>
      </c>
      <c r="J547" s="97" t="s">
        <v>1147</v>
      </c>
      <c r="K547" s="98"/>
      <c r="L547" s="98"/>
    </row>
    <row r="548">
      <c r="B548" s="95" t="s">
        <v>526</v>
      </c>
      <c r="C548" s="95" t="s">
        <v>1065</v>
      </c>
      <c r="D548" s="95" t="s">
        <v>174</v>
      </c>
      <c r="E548" s="95" t="s">
        <v>411</v>
      </c>
      <c r="F548" s="95" t="s">
        <v>738</v>
      </c>
      <c r="G548" s="9">
        <v>200000.0</v>
      </c>
      <c r="H548" s="95" t="s">
        <v>530</v>
      </c>
      <c r="I548" s="13">
        <f t="shared" si="22"/>
        <v>20000</v>
      </c>
      <c r="J548" s="97" t="s">
        <v>1182</v>
      </c>
      <c r="K548" s="98"/>
      <c r="L548" s="98"/>
    </row>
    <row r="549">
      <c r="B549" s="95" t="s">
        <v>526</v>
      </c>
      <c r="C549" s="95" t="s">
        <v>1183</v>
      </c>
      <c r="D549" s="95" t="s">
        <v>174</v>
      </c>
      <c r="E549" s="95" t="s">
        <v>411</v>
      </c>
      <c r="F549" s="95" t="s">
        <v>738</v>
      </c>
      <c r="G549" s="9">
        <v>250000.0</v>
      </c>
      <c r="H549" s="95" t="s">
        <v>530</v>
      </c>
      <c r="I549" s="13">
        <f t="shared" si="22"/>
        <v>25000</v>
      </c>
      <c r="J549" s="97" t="s">
        <v>1184</v>
      </c>
      <c r="K549" s="98"/>
      <c r="L549" s="98"/>
    </row>
    <row r="550">
      <c r="B550" s="95" t="s">
        <v>526</v>
      </c>
      <c r="C550" s="95" t="s">
        <v>1006</v>
      </c>
      <c r="D550" s="95" t="s">
        <v>174</v>
      </c>
      <c r="E550" s="95" t="s">
        <v>411</v>
      </c>
      <c r="F550" s="95" t="s">
        <v>738</v>
      </c>
      <c r="G550" s="9">
        <v>160000.0</v>
      </c>
      <c r="H550" s="95" t="s">
        <v>530</v>
      </c>
      <c r="I550" s="13">
        <f t="shared" si="22"/>
        <v>16000</v>
      </c>
      <c r="J550" s="97" t="s">
        <v>1184</v>
      </c>
      <c r="K550" s="98"/>
      <c r="L550" s="98"/>
    </row>
    <row r="551">
      <c r="B551" s="95" t="s">
        <v>526</v>
      </c>
      <c r="C551" s="95" t="s">
        <v>1185</v>
      </c>
      <c r="D551" s="95" t="s">
        <v>174</v>
      </c>
      <c r="E551" s="95" t="s">
        <v>411</v>
      </c>
      <c r="F551" s="95" t="s">
        <v>738</v>
      </c>
      <c r="G551" s="9">
        <v>230000.0</v>
      </c>
      <c r="H551" s="95" t="s">
        <v>530</v>
      </c>
      <c r="I551" s="13">
        <f t="shared" si="22"/>
        <v>23000</v>
      </c>
      <c r="J551" s="97" t="s">
        <v>1184</v>
      </c>
      <c r="K551" s="98"/>
      <c r="L551" s="98"/>
    </row>
    <row r="552">
      <c r="B552" s="95" t="s">
        <v>526</v>
      </c>
      <c r="C552" s="95" t="s">
        <v>1186</v>
      </c>
      <c r="D552" s="95" t="s">
        <v>174</v>
      </c>
      <c r="E552" s="95" t="s">
        <v>411</v>
      </c>
      <c r="F552" s="95" t="s">
        <v>738</v>
      </c>
      <c r="G552" s="9">
        <v>240000.0</v>
      </c>
      <c r="H552" s="95" t="s">
        <v>530</v>
      </c>
      <c r="I552" s="13">
        <f t="shared" si="22"/>
        <v>24000</v>
      </c>
      <c r="J552" s="97" t="s">
        <v>1184</v>
      </c>
      <c r="K552" s="98"/>
      <c r="L552" s="98"/>
    </row>
    <row r="553">
      <c r="B553" s="95" t="s">
        <v>526</v>
      </c>
      <c r="C553" s="95" t="s">
        <v>1187</v>
      </c>
      <c r="D553" s="95" t="s">
        <v>174</v>
      </c>
      <c r="E553" s="95" t="s">
        <v>411</v>
      </c>
      <c r="F553" s="95" t="s">
        <v>738</v>
      </c>
      <c r="G553" s="9">
        <v>160000.0</v>
      </c>
      <c r="H553" s="95" t="s">
        <v>530</v>
      </c>
      <c r="I553" s="13">
        <f t="shared" si="22"/>
        <v>16000</v>
      </c>
      <c r="J553" s="97" t="s">
        <v>1184</v>
      </c>
      <c r="K553" s="98"/>
      <c r="L553" s="98"/>
    </row>
    <row r="554">
      <c r="B554" s="95" t="s">
        <v>526</v>
      </c>
      <c r="C554" s="95" t="s">
        <v>1188</v>
      </c>
      <c r="D554" s="95" t="s">
        <v>174</v>
      </c>
      <c r="E554" s="95" t="s">
        <v>411</v>
      </c>
      <c r="F554" s="95" t="s">
        <v>738</v>
      </c>
      <c r="G554" s="9">
        <v>150000.0</v>
      </c>
      <c r="H554" s="95" t="s">
        <v>530</v>
      </c>
      <c r="I554" s="13">
        <f t="shared" si="22"/>
        <v>15000</v>
      </c>
      <c r="J554" s="97" t="s">
        <v>1184</v>
      </c>
      <c r="K554" s="98"/>
      <c r="L554" s="98"/>
    </row>
    <row r="555">
      <c r="B555" s="95" t="s">
        <v>526</v>
      </c>
      <c r="C555" s="95" t="s">
        <v>1189</v>
      </c>
      <c r="D555" s="95" t="s">
        <v>174</v>
      </c>
      <c r="E555" s="95" t="s">
        <v>411</v>
      </c>
      <c r="F555" s="95" t="s">
        <v>738</v>
      </c>
      <c r="G555" s="9">
        <v>70000.0</v>
      </c>
      <c r="H555" s="95" t="s">
        <v>530</v>
      </c>
      <c r="I555" s="13">
        <f t="shared" si="22"/>
        <v>7000</v>
      </c>
      <c r="J555" s="97" t="s">
        <v>1184</v>
      </c>
      <c r="K555" s="98"/>
      <c r="L555" s="98"/>
    </row>
    <row r="556">
      <c r="B556" s="95" t="s">
        <v>526</v>
      </c>
      <c r="C556" s="95" t="s">
        <v>1180</v>
      </c>
      <c r="D556" s="95" t="s">
        <v>174</v>
      </c>
      <c r="E556" s="95" t="s">
        <v>411</v>
      </c>
      <c r="F556" s="95" t="s">
        <v>738</v>
      </c>
      <c r="G556" s="9">
        <v>100000.0</v>
      </c>
      <c r="H556" s="95" t="s">
        <v>530</v>
      </c>
      <c r="I556" s="13">
        <f t="shared" si="22"/>
        <v>10000</v>
      </c>
      <c r="J556" s="97" t="s">
        <v>1184</v>
      </c>
      <c r="K556" s="98"/>
      <c r="L556" s="98"/>
    </row>
    <row r="557">
      <c r="B557" s="95" t="s">
        <v>526</v>
      </c>
      <c r="C557" s="95" t="s">
        <v>1065</v>
      </c>
      <c r="D557" s="95" t="s">
        <v>174</v>
      </c>
      <c r="E557" s="95" t="s">
        <v>411</v>
      </c>
      <c r="F557" s="95" t="s">
        <v>643</v>
      </c>
      <c r="G557" s="9">
        <v>207000.0</v>
      </c>
      <c r="H557" s="95" t="s">
        <v>530</v>
      </c>
      <c r="I557" s="13">
        <f t="shared" si="22"/>
        <v>20700</v>
      </c>
      <c r="J557" s="97" t="s">
        <v>1190</v>
      </c>
      <c r="K557" s="98"/>
      <c r="L557" s="98"/>
    </row>
    <row r="558">
      <c r="B558" s="95" t="s">
        <v>526</v>
      </c>
      <c r="C558" s="95" t="s">
        <v>1191</v>
      </c>
      <c r="D558" s="95" t="s">
        <v>174</v>
      </c>
      <c r="E558" s="95" t="s">
        <v>411</v>
      </c>
      <c r="F558" s="95" t="s">
        <v>643</v>
      </c>
      <c r="G558" s="9">
        <v>360000.0</v>
      </c>
      <c r="H558" s="95" t="s">
        <v>530</v>
      </c>
      <c r="I558" s="13">
        <f t="shared" si="22"/>
        <v>36000</v>
      </c>
      <c r="J558" s="97" t="s">
        <v>1190</v>
      </c>
      <c r="K558" s="98"/>
      <c r="L558" s="98"/>
    </row>
    <row r="559">
      <c r="B559" s="95" t="s">
        <v>526</v>
      </c>
      <c r="C559" s="95" t="s">
        <v>1127</v>
      </c>
      <c r="D559" s="95" t="s">
        <v>174</v>
      </c>
      <c r="E559" s="95" t="s">
        <v>411</v>
      </c>
      <c r="F559" s="95" t="s">
        <v>643</v>
      </c>
      <c r="G559" s="9">
        <v>270000.0</v>
      </c>
      <c r="H559" s="95" t="s">
        <v>530</v>
      </c>
      <c r="I559" s="13">
        <f t="shared" si="22"/>
        <v>27000</v>
      </c>
      <c r="J559" s="97" t="s">
        <v>1190</v>
      </c>
      <c r="K559" s="98"/>
      <c r="L559" s="98"/>
    </row>
    <row r="560">
      <c r="B560" s="95" t="s">
        <v>526</v>
      </c>
      <c r="C560" s="95" t="s">
        <v>1186</v>
      </c>
      <c r="D560" s="95" t="s">
        <v>174</v>
      </c>
      <c r="E560" s="95" t="s">
        <v>411</v>
      </c>
      <c r="F560" s="95" t="s">
        <v>643</v>
      </c>
      <c r="G560" s="9">
        <v>252000.0</v>
      </c>
      <c r="H560" s="95" t="s">
        <v>530</v>
      </c>
      <c r="I560" s="13">
        <f t="shared" si="22"/>
        <v>25200</v>
      </c>
      <c r="J560" s="97" t="s">
        <v>1190</v>
      </c>
      <c r="K560" s="98"/>
      <c r="L560" s="98"/>
    </row>
    <row r="561">
      <c r="B561" s="95" t="s">
        <v>526</v>
      </c>
      <c r="C561" s="95" t="s">
        <v>1185</v>
      </c>
      <c r="D561" s="95" t="s">
        <v>174</v>
      </c>
      <c r="E561" s="95" t="s">
        <v>411</v>
      </c>
      <c r="F561" s="95" t="s">
        <v>643</v>
      </c>
      <c r="G561" s="9">
        <v>270000.0</v>
      </c>
      <c r="H561" s="95" t="s">
        <v>530</v>
      </c>
      <c r="I561" s="13">
        <f t="shared" si="22"/>
        <v>27000</v>
      </c>
      <c r="J561" s="97" t="s">
        <v>1190</v>
      </c>
      <c r="K561" s="98"/>
      <c r="L561" s="98"/>
    </row>
    <row r="562">
      <c r="B562" s="95" t="s">
        <v>526</v>
      </c>
      <c r="C562" s="95" t="s">
        <v>602</v>
      </c>
      <c r="D562" s="95" t="s">
        <v>174</v>
      </c>
      <c r="E562" s="95" t="s">
        <v>419</v>
      </c>
      <c r="F562" s="95" t="s">
        <v>643</v>
      </c>
      <c r="G562" s="9">
        <f>1600000*0.9</f>
        <v>1440000</v>
      </c>
      <c r="H562" s="95" t="s">
        <v>530</v>
      </c>
      <c r="I562" s="13">
        <f t="shared" si="22"/>
        <v>144000</v>
      </c>
      <c r="J562" s="97" t="s">
        <v>1190</v>
      </c>
      <c r="K562" s="97" t="s">
        <v>1192</v>
      </c>
      <c r="L562" s="97" t="s">
        <v>1193</v>
      </c>
    </row>
    <row r="563">
      <c r="B563" s="95" t="s">
        <v>526</v>
      </c>
      <c r="C563" s="95" t="s">
        <v>1194</v>
      </c>
      <c r="D563" s="95" t="s">
        <v>174</v>
      </c>
      <c r="E563" s="95" t="s">
        <v>419</v>
      </c>
      <c r="F563" s="95" t="s">
        <v>643</v>
      </c>
      <c r="G563" s="9">
        <f>1500000*0.9</f>
        <v>1350000</v>
      </c>
      <c r="H563" s="95" t="s">
        <v>530</v>
      </c>
      <c r="I563" s="13">
        <f t="shared" si="22"/>
        <v>135000</v>
      </c>
      <c r="J563" s="97" t="s">
        <v>1190</v>
      </c>
      <c r="K563" s="97" t="s">
        <v>1192</v>
      </c>
      <c r="L563" s="97" t="s">
        <v>1193</v>
      </c>
    </row>
    <row r="564">
      <c r="B564" s="95" t="s">
        <v>526</v>
      </c>
      <c r="C564" s="95" t="s">
        <v>1084</v>
      </c>
      <c r="D564" s="95" t="s">
        <v>174</v>
      </c>
      <c r="E564" s="95" t="s">
        <v>419</v>
      </c>
      <c r="F564" s="95" t="s">
        <v>643</v>
      </c>
      <c r="G564" s="9">
        <f>800000*0.9</f>
        <v>720000</v>
      </c>
      <c r="H564" s="95" t="s">
        <v>530</v>
      </c>
      <c r="I564" s="13">
        <f t="shared" si="22"/>
        <v>72000</v>
      </c>
      <c r="J564" s="97" t="s">
        <v>1190</v>
      </c>
      <c r="K564" s="97" t="s">
        <v>1192</v>
      </c>
      <c r="L564" s="97" t="s">
        <v>1193</v>
      </c>
    </row>
    <row r="565">
      <c r="B565" s="95" t="s">
        <v>526</v>
      </c>
      <c r="C565" s="95" t="s">
        <v>1195</v>
      </c>
      <c r="D565" s="95" t="s">
        <v>174</v>
      </c>
      <c r="E565" s="95" t="s">
        <v>419</v>
      </c>
      <c r="F565" s="95" t="s">
        <v>643</v>
      </c>
      <c r="G565" s="9">
        <f>750000*0.9</f>
        <v>675000</v>
      </c>
      <c r="H565" s="95" t="s">
        <v>530</v>
      </c>
      <c r="I565" s="13">
        <f t="shared" si="22"/>
        <v>67500</v>
      </c>
      <c r="J565" s="97" t="s">
        <v>1190</v>
      </c>
      <c r="K565" s="97" t="s">
        <v>1192</v>
      </c>
      <c r="L565" s="98"/>
    </row>
    <row r="566">
      <c r="B566" s="95" t="s">
        <v>526</v>
      </c>
      <c r="C566" s="95" t="s">
        <v>1196</v>
      </c>
      <c r="D566" s="95" t="s">
        <v>174</v>
      </c>
      <c r="E566" s="95" t="s">
        <v>419</v>
      </c>
      <c r="F566" s="95" t="s">
        <v>643</v>
      </c>
      <c r="G566" s="9">
        <f>600000*0.9</f>
        <v>540000</v>
      </c>
      <c r="H566" s="95" t="s">
        <v>530</v>
      </c>
      <c r="I566" s="13">
        <f t="shared" si="22"/>
        <v>54000</v>
      </c>
      <c r="J566" s="97" t="s">
        <v>1197</v>
      </c>
      <c r="K566" s="97" t="s">
        <v>1192</v>
      </c>
      <c r="L566" s="98"/>
    </row>
    <row r="567">
      <c r="B567" s="95" t="s">
        <v>526</v>
      </c>
      <c r="C567" s="95" t="s">
        <v>1198</v>
      </c>
      <c r="D567" s="95" t="s">
        <v>174</v>
      </c>
      <c r="E567" s="95" t="s">
        <v>419</v>
      </c>
      <c r="F567" s="95" t="s">
        <v>643</v>
      </c>
      <c r="G567" s="9">
        <f>400000*0.9</f>
        <v>360000</v>
      </c>
      <c r="H567" s="95" t="s">
        <v>530</v>
      </c>
      <c r="I567" s="13">
        <f t="shared" si="22"/>
        <v>36000</v>
      </c>
      <c r="J567" s="97" t="s">
        <v>1192</v>
      </c>
      <c r="K567" s="98"/>
      <c r="L567" s="97" t="s">
        <v>1199</v>
      </c>
    </row>
    <row r="568">
      <c r="B568" s="95" t="s">
        <v>526</v>
      </c>
      <c r="C568" s="95" t="s">
        <v>1159</v>
      </c>
      <c r="D568" s="95" t="s">
        <v>174</v>
      </c>
      <c r="E568" s="95" t="s">
        <v>419</v>
      </c>
      <c r="F568" s="95" t="s">
        <v>643</v>
      </c>
      <c r="G568" s="9">
        <f>0.9*275000</f>
        <v>247500</v>
      </c>
      <c r="H568" s="95" t="s">
        <v>530</v>
      </c>
      <c r="I568" s="13">
        <f t="shared" si="22"/>
        <v>24750</v>
      </c>
      <c r="J568" s="97" t="s">
        <v>1192</v>
      </c>
      <c r="K568" s="98"/>
      <c r="L568" s="98"/>
    </row>
    <row r="569">
      <c r="B569" s="95" t="s">
        <v>526</v>
      </c>
      <c r="C569" s="95" t="s">
        <v>1132</v>
      </c>
      <c r="D569" s="95" t="s">
        <v>174</v>
      </c>
      <c r="E569" s="95" t="s">
        <v>411</v>
      </c>
      <c r="F569" s="95" t="s">
        <v>529</v>
      </c>
      <c r="G569" s="9">
        <f>160000*0.9</f>
        <v>144000</v>
      </c>
      <c r="H569" s="95" t="s">
        <v>530</v>
      </c>
      <c r="I569" s="13">
        <f t="shared" si="22"/>
        <v>14400</v>
      </c>
      <c r="J569" s="97" t="s">
        <v>1200</v>
      </c>
      <c r="K569" s="98"/>
      <c r="L569" s="98"/>
    </row>
    <row r="570">
      <c r="B570" s="95" t="s">
        <v>526</v>
      </c>
      <c r="C570" s="95" t="s">
        <v>1132</v>
      </c>
      <c r="D570" s="95" t="s">
        <v>174</v>
      </c>
      <c r="E570" s="95" t="s">
        <v>411</v>
      </c>
      <c r="F570" s="95" t="s">
        <v>543</v>
      </c>
      <c r="G570" s="9">
        <f>170000*0.87</f>
        <v>147900</v>
      </c>
      <c r="H570" s="95" t="s">
        <v>530</v>
      </c>
      <c r="I570" s="13">
        <f t="shared" si="22"/>
        <v>14790</v>
      </c>
      <c r="J570" s="97" t="s">
        <v>1200</v>
      </c>
      <c r="K570" s="98"/>
      <c r="L570" s="98"/>
    </row>
    <row r="571">
      <c r="B571" s="95" t="s">
        <v>526</v>
      </c>
      <c r="C571" s="95" t="s">
        <v>1132</v>
      </c>
      <c r="D571" s="95" t="s">
        <v>71</v>
      </c>
      <c r="E571" s="95" t="s">
        <v>1027</v>
      </c>
      <c r="F571" s="95" t="s">
        <v>763</v>
      </c>
      <c r="G571" s="9">
        <f>200000*0.85</f>
        <v>170000</v>
      </c>
      <c r="H571" s="95" t="s">
        <v>530</v>
      </c>
      <c r="I571" s="13">
        <f t="shared" si="22"/>
        <v>17000</v>
      </c>
      <c r="J571" s="97" t="s">
        <v>1200</v>
      </c>
      <c r="K571" s="98"/>
      <c r="L571" s="98"/>
    </row>
    <row r="572">
      <c r="B572" s="95" t="s">
        <v>526</v>
      </c>
      <c r="C572" s="95" t="s">
        <v>1132</v>
      </c>
      <c r="D572" s="95" t="s">
        <v>71</v>
      </c>
      <c r="E572" s="95" t="s">
        <v>1027</v>
      </c>
      <c r="F572" s="95" t="s">
        <v>738</v>
      </c>
      <c r="G572" s="9">
        <f>250000</f>
        <v>250000</v>
      </c>
      <c r="H572" s="95" t="s">
        <v>530</v>
      </c>
      <c r="I572" s="13">
        <f t="shared" si="22"/>
        <v>25000</v>
      </c>
      <c r="J572" s="97" t="s">
        <v>1200</v>
      </c>
      <c r="K572" s="98"/>
      <c r="L572" s="98"/>
    </row>
    <row r="573">
      <c r="B573" s="95" t="s">
        <v>526</v>
      </c>
      <c r="C573" s="95" t="s">
        <v>1132</v>
      </c>
      <c r="D573" s="95" t="s">
        <v>174</v>
      </c>
      <c r="E573" s="95" t="s">
        <v>419</v>
      </c>
      <c r="F573" s="95" t="s">
        <v>643</v>
      </c>
      <c r="G573" s="9">
        <v>360000.0</v>
      </c>
      <c r="H573" s="95" t="s">
        <v>530</v>
      </c>
      <c r="I573" s="13">
        <f t="shared" si="22"/>
        <v>36000</v>
      </c>
      <c r="J573" s="97" t="s">
        <v>1190</v>
      </c>
      <c r="K573" s="97" t="s">
        <v>1192</v>
      </c>
      <c r="L573" s="98"/>
    </row>
    <row r="574">
      <c r="B574" s="95" t="s">
        <v>526</v>
      </c>
      <c r="C574" s="95" t="s">
        <v>1201</v>
      </c>
      <c r="D574" s="95" t="s">
        <v>174</v>
      </c>
      <c r="E574" s="95" t="s">
        <v>419</v>
      </c>
      <c r="F574" s="95" t="s">
        <v>643</v>
      </c>
      <c r="G574" s="9">
        <f>500000*0.9</f>
        <v>450000</v>
      </c>
      <c r="H574" s="95" t="s">
        <v>530</v>
      </c>
      <c r="I574" s="13">
        <f t="shared" si="22"/>
        <v>45000</v>
      </c>
      <c r="J574" s="97" t="s">
        <v>1197</v>
      </c>
      <c r="K574" s="97" t="s">
        <v>1192</v>
      </c>
      <c r="L574" s="97" t="s">
        <v>1193</v>
      </c>
    </row>
    <row r="575">
      <c r="B575" s="95" t="s">
        <v>526</v>
      </c>
      <c r="C575" s="95" t="s">
        <v>1202</v>
      </c>
      <c r="D575" s="95" t="s">
        <v>174</v>
      </c>
      <c r="E575" s="95" t="s">
        <v>419</v>
      </c>
      <c r="F575" s="95" t="s">
        <v>643</v>
      </c>
      <c r="G575" s="9">
        <v>315000.0</v>
      </c>
      <c r="H575" s="95" t="s">
        <v>530</v>
      </c>
      <c r="I575" s="13">
        <f t="shared" si="22"/>
        <v>31500</v>
      </c>
      <c r="J575" s="97" t="s">
        <v>1197</v>
      </c>
      <c r="K575" s="97" t="s">
        <v>1192</v>
      </c>
      <c r="L575" s="98"/>
    </row>
    <row r="576">
      <c r="B576" s="95" t="s">
        <v>526</v>
      </c>
      <c r="C576" s="95" t="s">
        <v>1203</v>
      </c>
      <c r="D576" s="95" t="s">
        <v>174</v>
      </c>
      <c r="E576" s="95" t="s">
        <v>419</v>
      </c>
      <c r="F576" s="95" t="s">
        <v>643</v>
      </c>
      <c r="G576" s="9">
        <f>350000*0.9</f>
        <v>315000</v>
      </c>
      <c r="H576" s="95" t="s">
        <v>530</v>
      </c>
      <c r="I576" s="13">
        <f t="shared" si="22"/>
        <v>31500</v>
      </c>
      <c r="J576" s="97" t="s">
        <v>1197</v>
      </c>
      <c r="K576" s="97" t="s">
        <v>1192</v>
      </c>
      <c r="L576" s="98"/>
    </row>
    <row r="577">
      <c r="B577" s="95" t="s">
        <v>526</v>
      </c>
      <c r="C577" s="95" t="s">
        <v>1204</v>
      </c>
      <c r="D577" s="95" t="s">
        <v>174</v>
      </c>
      <c r="E577" s="95" t="s">
        <v>419</v>
      </c>
      <c r="F577" s="95" t="s">
        <v>643</v>
      </c>
      <c r="G577" s="9">
        <v>225000.0</v>
      </c>
      <c r="H577" s="95" t="s">
        <v>530</v>
      </c>
      <c r="I577" s="13">
        <f t="shared" si="22"/>
        <v>22500</v>
      </c>
      <c r="J577" s="97" t="s">
        <v>1197</v>
      </c>
      <c r="K577" s="97" t="s">
        <v>1192</v>
      </c>
      <c r="L577" s="98"/>
    </row>
    <row r="578">
      <c r="B578" s="95" t="s">
        <v>526</v>
      </c>
      <c r="C578" s="95" t="s">
        <v>1205</v>
      </c>
      <c r="D578" s="95" t="s">
        <v>174</v>
      </c>
      <c r="E578" s="95" t="s">
        <v>438</v>
      </c>
      <c r="F578" s="95" t="s">
        <v>643</v>
      </c>
      <c r="G578" s="9">
        <v>405000.0</v>
      </c>
      <c r="H578" s="95" t="s">
        <v>530</v>
      </c>
      <c r="I578" s="13">
        <f t="shared" si="22"/>
        <v>40500</v>
      </c>
      <c r="J578" s="97" t="s">
        <v>1206</v>
      </c>
      <c r="K578" s="97" t="s">
        <v>1207</v>
      </c>
      <c r="L578" s="98"/>
    </row>
    <row r="579">
      <c r="B579" s="95" t="s">
        <v>526</v>
      </c>
      <c r="C579" s="95" t="s">
        <v>1208</v>
      </c>
      <c r="D579" s="95" t="s">
        <v>174</v>
      </c>
      <c r="E579" s="95" t="s">
        <v>438</v>
      </c>
      <c r="F579" s="95" t="s">
        <v>643</v>
      </c>
      <c r="G579" s="9">
        <v>405000.0</v>
      </c>
      <c r="H579" s="95" t="s">
        <v>530</v>
      </c>
      <c r="I579" s="13">
        <f t="shared" si="22"/>
        <v>40500</v>
      </c>
      <c r="J579" s="97" t="s">
        <v>1206</v>
      </c>
      <c r="K579" s="97" t="s">
        <v>1207</v>
      </c>
      <c r="L579" s="98"/>
    </row>
    <row r="580">
      <c r="B580" s="95" t="s">
        <v>526</v>
      </c>
      <c r="C580" s="95" t="s">
        <v>1209</v>
      </c>
      <c r="D580" s="95" t="s">
        <v>174</v>
      </c>
      <c r="E580" s="95" t="s">
        <v>438</v>
      </c>
      <c r="F580" s="95" t="s">
        <v>643</v>
      </c>
      <c r="G580" s="9">
        <v>247500.0</v>
      </c>
      <c r="H580" s="95" t="s">
        <v>530</v>
      </c>
      <c r="I580" s="13">
        <f t="shared" si="22"/>
        <v>24750</v>
      </c>
      <c r="J580" s="97" t="s">
        <v>1206</v>
      </c>
      <c r="K580" s="97" t="s">
        <v>1207</v>
      </c>
      <c r="L580" s="98"/>
    </row>
    <row r="581">
      <c r="B581" s="95" t="s">
        <v>526</v>
      </c>
      <c r="C581" s="95" t="s">
        <v>1210</v>
      </c>
      <c r="D581" s="95" t="s">
        <v>174</v>
      </c>
      <c r="E581" s="95" t="s">
        <v>438</v>
      </c>
      <c r="F581" s="95" t="s">
        <v>643</v>
      </c>
      <c r="G581" s="9">
        <v>247500.0</v>
      </c>
      <c r="H581" s="95" t="s">
        <v>530</v>
      </c>
      <c r="I581" s="13">
        <f t="shared" si="22"/>
        <v>24750</v>
      </c>
      <c r="J581" s="97" t="s">
        <v>1206</v>
      </c>
      <c r="K581" s="97" t="s">
        <v>1207</v>
      </c>
      <c r="L581" s="98"/>
    </row>
    <row r="582">
      <c r="B582" s="95" t="s">
        <v>526</v>
      </c>
      <c r="C582" s="95" t="s">
        <v>1131</v>
      </c>
      <c r="D582" s="95" t="s">
        <v>174</v>
      </c>
      <c r="E582" s="95" t="s">
        <v>438</v>
      </c>
      <c r="F582" s="95" t="s">
        <v>643</v>
      </c>
      <c r="G582" s="9">
        <v>225000.0</v>
      </c>
      <c r="H582" s="95" t="s">
        <v>530</v>
      </c>
      <c r="I582" s="13">
        <f t="shared" si="22"/>
        <v>22500</v>
      </c>
      <c r="J582" s="97" t="s">
        <v>1206</v>
      </c>
      <c r="K582" s="97" t="s">
        <v>1207</v>
      </c>
      <c r="L582" s="98"/>
    </row>
    <row r="583">
      <c r="B583" s="95" t="s">
        <v>526</v>
      </c>
      <c r="C583" s="95" t="s">
        <v>1211</v>
      </c>
      <c r="D583" s="95" t="s">
        <v>174</v>
      </c>
      <c r="E583" s="95" t="s">
        <v>438</v>
      </c>
      <c r="F583" s="95" t="s">
        <v>643</v>
      </c>
      <c r="G583" s="9">
        <v>198000.0</v>
      </c>
      <c r="H583" s="95" t="s">
        <v>530</v>
      </c>
      <c r="I583" s="13">
        <f t="shared" si="22"/>
        <v>19800</v>
      </c>
      <c r="J583" s="97" t="s">
        <v>1206</v>
      </c>
      <c r="K583" s="97" t="s">
        <v>1207</v>
      </c>
      <c r="L583" s="98"/>
    </row>
    <row r="584">
      <c r="B584" s="95" t="s">
        <v>526</v>
      </c>
      <c r="C584" s="95" t="s">
        <v>1212</v>
      </c>
      <c r="D584" s="95" t="s">
        <v>174</v>
      </c>
      <c r="E584" s="95" t="s">
        <v>438</v>
      </c>
      <c r="F584" s="95" t="s">
        <v>643</v>
      </c>
      <c r="G584" s="9">
        <v>180000.0</v>
      </c>
      <c r="H584" s="95" t="s">
        <v>530</v>
      </c>
      <c r="I584" s="13">
        <f t="shared" si="22"/>
        <v>18000</v>
      </c>
      <c r="J584" s="97" t="s">
        <v>1207</v>
      </c>
      <c r="K584" s="98"/>
      <c r="L584" s="98"/>
    </row>
    <row r="585">
      <c r="B585" s="95" t="s">
        <v>526</v>
      </c>
      <c r="C585" s="95" t="s">
        <v>1213</v>
      </c>
      <c r="D585" s="95" t="s">
        <v>174</v>
      </c>
      <c r="E585" s="95" t="s">
        <v>438</v>
      </c>
      <c r="F585" s="95" t="s">
        <v>643</v>
      </c>
      <c r="G585" s="9">
        <v>162000.0</v>
      </c>
      <c r="H585" s="95" t="s">
        <v>530</v>
      </c>
      <c r="I585" s="13">
        <f t="shared" si="22"/>
        <v>16200</v>
      </c>
      <c r="J585" s="97" t="s">
        <v>1206</v>
      </c>
      <c r="K585" s="97" t="s">
        <v>1207</v>
      </c>
      <c r="L585" s="98"/>
    </row>
    <row r="586">
      <c r="B586" s="95" t="s">
        <v>526</v>
      </c>
      <c r="C586" s="95" t="s">
        <v>1148</v>
      </c>
      <c r="D586" s="95" t="s">
        <v>174</v>
      </c>
      <c r="E586" s="95" t="s">
        <v>438</v>
      </c>
      <c r="F586" s="95" t="s">
        <v>643</v>
      </c>
      <c r="G586" s="9">
        <v>135000.0</v>
      </c>
      <c r="H586" s="95" t="s">
        <v>530</v>
      </c>
      <c r="I586" s="13">
        <f t="shared" si="22"/>
        <v>13500</v>
      </c>
      <c r="J586" s="97" t="s">
        <v>1206</v>
      </c>
      <c r="K586" s="97" t="s">
        <v>1207</v>
      </c>
      <c r="L586" s="98"/>
    </row>
    <row r="587">
      <c r="B587" s="95" t="s">
        <v>526</v>
      </c>
      <c r="C587" s="95" t="s">
        <v>1128</v>
      </c>
      <c r="D587" s="95" t="s">
        <v>174</v>
      </c>
      <c r="E587" s="95" t="s">
        <v>438</v>
      </c>
      <c r="F587" s="95" t="s">
        <v>643</v>
      </c>
      <c r="G587" s="9">
        <v>126000.0</v>
      </c>
      <c r="H587" s="95" t="s">
        <v>530</v>
      </c>
      <c r="I587" s="13">
        <f t="shared" si="22"/>
        <v>12600</v>
      </c>
      <c r="J587" s="97" t="s">
        <v>1206</v>
      </c>
      <c r="K587" s="97" t="s">
        <v>1207</v>
      </c>
      <c r="L587" s="98"/>
    </row>
    <row r="588">
      <c r="B588" s="95" t="s">
        <v>526</v>
      </c>
      <c r="C588" s="95" t="s">
        <v>1153</v>
      </c>
      <c r="D588" s="95" t="s">
        <v>174</v>
      </c>
      <c r="E588" s="95" t="s">
        <v>438</v>
      </c>
      <c r="F588" s="95" t="s">
        <v>643</v>
      </c>
      <c r="G588" s="9">
        <v>72000.0</v>
      </c>
      <c r="H588" s="95" t="s">
        <v>530</v>
      </c>
      <c r="I588" s="13">
        <f t="shared" si="22"/>
        <v>7200</v>
      </c>
      <c r="J588" s="97" t="s">
        <v>1206</v>
      </c>
      <c r="K588" s="97" t="s">
        <v>1207</v>
      </c>
      <c r="L588" s="98"/>
    </row>
    <row r="589">
      <c r="B589" s="95" t="s">
        <v>526</v>
      </c>
      <c r="C589" s="95" t="s">
        <v>1214</v>
      </c>
      <c r="D589" s="95" t="s">
        <v>174</v>
      </c>
      <c r="E589" s="95" t="s">
        <v>438</v>
      </c>
      <c r="F589" s="95" t="s">
        <v>643</v>
      </c>
      <c r="G589" s="9">
        <v>27000.0</v>
      </c>
      <c r="H589" s="95" t="s">
        <v>530</v>
      </c>
      <c r="I589" s="13">
        <f t="shared" si="22"/>
        <v>2700</v>
      </c>
      <c r="J589" s="97" t="s">
        <v>1206</v>
      </c>
      <c r="K589" s="97" t="s">
        <v>1207</v>
      </c>
      <c r="L589" s="98"/>
    </row>
    <row r="590">
      <c r="B590" s="95" t="s">
        <v>526</v>
      </c>
      <c r="C590" s="95" t="s">
        <v>1215</v>
      </c>
      <c r="D590" s="95" t="s">
        <v>174</v>
      </c>
      <c r="E590" s="95" t="s">
        <v>438</v>
      </c>
      <c r="F590" s="95" t="s">
        <v>643</v>
      </c>
      <c r="G590" s="9">
        <v>18000.0</v>
      </c>
      <c r="H590" s="95" t="s">
        <v>530</v>
      </c>
      <c r="I590" s="13">
        <f t="shared" si="22"/>
        <v>1800</v>
      </c>
      <c r="J590" s="97" t="s">
        <v>1206</v>
      </c>
      <c r="K590" s="97" t="s">
        <v>1207</v>
      </c>
      <c r="L590" s="98"/>
    </row>
    <row r="591">
      <c r="B591" s="95" t="s">
        <v>526</v>
      </c>
      <c r="C591" s="95" t="s">
        <v>1216</v>
      </c>
      <c r="D591" s="95" t="s">
        <v>174</v>
      </c>
      <c r="E591" s="95" t="s">
        <v>438</v>
      </c>
      <c r="F591" s="95" t="s">
        <v>643</v>
      </c>
      <c r="G591" s="9">
        <v>180000.0</v>
      </c>
      <c r="H591" s="95" t="s">
        <v>530</v>
      </c>
      <c r="I591" s="13">
        <f t="shared" si="22"/>
        <v>18000</v>
      </c>
      <c r="J591" s="97" t="s">
        <v>1207</v>
      </c>
      <c r="K591" s="98"/>
      <c r="L591" s="98"/>
    </row>
    <row r="592">
      <c r="B592" s="95" t="s">
        <v>526</v>
      </c>
      <c r="C592" s="95" t="s">
        <v>1217</v>
      </c>
      <c r="D592" s="95" t="s">
        <v>174</v>
      </c>
      <c r="E592" s="95" t="s">
        <v>438</v>
      </c>
      <c r="F592" s="95" t="s">
        <v>643</v>
      </c>
      <c r="G592" s="9">
        <v>202500.0</v>
      </c>
      <c r="H592" s="95" t="s">
        <v>1218</v>
      </c>
      <c r="I592" s="13">
        <f>G592/4.5</f>
        <v>45000</v>
      </c>
      <c r="J592" s="97" t="s">
        <v>1207</v>
      </c>
      <c r="K592" s="98"/>
      <c r="L592" s="98"/>
    </row>
    <row r="593">
      <c r="B593" s="95" t="s">
        <v>526</v>
      </c>
      <c r="C593" s="95" t="s">
        <v>1219</v>
      </c>
      <c r="D593" s="95" t="s">
        <v>174</v>
      </c>
      <c r="E593" s="95" t="s">
        <v>438</v>
      </c>
      <c r="F593" s="95" t="s">
        <v>643</v>
      </c>
      <c r="G593" s="9">
        <v>112500.0</v>
      </c>
      <c r="H593" s="95" t="s">
        <v>1220</v>
      </c>
      <c r="I593" s="13">
        <f>G593/2.5</f>
        <v>45000</v>
      </c>
      <c r="J593" s="97" t="s">
        <v>1207</v>
      </c>
      <c r="K593" s="98"/>
      <c r="L593" s="98"/>
    </row>
    <row r="594">
      <c r="B594" s="95" t="s">
        <v>526</v>
      </c>
      <c r="C594" s="95" t="s">
        <v>1221</v>
      </c>
      <c r="D594" s="95" t="s">
        <v>174</v>
      </c>
      <c r="E594" s="95" t="s">
        <v>438</v>
      </c>
      <c r="F594" s="95" t="s">
        <v>643</v>
      </c>
      <c r="G594" s="9">
        <v>90000.0</v>
      </c>
      <c r="H594" s="95" t="s">
        <v>677</v>
      </c>
      <c r="I594" s="13">
        <f>G594/2</f>
        <v>45000</v>
      </c>
      <c r="J594" s="97" t="s">
        <v>1207</v>
      </c>
      <c r="K594" s="98"/>
      <c r="L594" s="98"/>
    </row>
    <row r="595">
      <c r="B595" s="95" t="s">
        <v>641</v>
      </c>
      <c r="C595" s="95" t="s">
        <v>1222</v>
      </c>
      <c r="D595" s="95" t="s">
        <v>174</v>
      </c>
      <c r="E595" s="95" t="s">
        <v>438</v>
      </c>
      <c r="F595" s="95" t="s">
        <v>643</v>
      </c>
      <c r="G595" s="9">
        <v>225000.0</v>
      </c>
      <c r="H595" s="95" t="s">
        <v>530</v>
      </c>
      <c r="I595" s="13">
        <f t="shared" ref="I595:I614" si="23">G595/10</f>
        <v>22500</v>
      </c>
      <c r="J595" s="97" t="s">
        <v>1207</v>
      </c>
      <c r="K595" s="98"/>
      <c r="L595" s="98"/>
    </row>
    <row r="596">
      <c r="B596" s="95" t="s">
        <v>526</v>
      </c>
      <c r="C596" s="95" t="s">
        <v>1065</v>
      </c>
      <c r="D596" s="95" t="s">
        <v>174</v>
      </c>
      <c r="E596" s="95" t="s">
        <v>411</v>
      </c>
      <c r="F596" s="95" t="s">
        <v>586</v>
      </c>
      <c r="G596" s="9">
        <v>414000.0</v>
      </c>
      <c r="H596" s="95" t="s">
        <v>530</v>
      </c>
      <c r="I596" s="13">
        <f t="shared" si="23"/>
        <v>41400</v>
      </c>
      <c r="J596" s="97" t="s">
        <v>1223</v>
      </c>
      <c r="K596" s="97" t="s">
        <v>1224</v>
      </c>
      <c r="L596" s="98"/>
    </row>
    <row r="597">
      <c r="B597" s="95" t="s">
        <v>526</v>
      </c>
      <c r="C597" s="95" t="s">
        <v>1225</v>
      </c>
      <c r="D597" s="95" t="s">
        <v>174</v>
      </c>
      <c r="E597" s="95" t="s">
        <v>411</v>
      </c>
      <c r="F597" s="95" t="s">
        <v>586</v>
      </c>
      <c r="G597" s="9">
        <v>432400.0</v>
      </c>
      <c r="H597" s="95" t="s">
        <v>530</v>
      </c>
      <c r="I597" s="13">
        <f t="shared" si="23"/>
        <v>43240</v>
      </c>
      <c r="J597" s="97" t="s">
        <v>1223</v>
      </c>
      <c r="K597" s="97" t="s">
        <v>1224</v>
      </c>
      <c r="L597" s="98"/>
    </row>
    <row r="598">
      <c r="B598" s="95" t="s">
        <v>526</v>
      </c>
      <c r="C598" s="95" t="s">
        <v>1183</v>
      </c>
      <c r="D598" s="95" t="s">
        <v>174</v>
      </c>
      <c r="E598" s="95" t="s">
        <v>411</v>
      </c>
      <c r="F598" s="95" t="s">
        <v>586</v>
      </c>
      <c r="G598" s="9">
        <v>414000.0</v>
      </c>
      <c r="H598" s="95" t="s">
        <v>530</v>
      </c>
      <c r="I598" s="13">
        <f t="shared" si="23"/>
        <v>41400</v>
      </c>
      <c r="J598" s="97" t="s">
        <v>1223</v>
      </c>
      <c r="K598" s="97" t="s">
        <v>1224</v>
      </c>
      <c r="L598" s="98"/>
    </row>
    <row r="599">
      <c r="B599" s="95" t="s">
        <v>526</v>
      </c>
      <c r="C599" s="95" t="s">
        <v>1191</v>
      </c>
      <c r="D599" s="95" t="s">
        <v>174</v>
      </c>
      <c r="E599" s="95" t="s">
        <v>411</v>
      </c>
      <c r="F599" s="95" t="s">
        <v>586</v>
      </c>
      <c r="G599" s="9">
        <v>414000.0</v>
      </c>
      <c r="H599" s="95" t="s">
        <v>530</v>
      </c>
      <c r="I599" s="13">
        <f t="shared" si="23"/>
        <v>41400</v>
      </c>
      <c r="J599" s="97" t="s">
        <v>1223</v>
      </c>
      <c r="K599" s="97" t="s">
        <v>1224</v>
      </c>
      <c r="L599" s="98"/>
    </row>
    <row r="600">
      <c r="B600" s="95" t="s">
        <v>526</v>
      </c>
      <c r="C600" s="95" t="s">
        <v>1226</v>
      </c>
      <c r="D600" s="95" t="s">
        <v>174</v>
      </c>
      <c r="E600" s="95" t="s">
        <v>411</v>
      </c>
      <c r="F600" s="95" t="s">
        <v>586</v>
      </c>
      <c r="G600" s="9">
        <v>276000.0</v>
      </c>
      <c r="H600" s="95" t="s">
        <v>530</v>
      </c>
      <c r="I600" s="13">
        <f t="shared" si="23"/>
        <v>27600</v>
      </c>
      <c r="J600" s="97" t="s">
        <v>1223</v>
      </c>
      <c r="K600" s="97" t="s">
        <v>1224</v>
      </c>
      <c r="L600" s="98"/>
    </row>
    <row r="601">
      <c r="B601" s="95" t="s">
        <v>526</v>
      </c>
      <c r="C601" s="95" t="s">
        <v>1127</v>
      </c>
      <c r="D601" s="95" t="s">
        <v>174</v>
      </c>
      <c r="E601" s="95" t="s">
        <v>411</v>
      </c>
      <c r="F601" s="95" t="s">
        <v>586</v>
      </c>
      <c r="G601" s="9">
        <v>230000.0</v>
      </c>
      <c r="H601" s="95" t="s">
        <v>530</v>
      </c>
      <c r="I601" s="13">
        <f t="shared" si="23"/>
        <v>23000</v>
      </c>
      <c r="J601" s="97" t="s">
        <v>1223</v>
      </c>
      <c r="K601" s="97" t="s">
        <v>1224</v>
      </c>
      <c r="L601" s="98"/>
    </row>
    <row r="602">
      <c r="B602" s="95" t="s">
        <v>526</v>
      </c>
      <c r="C602" s="95" t="s">
        <v>1227</v>
      </c>
      <c r="D602" s="95" t="s">
        <v>174</v>
      </c>
      <c r="E602" s="95" t="s">
        <v>411</v>
      </c>
      <c r="F602" s="95" t="s">
        <v>586</v>
      </c>
      <c r="G602" s="9">
        <v>230000.0</v>
      </c>
      <c r="H602" s="95" t="s">
        <v>530</v>
      </c>
      <c r="I602" s="13">
        <f t="shared" si="23"/>
        <v>23000</v>
      </c>
      <c r="J602" s="97" t="s">
        <v>1223</v>
      </c>
      <c r="K602" s="97" t="s">
        <v>1224</v>
      </c>
      <c r="L602" s="98"/>
    </row>
    <row r="603">
      <c r="B603" s="95" t="s">
        <v>526</v>
      </c>
      <c r="C603" s="95" t="s">
        <v>1228</v>
      </c>
      <c r="D603" s="95" t="s">
        <v>174</v>
      </c>
      <c r="E603" s="95" t="s">
        <v>411</v>
      </c>
      <c r="F603" s="95" t="s">
        <v>586</v>
      </c>
      <c r="G603" s="9">
        <v>193200.0</v>
      </c>
      <c r="H603" s="95" t="s">
        <v>530</v>
      </c>
      <c r="I603" s="13">
        <f t="shared" si="23"/>
        <v>19320</v>
      </c>
      <c r="J603" s="97" t="s">
        <v>1223</v>
      </c>
      <c r="K603" s="97" t="s">
        <v>1224</v>
      </c>
      <c r="L603" s="98"/>
    </row>
    <row r="604">
      <c r="B604" s="95" t="s">
        <v>526</v>
      </c>
      <c r="C604" s="95" t="s">
        <v>1229</v>
      </c>
      <c r="D604" s="95" t="s">
        <v>174</v>
      </c>
      <c r="E604" s="95" t="s">
        <v>411</v>
      </c>
      <c r="F604" s="95" t="s">
        <v>586</v>
      </c>
      <c r="G604" s="9">
        <v>736000.0</v>
      </c>
      <c r="H604" s="95" t="s">
        <v>530</v>
      </c>
      <c r="I604" s="13">
        <f t="shared" si="23"/>
        <v>73600</v>
      </c>
      <c r="J604" s="97" t="s">
        <v>1223</v>
      </c>
      <c r="K604" s="97" t="s">
        <v>1224</v>
      </c>
      <c r="L604" s="98"/>
    </row>
    <row r="605">
      <c r="B605" s="95" t="s">
        <v>526</v>
      </c>
      <c r="C605" s="95" t="s">
        <v>1230</v>
      </c>
      <c r="D605" s="95" t="s">
        <v>174</v>
      </c>
      <c r="E605" s="95" t="s">
        <v>411</v>
      </c>
      <c r="F605" s="95" t="s">
        <v>586</v>
      </c>
      <c r="G605" s="9">
        <v>151800.0</v>
      </c>
      <c r="H605" s="95" t="s">
        <v>530</v>
      </c>
      <c r="I605" s="13">
        <f t="shared" si="23"/>
        <v>15180</v>
      </c>
      <c r="J605" s="97" t="s">
        <v>1223</v>
      </c>
      <c r="K605" s="97" t="s">
        <v>1224</v>
      </c>
      <c r="L605" s="98"/>
    </row>
    <row r="606">
      <c r="B606" s="95" t="s">
        <v>526</v>
      </c>
      <c r="C606" s="95" t="s">
        <v>1189</v>
      </c>
      <c r="D606" s="95" t="s">
        <v>174</v>
      </c>
      <c r="E606" s="95" t="s">
        <v>411</v>
      </c>
      <c r="F606" s="95" t="s">
        <v>586</v>
      </c>
      <c r="G606" s="9">
        <v>138000.0</v>
      </c>
      <c r="H606" s="95" t="s">
        <v>530</v>
      </c>
      <c r="I606" s="13">
        <f t="shared" si="23"/>
        <v>13800</v>
      </c>
      <c r="J606" s="97" t="s">
        <v>1223</v>
      </c>
      <c r="K606" s="97" t="s">
        <v>1224</v>
      </c>
      <c r="L606" s="98"/>
    </row>
    <row r="607">
      <c r="B607" s="95" t="s">
        <v>526</v>
      </c>
      <c r="C607" s="95" t="s">
        <v>1231</v>
      </c>
      <c r="D607" s="95" t="s">
        <v>174</v>
      </c>
      <c r="E607" s="95" t="s">
        <v>411</v>
      </c>
      <c r="F607" s="95" t="s">
        <v>586</v>
      </c>
      <c r="G607" s="9">
        <v>138000.0</v>
      </c>
      <c r="H607" s="95" t="s">
        <v>530</v>
      </c>
      <c r="I607" s="13">
        <f t="shared" si="23"/>
        <v>13800</v>
      </c>
      <c r="J607" s="97" t="s">
        <v>1223</v>
      </c>
      <c r="K607" s="97" t="s">
        <v>1224</v>
      </c>
      <c r="L607" s="98"/>
    </row>
    <row r="608">
      <c r="B608" s="95" t="s">
        <v>526</v>
      </c>
      <c r="C608" s="95" t="s">
        <v>1232</v>
      </c>
      <c r="D608" s="95" t="s">
        <v>174</v>
      </c>
      <c r="E608" s="95" t="s">
        <v>373</v>
      </c>
      <c r="F608" s="95" t="s">
        <v>586</v>
      </c>
      <c r="G608" s="9">
        <v>147200.0</v>
      </c>
      <c r="H608" s="95" t="s">
        <v>530</v>
      </c>
      <c r="I608" s="13">
        <f t="shared" si="23"/>
        <v>14720</v>
      </c>
      <c r="J608" s="97" t="s">
        <v>1233</v>
      </c>
      <c r="K608" s="98"/>
      <c r="L608" s="98"/>
    </row>
    <row r="609">
      <c r="B609" s="95" t="s">
        <v>526</v>
      </c>
      <c r="C609" s="95" t="s">
        <v>1234</v>
      </c>
      <c r="D609" s="95" t="s">
        <v>174</v>
      </c>
      <c r="E609" s="95" t="s">
        <v>373</v>
      </c>
      <c r="F609" s="95" t="s">
        <v>586</v>
      </c>
      <c r="G609" s="9">
        <v>147200.0</v>
      </c>
      <c r="H609" s="95" t="s">
        <v>530</v>
      </c>
      <c r="I609" s="13">
        <f t="shared" si="23"/>
        <v>14720</v>
      </c>
      <c r="J609" s="97" t="s">
        <v>1233</v>
      </c>
      <c r="K609" s="98"/>
      <c r="L609" s="98"/>
    </row>
    <row r="610">
      <c r="B610" s="95" t="s">
        <v>526</v>
      </c>
      <c r="C610" s="95" t="s">
        <v>1170</v>
      </c>
      <c r="D610" s="95" t="s">
        <v>174</v>
      </c>
      <c r="E610" s="95" t="s">
        <v>373</v>
      </c>
      <c r="F610" s="95" t="s">
        <v>586</v>
      </c>
      <c r="G610" s="9">
        <v>138000.0</v>
      </c>
      <c r="H610" s="95" t="s">
        <v>530</v>
      </c>
      <c r="I610" s="13">
        <f t="shared" si="23"/>
        <v>13800</v>
      </c>
      <c r="J610" s="97" t="s">
        <v>1233</v>
      </c>
      <c r="K610" s="98"/>
      <c r="L610" s="98"/>
    </row>
    <row r="611">
      <c r="B611" s="95" t="s">
        <v>526</v>
      </c>
      <c r="C611" s="95" t="s">
        <v>1158</v>
      </c>
      <c r="D611" s="95" t="s">
        <v>174</v>
      </c>
      <c r="E611" s="95" t="s">
        <v>373</v>
      </c>
      <c r="F611" s="95" t="s">
        <v>586</v>
      </c>
      <c r="G611" s="9">
        <v>138000.0</v>
      </c>
      <c r="H611" s="95" t="s">
        <v>530</v>
      </c>
      <c r="I611" s="13">
        <f t="shared" si="23"/>
        <v>13800</v>
      </c>
      <c r="J611" s="97" t="s">
        <v>1233</v>
      </c>
      <c r="K611" s="98"/>
      <c r="L611" s="98"/>
    </row>
    <row r="612">
      <c r="B612" s="95" t="s">
        <v>526</v>
      </c>
      <c r="C612" s="95" t="s">
        <v>1164</v>
      </c>
      <c r="D612" s="95" t="s">
        <v>174</v>
      </c>
      <c r="E612" s="95" t="s">
        <v>373</v>
      </c>
      <c r="F612" s="95" t="s">
        <v>586</v>
      </c>
      <c r="G612" s="9">
        <v>128800.0</v>
      </c>
      <c r="H612" s="95" t="s">
        <v>530</v>
      </c>
      <c r="I612" s="13">
        <f t="shared" si="23"/>
        <v>12880</v>
      </c>
      <c r="J612" s="97" t="s">
        <v>1233</v>
      </c>
      <c r="K612" s="98"/>
      <c r="L612" s="98"/>
    </row>
    <row r="613">
      <c r="B613" s="95" t="s">
        <v>526</v>
      </c>
      <c r="C613" s="95" t="s">
        <v>1148</v>
      </c>
      <c r="D613" s="95" t="s">
        <v>174</v>
      </c>
      <c r="E613" s="95" t="s">
        <v>373</v>
      </c>
      <c r="F613" s="95" t="s">
        <v>586</v>
      </c>
      <c r="G613" s="9">
        <v>128800.0</v>
      </c>
      <c r="H613" s="95" t="s">
        <v>530</v>
      </c>
      <c r="I613" s="13">
        <f t="shared" si="23"/>
        <v>12880</v>
      </c>
      <c r="J613" s="97" t="s">
        <v>1233</v>
      </c>
      <c r="K613" s="98"/>
      <c r="L613" s="98"/>
    </row>
    <row r="614">
      <c r="B614" s="95" t="s">
        <v>526</v>
      </c>
      <c r="C614" s="95" t="s">
        <v>1235</v>
      </c>
      <c r="D614" s="95" t="s">
        <v>174</v>
      </c>
      <c r="E614" s="95" t="s">
        <v>373</v>
      </c>
      <c r="F614" s="95" t="s">
        <v>586</v>
      </c>
      <c r="G614" s="9">
        <v>119600.0</v>
      </c>
      <c r="H614" s="95" t="s">
        <v>530</v>
      </c>
      <c r="I614" s="13">
        <f t="shared" si="23"/>
        <v>11960</v>
      </c>
      <c r="J614" s="97" t="s">
        <v>1233</v>
      </c>
      <c r="K614" s="98"/>
      <c r="L614" s="98"/>
    </row>
    <row r="615">
      <c r="B615" s="95" t="s">
        <v>526</v>
      </c>
      <c r="C615" s="95" t="s">
        <v>1235</v>
      </c>
      <c r="D615" s="95" t="s">
        <v>174</v>
      </c>
      <c r="E615" s="95" t="s">
        <v>438</v>
      </c>
      <c r="F615" s="95" t="s">
        <v>586</v>
      </c>
      <c r="G615" s="9">
        <f>400000*0.9</f>
        <v>360000</v>
      </c>
      <c r="H615" s="95" t="s">
        <v>728</v>
      </c>
      <c r="I615" s="13">
        <f>G615/7</f>
        <v>51428.57143</v>
      </c>
      <c r="J615" s="97" t="s">
        <v>1236</v>
      </c>
      <c r="K615" s="97" t="s">
        <v>1237</v>
      </c>
      <c r="L615" s="98"/>
    </row>
    <row r="616">
      <c r="B616" s="95" t="s">
        <v>526</v>
      </c>
      <c r="C616" s="95" t="s">
        <v>1238</v>
      </c>
      <c r="D616" s="95" t="s">
        <v>174</v>
      </c>
      <c r="E616" s="95" t="s">
        <v>373</v>
      </c>
      <c r="F616" s="95" t="s">
        <v>586</v>
      </c>
      <c r="G616" s="9">
        <v>119600.0</v>
      </c>
      <c r="H616" s="95" t="s">
        <v>530</v>
      </c>
      <c r="I616" s="13">
        <f t="shared" ref="I616:I620" si="24">G616/10</f>
        <v>11960</v>
      </c>
      <c r="J616" s="97" t="s">
        <v>1233</v>
      </c>
      <c r="K616" s="98"/>
      <c r="L616" s="98"/>
    </row>
    <row r="617">
      <c r="B617" s="95" t="s">
        <v>526</v>
      </c>
      <c r="C617" s="95" t="s">
        <v>1239</v>
      </c>
      <c r="D617" s="95" t="s">
        <v>174</v>
      </c>
      <c r="E617" s="95" t="s">
        <v>373</v>
      </c>
      <c r="F617" s="95" t="s">
        <v>586</v>
      </c>
      <c r="G617" s="9">
        <v>92000.0</v>
      </c>
      <c r="H617" s="95" t="s">
        <v>530</v>
      </c>
      <c r="I617" s="13">
        <f t="shared" si="24"/>
        <v>9200</v>
      </c>
      <c r="J617" s="97" t="s">
        <v>1233</v>
      </c>
      <c r="K617" s="98"/>
      <c r="L617" s="98"/>
    </row>
    <row r="618">
      <c r="B618" s="95" t="s">
        <v>526</v>
      </c>
      <c r="C618" s="95" t="s">
        <v>1240</v>
      </c>
      <c r="D618" s="95" t="s">
        <v>174</v>
      </c>
      <c r="E618" s="95" t="s">
        <v>373</v>
      </c>
      <c r="F618" s="95" t="s">
        <v>586</v>
      </c>
      <c r="G618" s="9">
        <v>82800.0</v>
      </c>
      <c r="H618" s="95" t="s">
        <v>530</v>
      </c>
      <c r="I618" s="13">
        <f t="shared" si="24"/>
        <v>8280</v>
      </c>
      <c r="J618" s="97" t="s">
        <v>1233</v>
      </c>
      <c r="K618" s="98"/>
      <c r="L618" s="98"/>
    </row>
    <row r="619">
      <c r="B619" s="95" t="s">
        <v>526</v>
      </c>
      <c r="C619" s="95" t="s">
        <v>1241</v>
      </c>
      <c r="D619" s="95" t="s">
        <v>174</v>
      </c>
      <c r="E619" s="95" t="s">
        <v>373</v>
      </c>
      <c r="F619" s="95" t="s">
        <v>586</v>
      </c>
      <c r="G619" s="9">
        <v>41400.0</v>
      </c>
      <c r="H619" s="95" t="s">
        <v>530</v>
      </c>
      <c r="I619" s="13">
        <f t="shared" si="24"/>
        <v>4140</v>
      </c>
      <c r="J619" s="97" t="s">
        <v>1233</v>
      </c>
      <c r="K619" s="98"/>
      <c r="L619" s="98"/>
    </row>
    <row r="620">
      <c r="B620" s="95" t="s">
        <v>526</v>
      </c>
      <c r="C620" s="95" t="s">
        <v>1242</v>
      </c>
      <c r="D620" s="95" t="s">
        <v>174</v>
      </c>
      <c r="E620" s="95" t="s">
        <v>438</v>
      </c>
      <c r="F620" s="95" t="s">
        <v>586</v>
      </c>
      <c r="G620" s="9">
        <v>1840000.0</v>
      </c>
      <c r="H620" s="95" t="s">
        <v>530</v>
      </c>
      <c r="I620" s="13">
        <f t="shared" si="24"/>
        <v>184000</v>
      </c>
      <c r="J620" s="97" t="s">
        <v>1243</v>
      </c>
      <c r="K620" s="97" t="s">
        <v>1224</v>
      </c>
      <c r="L620" s="98"/>
    </row>
    <row r="621">
      <c r="B621" s="95" t="s">
        <v>526</v>
      </c>
      <c r="C621" s="95" t="s">
        <v>1244</v>
      </c>
      <c r="D621" s="95" t="s">
        <v>174</v>
      </c>
      <c r="E621" s="95" t="s">
        <v>438</v>
      </c>
      <c r="F621" s="95" t="s">
        <v>586</v>
      </c>
      <c r="G621" s="9">
        <f>0.92*1200000</f>
        <v>1104000</v>
      </c>
      <c r="H621" s="95" t="s">
        <v>728</v>
      </c>
      <c r="I621" s="13">
        <f>G621/7</f>
        <v>157714.2857</v>
      </c>
      <c r="J621" s="97" t="s">
        <v>1245</v>
      </c>
      <c r="K621" s="98"/>
      <c r="L621" s="98"/>
    </row>
    <row r="622">
      <c r="B622" s="95" t="s">
        <v>526</v>
      </c>
      <c r="C622" s="95" t="s">
        <v>1246</v>
      </c>
      <c r="D622" s="95" t="s">
        <v>174</v>
      </c>
      <c r="E622" s="95" t="s">
        <v>438</v>
      </c>
      <c r="F622" s="95" t="s">
        <v>586</v>
      </c>
      <c r="G622" s="9">
        <v>1012000.0</v>
      </c>
      <c r="H622" s="95" t="s">
        <v>530</v>
      </c>
      <c r="I622" s="13">
        <f t="shared" ref="I622:I645" si="25">G622/10</f>
        <v>101200</v>
      </c>
      <c r="J622" s="97" t="s">
        <v>1243</v>
      </c>
      <c r="K622" s="97" t="s">
        <v>1224</v>
      </c>
      <c r="L622" s="98"/>
    </row>
    <row r="623">
      <c r="B623" s="95" t="s">
        <v>526</v>
      </c>
      <c r="C623" s="95" t="s">
        <v>1247</v>
      </c>
      <c r="D623" s="95" t="s">
        <v>174</v>
      </c>
      <c r="E623" s="95" t="s">
        <v>438</v>
      </c>
      <c r="F623" s="95" t="s">
        <v>586</v>
      </c>
      <c r="G623" s="9">
        <v>1150000.0</v>
      </c>
      <c r="H623" s="95" t="s">
        <v>530</v>
      </c>
      <c r="I623" s="13">
        <f t="shared" si="25"/>
        <v>115000</v>
      </c>
      <c r="J623" s="97" t="s">
        <v>1224</v>
      </c>
      <c r="K623" s="98"/>
      <c r="L623" s="98"/>
    </row>
    <row r="624">
      <c r="B624" s="95" t="s">
        <v>526</v>
      </c>
      <c r="C624" s="95" t="s">
        <v>1248</v>
      </c>
      <c r="D624" s="95" t="s">
        <v>174</v>
      </c>
      <c r="E624" s="95" t="s">
        <v>438</v>
      </c>
      <c r="F624" s="95" t="s">
        <v>586</v>
      </c>
      <c r="G624" s="9">
        <v>690000.0</v>
      </c>
      <c r="H624" s="95" t="s">
        <v>530</v>
      </c>
      <c r="I624" s="13">
        <f t="shared" si="25"/>
        <v>69000</v>
      </c>
      <c r="J624" s="97" t="s">
        <v>1243</v>
      </c>
      <c r="K624" s="97" t="s">
        <v>1224</v>
      </c>
      <c r="L624" s="98"/>
    </row>
    <row r="625">
      <c r="B625" s="95" t="s">
        <v>526</v>
      </c>
      <c r="C625" s="95" t="s">
        <v>1088</v>
      </c>
      <c r="D625" s="95" t="s">
        <v>174</v>
      </c>
      <c r="E625" s="95" t="s">
        <v>438</v>
      </c>
      <c r="F625" s="95" t="s">
        <v>586</v>
      </c>
      <c r="G625" s="9">
        <v>552000.0</v>
      </c>
      <c r="H625" s="95" t="s">
        <v>530</v>
      </c>
      <c r="I625" s="13">
        <f t="shared" si="25"/>
        <v>55200</v>
      </c>
      <c r="J625" s="97" t="s">
        <v>1243</v>
      </c>
      <c r="K625" s="97" t="s">
        <v>1224</v>
      </c>
      <c r="L625" s="98"/>
    </row>
    <row r="626">
      <c r="B626" s="95" t="s">
        <v>526</v>
      </c>
      <c r="C626" s="95" t="s">
        <v>1249</v>
      </c>
      <c r="D626" s="95" t="s">
        <v>174</v>
      </c>
      <c r="E626" s="95" t="s">
        <v>438</v>
      </c>
      <c r="F626" s="95" t="s">
        <v>586</v>
      </c>
      <c r="G626" s="9">
        <v>690000.0</v>
      </c>
      <c r="H626" s="95" t="s">
        <v>530</v>
      </c>
      <c r="I626" s="13">
        <f t="shared" si="25"/>
        <v>69000</v>
      </c>
      <c r="J626" s="97" t="s">
        <v>1243</v>
      </c>
      <c r="K626" s="97" t="s">
        <v>1224</v>
      </c>
      <c r="L626" s="98"/>
    </row>
    <row r="627">
      <c r="B627" s="95" t="s">
        <v>526</v>
      </c>
      <c r="C627" s="95" t="s">
        <v>1211</v>
      </c>
      <c r="D627" s="95" t="s">
        <v>174</v>
      </c>
      <c r="E627" s="95" t="s">
        <v>438</v>
      </c>
      <c r="F627" s="95" t="s">
        <v>586</v>
      </c>
      <c r="G627" s="9">
        <v>460000.0</v>
      </c>
      <c r="H627" s="95" t="s">
        <v>530</v>
      </c>
      <c r="I627" s="13">
        <f t="shared" si="25"/>
        <v>46000</v>
      </c>
      <c r="J627" s="97" t="s">
        <v>1243</v>
      </c>
      <c r="K627" s="97" t="s">
        <v>1224</v>
      </c>
      <c r="L627" s="98"/>
    </row>
    <row r="628">
      <c r="B628" s="95" t="s">
        <v>526</v>
      </c>
      <c r="C628" s="95" t="s">
        <v>1157</v>
      </c>
      <c r="D628" s="95" t="s">
        <v>174</v>
      </c>
      <c r="E628" s="95" t="s">
        <v>438</v>
      </c>
      <c r="F628" s="95" t="s">
        <v>586</v>
      </c>
      <c r="G628" s="9">
        <v>414000.0</v>
      </c>
      <c r="H628" s="95" t="s">
        <v>530</v>
      </c>
      <c r="I628" s="13">
        <f t="shared" si="25"/>
        <v>41400</v>
      </c>
      <c r="J628" s="97" t="s">
        <v>1243</v>
      </c>
      <c r="K628" s="97" t="s">
        <v>1224</v>
      </c>
      <c r="L628" s="98"/>
    </row>
    <row r="629">
      <c r="B629" s="95" t="s">
        <v>526</v>
      </c>
      <c r="C629" s="95" t="s">
        <v>1250</v>
      </c>
      <c r="D629" s="95" t="s">
        <v>174</v>
      </c>
      <c r="E629" s="95" t="s">
        <v>438</v>
      </c>
      <c r="F629" s="95" t="s">
        <v>586</v>
      </c>
      <c r="G629" s="9">
        <v>184000.0</v>
      </c>
      <c r="H629" s="95" t="s">
        <v>530</v>
      </c>
      <c r="I629" s="13">
        <f t="shared" si="25"/>
        <v>18400</v>
      </c>
      <c r="J629" s="97" t="s">
        <v>1224</v>
      </c>
      <c r="K629" s="98"/>
      <c r="L629" s="98"/>
    </row>
    <row r="630">
      <c r="B630" s="95" t="s">
        <v>526</v>
      </c>
      <c r="C630" s="95" t="s">
        <v>1128</v>
      </c>
      <c r="D630" s="95" t="s">
        <v>174</v>
      </c>
      <c r="E630" s="95" t="s">
        <v>438</v>
      </c>
      <c r="F630" s="95" t="s">
        <v>586</v>
      </c>
      <c r="G630" s="9">
        <v>170200.0</v>
      </c>
      <c r="H630" s="95" t="s">
        <v>530</v>
      </c>
      <c r="I630" s="13">
        <f t="shared" si="25"/>
        <v>17020</v>
      </c>
      <c r="J630" s="97" t="s">
        <v>1243</v>
      </c>
      <c r="K630" s="97" t="s">
        <v>1224</v>
      </c>
      <c r="L630" s="98"/>
    </row>
    <row r="631">
      <c r="B631" s="95" t="s">
        <v>526</v>
      </c>
      <c r="C631" s="95" t="s">
        <v>1251</v>
      </c>
      <c r="D631" s="95" t="s">
        <v>174</v>
      </c>
      <c r="E631" s="95" t="s">
        <v>438</v>
      </c>
      <c r="F631" s="95" t="s">
        <v>586</v>
      </c>
      <c r="G631" s="9">
        <v>138000.0</v>
      </c>
      <c r="H631" s="95" t="s">
        <v>530</v>
      </c>
      <c r="I631" s="13">
        <f t="shared" si="25"/>
        <v>13800</v>
      </c>
      <c r="J631" s="97" t="s">
        <v>1243</v>
      </c>
      <c r="K631" s="97" t="s">
        <v>1224</v>
      </c>
      <c r="L631" s="98"/>
    </row>
    <row r="632">
      <c r="B632" s="95" t="s">
        <v>526</v>
      </c>
      <c r="C632" s="95" t="s">
        <v>1187</v>
      </c>
      <c r="D632" s="95" t="s">
        <v>174</v>
      </c>
      <c r="E632" s="95" t="s">
        <v>438</v>
      </c>
      <c r="F632" s="95" t="s">
        <v>586</v>
      </c>
      <c r="G632" s="9">
        <v>119600.0</v>
      </c>
      <c r="H632" s="95" t="s">
        <v>530</v>
      </c>
      <c r="I632" s="13">
        <f t="shared" si="25"/>
        <v>11960</v>
      </c>
      <c r="J632" s="97" t="s">
        <v>1243</v>
      </c>
      <c r="K632" s="97" t="s">
        <v>1224</v>
      </c>
      <c r="L632" s="98"/>
    </row>
    <row r="633">
      <c r="B633" s="95" t="s">
        <v>526</v>
      </c>
      <c r="C633" s="95" t="s">
        <v>1252</v>
      </c>
      <c r="D633" s="95" t="s">
        <v>174</v>
      </c>
      <c r="E633" s="95" t="s">
        <v>438</v>
      </c>
      <c r="F633" s="95" t="s">
        <v>586</v>
      </c>
      <c r="G633" s="9">
        <v>64400.0</v>
      </c>
      <c r="H633" s="95" t="s">
        <v>530</v>
      </c>
      <c r="I633" s="13">
        <f t="shared" si="25"/>
        <v>6440</v>
      </c>
      <c r="J633" s="97" t="s">
        <v>1243</v>
      </c>
      <c r="K633" s="97" t="s">
        <v>1224</v>
      </c>
      <c r="L633" s="98"/>
    </row>
    <row r="634">
      <c r="B634" s="95" t="s">
        <v>526</v>
      </c>
      <c r="C634" s="95" t="s">
        <v>1253</v>
      </c>
      <c r="D634" s="95" t="s">
        <v>174</v>
      </c>
      <c r="E634" s="95" t="s">
        <v>419</v>
      </c>
      <c r="F634" s="95" t="s">
        <v>586</v>
      </c>
      <c r="G634" s="9">
        <f>0.92*1200000</f>
        <v>1104000</v>
      </c>
      <c r="H634" s="95" t="s">
        <v>530</v>
      </c>
      <c r="I634" s="13">
        <f t="shared" si="25"/>
        <v>110400</v>
      </c>
      <c r="J634" s="97" t="s">
        <v>1254</v>
      </c>
      <c r="K634" s="97" t="s">
        <v>1224</v>
      </c>
      <c r="L634" s="98"/>
    </row>
    <row r="635">
      <c r="B635" s="95" t="s">
        <v>526</v>
      </c>
      <c r="C635" s="95" t="s">
        <v>1198</v>
      </c>
      <c r="D635" s="95" t="s">
        <v>174</v>
      </c>
      <c r="E635" s="95" t="s">
        <v>419</v>
      </c>
      <c r="F635" s="95" t="s">
        <v>586</v>
      </c>
      <c r="G635" s="9">
        <f>850000*0.92</f>
        <v>782000</v>
      </c>
      <c r="H635" s="95" t="s">
        <v>530</v>
      </c>
      <c r="I635" s="13">
        <f t="shared" si="25"/>
        <v>78200</v>
      </c>
      <c r="J635" s="97" t="s">
        <v>1254</v>
      </c>
      <c r="K635" s="97" t="s">
        <v>1224</v>
      </c>
      <c r="L635" s="97" t="s">
        <v>1199</v>
      </c>
    </row>
    <row r="636">
      <c r="B636" s="95" t="s">
        <v>526</v>
      </c>
      <c r="C636" s="95" t="s">
        <v>633</v>
      </c>
      <c r="D636" s="95" t="s">
        <v>174</v>
      </c>
      <c r="E636" s="95" t="s">
        <v>419</v>
      </c>
      <c r="F636" s="95" t="s">
        <v>586</v>
      </c>
      <c r="G636" s="9">
        <v>690000.0</v>
      </c>
      <c r="H636" s="95" t="s">
        <v>530</v>
      </c>
      <c r="I636" s="13">
        <f t="shared" si="25"/>
        <v>69000</v>
      </c>
      <c r="J636" s="97" t="s">
        <v>1254</v>
      </c>
      <c r="K636" s="97" t="s">
        <v>1224</v>
      </c>
      <c r="L636" s="98"/>
    </row>
    <row r="637">
      <c r="B637" s="95" t="s">
        <v>526</v>
      </c>
      <c r="C637" s="95" t="s">
        <v>554</v>
      </c>
      <c r="D637" s="95" t="s">
        <v>174</v>
      </c>
      <c r="E637" s="95" t="s">
        <v>419</v>
      </c>
      <c r="F637" s="95" t="s">
        <v>586</v>
      </c>
      <c r="G637" s="9">
        <v>644000.0</v>
      </c>
      <c r="H637" s="95" t="s">
        <v>530</v>
      </c>
      <c r="I637" s="13">
        <f t="shared" si="25"/>
        <v>64400</v>
      </c>
      <c r="J637" s="97" t="s">
        <v>1254</v>
      </c>
      <c r="K637" s="97" t="s">
        <v>1224</v>
      </c>
      <c r="L637" s="98"/>
    </row>
    <row r="638">
      <c r="B638" s="95" t="s">
        <v>526</v>
      </c>
      <c r="C638" s="95" t="s">
        <v>1132</v>
      </c>
      <c r="D638" s="95" t="s">
        <v>174</v>
      </c>
      <c r="E638" s="95" t="s">
        <v>419</v>
      </c>
      <c r="F638" s="95" t="s">
        <v>586</v>
      </c>
      <c r="G638" s="9">
        <v>598000.0</v>
      </c>
      <c r="H638" s="95" t="s">
        <v>530</v>
      </c>
      <c r="I638" s="13">
        <f t="shared" si="25"/>
        <v>59800</v>
      </c>
      <c r="J638" s="97" t="s">
        <v>1254</v>
      </c>
      <c r="K638" s="97" t="s">
        <v>1224</v>
      </c>
      <c r="L638" s="98"/>
    </row>
    <row r="639">
      <c r="B639" s="95" t="s">
        <v>526</v>
      </c>
      <c r="C639" s="95" t="s">
        <v>1196</v>
      </c>
      <c r="D639" s="95" t="s">
        <v>174</v>
      </c>
      <c r="E639" s="95" t="s">
        <v>419</v>
      </c>
      <c r="F639" s="95" t="s">
        <v>586</v>
      </c>
      <c r="G639" s="9">
        <v>552000.0</v>
      </c>
      <c r="H639" s="95" t="s">
        <v>530</v>
      </c>
      <c r="I639" s="13">
        <f t="shared" si="25"/>
        <v>55200</v>
      </c>
      <c r="J639" s="97" t="s">
        <v>1254</v>
      </c>
      <c r="K639" s="97" t="s">
        <v>1224</v>
      </c>
      <c r="L639" s="98"/>
    </row>
    <row r="640">
      <c r="B640" s="95" t="s">
        <v>526</v>
      </c>
      <c r="C640" s="95" t="s">
        <v>1255</v>
      </c>
      <c r="D640" s="95" t="s">
        <v>174</v>
      </c>
      <c r="E640" s="95" t="s">
        <v>419</v>
      </c>
      <c r="F640" s="95" t="s">
        <v>586</v>
      </c>
      <c r="G640" s="9">
        <v>460000.0</v>
      </c>
      <c r="H640" s="95" t="s">
        <v>530</v>
      </c>
      <c r="I640" s="13">
        <f t="shared" si="25"/>
        <v>46000</v>
      </c>
      <c r="J640" s="97" t="s">
        <v>1254</v>
      </c>
      <c r="K640" s="97" t="s">
        <v>1224</v>
      </c>
      <c r="L640" s="98"/>
    </row>
    <row r="641">
      <c r="B641" s="95" t="s">
        <v>526</v>
      </c>
      <c r="C641" s="95" t="s">
        <v>1186</v>
      </c>
      <c r="D641" s="95" t="s">
        <v>174</v>
      </c>
      <c r="E641" s="95" t="s">
        <v>419</v>
      </c>
      <c r="F641" s="95" t="s">
        <v>586</v>
      </c>
      <c r="G641" s="9">
        <v>460000.0</v>
      </c>
      <c r="H641" s="95" t="s">
        <v>530</v>
      </c>
      <c r="I641" s="13">
        <f t="shared" si="25"/>
        <v>46000</v>
      </c>
      <c r="J641" s="97" t="s">
        <v>1254</v>
      </c>
      <c r="K641" s="97" t="s">
        <v>1224</v>
      </c>
      <c r="L641" s="98"/>
    </row>
    <row r="642">
      <c r="B642" s="95" t="s">
        <v>526</v>
      </c>
      <c r="C642" s="95" t="s">
        <v>1203</v>
      </c>
      <c r="D642" s="95" t="s">
        <v>174</v>
      </c>
      <c r="E642" s="95" t="s">
        <v>419</v>
      </c>
      <c r="F642" s="95" t="s">
        <v>586</v>
      </c>
      <c r="G642" s="9">
        <v>460000.0</v>
      </c>
      <c r="H642" s="95" t="s">
        <v>530</v>
      </c>
      <c r="I642" s="13">
        <f t="shared" si="25"/>
        <v>46000</v>
      </c>
      <c r="J642" s="97" t="s">
        <v>1254</v>
      </c>
      <c r="K642" s="97" t="s">
        <v>1224</v>
      </c>
      <c r="L642" s="98"/>
    </row>
    <row r="643">
      <c r="B643" s="95" t="s">
        <v>526</v>
      </c>
      <c r="C643" s="95" t="s">
        <v>1213</v>
      </c>
      <c r="D643" s="95" t="s">
        <v>174</v>
      </c>
      <c r="E643" s="95" t="s">
        <v>419</v>
      </c>
      <c r="F643" s="95" t="s">
        <v>586</v>
      </c>
      <c r="G643" s="9">
        <v>368000.0</v>
      </c>
      <c r="H643" s="95" t="s">
        <v>530</v>
      </c>
      <c r="I643" s="13">
        <f t="shared" si="25"/>
        <v>36800</v>
      </c>
      <c r="J643" s="97" t="s">
        <v>1254</v>
      </c>
      <c r="K643" s="97" t="s">
        <v>1224</v>
      </c>
      <c r="L643" s="98"/>
    </row>
    <row r="644">
      <c r="B644" s="95" t="s">
        <v>526</v>
      </c>
      <c r="C644" s="95" t="s">
        <v>1204</v>
      </c>
      <c r="D644" s="95" t="s">
        <v>174</v>
      </c>
      <c r="E644" s="95" t="s">
        <v>419</v>
      </c>
      <c r="F644" s="95" t="s">
        <v>586</v>
      </c>
      <c r="G644" s="9">
        <v>257600.0</v>
      </c>
      <c r="H644" s="95" t="s">
        <v>530</v>
      </c>
      <c r="I644" s="13">
        <f t="shared" si="25"/>
        <v>25760</v>
      </c>
      <c r="J644" s="97" t="s">
        <v>1254</v>
      </c>
      <c r="K644" s="97" t="s">
        <v>1224</v>
      </c>
      <c r="L644" s="98"/>
    </row>
    <row r="645">
      <c r="B645" s="95" t="s">
        <v>526</v>
      </c>
      <c r="C645" s="95" t="s">
        <v>1256</v>
      </c>
      <c r="D645" s="95" t="s">
        <v>174</v>
      </c>
      <c r="E645" s="95" t="s">
        <v>419</v>
      </c>
      <c r="F645" s="95" t="s">
        <v>586</v>
      </c>
      <c r="G645" s="9">
        <v>276000.0</v>
      </c>
      <c r="H645" s="95" t="s">
        <v>530</v>
      </c>
      <c r="I645" s="13">
        <f t="shared" si="25"/>
        <v>27600</v>
      </c>
      <c r="J645" s="97" t="s">
        <v>1254</v>
      </c>
      <c r="K645" s="97" t="s">
        <v>1224</v>
      </c>
      <c r="L645" s="98"/>
    </row>
    <row r="646">
      <c r="B646" s="95" t="s">
        <v>526</v>
      </c>
      <c r="C646" s="95" t="s">
        <v>1257</v>
      </c>
      <c r="D646" s="95" t="s">
        <v>174</v>
      </c>
      <c r="E646" s="95" t="s">
        <v>419</v>
      </c>
      <c r="F646" s="95" t="s">
        <v>586</v>
      </c>
      <c r="G646" s="9">
        <f>400000*0.92</f>
        <v>368000</v>
      </c>
      <c r="H646" s="95" t="s">
        <v>1155</v>
      </c>
      <c r="I646" s="13">
        <f>G646/8</f>
        <v>46000</v>
      </c>
      <c r="J646" s="97" t="s">
        <v>1193</v>
      </c>
      <c r="K646" s="98"/>
      <c r="L646" s="98"/>
    </row>
    <row r="647">
      <c r="B647" s="95" t="s">
        <v>526</v>
      </c>
      <c r="C647" s="95" t="s">
        <v>1257</v>
      </c>
      <c r="D647" s="95" t="s">
        <v>195</v>
      </c>
      <c r="E647" s="95" t="s">
        <v>434</v>
      </c>
      <c r="F647" s="95" t="s">
        <v>650</v>
      </c>
      <c r="G647" s="9">
        <f>0.88*400000</f>
        <v>352000</v>
      </c>
      <c r="H647" s="95" t="s">
        <v>1258</v>
      </c>
      <c r="I647" s="13">
        <f>G647/5.5</f>
        <v>64000</v>
      </c>
      <c r="J647" s="97" t="s">
        <v>1259</v>
      </c>
      <c r="K647" s="98"/>
      <c r="L647" s="98"/>
    </row>
    <row r="648">
      <c r="B648" s="95" t="s">
        <v>526</v>
      </c>
      <c r="C648" s="95" t="s">
        <v>1260</v>
      </c>
      <c r="D648" s="95" t="s">
        <v>174</v>
      </c>
      <c r="E648" s="95" t="s">
        <v>419</v>
      </c>
      <c r="F648" s="95" t="s">
        <v>586</v>
      </c>
      <c r="G648" s="9">
        <v>207000.0</v>
      </c>
      <c r="H648" s="95" t="s">
        <v>530</v>
      </c>
      <c r="I648" s="13">
        <f t="shared" ref="I648:I695" si="26">G648/10</f>
        <v>20700</v>
      </c>
      <c r="J648" s="97" t="s">
        <v>1224</v>
      </c>
      <c r="K648" s="98"/>
      <c r="L648" s="98"/>
    </row>
    <row r="649">
      <c r="B649" s="95" t="s">
        <v>526</v>
      </c>
      <c r="C649" s="95" t="s">
        <v>1030</v>
      </c>
      <c r="D649" s="95" t="s">
        <v>174</v>
      </c>
      <c r="E649" s="95" t="s">
        <v>438</v>
      </c>
      <c r="F649" s="95" t="s">
        <v>650</v>
      </c>
      <c r="G649" s="9">
        <f>5600000*0.85</f>
        <v>4760000</v>
      </c>
      <c r="H649" s="95" t="s">
        <v>530</v>
      </c>
      <c r="I649" s="13">
        <f t="shared" si="26"/>
        <v>476000</v>
      </c>
      <c r="J649" s="97" t="s">
        <v>766</v>
      </c>
      <c r="K649" s="97" t="s">
        <v>1261</v>
      </c>
      <c r="L649" s="98"/>
    </row>
    <row r="650">
      <c r="B650" s="95" t="s">
        <v>526</v>
      </c>
      <c r="C650" s="95" t="s">
        <v>1246</v>
      </c>
      <c r="D650" s="95" t="s">
        <v>174</v>
      </c>
      <c r="E650" s="95" t="s">
        <v>438</v>
      </c>
      <c r="F650" s="95" t="s">
        <v>650</v>
      </c>
      <c r="G650" s="9">
        <v>1275000.0</v>
      </c>
      <c r="H650" s="95" t="s">
        <v>530</v>
      </c>
      <c r="I650" s="13">
        <f t="shared" si="26"/>
        <v>127500</v>
      </c>
      <c r="J650" s="97" t="s">
        <v>766</v>
      </c>
      <c r="K650" s="98"/>
      <c r="L650" s="98"/>
    </row>
    <row r="651">
      <c r="B651" s="95" t="s">
        <v>526</v>
      </c>
      <c r="C651" s="95" t="s">
        <v>1262</v>
      </c>
      <c r="D651" s="95" t="s">
        <v>174</v>
      </c>
      <c r="E651" s="95" t="s">
        <v>438</v>
      </c>
      <c r="F651" s="95" t="s">
        <v>650</v>
      </c>
      <c r="G651" s="9">
        <f>2400000*0.85</f>
        <v>2040000</v>
      </c>
      <c r="H651" s="95" t="s">
        <v>530</v>
      </c>
      <c r="I651" s="13">
        <f t="shared" si="26"/>
        <v>204000</v>
      </c>
      <c r="J651" s="97" t="s">
        <v>1263</v>
      </c>
      <c r="K651" s="98"/>
      <c r="L651" s="98"/>
    </row>
    <row r="652">
      <c r="B652" s="95" t="s">
        <v>526</v>
      </c>
      <c r="C652" s="95" t="s">
        <v>1264</v>
      </c>
      <c r="D652" s="95" t="s">
        <v>174</v>
      </c>
      <c r="E652" s="95" t="s">
        <v>438</v>
      </c>
      <c r="F652" s="95" t="s">
        <v>650</v>
      </c>
      <c r="G652" s="9">
        <v>2380000.0</v>
      </c>
      <c r="H652" s="95" t="s">
        <v>530</v>
      </c>
      <c r="I652" s="13">
        <f t="shared" si="26"/>
        <v>238000</v>
      </c>
      <c r="J652" s="97" t="s">
        <v>766</v>
      </c>
      <c r="K652" s="98"/>
      <c r="L652" s="98"/>
    </row>
    <row r="653">
      <c r="B653" s="95" t="s">
        <v>526</v>
      </c>
      <c r="C653" s="95" t="s">
        <v>1265</v>
      </c>
      <c r="D653" s="95" t="s">
        <v>174</v>
      </c>
      <c r="E653" s="95" t="s">
        <v>438</v>
      </c>
      <c r="F653" s="95" t="s">
        <v>650</v>
      </c>
      <c r="G653" s="9">
        <v>1190000.0</v>
      </c>
      <c r="H653" s="95" t="s">
        <v>530</v>
      </c>
      <c r="I653" s="13">
        <f t="shared" si="26"/>
        <v>119000</v>
      </c>
      <c r="J653" s="97" t="s">
        <v>766</v>
      </c>
      <c r="K653" s="98"/>
      <c r="L653" s="98"/>
    </row>
    <row r="654">
      <c r="B654" s="95" t="s">
        <v>526</v>
      </c>
      <c r="C654" s="95" t="s">
        <v>1244</v>
      </c>
      <c r="D654" s="95" t="s">
        <v>174</v>
      </c>
      <c r="E654" s="95" t="s">
        <v>438</v>
      </c>
      <c r="F654" s="95" t="s">
        <v>650</v>
      </c>
      <c r="G654" s="9">
        <f>0.85*1200000</f>
        <v>1020000</v>
      </c>
      <c r="H654" s="95" t="s">
        <v>530</v>
      </c>
      <c r="I654" s="13">
        <f t="shared" si="26"/>
        <v>102000</v>
      </c>
      <c r="J654" s="97" t="s">
        <v>766</v>
      </c>
      <c r="K654" s="97" t="s">
        <v>1200</v>
      </c>
      <c r="L654" s="98"/>
    </row>
    <row r="655">
      <c r="B655" s="95" t="s">
        <v>526</v>
      </c>
      <c r="C655" s="95" t="s">
        <v>1247</v>
      </c>
      <c r="D655" s="95" t="s">
        <v>174</v>
      </c>
      <c r="E655" s="95" t="s">
        <v>438</v>
      </c>
      <c r="F655" s="95" t="s">
        <v>650</v>
      </c>
      <c r="G655" s="9">
        <v>1020000.0</v>
      </c>
      <c r="H655" s="95" t="s">
        <v>530</v>
      </c>
      <c r="I655" s="13">
        <f t="shared" si="26"/>
        <v>102000</v>
      </c>
      <c r="J655" s="97" t="s">
        <v>766</v>
      </c>
      <c r="K655" s="98"/>
      <c r="L655" s="98"/>
    </row>
    <row r="656">
      <c r="B656" s="95" t="s">
        <v>526</v>
      </c>
      <c r="C656" s="95" t="s">
        <v>1266</v>
      </c>
      <c r="D656" s="95" t="s">
        <v>174</v>
      </c>
      <c r="E656" s="95" t="s">
        <v>438</v>
      </c>
      <c r="F656" s="95" t="s">
        <v>650</v>
      </c>
      <c r="G656" s="9">
        <v>935000.0</v>
      </c>
      <c r="H656" s="95" t="s">
        <v>530</v>
      </c>
      <c r="I656" s="13">
        <f t="shared" si="26"/>
        <v>93500</v>
      </c>
      <c r="J656" s="97" t="s">
        <v>766</v>
      </c>
      <c r="K656" s="98"/>
      <c r="L656" s="98"/>
    </row>
    <row r="657">
      <c r="B657" s="95" t="s">
        <v>526</v>
      </c>
      <c r="C657" s="95" t="s">
        <v>1267</v>
      </c>
      <c r="D657" s="95" t="s">
        <v>174</v>
      </c>
      <c r="E657" s="95" t="s">
        <v>438</v>
      </c>
      <c r="F657" s="95" t="s">
        <v>650</v>
      </c>
      <c r="G657" s="9">
        <v>935000.0</v>
      </c>
      <c r="H657" s="95" t="s">
        <v>530</v>
      </c>
      <c r="I657" s="13">
        <f t="shared" si="26"/>
        <v>93500</v>
      </c>
      <c r="J657" s="97" t="s">
        <v>766</v>
      </c>
      <c r="K657" s="98"/>
      <c r="L657" s="98"/>
    </row>
    <row r="658">
      <c r="B658" s="95" t="s">
        <v>526</v>
      </c>
      <c r="C658" s="95" t="s">
        <v>1211</v>
      </c>
      <c r="D658" s="95" t="s">
        <v>174</v>
      </c>
      <c r="E658" s="95" t="s">
        <v>438</v>
      </c>
      <c r="F658" s="95" t="s">
        <v>650</v>
      </c>
      <c r="G658" s="9">
        <v>850000.0</v>
      </c>
      <c r="H658" s="95" t="s">
        <v>530</v>
      </c>
      <c r="I658" s="13">
        <f t="shared" si="26"/>
        <v>85000</v>
      </c>
      <c r="J658" s="97" t="s">
        <v>766</v>
      </c>
      <c r="K658" s="98"/>
      <c r="L658" s="98"/>
    </row>
    <row r="659">
      <c r="B659" s="95" t="s">
        <v>526</v>
      </c>
      <c r="C659" s="95" t="s">
        <v>1268</v>
      </c>
      <c r="D659" s="95" t="s">
        <v>174</v>
      </c>
      <c r="E659" s="95" t="s">
        <v>438</v>
      </c>
      <c r="F659" s="95" t="s">
        <v>650</v>
      </c>
      <c r="G659" s="9">
        <v>722500.0</v>
      </c>
      <c r="H659" s="95" t="s">
        <v>530</v>
      </c>
      <c r="I659" s="13">
        <f t="shared" si="26"/>
        <v>72250</v>
      </c>
      <c r="J659" s="97" t="s">
        <v>766</v>
      </c>
      <c r="K659" s="98"/>
      <c r="L659" s="98"/>
    </row>
    <row r="660">
      <c r="B660" s="95" t="s">
        <v>526</v>
      </c>
      <c r="C660" s="95" t="s">
        <v>1249</v>
      </c>
      <c r="D660" s="95" t="s">
        <v>174</v>
      </c>
      <c r="E660" s="95" t="s">
        <v>438</v>
      </c>
      <c r="F660" s="95" t="s">
        <v>650</v>
      </c>
      <c r="G660" s="9">
        <v>637500.0</v>
      </c>
      <c r="H660" s="95" t="s">
        <v>530</v>
      </c>
      <c r="I660" s="13">
        <f t="shared" si="26"/>
        <v>63750</v>
      </c>
      <c r="J660" s="97" t="s">
        <v>766</v>
      </c>
      <c r="K660" s="98"/>
      <c r="L660" s="98"/>
    </row>
    <row r="661">
      <c r="B661" s="95" t="s">
        <v>526</v>
      </c>
      <c r="C661" s="95" t="s">
        <v>1221</v>
      </c>
      <c r="D661" s="95" t="s">
        <v>174</v>
      </c>
      <c r="E661" s="95" t="s">
        <v>438</v>
      </c>
      <c r="F661" s="95" t="s">
        <v>650</v>
      </c>
      <c r="G661" s="9">
        <v>425000.0</v>
      </c>
      <c r="H661" s="95" t="s">
        <v>530</v>
      </c>
      <c r="I661" s="13">
        <f t="shared" si="26"/>
        <v>42500</v>
      </c>
      <c r="J661" s="97" t="s">
        <v>766</v>
      </c>
      <c r="K661" s="98"/>
      <c r="L661" s="98"/>
    </row>
    <row r="662">
      <c r="B662" s="95" t="s">
        <v>526</v>
      </c>
      <c r="C662" s="95" t="s">
        <v>1128</v>
      </c>
      <c r="D662" s="95" t="s">
        <v>174</v>
      </c>
      <c r="E662" s="95" t="s">
        <v>438</v>
      </c>
      <c r="F662" s="95" t="s">
        <v>650</v>
      </c>
      <c r="G662" s="9">
        <f t="shared" ref="G662:G663" si="27">400000*0.85</f>
        <v>340000</v>
      </c>
      <c r="H662" s="95" t="s">
        <v>530</v>
      </c>
      <c r="I662" s="13">
        <f t="shared" si="26"/>
        <v>34000</v>
      </c>
      <c r="J662" s="97" t="s">
        <v>766</v>
      </c>
      <c r="K662" s="98"/>
      <c r="L662" s="98"/>
    </row>
    <row r="663">
      <c r="B663" s="95" t="s">
        <v>526</v>
      </c>
      <c r="C663" s="95" t="s">
        <v>1251</v>
      </c>
      <c r="D663" s="95" t="s">
        <v>174</v>
      </c>
      <c r="E663" s="95" t="s">
        <v>438</v>
      </c>
      <c r="F663" s="95" t="s">
        <v>650</v>
      </c>
      <c r="G663" s="9">
        <f t="shared" si="27"/>
        <v>340000</v>
      </c>
      <c r="H663" s="95" t="s">
        <v>530</v>
      </c>
      <c r="I663" s="13">
        <f t="shared" si="26"/>
        <v>34000</v>
      </c>
      <c r="J663" s="97" t="s">
        <v>766</v>
      </c>
      <c r="K663" s="98"/>
      <c r="L663" s="98"/>
    </row>
    <row r="664">
      <c r="B664" s="95" t="s">
        <v>526</v>
      </c>
      <c r="C664" s="95" t="s">
        <v>1234</v>
      </c>
      <c r="D664" s="95" t="s">
        <v>174</v>
      </c>
      <c r="E664" s="95" t="s">
        <v>438</v>
      </c>
      <c r="F664" s="95" t="s">
        <v>650</v>
      </c>
      <c r="G664" s="9">
        <f>330000*0.85</f>
        <v>280500</v>
      </c>
      <c r="H664" s="95" t="s">
        <v>530</v>
      </c>
      <c r="I664" s="13">
        <f t="shared" si="26"/>
        <v>28050</v>
      </c>
      <c r="J664" s="97" t="s">
        <v>766</v>
      </c>
      <c r="K664" s="98"/>
      <c r="L664" s="98"/>
    </row>
    <row r="665">
      <c r="B665" s="95" t="s">
        <v>526</v>
      </c>
      <c r="C665" s="95" t="s">
        <v>1180</v>
      </c>
      <c r="D665" s="95" t="s">
        <v>174</v>
      </c>
      <c r="E665" s="95" t="s">
        <v>438</v>
      </c>
      <c r="F665" s="95" t="s">
        <v>650</v>
      </c>
      <c r="G665" s="9">
        <f>300000*0.85</f>
        <v>255000</v>
      </c>
      <c r="H665" s="95" t="s">
        <v>530</v>
      </c>
      <c r="I665" s="13">
        <f t="shared" si="26"/>
        <v>25500</v>
      </c>
      <c r="J665" s="97" t="s">
        <v>766</v>
      </c>
      <c r="K665" s="98"/>
      <c r="L665" s="98"/>
    </row>
    <row r="666">
      <c r="B666" s="95" t="s">
        <v>526</v>
      </c>
      <c r="C666" s="95" t="s">
        <v>1269</v>
      </c>
      <c r="D666" s="95" t="s">
        <v>174</v>
      </c>
      <c r="E666" s="95" t="s">
        <v>438</v>
      </c>
      <c r="F666" s="95" t="s">
        <v>650</v>
      </c>
      <c r="G666" s="9">
        <f>150000*0.85</f>
        <v>127500</v>
      </c>
      <c r="H666" s="95" t="s">
        <v>530</v>
      </c>
      <c r="I666" s="13">
        <f t="shared" si="26"/>
        <v>12750</v>
      </c>
      <c r="J666" s="97" t="s">
        <v>766</v>
      </c>
      <c r="K666" s="98"/>
      <c r="L666" s="98"/>
    </row>
    <row r="667">
      <c r="B667" s="95" t="s">
        <v>526</v>
      </c>
      <c r="C667" s="95" t="s">
        <v>1187</v>
      </c>
      <c r="D667" s="95" t="s">
        <v>174</v>
      </c>
      <c r="E667" s="95" t="s">
        <v>438</v>
      </c>
      <c r="F667" s="95" t="s">
        <v>650</v>
      </c>
      <c r="G667" s="9">
        <v>110500.0</v>
      </c>
      <c r="H667" s="95" t="s">
        <v>530</v>
      </c>
      <c r="I667" s="13">
        <f t="shared" si="26"/>
        <v>11050</v>
      </c>
      <c r="J667" s="97" t="s">
        <v>766</v>
      </c>
      <c r="K667" s="98"/>
      <c r="L667" s="98"/>
    </row>
    <row r="668">
      <c r="B668" s="95" t="s">
        <v>526</v>
      </c>
      <c r="C668" s="95" t="s">
        <v>871</v>
      </c>
      <c r="D668" s="95" t="s">
        <v>174</v>
      </c>
      <c r="E668" s="95" t="s">
        <v>419</v>
      </c>
      <c r="F668" s="95" t="s">
        <v>650</v>
      </c>
      <c r="G668" s="9">
        <v>1870000.0</v>
      </c>
      <c r="H668" s="95" t="s">
        <v>530</v>
      </c>
      <c r="I668" s="13">
        <f t="shared" si="26"/>
        <v>187000</v>
      </c>
      <c r="J668" s="97" t="s">
        <v>766</v>
      </c>
      <c r="K668" s="97" t="s">
        <v>1270</v>
      </c>
      <c r="L668" s="98"/>
    </row>
    <row r="669">
      <c r="B669" s="95" t="s">
        <v>641</v>
      </c>
      <c r="C669" s="95" t="s">
        <v>1271</v>
      </c>
      <c r="D669" s="95" t="s">
        <v>174</v>
      </c>
      <c r="E669" s="95" t="s">
        <v>419</v>
      </c>
      <c r="F669" s="95" t="s">
        <v>650</v>
      </c>
      <c r="G669" s="9">
        <v>510000.0</v>
      </c>
      <c r="H669" s="95" t="s">
        <v>530</v>
      </c>
      <c r="I669" s="13">
        <f t="shared" si="26"/>
        <v>51000</v>
      </c>
      <c r="J669" s="97" t="s">
        <v>1270</v>
      </c>
      <c r="K669" s="97" t="s">
        <v>1272</v>
      </c>
      <c r="L669" s="98"/>
    </row>
    <row r="670">
      <c r="B670" s="95" t="s">
        <v>526</v>
      </c>
      <c r="C670" s="95" t="s">
        <v>1198</v>
      </c>
      <c r="D670" s="95" t="s">
        <v>174</v>
      </c>
      <c r="E670" s="95" t="s">
        <v>419</v>
      </c>
      <c r="F670" s="95" t="s">
        <v>650</v>
      </c>
      <c r="G670" s="9">
        <f>900000*0.85</f>
        <v>765000</v>
      </c>
      <c r="H670" s="95" t="s">
        <v>530</v>
      </c>
      <c r="I670" s="13">
        <f t="shared" si="26"/>
        <v>76500</v>
      </c>
      <c r="J670" s="97" t="s">
        <v>766</v>
      </c>
      <c r="K670" s="97" t="s">
        <v>1272</v>
      </c>
      <c r="L670" s="97" t="s">
        <v>1199</v>
      </c>
    </row>
    <row r="671">
      <c r="B671" s="95" t="s">
        <v>526</v>
      </c>
      <c r="C671" s="95" t="s">
        <v>1213</v>
      </c>
      <c r="D671" s="95" t="s">
        <v>174</v>
      </c>
      <c r="E671" s="95" t="s">
        <v>419</v>
      </c>
      <c r="F671" s="95" t="s">
        <v>685</v>
      </c>
      <c r="G671" s="9">
        <f>1800000*0.88</f>
        <v>1584000</v>
      </c>
      <c r="H671" s="95" t="s">
        <v>530</v>
      </c>
      <c r="I671" s="13">
        <f t="shared" si="26"/>
        <v>158400</v>
      </c>
      <c r="J671" s="97" t="s">
        <v>1273</v>
      </c>
      <c r="K671" s="98"/>
      <c r="L671" s="98"/>
    </row>
    <row r="672">
      <c r="B672" s="95" t="s">
        <v>526</v>
      </c>
      <c r="C672" s="95" t="s">
        <v>1213</v>
      </c>
      <c r="D672" s="95" t="s">
        <v>174</v>
      </c>
      <c r="E672" s="95" t="s">
        <v>419</v>
      </c>
      <c r="F672" s="95" t="s">
        <v>650</v>
      </c>
      <c r="G672" s="9">
        <v>935000.0</v>
      </c>
      <c r="H672" s="95" t="s">
        <v>530</v>
      </c>
      <c r="I672" s="13">
        <f t="shared" si="26"/>
        <v>93500</v>
      </c>
      <c r="J672" s="97" t="s">
        <v>766</v>
      </c>
      <c r="K672" s="97" t="s">
        <v>1272</v>
      </c>
      <c r="L672" s="98"/>
    </row>
    <row r="673">
      <c r="B673" s="95" t="s">
        <v>526</v>
      </c>
      <c r="C673" s="95" t="s">
        <v>1274</v>
      </c>
      <c r="D673" s="95" t="s">
        <v>174</v>
      </c>
      <c r="E673" s="95" t="s">
        <v>419</v>
      </c>
      <c r="F673" s="95" t="s">
        <v>650</v>
      </c>
      <c r="G673" s="9">
        <v>765000.0</v>
      </c>
      <c r="H673" s="95" t="s">
        <v>530</v>
      </c>
      <c r="I673" s="13">
        <f t="shared" si="26"/>
        <v>76500</v>
      </c>
      <c r="J673" s="97" t="s">
        <v>766</v>
      </c>
      <c r="K673" s="97" t="s">
        <v>1272</v>
      </c>
      <c r="L673" s="98"/>
    </row>
    <row r="674">
      <c r="B674" s="95" t="s">
        <v>526</v>
      </c>
      <c r="C674" s="95" t="s">
        <v>1275</v>
      </c>
      <c r="D674" s="95" t="s">
        <v>174</v>
      </c>
      <c r="E674" s="95" t="s">
        <v>419</v>
      </c>
      <c r="F674" s="95" t="s">
        <v>650</v>
      </c>
      <c r="G674" s="9">
        <v>722500.0</v>
      </c>
      <c r="H674" s="95" t="s">
        <v>530</v>
      </c>
      <c r="I674" s="13">
        <f t="shared" si="26"/>
        <v>72250</v>
      </c>
      <c r="J674" s="97" t="s">
        <v>766</v>
      </c>
      <c r="K674" s="97" t="s">
        <v>1272</v>
      </c>
      <c r="L674" s="98"/>
    </row>
    <row r="675">
      <c r="B675" s="95" t="s">
        <v>526</v>
      </c>
      <c r="C675" s="95" t="s">
        <v>1276</v>
      </c>
      <c r="D675" s="95" t="s">
        <v>174</v>
      </c>
      <c r="E675" s="95" t="s">
        <v>419</v>
      </c>
      <c r="F675" s="95" t="s">
        <v>650</v>
      </c>
      <c r="G675" s="9">
        <v>722500.0</v>
      </c>
      <c r="H675" s="95" t="s">
        <v>530</v>
      </c>
      <c r="I675" s="13">
        <f t="shared" si="26"/>
        <v>72250</v>
      </c>
      <c r="J675" s="97" t="s">
        <v>766</v>
      </c>
      <c r="K675" s="97" t="s">
        <v>1272</v>
      </c>
      <c r="L675" s="98"/>
    </row>
    <row r="676">
      <c r="B676" s="95" t="s">
        <v>526</v>
      </c>
      <c r="C676" s="95" t="s">
        <v>1132</v>
      </c>
      <c r="D676" s="95" t="s">
        <v>174</v>
      </c>
      <c r="E676" s="95" t="s">
        <v>419</v>
      </c>
      <c r="F676" s="95" t="s">
        <v>650</v>
      </c>
      <c r="G676" s="9">
        <v>595000.0</v>
      </c>
      <c r="H676" s="95" t="s">
        <v>530</v>
      </c>
      <c r="I676" s="13">
        <f t="shared" si="26"/>
        <v>59500</v>
      </c>
      <c r="J676" s="97" t="s">
        <v>766</v>
      </c>
      <c r="K676" s="97" t="s">
        <v>1272</v>
      </c>
      <c r="L676" s="98"/>
    </row>
    <row r="677">
      <c r="B677" s="95" t="s">
        <v>526</v>
      </c>
      <c r="C677" s="95" t="s">
        <v>1203</v>
      </c>
      <c r="D677" s="95" t="s">
        <v>174</v>
      </c>
      <c r="E677" s="95" t="s">
        <v>419</v>
      </c>
      <c r="F677" s="95" t="s">
        <v>650</v>
      </c>
      <c r="G677" s="9">
        <v>552500.0</v>
      </c>
      <c r="H677" s="95" t="s">
        <v>530</v>
      </c>
      <c r="I677" s="13">
        <f t="shared" si="26"/>
        <v>55250</v>
      </c>
      <c r="J677" s="97" t="s">
        <v>766</v>
      </c>
      <c r="K677" s="97" t="s">
        <v>1272</v>
      </c>
      <c r="L677" s="98"/>
    </row>
    <row r="678">
      <c r="B678" s="95" t="s">
        <v>526</v>
      </c>
      <c r="C678" s="95" t="s">
        <v>1277</v>
      </c>
      <c r="D678" s="95" t="s">
        <v>174</v>
      </c>
      <c r="E678" s="95" t="s">
        <v>419</v>
      </c>
      <c r="F678" s="95" t="s">
        <v>650</v>
      </c>
      <c r="G678" s="9">
        <v>340000.0</v>
      </c>
      <c r="H678" s="95" t="s">
        <v>530</v>
      </c>
      <c r="I678" s="13">
        <f t="shared" si="26"/>
        <v>34000</v>
      </c>
      <c r="J678" s="97" t="s">
        <v>766</v>
      </c>
      <c r="K678" s="97" t="s">
        <v>1272</v>
      </c>
      <c r="L678" s="98"/>
    </row>
    <row r="679">
      <c r="B679" s="95" t="s">
        <v>526</v>
      </c>
      <c r="C679" s="95" t="s">
        <v>1278</v>
      </c>
      <c r="D679" s="95" t="s">
        <v>174</v>
      </c>
      <c r="E679" s="95" t="s">
        <v>419</v>
      </c>
      <c r="F679" s="95" t="s">
        <v>650</v>
      </c>
      <c r="G679" s="9">
        <v>510000.0</v>
      </c>
      <c r="H679" s="95" t="s">
        <v>530</v>
      </c>
      <c r="I679" s="13">
        <f t="shared" si="26"/>
        <v>51000</v>
      </c>
      <c r="J679" s="97" t="s">
        <v>766</v>
      </c>
      <c r="K679" s="97" t="s">
        <v>1272</v>
      </c>
      <c r="L679" s="98"/>
    </row>
    <row r="680">
      <c r="B680" s="95" t="s">
        <v>526</v>
      </c>
      <c r="C680" s="95" t="s">
        <v>1279</v>
      </c>
      <c r="D680" s="95" t="s">
        <v>174</v>
      </c>
      <c r="E680" s="95" t="s">
        <v>419</v>
      </c>
      <c r="F680" s="95" t="s">
        <v>650</v>
      </c>
      <c r="G680" s="9">
        <v>340000.0</v>
      </c>
      <c r="H680" s="95" t="s">
        <v>530</v>
      </c>
      <c r="I680" s="13">
        <f t="shared" si="26"/>
        <v>34000</v>
      </c>
      <c r="J680" s="97" t="s">
        <v>766</v>
      </c>
      <c r="K680" s="97" t="s">
        <v>1272</v>
      </c>
      <c r="L680" s="98"/>
    </row>
    <row r="681">
      <c r="B681" s="95" t="s">
        <v>526</v>
      </c>
      <c r="C681" s="95" t="s">
        <v>1280</v>
      </c>
      <c r="D681" s="95" t="s">
        <v>174</v>
      </c>
      <c r="E681" s="95" t="s">
        <v>419</v>
      </c>
      <c r="F681" s="95" t="s">
        <v>650</v>
      </c>
      <c r="G681" s="9">
        <v>212500.0</v>
      </c>
      <c r="H681" s="95" t="s">
        <v>530</v>
      </c>
      <c r="I681" s="13">
        <f t="shared" si="26"/>
        <v>21250</v>
      </c>
      <c r="J681" s="97" t="s">
        <v>766</v>
      </c>
      <c r="K681" s="97" t="s">
        <v>1272</v>
      </c>
      <c r="L681" s="98"/>
    </row>
    <row r="682">
      <c r="B682" s="95" t="s">
        <v>526</v>
      </c>
      <c r="C682" s="95" t="s">
        <v>1281</v>
      </c>
      <c r="D682" s="95" t="s">
        <v>174</v>
      </c>
      <c r="E682" s="95" t="s">
        <v>419</v>
      </c>
      <c r="F682" s="95" t="s">
        <v>650</v>
      </c>
      <c r="G682" s="9">
        <v>127500.0</v>
      </c>
      <c r="H682" s="95" t="s">
        <v>530</v>
      </c>
      <c r="I682" s="13">
        <f t="shared" si="26"/>
        <v>12750</v>
      </c>
      <c r="J682" s="97" t="s">
        <v>1272</v>
      </c>
      <c r="K682" s="98"/>
      <c r="L682" s="98"/>
    </row>
    <row r="683">
      <c r="B683" s="95" t="s">
        <v>526</v>
      </c>
      <c r="C683" s="95" t="s">
        <v>1260</v>
      </c>
      <c r="D683" s="95" t="s">
        <v>174</v>
      </c>
      <c r="E683" s="95" t="s">
        <v>419</v>
      </c>
      <c r="F683" s="95" t="s">
        <v>650</v>
      </c>
      <c r="G683" s="9">
        <v>191250.0</v>
      </c>
      <c r="H683" s="95" t="s">
        <v>530</v>
      </c>
      <c r="I683" s="13">
        <f t="shared" si="26"/>
        <v>19125</v>
      </c>
      <c r="J683" s="97" t="s">
        <v>766</v>
      </c>
      <c r="K683" s="97" t="s">
        <v>1272</v>
      </c>
      <c r="L683" s="98"/>
    </row>
    <row r="684">
      <c r="B684" s="95" t="s">
        <v>526</v>
      </c>
      <c r="C684" s="95" t="s">
        <v>1225</v>
      </c>
      <c r="D684" s="95" t="s">
        <v>174</v>
      </c>
      <c r="E684" s="95" t="s">
        <v>411</v>
      </c>
      <c r="F684" s="95" t="s">
        <v>650</v>
      </c>
      <c r="G684" s="9">
        <v>935000.0</v>
      </c>
      <c r="H684" s="95" t="s">
        <v>530</v>
      </c>
      <c r="I684" s="13">
        <f t="shared" si="26"/>
        <v>93500</v>
      </c>
      <c r="J684" s="97" t="s">
        <v>766</v>
      </c>
      <c r="K684" s="98"/>
      <c r="L684" s="98"/>
    </row>
    <row r="685">
      <c r="B685" s="95" t="s">
        <v>526</v>
      </c>
      <c r="C685" s="95" t="s">
        <v>1183</v>
      </c>
      <c r="D685" s="95" t="s">
        <v>174</v>
      </c>
      <c r="E685" s="95" t="s">
        <v>411</v>
      </c>
      <c r="F685" s="95" t="s">
        <v>650</v>
      </c>
      <c r="G685" s="9">
        <v>722500.0</v>
      </c>
      <c r="H685" s="95" t="s">
        <v>530</v>
      </c>
      <c r="I685" s="13">
        <f t="shared" si="26"/>
        <v>72250</v>
      </c>
      <c r="J685" s="97" t="s">
        <v>766</v>
      </c>
      <c r="K685" s="98"/>
      <c r="L685" s="98"/>
    </row>
    <row r="686">
      <c r="B686" s="95" t="s">
        <v>526</v>
      </c>
      <c r="C686" s="95" t="s">
        <v>1229</v>
      </c>
      <c r="D686" s="95" t="s">
        <v>174</v>
      </c>
      <c r="E686" s="95" t="s">
        <v>411</v>
      </c>
      <c r="F686" s="95" t="s">
        <v>650</v>
      </c>
      <c r="G686" s="9">
        <v>680000.0</v>
      </c>
      <c r="H686" s="95" t="s">
        <v>530</v>
      </c>
      <c r="I686" s="13">
        <f t="shared" si="26"/>
        <v>68000</v>
      </c>
      <c r="J686" s="97" t="s">
        <v>766</v>
      </c>
      <c r="K686" s="98"/>
      <c r="L686" s="98"/>
    </row>
    <row r="687">
      <c r="B687" s="95" t="s">
        <v>526</v>
      </c>
      <c r="C687" s="95" t="s">
        <v>1191</v>
      </c>
      <c r="D687" s="95" t="s">
        <v>174</v>
      </c>
      <c r="E687" s="95" t="s">
        <v>411</v>
      </c>
      <c r="F687" s="95" t="s">
        <v>650</v>
      </c>
      <c r="G687" s="9">
        <v>595000.0</v>
      </c>
      <c r="H687" s="95" t="s">
        <v>530</v>
      </c>
      <c r="I687" s="13">
        <f t="shared" si="26"/>
        <v>59500</v>
      </c>
      <c r="J687" s="97" t="s">
        <v>766</v>
      </c>
      <c r="K687" s="98"/>
      <c r="L687" s="98"/>
    </row>
    <row r="688">
      <c r="B688" s="95" t="s">
        <v>526</v>
      </c>
      <c r="C688" s="95" t="s">
        <v>1282</v>
      </c>
      <c r="D688" s="95" t="s">
        <v>174</v>
      </c>
      <c r="E688" s="95" t="s">
        <v>411</v>
      </c>
      <c r="F688" s="95" t="s">
        <v>650</v>
      </c>
      <c r="G688" s="9">
        <v>510000.0</v>
      </c>
      <c r="H688" s="95" t="s">
        <v>530</v>
      </c>
      <c r="I688" s="13">
        <f t="shared" si="26"/>
        <v>51000</v>
      </c>
      <c r="J688" s="97" t="s">
        <v>766</v>
      </c>
      <c r="K688" s="98"/>
      <c r="L688" s="98"/>
    </row>
    <row r="689">
      <c r="B689" s="95" t="s">
        <v>526</v>
      </c>
      <c r="C689" s="95" t="s">
        <v>1283</v>
      </c>
      <c r="D689" s="95" t="s">
        <v>174</v>
      </c>
      <c r="E689" s="95" t="s">
        <v>411</v>
      </c>
      <c r="F689" s="95" t="s">
        <v>650</v>
      </c>
      <c r="G689" s="9">
        <v>297500.0</v>
      </c>
      <c r="H689" s="95" t="s">
        <v>530</v>
      </c>
      <c r="I689" s="13">
        <f t="shared" si="26"/>
        <v>29750</v>
      </c>
      <c r="J689" s="97" t="s">
        <v>766</v>
      </c>
      <c r="K689" s="98"/>
      <c r="L689" s="98"/>
    </row>
    <row r="690">
      <c r="B690" s="95" t="s">
        <v>526</v>
      </c>
      <c r="C690" s="95" t="s">
        <v>1226</v>
      </c>
      <c r="D690" s="95" t="s">
        <v>174</v>
      </c>
      <c r="E690" s="95" t="s">
        <v>411</v>
      </c>
      <c r="F690" s="95" t="s">
        <v>650</v>
      </c>
      <c r="G690" s="9">
        <v>255000.0</v>
      </c>
      <c r="H690" s="95" t="s">
        <v>530</v>
      </c>
      <c r="I690" s="13">
        <f t="shared" si="26"/>
        <v>25500</v>
      </c>
      <c r="J690" s="97" t="s">
        <v>766</v>
      </c>
      <c r="K690" s="98"/>
      <c r="L690" s="98"/>
    </row>
    <row r="691">
      <c r="B691" s="95" t="s">
        <v>526</v>
      </c>
      <c r="C691" s="95" t="s">
        <v>1227</v>
      </c>
      <c r="D691" s="95" t="s">
        <v>174</v>
      </c>
      <c r="E691" s="95" t="s">
        <v>411</v>
      </c>
      <c r="F691" s="95" t="s">
        <v>650</v>
      </c>
      <c r="G691" s="9">
        <v>212500.0</v>
      </c>
      <c r="H691" s="95" t="s">
        <v>530</v>
      </c>
      <c r="I691" s="13">
        <f t="shared" si="26"/>
        <v>21250</v>
      </c>
      <c r="J691" s="97" t="s">
        <v>766</v>
      </c>
      <c r="K691" s="98"/>
      <c r="L691" s="98"/>
    </row>
    <row r="692">
      <c r="B692" s="95" t="s">
        <v>526</v>
      </c>
      <c r="C692" s="95" t="s">
        <v>1284</v>
      </c>
      <c r="D692" s="95" t="s">
        <v>174</v>
      </c>
      <c r="E692" s="95" t="s">
        <v>411</v>
      </c>
      <c r="F692" s="95" t="s">
        <v>650</v>
      </c>
      <c r="G692" s="9">
        <v>212500.0</v>
      </c>
      <c r="H692" s="95" t="s">
        <v>530</v>
      </c>
      <c r="I692" s="13">
        <f t="shared" si="26"/>
        <v>21250</v>
      </c>
      <c r="J692" s="97" t="s">
        <v>766</v>
      </c>
      <c r="K692" s="98"/>
      <c r="L692" s="98"/>
    </row>
    <row r="693">
      <c r="B693" s="95" t="s">
        <v>526</v>
      </c>
      <c r="C693" s="95" t="s">
        <v>1230</v>
      </c>
      <c r="D693" s="95" t="s">
        <v>174</v>
      </c>
      <c r="E693" s="95" t="s">
        <v>411</v>
      </c>
      <c r="F693" s="95" t="s">
        <v>650</v>
      </c>
      <c r="G693" s="9">
        <v>140250.0</v>
      </c>
      <c r="H693" s="95" t="s">
        <v>530</v>
      </c>
      <c r="I693" s="13">
        <f t="shared" si="26"/>
        <v>14025</v>
      </c>
      <c r="J693" s="97" t="s">
        <v>766</v>
      </c>
      <c r="K693" s="98"/>
      <c r="L693" s="98"/>
    </row>
    <row r="694">
      <c r="B694" s="95" t="s">
        <v>526</v>
      </c>
      <c r="C694" s="95" t="s">
        <v>1285</v>
      </c>
      <c r="D694" s="95" t="s">
        <v>174</v>
      </c>
      <c r="E694" s="95" t="s">
        <v>411</v>
      </c>
      <c r="F694" s="95" t="s">
        <v>650</v>
      </c>
      <c r="G694" s="9">
        <v>127500.0</v>
      </c>
      <c r="H694" s="95" t="s">
        <v>530</v>
      </c>
      <c r="I694" s="13">
        <f t="shared" si="26"/>
        <v>12750</v>
      </c>
      <c r="J694" s="97" t="s">
        <v>766</v>
      </c>
      <c r="K694" s="98"/>
      <c r="L694" s="98"/>
    </row>
    <row r="695">
      <c r="B695" s="95" t="s">
        <v>526</v>
      </c>
      <c r="C695" s="95" t="s">
        <v>1286</v>
      </c>
      <c r="D695" s="95" t="s">
        <v>174</v>
      </c>
      <c r="E695" s="95" t="s">
        <v>411</v>
      </c>
      <c r="F695" s="95" t="s">
        <v>650</v>
      </c>
      <c r="G695" s="9">
        <v>127500.0</v>
      </c>
      <c r="H695" s="95" t="s">
        <v>530</v>
      </c>
      <c r="I695" s="13">
        <f t="shared" si="26"/>
        <v>12750</v>
      </c>
      <c r="J695" s="97" t="s">
        <v>766</v>
      </c>
      <c r="K695" s="98"/>
      <c r="L695" s="98"/>
    </row>
    <row r="696">
      <c r="B696" s="95" t="s">
        <v>526</v>
      </c>
      <c r="C696" s="95" t="s">
        <v>1287</v>
      </c>
      <c r="D696" s="95" t="s">
        <v>174</v>
      </c>
      <c r="E696" s="95" t="s">
        <v>411</v>
      </c>
      <c r="F696" s="95" t="s">
        <v>650</v>
      </c>
      <c r="G696" s="9">
        <v>382500.0</v>
      </c>
      <c r="H696" s="95" t="s">
        <v>635</v>
      </c>
      <c r="I696" s="13">
        <f>G696/6</f>
        <v>63750</v>
      </c>
      <c r="J696" s="97" t="s">
        <v>1288</v>
      </c>
      <c r="K696" s="98"/>
      <c r="L696" s="98"/>
    </row>
    <row r="697">
      <c r="B697" s="95" t="s">
        <v>526</v>
      </c>
      <c r="C697" s="95" t="s">
        <v>1289</v>
      </c>
      <c r="D697" s="95" t="s">
        <v>174</v>
      </c>
      <c r="E697" s="95" t="s">
        <v>411</v>
      </c>
      <c r="F697" s="95" t="s">
        <v>650</v>
      </c>
      <c r="G697" s="9">
        <v>102000.0</v>
      </c>
      <c r="H697" s="95" t="s">
        <v>530</v>
      </c>
      <c r="I697" s="13">
        <f t="shared" ref="I697:I716" si="28">G697/10</f>
        <v>10200</v>
      </c>
      <c r="J697" s="97" t="s">
        <v>766</v>
      </c>
      <c r="K697" s="98"/>
      <c r="L697" s="98"/>
    </row>
    <row r="698">
      <c r="B698" s="95" t="s">
        <v>526</v>
      </c>
      <c r="C698" s="95" t="s">
        <v>1290</v>
      </c>
      <c r="D698" s="95" t="s">
        <v>174</v>
      </c>
      <c r="E698" s="95" t="s">
        <v>373</v>
      </c>
      <c r="F698" s="95" t="s">
        <v>650</v>
      </c>
      <c r="G698" s="9">
        <v>191250.0</v>
      </c>
      <c r="H698" s="95" t="s">
        <v>530</v>
      </c>
      <c r="I698" s="13">
        <f t="shared" si="28"/>
        <v>19125</v>
      </c>
      <c r="J698" s="97" t="s">
        <v>1291</v>
      </c>
      <c r="K698" s="98"/>
      <c r="L698" s="98"/>
    </row>
    <row r="699">
      <c r="B699" s="95" t="s">
        <v>526</v>
      </c>
      <c r="C699" s="95" t="s">
        <v>1210</v>
      </c>
      <c r="D699" s="95" t="s">
        <v>174</v>
      </c>
      <c r="E699" s="95" t="s">
        <v>373</v>
      </c>
      <c r="F699" s="95" t="s">
        <v>650</v>
      </c>
      <c r="G699" s="9">
        <v>178500.0</v>
      </c>
      <c r="H699" s="95" t="s">
        <v>530</v>
      </c>
      <c r="I699" s="13">
        <f t="shared" si="28"/>
        <v>17850</v>
      </c>
      <c r="J699" s="97" t="s">
        <v>1291</v>
      </c>
      <c r="K699" s="98"/>
      <c r="L699" s="98"/>
    </row>
    <row r="700">
      <c r="B700" s="95" t="s">
        <v>526</v>
      </c>
      <c r="C700" s="95" t="s">
        <v>1292</v>
      </c>
      <c r="D700" s="95" t="s">
        <v>174</v>
      </c>
      <c r="E700" s="95" t="s">
        <v>373</v>
      </c>
      <c r="F700" s="95" t="s">
        <v>650</v>
      </c>
      <c r="G700" s="9">
        <v>144500.0</v>
      </c>
      <c r="H700" s="95" t="s">
        <v>530</v>
      </c>
      <c r="I700" s="13">
        <f t="shared" si="28"/>
        <v>14450</v>
      </c>
      <c r="J700" s="97" t="s">
        <v>1291</v>
      </c>
      <c r="K700" s="98"/>
      <c r="L700" s="98"/>
    </row>
    <row r="701">
      <c r="B701" s="95" t="s">
        <v>526</v>
      </c>
      <c r="C701" s="95" t="s">
        <v>1238</v>
      </c>
      <c r="D701" s="95" t="s">
        <v>174</v>
      </c>
      <c r="E701" s="95" t="s">
        <v>373</v>
      </c>
      <c r="F701" s="95" t="s">
        <v>650</v>
      </c>
      <c r="G701" s="9">
        <v>136000.0</v>
      </c>
      <c r="H701" s="95" t="s">
        <v>530</v>
      </c>
      <c r="I701" s="13">
        <f t="shared" si="28"/>
        <v>13600</v>
      </c>
      <c r="J701" s="97" t="s">
        <v>1291</v>
      </c>
      <c r="K701" s="98"/>
      <c r="L701" s="98"/>
    </row>
    <row r="702">
      <c r="B702" s="95" t="s">
        <v>526</v>
      </c>
      <c r="C702" s="95" t="s">
        <v>1293</v>
      </c>
      <c r="D702" s="95" t="s">
        <v>174</v>
      </c>
      <c r="E702" s="95" t="s">
        <v>373</v>
      </c>
      <c r="F702" s="95" t="s">
        <v>650</v>
      </c>
      <c r="G702" s="9">
        <v>127500.0</v>
      </c>
      <c r="H702" s="95" t="s">
        <v>530</v>
      </c>
      <c r="I702" s="13">
        <f t="shared" si="28"/>
        <v>12750</v>
      </c>
      <c r="J702" s="97" t="s">
        <v>1291</v>
      </c>
      <c r="K702" s="98"/>
      <c r="L702" s="98"/>
    </row>
    <row r="703">
      <c r="B703" s="95" t="s">
        <v>526</v>
      </c>
      <c r="C703" s="95" t="s">
        <v>1294</v>
      </c>
      <c r="D703" s="95" t="s">
        <v>174</v>
      </c>
      <c r="E703" s="95" t="s">
        <v>373</v>
      </c>
      <c r="F703" s="95" t="s">
        <v>650</v>
      </c>
      <c r="G703" s="9">
        <v>127500.0</v>
      </c>
      <c r="H703" s="95" t="s">
        <v>530</v>
      </c>
      <c r="I703" s="13">
        <f t="shared" si="28"/>
        <v>12750</v>
      </c>
      <c r="J703" s="97" t="s">
        <v>1291</v>
      </c>
      <c r="K703" s="98"/>
      <c r="L703" s="98"/>
    </row>
    <row r="704">
      <c r="B704" s="95" t="s">
        <v>526</v>
      </c>
      <c r="C704" s="95" t="s">
        <v>1148</v>
      </c>
      <c r="D704" s="95" t="s">
        <v>174</v>
      </c>
      <c r="E704" s="95" t="s">
        <v>373</v>
      </c>
      <c r="F704" s="95" t="s">
        <v>650</v>
      </c>
      <c r="G704" s="9">
        <v>119000.0</v>
      </c>
      <c r="H704" s="95" t="s">
        <v>530</v>
      </c>
      <c r="I704" s="13">
        <f t="shared" si="28"/>
        <v>11900</v>
      </c>
      <c r="J704" s="97" t="s">
        <v>1291</v>
      </c>
      <c r="K704" s="98"/>
      <c r="L704" s="98"/>
    </row>
    <row r="705">
      <c r="B705" s="95" t="s">
        <v>526</v>
      </c>
      <c r="C705" s="95" t="s">
        <v>1295</v>
      </c>
      <c r="D705" s="95" t="s">
        <v>174</v>
      </c>
      <c r="E705" s="95" t="s">
        <v>373</v>
      </c>
      <c r="F705" s="95" t="s">
        <v>650</v>
      </c>
      <c r="G705" s="9">
        <v>102000.0</v>
      </c>
      <c r="H705" s="95" t="s">
        <v>530</v>
      </c>
      <c r="I705" s="13">
        <f t="shared" si="28"/>
        <v>10200</v>
      </c>
      <c r="J705" s="97" t="s">
        <v>1291</v>
      </c>
      <c r="K705" s="98"/>
      <c r="L705" s="98"/>
    </row>
    <row r="706">
      <c r="B706" s="95" t="s">
        <v>526</v>
      </c>
      <c r="C706" s="95" t="s">
        <v>1296</v>
      </c>
      <c r="D706" s="95" t="s">
        <v>174</v>
      </c>
      <c r="E706" s="95" t="s">
        <v>373</v>
      </c>
      <c r="F706" s="95" t="s">
        <v>650</v>
      </c>
      <c r="G706" s="9">
        <v>110500.0</v>
      </c>
      <c r="H706" s="95" t="s">
        <v>530</v>
      </c>
      <c r="I706" s="13">
        <f t="shared" si="28"/>
        <v>11050</v>
      </c>
      <c r="J706" s="97" t="s">
        <v>1291</v>
      </c>
      <c r="K706" s="98"/>
      <c r="L706" s="98"/>
    </row>
    <row r="707">
      <c r="B707" s="95" t="s">
        <v>526</v>
      </c>
      <c r="C707" s="95" t="s">
        <v>1297</v>
      </c>
      <c r="D707" s="95" t="s">
        <v>174</v>
      </c>
      <c r="E707" s="95" t="s">
        <v>373</v>
      </c>
      <c r="F707" s="95" t="s">
        <v>650</v>
      </c>
      <c r="G707" s="9">
        <v>102000.0</v>
      </c>
      <c r="H707" s="95" t="s">
        <v>530</v>
      </c>
      <c r="I707" s="13">
        <f t="shared" si="28"/>
        <v>10200</v>
      </c>
      <c r="J707" s="97" t="s">
        <v>1291</v>
      </c>
      <c r="K707" s="98"/>
      <c r="L707" s="98"/>
    </row>
    <row r="708">
      <c r="B708" s="95" t="s">
        <v>526</v>
      </c>
      <c r="C708" s="95" t="s">
        <v>1298</v>
      </c>
      <c r="D708" s="95" t="s">
        <v>174</v>
      </c>
      <c r="E708" s="95" t="s">
        <v>373</v>
      </c>
      <c r="F708" s="95" t="s">
        <v>650</v>
      </c>
      <c r="G708" s="9">
        <v>110500.0</v>
      </c>
      <c r="H708" s="95" t="s">
        <v>530</v>
      </c>
      <c r="I708" s="13">
        <f t="shared" si="28"/>
        <v>11050</v>
      </c>
      <c r="J708" s="97" t="s">
        <v>1291</v>
      </c>
      <c r="K708" s="98"/>
      <c r="L708" s="98"/>
    </row>
    <row r="709">
      <c r="B709" s="95" t="s">
        <v>526</v>
      </c>
      <c r="C709" s="95" t="s">
        <v>1299</v>
      </c>
      <c r="D709" s="95" t="s">
        <v>174</v>
      </c>
      <c r="E709" s="95" t="s">
        <v>373</v>
      </c>
      <c r="F709" s="95" t="s">
        <v>650</v>
      </c>
      <c r="G709" s="9">
        <v>59500.0</v>
      </c>
      <c r="H709" s="95" t="s">
        <v>530</v>
      </c>
      <c r="I709" s="13">
        <f t="shared" si="28"/>
        <v>5950</v>
      </c>
      <c r="J709" s="97" t="s">
        <v>1291</v>
      </c>
      <c r="K709" s="98"/>
      <c r="L709" s="98"/>
    </row>
    <row r="710">
      <c r="B710" s="95" t="s">
        <v>526</v>
      </c>
      <c r="C710" s="95" t="s">
        <v>1300</v>
      </c>
      <c r="D710" s="95" t="s">
        <v>69</v>
      </c>
      <c r="E710" s="95" t="s">
        <v>94</v>
      </c>
      <c r="F710" s="95" t="s">
        <v>738</v>
      </c>
      <c r="G710" s="9">
        <v>60000.0</v>
      </c>
      <c r="H710" s="95" t="s">
        <v>530</v>
      </c>
      <c r="I710" s="13">
        <f t="shared" si="28"/>
        <v>6000</v>
      </c>
      <c r="J710" s="97" t="s">
        <v>1089</v>
      </c>
      <c r="K710" s="98"/>
      <c r="L710" s="98"/>
    </row>
    <row r="711">
      <c r="B711" s="95" t="s">
        <v>526</v>
      </c>
      <c r="C711" s="95" t="s">
        <v>1301</v>
      </c>
      <c r="D711" s="95" t="s">
        <v>69</v>
      </c>
      <c r="E711" s="95" t="s">
        <v>123</v>
      </c>
      <c r="F711" s="95" t="s">
        <v>738</v>
      </c>
      <c r="G711" s="9">
        <v>60000.0</v>
      </c>
      <c r="H711" s="95" t="s">
        <v>530</v>
      </c>
      <c r="I711" s="13">
        <f t="shared" si="28"/>
        <v>6000</v>
      </c>
      <c r="J711" s="97" t="s">
        <v>1089</v>
      </c>
      <c r="K711" s="98"/>
      <c r="L711" s="98"/>
    </row>
    <row r="712">
      <c r="B712" s="95" t="s">
        <v>526</v>
      </c>
      <c r="C712" s="95" t="s">
        <v>1302</v>
      </c>
      <c r="D712" s="95" t="s">
        <v>69</v>
      </c>
      <c r="E712" s="95" t="s">
        <v>561</v>
      </c>
      <c r="F712" s="95" t="s">
        <v>643</v>
      </c>
      <c r="G712" s="9">
        <v>80000.0</v>
      </c>
      <c r="H712" s="95" t="s">
        <v>530</v>
      </c>
      <c r="I712" s="13">
        <f t="shared" si="28"/>
        <v>8000</v>
      </c>
      <c r="J712" s="98" t="s">
        <v>1303</v>
      </c>
      <c r="K712" s="98"/>
      <c r="L712" s="98"/>
    </row>
    <row r="713">
      <c r="B713" s="95" t="s">
        <v>526</v>
      </c>
      <c r="C713" s="95" t="s">
        <v>1304</v>
      </c>
      <c r="D713" s="95" t="s">
        <v>69</v>
      </c>
      <c r="E713" s="95" t="s">
        <v>561</v>
      </c>
      <c r="F713" s="95" t="s">
        <v>643</v>
      </c>
      <c r="G713" s="9">
        <v>130000.0</v>
      </c>
      <c r="H713" s="95" t="s">
        <v>530</v>
      </c>
      <c r="I713" s="13">
        <f t="shared" si="28"/>
        <v>13000</v>
      </c>
      <c r="J713" s="97" t="s">
        <v>873</v>
      </c>
      <c r="K713" s="98"/>
      <c r="L713" s="98"/>
    </row>
    <row r="714">
      <c r="B714" s="95" t="s">
        <v>526</v>
      </c>
      <c r="C714" s="95" t="s">
        <v>1304</v>
      </c>
      <c r="D714" s="95" t="s">
        <v>222</v>
      </c>
      <c r="E714" s="95" t="s">
        <v>1019</v>
      </c>
      <c r="F714" s="95" t="s">
        <v>685</v>
      </c>
      <c r="G714" s="9">
        <v>750000.0</v>
      </c>
      <c r="H714" s="95" t="s">
        <v>530</v>
      </c>
      <c r="I714" s="13">
        <f t="shared" si="28"/>
        <v>75000</v>
      </c>
      <c r="J714" s="97" t="s">
        <v>1305</v>
      </c>
      <c r="K714" s="98" t="s">
        <v>1306</v>
      </c>
      <c r="L714" s="98"/>
    </row>
    <row r="715">
      <c r="B715" s="95" t="s">
        <v>526</v>
      </c>
      <c r="C715" s="95" t="s">
        <v>1307</v>
      </c>
      <c r="D715" s="95" t="s">
        <v>69</v>
      </c>
      <c r="E715" s="95" t="s">
        <v>542</v>
      </c>
      <c r="F715" s="95" t="s">
        <v>738</v>
      </c>
      <c r="G715" s="9">
        <v>60000.0</v>
      </c>
      <c r="H715" s="95" t="s">
        <v>530</v>
      </c>
      <c r="I715" s="13">
        <f t="shared" si="28"/>
        <v>6000</v>
      </c>
      <c r="J715" s="97" t="s">
        <v>1089</v>
      </c>
      <c r="K715" s="98"/>
      <c r="L715" s="98"/>
    </row>
    <row r="716">
      <c r="B716" s="95" t="s">
        <v>526</v>
      </c>
      <c r="C716" s="95" t="s">
        <v>1308</v>
      </c>
      <c r="D716" s="95" t="s">
        <v>69</v>
      </c>
      <c r="E716" s="95" t="s">
        <v>1073</v>
      </c>
      <c r="F716" s="95" t="s">
        <v>738</v>
      </c>
      <c r="G716" s="9">
        <v>50000.0</v>
      </c>
      <c r="H716" s="95" t="s">
        <v>530</v>
      </c>
      <c r="I716" s="13">
        <f t="shared" si="28"/>
        <v>5000</v>
      </c>
      <c r="J716" s="97" t="s">
        <v>1089</v>
      </c>
      <c r="K716" s="98"/>
      <c r="L716" s="98"/>
    </row>
    <row r="717">
      <c r="B717" s="95" t="s">
        <v>526</v>
      </c>
      <c r="C717" s="95" t="s">
        <v>1308</v>
      </c>
      <c r="D717" s="95" t="s">
        <v>1024</v>
      </c>
      <c r="E717" s="95" t="s">
        <v>1309</v>
      </c>
      <c r="F717" s="95" t="s">
        <v>685</v>
      </c>
      <c r="G717" s="9">
        <v>1000000.0</v>
      </c>
      <c r="H717" s="95" t="s">
        <v>728</v>
      </c>
      <c r="I717" s="13">
        <f>G717/7</f>
        <v>142857.1429</v>
      </c>
      <c r="J717" s="98" t="s">
        <v>1310</v>
      </c>
      <c r="K717" s="97" t="s">
        <v>1311</v>
      </c>
      <c r="L717" s="98"/>
    </row>
    <row r="718">
      <c r="B718" s="95" t="s">
        <v>526</v>
      </c>
      <c r="C718" s="95" t="s">
        <v>1312</v>
      </c>
      <c r="D718" s="95" t="s">
        <v>69</v>
      </c>
      <c r="E718" s="95" t="s">
        <v>561</v>
      </c>
      <c r="F718" s="95" t="s">
        <v>643</v>
      </c>
      <c r="G718" s="9">
        <v>80000.0</v>
      </c>
      <c r="H718" s="95" t="s">
        <v>530</v>
      </c>
      <c r="I718" s="13">
        <f t="shared" ref="I718:I756" si="29">G718/10</f>
        <v>8000</v>
      </c>
      <c r="J718" s="98" t="s">
        <v>1064</v>
      </c>
      <c r="K718" s="98"/>
      <c r="L718" s="98"/>
    </row>
    <row r="719">
      <c r="B719" s="95" t="s">
        <v>526</v>
      </c>
      <c r="C719" s="95" t="s">
        <v>1313</v>
      </c>
      <c r="D719" s="95" t="s">
        <v>69</v>
      </c>
      <c r="E719" s="95" t="s">
        <v>561</v>
      </c>
      <c r="F719" s="95" t="s">
        <v>643</v>
      </c>
      <c r="G719" s="9">
        <v>40000.0</v>
      </c>
      <c r="H719" s="95" t="s">
        <v>530</v>
      </c>
      <c r="I719" s="13">
        <f t="shared" si="29"/>
        <v>4000</v>
      </c>
      <c r="J719" s="98" t="s">
        <v>1064</v>
      </c>
      <c r="K719" s="98"/>
      <c r="L719" s="98"/>
    </row>
    <row r="720">
      <c r="B720" s="95" t="s">
        <v>526</v>
      </c>
      <c r="C720" s="95" t="s">
        <v>1229</v>
      </c>
      <c r="D720" s="95" t="s">
        <v>69</v>
      </c>
      <c r="E720" s="95" t="s">
        <v>542</v>
      </c>
      <c r="F720" s="95" t="s">
        <v>738</v>
      </c>
      <c r="G720" s="9">
        <v>80000.0</v>
      </c>
      <c r="H720" s="95" t="s">
        <v>530</v>
      </c>
      <c r="I720" s="13">
        <f t="shared" si="29"/>
        <v>8000</v>
      </c>
      <c r="J720" s="97" t="s">
        <v>1089</v>
      </c>
      <c r="K720" s="98"/>
      <c r="L720" s="98"/>
    </row>
    <row r="721">
      <c r="B721" s="95" t="s">
        <v>526</v>
      </c>
      <c r="C721" s="95" t="s">
        <v>1314</v>
      </c>
      <c r="D721" s="95" t="s">
        <v>69</v>
      </c>
      <c r="E721" s="95" t="s">
        <v>1073</v>
      </c>
      <c r="F721" s="95" t="s">
        <v>738</v>
      </c>
      <c r="G721" s="9">
        <v>40000.0</v>
      </c>
      <c r="H721" s="95" t="s">
        <v>530</v>
      </c>
      <c r="I721" s="13">
        <f t="shared" si="29"/>
        <v>4000</v>
      </c>
      <c r="J721" s="97" t="s">
        <v>1089</v>
      </c>
      <c r="K721" s="98"/>
      <c r="L721" s="98"/>
    </row>
    <row r="722">
      <c r="B722" s="95" t="s">
        <v>526</v>
      </c>
      <c r="C722" s="95" t="s">
        <v>1068</v>
      </c>
      <c r="D722" s="95" t="s">
        <v>69</v>
      </c>
      <c r="E722" s="95" t="s">
        <v>561</v>
      </c>
      <c r="F722" s="95" t="s">
        <v>586</v>
      </c>
      <c r="G722" s="9">
        <v>190000.0</v>
      </c>
      <c r="H722" s="95" t="s">
        <v>530</v>
      </c>
      <c r="I722" s="13">
        <f t="shared" si="29"/>
        <v>19000</v>
      </c>
      <c r="J722" s="97" t="s">
        <v>1087</v>
      </c>
      <c r="K722" s="98" t="s">
        <v>1113</v>
      </c>
      <c r="L722" s="98"/>
    </row>
    <row r="723">
      <c r="B723" s="95" t="s">
        <v>526</v>
      </c>
      <c r="C723" s="95" t="s">
        <v>1315</v>
      </c>
      <c r="D723" s="95" t="s">
        <v>69</v>
      </c>
      <c r="E723" s="95" t="s">
        <v>561</v>
      </c>
      <c r="F723" s="95" t="s">
        <v>586</v>
      </c>
      <c r="G723" s="9">
        <v>250000.0</v>
      </c>
      <c r="H723" s="95" t="s">
        <v>530</v>
      </c>
      <c r="I723" s="13">
        <f t="shared" si="29"/>
        <v>25000</v>
      </c>
      <c r="J723" s="98" t="s">
        <v>1316</v>
      </c>
      <c r="K723" s="97" t="s">
        <v>1317</v>
      </c>
      <c r="L723" s="98"/>
    </row>
    <row r="724">
      <c r="B724" s="95" t="s">
        <v>526</v>
      </c>
      <c r="C724" s="95" t="s">
        <v>856</v>
      </c>
      <c r="D724" s="95" t="s">
        <v>69</v>
      </c>
      <c r="E724" s="95" t="s">
        <v>561</v>
      </c>
      <c r="F724" s="95" t="s">
        <v>586</v>
      </c>
      <c r="G724" s="9">
        <v>280000.0</v>
      </c>
      <c r="H724" s="95" t="s">
        <v>530</v>
      </c>
      <c r="I724" s="13">
        <f t="shared" si="29"/>
        <v>28000</v>
      </c>
      <c r="J724" s="98" t="s">
        <v>1064</v>
      </c>
      <c r="K724" s="97" t="s">
        <v>1317</v>
      </c>
      <c r="L724" s="98"/>
    </row>
    <row r="725">
      <c r="B725" s="95" t="s">
        <v>526</v>
      </c>
      <c r="C725" s="95" t="s">
        <v>1060</v>
      </c>
      <c r="D725" s="95" t="s">
        <v>69</v>
      </c>
      <c r="E725" s="95" t="s">
        <v>561</v>
      </c>
      <c r="F725" s="95" t="s">
        <v>586</v>
      </c>
      <c r="G725" s="9">
        <v>180000.0</v>
      </c>
      <c r="H725" s="95" t="s">
        <v>530</v>
      </c>
      <c r="I725" s="13">
        <f t="shared" si="29"/>
        <v>18000</v>
      </c>
      <c r="J725" s="98" t="s">
        <v>1316</v>
      </c>
      <c r="K725" s="97" t="s">
        <v>1317</v>
      </c>
      <c r="L725" s="98"/>
    </row>
    <row r="726">
      <c r="B726" s="95" t="s">
        <v>526</v>
      </c>
      <c r="C726" s="95" t="s">
        <v>1318</v>
      </c>
      <c r="D726" s="95" t="s">
        <v>69</v>
      </c>
      <c r="E726" s="95" t="s">
        <v>561</v>
      </c>
      <c r="F726" s="95" t="s">
        <v>586</v>
      </c>
      <c r="G726" s="9">
        <v>170000.0</v>
      </c>
      <c r="H726" s="95" t="s">
        <v>530</v>
      </c>
      <c r="I726" s="13">
        <f t="shared" si="29"/>
        <v>17000</v>
      </c>
      <c r="J726" s="98" t="s">
        <v>1316</v>
      </c>
      <c r="K726" s="97" t="s">
        <v>1317</v>
      </c>
      <c r="L726" s="98"/>
    </row>
    <row r="727">
      <c r="B727" s="95" t="s">
        <v>526</v>
      </c>
      <c r="C727" s="95" t="s">
        <v>1304</v>
      </c>
      <c r="D727" s="95" t="s">
        <v>69</v>
      </c>
      <c r="E727" s="95" t="s">
        <v>561</v>
      </c>
      <c r="F727" s="95" t="s">
        <v>586</v>
      </c>
      <c r="G727" s="9">
        <v>140000.0</v>
      </c>
      <c r="H727" s="95" t="s">
        <v>530</v>
      </c>
      <c r="I727" s="13">
        <f t="shared" si="29"/>
        <v>14000</v>
      </c>
      <c r="J727" s="98" t="s">
        <v>1316</v>
      </c>
      <c r="K727" s="97" t="s">
        <v>1317</v>
      </c>
      <c r="L727" s="98"/>
    </row>
    <row r="728">
      <c r="B728" s="95" t="s">
        <v>526</v>
      </c>
      <c r="C728" s="95" t="s">
        <v>790</v>
      </c>
      <c r="D728" s="95" t="s">
        <v>69</v>
      </c>
      <c r="E728" s="95" t="s">
        <v>555</v>
      </c>
      <c r="F728" s="95" t="s">
        <v>738</v>
      </c>
      <c r="G728" s="9">
        <v>165000.0</v>
      </c>
      <c r="H728" s="95" t="s">
        <v>530</v>
      </c>
      <c r="I728" s="13">
        <f t="shared" si="29"/>
        <v>16500</v>
      </c>
      <c r="J728" s="97" t="s">
        <v>1090</v>
      </c>
      <c r="K728" s="98"/>
      <c r="L728" s="98"/>
    </row>
    <row r="729">
      <c r="B729" s="95" t="s">
        <v>526</v>
      </c>
      <c r="C729" s="95" t="s">
        <v>581</v>
      </c>
      <c r="D729" s="95" t="s">
        <v>69</v>
      </c>
      <c r="E729" s="95" t="s">
        <v>561</v>
      </c>
      <c r="F729" s="95" t="s">
        <v>586</v>
      </c>
      <c r="G729" s="9">
        <v>140000.0</v>
      </c>
      <c r="H729" s="95" t="s">
        <v>530</v>
      </c>
      <c r="I729" s="13">
        <f t="shared" si="29"/>
        <v>14000</v>
      </c>
      <c r="J729" s="98" t="s">
        <v>1064</v>
      </c>
      <c r="K729" s="97" t="s">
        <v>1317</v>
      </c>
      <c r="L729" s="98"/>
    </row>
    <row r="730">
      <c r="B730" s="95" t="s">
        <v>526</v>
      </c>
      <c r="C730" s="95" t="s">
        <v>1319</v>
      </c>
      <c r="D730" s="95" t="s">
        <v>69</v>
      </c>
      <c r="E730" s="95" t="s">
        <v>561</v>
      </c>
      <c r="F730" s="95" t="s">
        <v>586</v>
      </c>
      <c r="G730" s="9">
        <v>120000.0</v>
      </c>
      <c r="H730" s="95" t="s">
        <v>530</v>
      </c>
      <c r="I730" s="13">
        <f t="shared" si="29"/>
        <v>12000</v>
      </c>
      <c r="J730" s="98" t="s">
        <v>1316</v>
      </c>
      <c r="K730" s="97" t="s">
        <v>1317</v>
      </c>
      <c r="L730" s="98"/>
    </row>
    <row r="731">
      <c r="B731" s="95" t="s">
        <v>526</v>
      </c>
      <c r="C731" s="95" t="s">
        <v>1093</v>
      </c>
      <c r="D731" s="95" t="s">
        <v>69</v>
      </c>
      <c r="E731" s="95" t="s">
        <v>561</v>
      </c>
      <c r="F731" s="95" t="s">
        <v>586</v>
      </c>
      <c r="G731" s="9">
        <v>90000.0</v>
      </c>
      <c r="H731" s="95" t="s">
        <v>530</v>
      </c>
      <c r="I731" s="13">
        <f t="shared" si="29"/>
        <v>9000</v>
      </c>
      <c r="J731" s="98" t="s">
        <v>1316</v>
      </c>
      <c r="K731" s="118" t="s">
        <v>1317</v>
      </c>
      <c r="L731" s="98"/>
    </row>
    <row r="732">
      <c r="B732" s="95" t="s">
        <v>526</v>
      </c>
      <c r="C732" s="95" t="s">
        <v>1320</v>
      </c>
      <c r="D732" s="95" t="s">
        <v>69</v>
      </c>
      <c r="E732" s="95" t="s">
        <v>561</v>
      </c>
      <c r="F732" s="95" t="s">
        <v>586</v>
      </c>
      <c r="G732" s="9">
        <v>70000.0</v>
      </c>
      <c r="H732" s="95" t="s">
        <v>530</v>
      </c>
      <c r="I732" s="13">
        <f t="shared" si="29"/>
        <v>7000</v>
      </c>
      <c r="J732" s="98" t="s">
        <v>1316</v>
      </c>
      <c r="K732" s="97" t="s">
        <v>1317</v>
      </c>
      <c r="L732" s="98"/>
    </row>
    <row r="733">
      <c r="B733" s="95" t="s">
        <v>526</v>
      </c>
      <c r="C733" s="95" t="s">
        <v>1313</v>
      </c>
      <c r="D733" s="95" t="s">
        <v>69</v>
      </c>
      <c r="E733" s="95" t="s">
        <v>561</v>
      </c>
      <c r="F733" s="95" t="s">
        <v>586</v>
      </c>
      <c r="G733" s="9">
        <v>70000.0</v>
      </c>
      <c r="H733" s="95" t="s">
        <v>530</v>
      </c>
      <c r="I733" s="13">
        <f t="shared" si="29"/>
        <v>7000</v>
      </c>
      <c r="J733" s="98" t="s">
        <v>1064</v>
      </c>
      <c r="K733" s="98"/>
      <c r="L733" s="98"/>
    </row>
    <row r="734">
      <c r="B734" s="95" t="s">
        <v>526</v>
      </c>
      <c r="C734" s="95" t="s">
        <v>1321</v>
      </c>
      <c r="D734" s="95" t="s">
        <v>69</v>
      </c>
      <c r="E734" s="95" t="s">
        <v>561</v>
      </c>
      <c r="F734" s="95" t="s">
        <v>586</v>
      </c>
      <c r="G734" s="9">
        <v>10000.0</v>
      </c>
      <c r="H734" s="95" t="s">
        <v>530</v>
      </c>
      <c r="I734" s="13">
        <f t="shared" si="29"/>
        <v>1000</v>
      </c>
      <c r="J734" s="98" t="s">
        <v>1316</v>
      </c>
      <c r="K734" s="97" t="s">
        <v>1317</v>
      </c>
      <c r="L734" s="98"/>
    </row>
    <row r="735">
      <c r="B735" s="95" t="s">
        <v>526</v>
      </c>
      <c r="C735" s="95" t="s">
        <v>837</v>
      </c>
      <c r="D735" s="95" t="s">
        <v>88</v>
      </c>
      <c r="E735" s="95" t="s">
        <v>425</v>
      </c>
      <c r="F735" s="95" t="s">
        <v>643</v>
      </c>
      <c r="G735" s="9">
        <v>500000.0</v>
      </c>
      <c r="H735" s="95" t="s">
        <v>530</v>
      </c>
      <c r="I735" s="13">
        <f t="shared" si="29"/>
        <v>50000</v>
      </c>
      <c r="J735" s="97" t="s">
        <v>878</v>
      </c>
      <c r="K735" s="98"/>
      <c r="L735" s="98"/>
    </row>
    <row r="736">
      <c r="B736" s="95" t="s">
        <v>526</v>
      </c>
      <c r="C736" s="95" t="s">
        <v>554</v>
      </c>
      <c r="D736" s="95" t="s">
        <v>140</v>
      </c>
      <c r="E736" s="95" t="s">
        <v>194</v>
      </c>
      <c r="F736" s="95" t="s">
        <v>643</v>
      </c>
      <c r="G736" s="9">
        <v>350000.0</v>
      </c>
      <c r="H736" s="95" t="s">
        <v>530</v>
      </c>
      <c r="I736" s="13">
        <f t="shared" si="29"/>
        <v>35000</v>
      </c>
      <c r="J736" s="97" t="s">
        <v>878</v>
      </c>
      <c r="K736" s="98"/>
      <c r="L736" s="98"/>
    </row>
    <row r="737">
      <c r="B737" s="95" t="s">
        <v>526</v>
      </c>
      <c r="C737" s="95" t="s">
        <v>1194</v>
      </c>
      <c r="D737" s="95" t="s">
        <v>195</v>
      </c>
      <c r="E737" s="95" t="s">
        <v>432</v>
      </c>
      <c r="F737" s="95" t="s">
        <v>650</v>
      </c>
      <c r="G737" s="9">
        <v>2200000.0</v>
      </c>
      <c r="H737" s="95" t="s">
        <v>530</v>
      </c>
      <c r="I737" s="13">
        <f t="shared" si="29"/>
        <v>220000</v>
      </c>
      <c r="J737" s="97" t="s">
        <v>848</v>
      </c>
      <c r="K737" s="98"/>
      <c r="L737" s="98"/>
    </row>
    <row r="738">
      <c r="B738" s="95" t="s">
        <v>526</v>
      </c>
      <c r="C738" s="95" t="s">
        <v>1322</v>
      </c>
      <c r="D738" s="95" t="s">
        <v>195</v>
      </c>
      <c r="E738" s="95" t="s">
        <v>432</v>
      </c>
      <c r="F738" s="95" t="s">
        <v>650</v>
      </c>
      <c r="G738" s="9">
        <v>1600000.0</v>
      </c>
      <c r="H738" s="95" t="s">
        <v>530</v>
      </c>
      <c r="I738" s="13">
        <f t="shared" si="29"/>
        <v>160000</v>
      </c>
      <c r="J738" s="97" t="s">
        <v>848</v>
      </c>
      <c r="K738" s="98"/>
      <c r="L738" s="98"/>
    </row>
    <row r="739">
      <c r="B739" s="95" t="s">
        <v>526</v>
      </c>
      <c r="C739" s="95" t="s">
        <v>1323</v>
      </c>
      <c r="D739" s="95" t="s">
        <v>195</v>
      </c>
      <c r="E739" s="95" t="s">
        <v>432</v>
      </c>
      <c r="F739" s="95" t="s">
        <v>650</v>
      </c>
      <c r="G739" s="9">
        <v>1500000.0</v>
      </c>
      <c r="H739" s="95" t="s">
        <v>530</v>
      </c>
      <c r="I739" s="13">
        <f t="shared" si="29"/>
        <v>150000</v>
      </c>
      <c r="J739" s="97" t="s">
        <v>848</v>
      </c>
      <c r="K739" s="98"/>
      <c r="L739" s="98"/>
    </row>
    <row r="740">
      <c r="B740" s="95" t="s">
        <v>526</v>
      </c>
      <c r="C740" s="95" t="s">
        <v>1324</v>
      </c>
      <c r="D740" s="95" t="s">
        <v>195</v>
      </c>
      <c r="E740" s="95" t="s">
        <v>432</v>
      </c>
      <c r="F740" s="95" t="s">
        <v>650</v>
      </c>
      <c r="G740" s="9">
        <v>1400000.0</v>
      </c>
      <c r="H740" s="95" t="s">
        <v>530</v>
      </c>
      <c r="I740" s="13">
        <f t="shared" si="29"/>
        <v>140000</v>
      </c>
      <c r="J740" s="97" t="s">
        <v>848</v>
      </c>
      <c r="K740" s="98"/>
      <c r="L740" s="98"/>
    </row>
    <row r="741">
      <c r="B741" s="95" t="s">
        <v>526</v>
      </c>
      <c r="C741" s="95" t="s">
        <v>1195</v>
      </c>
      <c r="D741" s="95" t="s">
        <v>195</v>
      </c>
      <c r="E741" s="95" t="s">
        <v>432</v>
      </c>
      <c r="F741" s="95" t="s">
        <v>650</v>
      </c>
      <c r="G741" s="9">
        <v>1200000.0</v>
      </c>
      <c r="H741" s="95" t="s">
        <v>530</v>
      </c>
      <c r="I741" s="13">
        <f t="shared" si="29"/>
        <v>120000</v>
      </c>
      <c r="J741" s="97" t="s">
        <v>848</v>
      </c>
      <c r="K741" s="98"/>
      <c r="L741" s="98"/>
    </row>
    <row r="742">
      <c r="B742" s="95" t="s">
        <v>526</v>
      </c>
      <c r="C742" s="95" t="s">
        <v>1325</v>
      </c>
      <c r="D742" s="95" t="s">
        <v>69</v>
      </c>
      <c r="E742" s="95" t="s">
        <v>561</v>
      </c>
      <c r="F742" s="95" t="s">
        <v>586</v>
      </c>
      <c r="G742" s="9">
        <v>10000.0</v>
      </c>
      <c r="H742" s="95" t="s">
        <v>530</v>
      </c>
      <c r="I742" s="13">
        <f t="shared" si="29"/>
        <v>1000</v>
      </c>
      <c r="J742" s="98" t="s">
        <v>1316</v>
      </c>
      <c r="K742" s="97" t="s">
        <v>1317</v>
      </c>
      <c r="L742" s="98"/>
    </row>
    <row r="743">
      <c r="B743" s="95" t="s">
        <v>526</v>
      </c>
      <c r="C743" s="95" t="s">
        <v>706</v>
      </c>
      <c r="D743" s="95" t="s">
        <v>222</v>
      </c>
      <c r="E743" s="95" t="s">
        <v>1019</v>
      </c>
      <c r="F743" s="95" t="s">
        <v>685</v>
      </c>
      <c r="G743" s="9">
        <v>1500000.0</v>
      </c>
      <c r="H743" s="95" t="s">
        <v>530</v>
      </c>
      <c r="I743" s="13">
        <f t="shared" si="29"/>
        <v>150000</v>
      </c>
      <c r="J743" s="97" t="s">
        <v>1326</v>
      </c>
      <c r="K743" s="98"/>
      <c r="L743" s="98"/>
    </row>
    <row r="744">
      <c r="B744" s="95" t="s">
        <v>526</v>
      </c>
      <c r="C744" s="95" t="s">
        <v>788</v>
      </c>
      <c r="D744" s="95" t="s">
        <v>195</v>
      </c>
      <c r="E744" s="95" t="s">
        <v>402</v>
      </c>
      <c r="F744" s="135">
        <v>46275.0</v>
      </c>
      <c r="G744" s="9">
        <v>400000.0</v>
      </c>
      <c r="H744" s="95" t="s">
        <v>530</v>
      </c>
      <c r="I744" s="13">
        <f t="shared" si="29"/>
        <v>40000</v>
      </c>
      <c r="J744" s="97" t="s">
        <v>1327</v>
      </c>
      <c r="K744" s="98"/>
      <c r="L744" s="98"/>
    </row>
    <row r="745">
      <c r="B745" s="95" t="s">
        <v>526</v>
      </c>
      <c r="C745" s="95" t="s">
        <v>1093</v>
      </c>
      <c r="D745" s="95" t="s">
        <v>195</v>
      </c>
      <c r="E745" s="95" t="s">
        <v>432</v>
      </c>
      <c r="F745" s="95" t="s">
        <v>685</v>
      </c>
      <c r="G745" s="9">
        <v>300000.0</v>
      </c>
      <c r="H745" s="95" t="s">
        <v>530</v>
      </c>
      <c r="I745" s="13">
        <f t="shared" si="29"/>
        <v>30000</v>
      </c>
      <c r="J745" s="97" t="s">
        <v>1328</v>
      </c>
      <c r="K745" s="97" t="s">
        <v>1329</v>
      </c>
      <c r="L745" s="98"/>
    </row>
    <row r="746">
      <c r="B746" s="95" t="s">
        <v>526</v>
      </c>
      <c r="C746" s="95" t="s">
        <v>1330</v>
      </c>
      <c r="D746" s="95" t="s">
        <v>114</v>
      </c>
      <c r="E746" s="95" t="s">
        <v>377</v>
      </c>
      <c r="F746" s="95" t="s">
        <v>799</v>
      </c>
      <c r="G746" s="9">
        <v>30000.0</v>
      </c>
      <c r="H746" s="95" t="s">
        <v>530</v>
      </c>
      <c r="I746" s="13">
        <f t="shared" si="29"/>
        <v>3000</v>
      </c>
      <c r="J746" s="97" t="s">
        <v>1331</v>
      </c>
      <c r="K746" s="98"/>
      <c r="L746" s="98"/>
    </row>
    <row r="747">
      <c r="B747" s="95" t="s">
        <v>526</v>
      </c>
      <c r="C747" s="95" t="s">
        <v>1332</v>
      </c>
      <c r="D747" s="95" t="s">
        <v>140</v>
      </c>
      <c r="E747" s="95" t="s">
        <v>178</v>
      </c>
      <c r="F747" s="95" t="s">
        <v>685</v>
      </c>
      <c r="G747" s="9">
        <v>2300000.0</v>
      </c>
      <c r="H747" s="95" t="s">
        <v>530</v>
      </c>
      <c r="I747" s="13">
        <f t="shared" si="29"/>
        <v>230000</v>
      </c>
      <c r="J747" s="97" t="s">
        <v>1333</v>
      </c>
      <c r="K747" s="97" t="s">
        <v>1334</v>
      </c>
      <c r="L747" s="97" t="s">
        <v>1335</v>
      </c>
    </row>
    <row r="748">
      <c r="B748" s="95" t="s">
        <v>526</v>
      </c>
      <c r="C748" s="95" t="s">
        <v>1336</v>
      </c>
      <c r="D748" s="95" t="s">
        <v>427</v>
      </c>
      <c r="E748" s="95" t="s">
        <v>428</v>
      </c>
      <c r="F748" s="95" t="s">
        <v>685</v>
      </c>
      <c r="G748" s="9">
        <v>1450000.0</v>
      </c>
      <c r="H748" s="95" t="s">
        <v>530</v>
      </c>
      <c r="I748" s="13">
        <f t="shared" si="29"/>
        <v>145000</v>
      </c>
      <c r="J748" s="95" t="s">
        <v>1337</v>
      </c>
      <c r="K748" s="98"/>
      <c r="L748" s="98"/>
    </row>
    <row r="749">
      <c r="B749" s="95" t="s">
        <v>526</v>
      </c>
      <c r="C749" s="95" t="s">
        <v>883</v>
      </c>
      <c r="D749" s="95" t="s">
        <v>195</v>
      </c>
      <c r="E749" s="95" t="s">
        <v>434</v>
      </c>
      <c r="F749" s="95" t="s">
        <v>650</v>
      </c>
      <c r="G749" s="9">
        <v>1300000.0</v>
      </c>
      <c r="H749" s="95" t="s">
        <v>530</v>
      </c>
      <c r="I749" s="13">
        <f t="shared" si="29"/>
        <v>130000</v>
      </c>
      <c r="J749" s="97" t="s">
        <v>1338</v>
      </c>
      <c r="K749" s="98"/>
      <c r="L749" s="98"/>
    </row>
    <row r="750">
      <c r="B750" s="95" t="s">
        <v>526</v>
      </c>
      <c r="C750" s="95" t="s">
        <v>1339</v>
      </c>
      <c r="D750" s="95" t="s">
        <v>13</v>
      </c>
      <c r="E750" s="95" t="s">
        <v>19</v>
      </c>
      <c r="F750" s="95" t="s">
        <v>650</v>
      </c>
      <c r="G750" s="9">
        <v>800000.0</v>
      </c>
      <c r="H750" s="95" t="s">
        <v>530</v>
      </c>
      <c r="I750" s="13">
        <f t="shared" si="29"/>
        <v>80000</v>
      </c>
      <c r="J750" s="97" t="s">
        <v>1338</v>
      </c>
      <c r="K750" s="98"/>
      <c r="L750" s="98"/>
    </row>
    <row r="751">
      <c r="B751" s="95" t="s">
        <v>526</v>
      </c>
      <c r="C751" s="95" t="s">
        <v>1340</v>
      </c>
      <c r="D751" s="95" t="s">
        <v>88</v>
      </c>
      <c r="E751" s="95" t="s">
        <v>425</v>
      </c>
      <c r="F751" s="95" t="s">
        <v>650</v>
      </c>
      <c r="G751" s="9">
        <f>1500000*0.85</f>
        <v>1275000</v>
      </c>
      <c r="H751" s="95" t="s">
        <v>530</v>
      </c>
      <c r="I751" s="13">
        <f t="shared" si="29"/>
        <v>127500</v>
      </c>
      <c r="J751" s="97" t="s">
        <v>1338</v>
      </c>
      <c r="K751" s="97" t="s">
        <v>1341</v>
      </c>
      <c r="L751" s="98"/>
    </row>
    <row r="752">
      <c r="B752" s="95" t="s">
        <v>526</v>
      </c>
      <c r="C752" s="95" t="s">
        <v>602</v>
      </c>
      <c r="D752" s="95" t="s">
        <v>222</v>
      </c>
      <c r="E752" s="95" t="s">
        <v>1019</v>
      </c>
      <c r="F752" s="95" t="s">
        <v>650</v>
      </c>
      <c r="G752" s="9">
        <v>1500000.0</v>
      </c>
      <c r="H752" s="95" t="s">
        <v>530</v>
      </c>
      <c r="I752" s="13">
        <f t="shared" si="29"/>
        <v>150000</v>
      </c>
      <c r="J752" s="97" t="s">
        <v>1338</v>
      </c>
      <c r="K752" s="97" t="s">
        <v>1342</v>
      </c>
      <c r="L752" s="98"/>
    </row>
    <row r="753">
      <c r="B753" s="95" t="s">
        <v>526</v>
      </c>
      <c r="C753" s="95" t="s">
        <v>1343</v>
      </c>
      <c r="D753" s="95" t="s">
        <v>71</v>
      </c>
      <c r="E753" s="12" t="s">
        <v>121</v>
      </c>
      <c r="F753" s="95" t="s">
        <v>529</v>
      </c>
      <c r="G753" s="9">
        <v>50000.0</v>
      </c>
      <c r="H753" s="95" t="s">
        <v>530</v>
      </c>
      <c r="I753" s="13">
        <f t="shared" si="29"/>
        <v>5000</v>
      </c>
      <c r="J753" s="98" t="s">
        <v>1344</v>
      </c>
      <c r="K753" s="97" t="s">
        <v>1345</v>
      </c>
      <c r="L753" s="98"/>
    </row>
    <row r="754">
      <c r="B754" s="95" t="s">
        <v>526</v>
      </c>
      <c r="C754" s="95" t="s">
        <v>1346</v>
      </c>
      <c r="D754" s="95" t="s">
        <v>140</v>
      </c>
      <c r="E754" s="95" t="s">
        <v>203</v>
      </c>
      <c r="F754" s="95" t="s">
        <v>650</v>
      </c>
      <c r="G754" s="9">
        <v>1700000.0</v>
      </c>
      <c r="H754" s="95" t="s">
        <v>530</v>
      </c>
      <c r="I754" s="13">
        <f t="shared" si="29"/>
        <v>170000</v>
      </c>
      <c r="J754" s="97" t="s">
        <v>1347</v>
      </c>
      <c r="K754" s="97" t="s">
        <v>1348</v>
      </c>
      <c r="L754" s="98"/>
    </row>
    <row r="755">
      <c r="B755" s="95" t="s">
        <v>526</v>
      </c>
      <c r="C755" s="95" t="s">
        <v>1349</v>
      </c>
      <c r="D755" s="95" t="s">
        <v>13</v>
      </c>
      <c r="E755" s="95" t="s">
        <v>1350</v>
      </c>
      <c r="F755" s="95" t="s">
        <v>650</v>
      </c>
      <c r="G755" s="9">
        <v>300000.0</v>
      </c>
      <c r="H755" s="95" t="s">
        <v>530</v>
      </c>
      <c r="I755" s="13">
        <f t="shared" si="29"/>
        <v>30000</v>
      </c>
      <c r="J755" s="105" t="s">
        <v>1351</v>
      </c>
      <c r="K755" s="98"/>
      <c r="L755" s="98"/>
    </row>
    <row r="756">
      <c r="B756" s="95" t="s">
        <v>526</v>
      </c>
      <c r="C756" s="95" t="s">
        <v>1352</v>
      </c>
      <c r="D756" s="95" t="s">
        <v>88</v>
      </c>
      <c r="E756" s="95" t="s">
        <v>422</v>
      </c>
      <c r="F756" s="95" t="s">
        <v>650</v>
      </c>
      <c r="G756" s="9">
        <v>1500000.0</v>
      </c>
      <c r="H756" s="95" t="s">
        <v>530</v>
      </c>
      <c r="I756" s="13">
        <f t="shared" si="29"/>
        <v>150000</v>
      </c>
      <c r="J756" s="97" t="s">
        <v>1353</v>
      </c>
      <c r="K756" s="97" t="s">
        <v>634</v>
      </c>
      <c r="L756" s="98"/>
    </row>
    <row r="757">
      <c r="B757" s="95" t="s">
        <v>526</v>
      </c>
      <c r="C757" s="95" t="s">
        <v>1354</v>
      </c>
      <c r="D757" s="95" t="s">
        <v>88</v>
      </c>
      <c r="E757" s="95" t="s">
        <v>422</v>
      </c>
      <c r="F757" s="95" t="s">
        <v>650</v>
      </c>
      <c r="G757" s="9">
        <v>1200000.0</v>
      </c>
      <c r="H757" s="95" t="s">
        <v>1155</v>
      </c>
      <c r="I757" s="13">
        <f>G757/8</f>
        <v>150000</v>
      </c>
      <c r="J757" s="97" t="s">
        <v>1355</v>
      </c>
      <c r="K757" s="98" t="s">
        <v>1356</v>
      </c>
      <c r="L757" s="98"/>
    </row>
    <row r="758">
      <c r="B758" s="95" t="s">
        <v>526</v>
      </c>
      <c r="C758" s="95" t="s">
        <v>1357</v>
      </c>
      <c r="D758" s="95" t="s">
        <v>88</v>
      </c>
      <c r="E758" s="95" t="s">
        <v>422</v>
      </c>
      <c r="F758" s="95" t="s">
        <v>650</v>
      </c>
      <c r="G758" s="9">
        <v>1500000.0</v>
      </c>
      <c r="H758" s="95" t="s">
        <v>530</v>
      </c>
      <c r="I758" s="13">
        <f t="shared" ref="I758:I759" si="30">G758/10</f>
        <v>150000</v>
      </c>
      <c r="J758" s="97" t="s">
        <v>1353</v>
      </c>
      <c r="K758" s="98"/>
      <c r="L758" s="98"/>
    </row>
    <row r="759">
      <c r="B759" s="95" t="s">
        <v>526</v>
      </c>
      <c r="C759" s="95" t="s">
        <v>1358</v>
      </c>
      <c r="D759" s="95" t="s">
        <v>88</v>
      </c>
      <c r="E759" s="95" t="s">
        <v>422</v>
      </c>
      <c r="F759" s="95" t="s">
        <v>650</v>
      </c>
      <c r="G759" s="9">
        <v>1300000.0</v>
      </c>
      <c r="H759" s="95" t="s">
        <v>530</v>
      </c>
      <c r="I759" s="13">
        <f t="shared" si="30"/>
        <v>130000</v>
      </c>
      <c r="J759" s="97" t="s">
        <v>1353</v>
      </c>
      <c r="K759" s="98"/>
      <c r="L759" s="98"/>
    </row>
    <row r="760">
      <c r="B760" s="95" t="s">
        <v>526</v>
      </c>
      <c r="C760" s="95" t="s">
        <v>1359</v>
      </c>
      <c r="D760" s="95" t="s">
        <v>88</v>
      </c>
      <c r="E760" s="95" t="s">
        <v>422</v>
      </c>
      <c r="F760" s="95" t="s">
        <v>650</v>
      </c>
      <c r="G760" s="9">
        <v>950000.0</v>
      </c>
      <c r="H760" s="95" t="s">
        <v>635</v>
      </c>
      <c r="I760" s="13">
        <f>G760/6</f>
        <v>158333.3333</v>
      </c>
      <c r="J760" s="97" t="s">
        <v>1353</v>
      </c>
      <c r="K760" s="98"/>
      <c r="L760" s="98"/>
    </row>
    <row r="761">
      <c r="B761" s="95" t="s">
        <v>526</v>
      </c>
      <c r="C761" s="95" t="s">
        <v>732</v>
      </c>
      <c r="D761" s="95" t="s">
        <v>88</v>
      </c>
      <c r="E761" s="95" t="s">
        <v>422</v>
      </c>
      <c r="F761" s="95" t="s">
        <v>650</v>
      </c>
      <c r="G761" s="9">
        <v>700000.0</v>
      </c>
      <c r="H761" s="95" t="s">
        <v>530</v>
      </c>
      <c r="I761" s="13">
        <f t="shared" ref="I761:I765" si="31">G761/10</f>
        <v>70000</v>
      </c>
      <c r="J761" s="97" t="s">
        <v>1353</v>
      </c>
      <c r="K761" s="98"/>
      <c r="L761" s="98"/>
    </row>
    <row r="762">
      <c r="B762" s="95" t="s">
        <v>526</v>
      </c>
      <c r="C762" s="95" t="s">
        <v>1360</v>
      </c>
      <c r="D762" s="95" t="s">
        <v>88</v>
      </c>
      <c r="E762" s="95" t="s">
        <v>422</v>
      </c>
      <c r="F762" s="95" t="s">
        <v>650</v>
      </c>
      <c r="G762" s="9">
        <v>680000.0</v>
      </c>
      <c r="H762" s="95" t="s">
        <v>530</v>
      </c>
      <c r="I762" s="13">
        <f t="shared" si="31"/>
        <v>68000</v>
      </c>
      <c r="J762" s="97" t="s">
        <v>1353</v>
      </c>
      <c r="K762" s="98"/>
      <c r="L762" s="98"/>
    </row>
    <row r="763">
      <c r="B763" s="95" t="s">
        <v>526</v>
      </c>
      <c r="C763" s="95" t="s">
        <v>722</v>
      </c>
      <c r="D763" s="95" t="s">
        <v>88</v>
      </c>
      <c r="E763" s="95" t="s">
        <v>422</v>
      </c>
      <c r="F763" s="95" t="s">
        <v>650</v>
      </c>
      <c r="G763" s="9">
        <v>600000.0</v>
      </c>
      <c r="H763" s="95" t="s">
        <v>530</v>
      </c>
      <c r="I763" s="13">
        <f t="shared" si="31"/>
        <v>60000</v>
      </c>
      <c r="J763" s="97" t="s">
        <v>1353</v>
      </c>
      <c r="K763" s="98"/>
      <c r="L763" s="98"/>
    </row>
    <row r="764">
      <c r="B764" s="95" t="s">
        <v>526</v>
      </c>
      <c r="C764" s="95" t="s">
        <v>1361</v>
      </c>
      <c r="D764" s="95" t="s">
        <v>88</v>
      </c>
      <c r="E764" s="95" t="s">
        <v>422</v>
      </c>
      <c r="F764" s="95" t="s">
        <v>650</v>
      </c>
      <c r="G764" s="9">
        <v>600000.0</v>
      </c>
      <c r="H764" s="95" t="s">
        <v>530</v>
      </c>
      <c r="I764" s="13">
        <f t="shared" si="31"/>
        <v>60000</v>
      </c>
      <c r="J764" s="97" t="s">
        <v>1353</v>
      </c>
      <c r="K764" s="98"/>
      <c r="L764" s="98"/>
    </row>
    <row r="765">
      <c r="B765" s="95" t="s">
        <v>526</v>
      </c>
      <c r="C765" s="95" t="s">
        <v>1362</v>
      </c>
      <c r="D765" s="95" t="s">
        <v>88</v>
      </c>
      <c r="E765" s="95" t="s">
        <v>422</v>
      </c>
      <c r="F765" s="95" t="s">
        <v>650</v>
      </c>
      <c r="G765" s="9">
        <v>1300000.0</v>
      </c>
      <c r="H765" s="95" t="s">
        <v>530</v>
      </c>
      <c r="I765" s="13">
        <f t="shared" si="31"/>
        <v>130000</v>
      </c>
      <c r="J765" s="97" t="s">
        <v>1353</v>
      </c>
      <c r="K765" s="98"/>
      <c r="L765" s="98"/>
    </row>
    <row r="766">
      <c r="B766" s="95" t="s">
        <v>526</v>
      </c>
      <c r="C766" s="95" t="s">
        <v>1363</v>
      </c>
      <c r="D766" s="95" t="s">
        <v>88</v>
      </c>
      <c r="E766" s="95" t="s">
        <v>422</v>
      </c>
      <c r="F766" s="95" t="s">
        <v>650</v>
      </c>
      <c r="G766" s="9">
        <v>600000.0</v>
      </c>
      <c r="H766" s="95" t="s">
        <v>1155</v>
      </c>
      <c r="I766" s="13">
        <f>G766/8</f>
        <v>75000</v>
      </c>
      <c r="J766" s="97" t="s">
        <v>1353</v>
      </c>
      <c r="K766" s="98"/>
      <c r="L766" s="98"/>
    </row>
    <row r="767">
      <c r="B767" s="95" t="s">
        <v>526</v>
      </c>
      <c r="C767" s="95" t="s">
        <v>1364</v>
      </c>
      <c r="D767" s="95" t="s">
        <v>88</v>
      </c>
      <c r="E767" s="95" t="s">
        <v>422</v>
      </c>
      <c r="F767" s="95" t="s">
        <v>650</v>
      </c>
      <c r="G767" s="9">
        <v>2150000.0</v>
      </c>
      <c r="H767" s="95" t="s">
        <v>530</v>
      </c>
      <c r="I767" s="13">
        <f t="shared" ref="I767:I770" si="32">G767/10</f>
        <v>215000</v>
      </c>
      <c r="J767" s="97" t="s">
        <v>1338</v>
      </c>
      <c r="K767" s="98"/>
      <c r="L767" s="98"/>
    </row>
    <row r="768">
      <c r="B768" s="95" t="s">
        <v>526</v>
      </c>
      <c r="C768" s="95" t="s">
        <v>1365</v>
      </c>
      <c r="D768" s="95" t="s">
        <v>88</v>
      </c>
      <c r="E768" s="95" t="s">
        <v>422</v>
      </c>
      <c r="F768" s="95" t="s">
        <v>650</v>
      </c>
      <c r="G768" s="9">
        <v>2000000.0</v>
      </c>
      <c r="H768" s="95" t="s">
        <v>530</v>
      </c>
      <c r="I768" s="13">
        <f t="shared" si="32"/>
        <v>200000</v>
      </c>
      <c r="J768" s="97" t="s">
        <v>1338</v>
      </c>
      <c r="K768" s="98"/>
      <c r="L768" s="98"/>
    </row>
    <row r="769">
      <c r="B769" s="95" t="s">
        <v>526</v>
      </c>
      <c r="C769" s="95" t="s">
        <v>861</v>
      </c>
      <c r="D769" s="95" t="s">
        <v>222</v>
      </c>
      <c r="E769" s="95" t="s">
        <v>1366</v>
      </c>
      <c r="F769" s="95" t="s">
        <v>650</v>
      </c>
      <c r="G769" s="9">
        <v>1100000.0</v>
      </c>
      <c r="H769" s="95" t="s">
        <v>530</v>
      </c>
      <c r="I769" s="13">
        <f t="shared" si="32"/>
        <v>110000</v>
      </c>
      <c r="J769" s="97" t="s">
        <v>1338</v>
      </c>
      <c r="K769" s="136" t="s">
        <v>1367</v>
      </c>
      <c r="L769" s="98"/>
    </row>
    <row r="770">
      <c r="B770" s="95" t="s">
        <v>526</v>
      </c>
      <c r="C770" s="95" t="s">
        <v>627</v>
      </c>
      <c r="D770" s="95" t="s">
        <v>114</v>
      </c>
      <c r="E770" s="95" t="s">
        <v>396</v>
      </c>
      <c r="F770" s="95" t="s">
        <v>738</v>
      </c>
      <c r="G770" s="9">
        <v>280000.0</v>
      </c>
      <c r="H770" s="95" t="s">
        <v>530</v>
      </c>
      <c r="I770" s="13">
        <f t="shared" si="32"/>
        <v>28000</v>
      </c>
      <c r="J770" s="97" t="s">
        <v>1098</v>
      </c>
      <c r="K770" s="98"/>
      <c r="L770" s="98"/>
    </row>
    <row r="771">
      <c r="B771" s="95" t="s">
        <v>526</v>
      </c>
      <c r="C771" s="95" t="s">
        <v>832</v>
      </c>
      <c r="D771" s="95" t="s">
        <v>222</v>
      </c>
      <c r="E771" s="95" t="s">
        <v>1019</v>
      </c>
      <c r="F771" s="95" t="s">
        <v>906</v>
      </c>
      <c r="G771" s="9">
        <v>500000.0</v>
      </c>
      <c r="H771" s="95" t="s">
        <v>745</v>
      </c>
      <c r="I771" s="13">
        <f>G771/5</f>
        <v>100000</v>
      </c>
      <c r="J771" s="97" t="s">
        <v>907</v>
      </c>
      <c r="K771" s="98"/>
      <c r="L771" s="98"/>
    </row>
    <row r="772">
      <c r="B772" s="95" t="s">
        <v>526</v>
      </c>
      <c r="C772" s="95" t="s">
        <v>832</v>
      </c>
      <c r="D772" s="95" t="s">
        <v>815</v>
      </c>
      <c r="E772" s="95" t="s">
        <v>1368</v>
      </c>
      <c r="F772" s="95" t="s">
        <v>906</v>
      </c>
      <c r="G772" s="9">
        <v>2400000.0</v>
      </c>
      <c r="H772" s="95" t="s">
        <v>530</v>
      </c>
      <c r="I772" s="13">
        <f t="shared" ref="I772:I849" si="33">G772/10</f>
        <v>240000</v>
      </c>
      <c r="J772" s="97" t="s">
        <v>1022</v>
      </c>
      <c r="K772" s="98" t="s">
        <v>1369</v>
      </c>
      <c r="L772" s="98"/>
    </row>
    <row r="773">
      <c r="B773" s="95" t="s">
        <v>526</v>
      </c>
      <c r="C773" s="95" t="s">
        <v>832</v>
      </c>
      <c r="D773" s="95" t="s">
        <v>815</v>
      </c>
      <c r="E773" s="95" t="s">
        <v>1368</v>
      </c>
      <c r="F773" s="95" t="s">
        <v>920</v>
      </c>
      <c r="G773" s="9">
        <v>1270000.0</v>
      </c>
      <c r="H773" s="95" t="s">
        <v>530</v>
      </c>
      <c r="I773" s="13">
        <f t="shared" si="33"/>
        <v>127000</v>
      </c>
      <c r="J773" s="97" t="s">
        <v>1022</v>
      </c>
      <c r="K773" s="98"/>
      <c r="L773" s="98"/>
    </row>
    <row r="774">
      <c r="B774" s="95" t="s">
        <v>526</v>
      </c>
      <c r="C774" s="95" t="s">
        <v>829</v>
      </c>
      <c r="D774" s="95" t="s">
        <v>114</v>
      </c>
      <c r="E774" s="95" t="s">
        <v>396</v>
      </c>
      <c r="F774" s="95" t="s">
        <v>906</v>
      </c>
      <c r="G774" s="9">
        <v>400000.0</v>
      </c>
      <c r="H774" s="95" t="s">
        <v>530</v>
      </c>
      <c r="I774" s="13">
        <f t="shared" si="33"/>
        <v>40000</v>
      </c>
      <c r="J774" s="97" t="s">
        <v>1023</v>
      </c>
      <c r="K774" s="98"/>
      <c r="L774" s="98"/>
    </row>
    <row r="775">
      <c r="B775" s="95" t="s">
        <v>526</v>
      </c>
      <c r="C775" s="95" t="s">
        <v>1370</v>
      </c>
      <c r="D775" s="95" t="s">
        <v>140</v>
      </c>
      <c r="E775" s="95" t="s">
        <v>194</v>
      </c>
      <c r="F775" s="95" t="s">
        <v>586</v>
      </c>
      <c r="G775" s="9">
        <f>2200000*0.92</f>
        <v>2024000</v>
      </c>
      <c r="H775" s="95" t="s">
        <v>530</v>
      </c>
      <c r="I775" s="13">
        <f t="shared" si="33"/>
        <v>202400</v>
      </c>
      <c r="J775" s="97" t="s">
        <v>1371</v>
      </c>
      <c r="K775" s="97" t="s">
        <v>1372</v>
      </c>
      <c r="L775" s="98"/>
    </row>
    <row r="776">
      <c r="B776" s="95" t="s">
        <v>526</v>
      </c>
      <c r="C776" s="95" t="s">
        <v>1373</v>
      </c>
      <c r="D776" s="95" t="s">
        <v>195</v>
      </c>
      <c r="E776" s="95" t="s">
        <v>434</v>
      </c>
      <c r="F776" s="95" t="s">
        <v>586</v>
      </c>
      <c r="G776" s="9">
        <v>2300000.0</v>
      </c>
      <c r="H776" s="95" t="s">
        <v>530</v>
      </c>
      <c r="I776" s="13">
        <f t="shared" si="33"/>
        <v>230000</v>
      </c>
      <c r="J776" s="97" t="s">
        <v>1374</v>
      </c>
      <c r="K776" s="98"/>
      <c r="L776" s="98"/>
    </row>
    <row r="777">
      <c r="B777" s="95" t="s">
        <v>526</v>
      </c>
      <c r="C777" s="95" t="s">
        <v>1375</v>
      </c>
      <c r="D777" s="95" t="s">
        <v>140</v>
      </c>
      <c r="E777" s="95" t="s">
        <v>141</v>
      </c>
      <c r="F777" s="95" t="s">
        <v>586</v>
      </c>
      <c r="G777" s="9">
        <v>1900000.0</v>
      </c>
      <c r="H777" s="95" t="s">
        <v>530</v>
      </c>
      <c r="I777" s="13">
        <f t="shared" si="33"/>
        <v>190000</v>
      </c>
      <c r="J777" s="97" t="s">
        <v>1376</v>
      </c>
      <c r="K777" s="98"/>
      <c r="L777" s="98"/>
    </row>
    <row r="778">
      <c r="B778" s="95" t="s">
        <v>526</v>
      </c>
      <c r="C778" s="95" t="s">
        <v>1377</v>
      </c>
      <c r="D778" s="95" t="s">
        <v>222</v>
      </c>
      <c r="E778" s="95" t="s">
        <v>1019</v>
      </c>
      <c r="F778" s="95" t="s">
        <v>586</v>
      </c>
      <c r="G778" s="9">
        <v>2500000.0</v>
      </c>
      <c r="H778" s="95" t="s">
        <v>530</v>
      </c>
      <c r="I778" s="13">
        <f t="shared" si="33"/>
        <v>250000</v>
      </c>
      <c r="J778" s="97" t="s">
        <v>1374</v>
      </c>
      <c r="K778" s="98"/>
      <c r="L778" s="98"/>
    </row>
    <row r="779">
      <c r="B779" s="95" t="s">
        <v>526</v>
      </c>
      <c r="C779" s="95" t="s">
        <v>1378</v>
      </c>
      <c r="D779" s="95" t="s">
        <v>140</v>
      </c>
      <c r="E779" s="95" t="s">
        <v>194</v>
      </c>
      <c r="F779" s="95" t="s">
        <v>586</v>
      </c>
      <c r="G779" s="9">
        <v>2300000.0</v>
      </c>
      <c r="H779" s="95" t="s">
        <v>530</v>
      </c>
      <c r="I779" s="13">
        <f t="shared" si="33"/>
        <v>230000</v>
      </c>
      <c r="J779" s="97" t="s">
        <v>1374</v>
      </c>
      <c r="K779" s="97" t="s">
        <v>1372</v>
      </c>
      <c r="L779" s="97" t="s">
        <v>1372</v>
      </c>
    </row>
    <row r="780">
      <c r="B780" s="95" t="s">
        <v>526</v>
      </c>
      <c r="C780" s="95" t="s">
        <v>1379</v>
      </c>
      <c r="D780" s="95" t="s">
        <v>13</v>
      </c>
      <c r="E780" s="95" t="s">
        <v>19</v>
      </c>
      <c r="F780" s="95" t="s">
        <v>586</v>
      </c>
      <c r="G780" s="9">
        <v>2800000.0</v>
      </c>
      <c r="H780" s="95" t="s">
        <v>530</v>
      </c>
      <c r="I780" s="13">
        <f t="shared" si="33"/>
        <v>280000</v>
      </c>
      <c r="J780" s="105" t="s">
        <v>1380</v>
      </c>
      <c r="K780" s="98"/>
      <c r="L780" s="98"/>
    </row>
    <row r="781">
      <c r="B781" s="95" t="s">
        <v>526</v>
      </c>
      <c r="C781" s="95" t="s">
        <v>1381</v>
      </c>
      <c r="D781" s="95" t="s">
        <v>140</v>
      </c>
      <c r="E781" s="95" t="s">
        <v>141</v>
      </c>
      <c r="F781" s="95" t="s">
        <v>586</v>
      </c>
      <c r="G781" s="9">
        <f>2800000*0.92</f>
        <v>2576000</v>
      </c>
      <c r="H781" s="95" t="s">
        <v>530</v>
      </c>
      <c r="I781" s="13">
        <f t="shared" si="33"/>
        <v>257600</v>
      </c>
      <c r="J781" s="97" t="s">
        <v>1382</v>
      </c>
      <c r="K781" s="97" t="s">
        <v>1376</v>
      </c>
      <c r="L781" s="98"/>
    </row>
    <row r="782">
      <c r="B782" s="95" t="s">
        <v>526</v>
      </c>
      <c r="C782" s="95" t="s">
        <v>1383</v>
      </c>
      <c r="D782" s="95" t="s">
        <v>195</v>
      </c>
      <c r="E782" s="95" t="s">
        <v>434</v>
      </c>
      <c r="F782" s="95" t="s">
        <v>586</v>
      </c>
      <c r="G782" s="9">
        <v>3600000.0</v>
      </c>
      <c r="H782" s="95" t="s">
        <v>530</v>
      </c>
      <c r="I782" s="13">
        <f t="shared" si="33"/>
        <v>360000</v>
      </c>
      <c r="J782" s="97" t="s">
        <v>1382</v>
      </c>
      <c r="K782" s="98"/>
      <c r="L782" s="98"/>
    </row>
    <row r="783">
      <c r="B783" s="95" t="s">
        <v>526</v>
      </c>
      <c r="C783" s="95" t="s">
        <v>683</v>
      </c>
      <c r="D783" s="95" t="s">
        <v>114</v>
      </c>
      <c r="E783" s="95" t="s">
        <v>389</v>
      </c>
      <c r="F783" s="95" t="s">
        <v>586</v>
      </c>
      <c r="G783" s="9">
        <v>3800000.0</v>
      </c>
      <c r="H783" s="95" t="s">
        <v>530</v>
      </c>
      <c r="I783" s="13">
        <f t="shared" si="33"/>
        <v>380000</v>
      </c>
      <c r="J783" s="97" t="s">
        <v>1382</v>
      </c>
      <c r="K783" s="97" t="s">
        <v>631</v>
      </c>
      <c r="L783" s="98"/>
    </row>
    <row r="784">
      <c r="B784" s="95" t="s">
        <v>526</v>
      </c>
      <c r="C784" s="95" t="s">
        <v>719</v>
      </c>
      <c r="D784" s="95" t="s">
        <v>114</v>
      </c>
      <c r="E784" s="95" t="s">
        <v>389</v>
      </c>
      <c r="F784" s="95" t="s">
        <v>586</v>
      </c>
      <c r="G784" s="9">
        <v>1200000.0</v>
      </c>
      <c r="H784" s="95" t="s">
        <v>530</v>
      </c>
      <c r="I784" s="13">
        <f t="shared" si="33"/>
        <v>120000</v>
      </c>
      <c r="J784" s="97" t="s">
        <v>1384</v>
      </c>
      <c r="K784" s="97" t="s">
        <v>631</v>
      </c>
      <c r="L784" s="98"/>
    </row>
    <row r="785">
      <c r="B785" s="95" t="s">
        <v>526</v>
      </c>
      <c r="C785" s="95" t="s">
        <v>1385</v>
      </c>
      <c r="D785" s="95" t="s">
        <v>114</v>
      </c>
      <c r="E785" s="95" t="s">
        <v>389</v>
      </c>
      <c r="F785" s="95" t="s">
        <v>586</v>
      </c>
      <c r="G785" s="9">
        <v>650000.0</v>
      </c>
      <c r="H785" s="95" t="s">
        <v>530</v>
      </c>
      <c r="I785" s="13">
        <f t="shared" si="33"/>
        <v>65000</v>
      </c>
      <c r="J785" s="97" t="s">
        <v>1384</v>
      </c>
      <c r="K785" s="97" t="s">
        <v>631</v>
      </c>
      <c r="L785" s="98"/>
    </row>
    <row r="786">
      <c r="B786" s="95" t="s">
        <v>526</v>
      </c>
      <c r="C786" s="95" t="s">
        <v>847</v>
      </c>
      <c r="D786" s="95" t="s">
        <v>114</v>
      </c>
      <c r="E786" s="95" t="s">
        <v>389</v>
      </c>
      <c r="F786" s="95" t="s">
        <v>586</v>
      </c>
      <c r="G786" s="9">
        <v>1100000.0</v>
      </c>
      <c r="H786" s="95" t="s">
        <v>530</v>
      </c>
      <c r="I786" s="13">
        <f t="shared" si="33"/>
        <v>110000</v>
      </c>
      <c r="J786" s="97" t="s">
        <v>1384</v>
      </c>
      <c r="K786" s="97" t="s">
        <v>631</v>
      </c>
      <c r="L786" s="98"/>
    </row>
    <row r="787">
      <c r="B787" s="95" t="s">
        <v>526</v>
      </c>
      <c r="C787" s="95" t="s">
        <v>1386</v>
      </c>
      <c r="D787" s="95" t="s">
        <v>114</v>
      </c>
      <c r="E787" s="95" t="s">
        <v>389</v>
      </c>
      <c r="F787" s="95" t="s">
        <v>586</v>
      </c>
      <c r="G787" s="9">
        <v>1000000.0</v>
      </c>
      <c r="H787" s="95" t="s">
        <v>530</v>
      </c>
      <c r="I787" s="13">
        <f t="shared" si="33"/>
        <v>100000</v>
      </c>
      <c r="J787" s="97" t="s">
        <v>1384</v>
      </c>
      <c r="K787" s="97" t="s">
        <v>631</v>
      </c>
      <c r="L787" s="98"/>
    </row>
    <row r="788">
      <c r="B788" s="95" t="s">
        <v>526</v>
      </c>
      <c r="C788" s="95" t="s">
        <v>724</v>
      </c>
      <c r="D788" s="95" t="s">
        <v>114</v>
      </c>
      <c r="E788" s="95" t="s">
        <v>389</v>
      </c>
      <c r="F788" s="95" t="s">
        <v>586</v>
      </c>
      <c r="G788" s="9">
        <v>500000.0</v>
      </c>
      <c r="H788" s="95" t="s">
        <v>530</v>
      </c>
      <c r="I788" s="13">
        <f t="shared" si="33"/>
        <v>50000</v>
      </c>
      <c r="J788" s="97" t="s">
        <v>1384</v>
      </c>
      <c r="K788" s="97" t="s">
        <v>631</v>
      </c>
      <c r="L788" s="98"/>
    </row>
    <row r="789">
      <c r="B789" s="95" t="s">
        <v>526</v>
      </c>
      <c r="C789" s="95" t="s">
        <v>701</v>
      </c>
      <c r="D789" s="95" t="s">
        <v>114</v>
      </c>
      <c r="E789" s="95" t="s">
        <v>389</v>
      </c>
      <c r="F789" s="95" t="s">
        <v>586</v>
      </c>
      <c r="G789" s="9">
        <v>1450000.0</v>
      </c>
      <c r="H789" s="95" t="s">
        <v>530</v>
      </c>
      <c r="I789" s="13">
        <f t="shared" si="33"/>
        <v>145000</v>
      </c>
      <c r="J789" s="97" t="s">
        <v>1384</v>
      </c>
      <c r="K789" s="97" t="s">
        <v>631</v>
      </c>
      <c r="L789" s="98"/>
    </row>
    <row r="790">
      <c r="B790" s="95" t="s">
        <v>526</v>
      </c>
      <c r="C790" s="95" t="s">
        <v>739</v>
      </c>
      <c r="D790" s="95" t="s">
        <v>114</v>
      </c>
      <c r="E790" s="95" t="s">
        <v>389</v>
      </c>
      <c r="F790" s="95" t="s">
        <v>586</v>
      </c>
      <c r="G790" s="9">
        <v>650000.0</v>
      </c>
      <c r="H790" s="95" t="s">
        <v>530</v>
      </c>
      <c r="I790" s="13">
        <f t="shared" si="33"/>
        <v>65000</v>
      </c>
      <c r="J790" s="97" t="s">
        <v>1384</v>
      </c>
      <c r="K790" s="97" t="s">
        <v>631</v>
      </c>
      <c r="L790" s="98"/>
    </row>
    <row r="791">
      <c r="B791" s="95" t="s">
        <v>526</v>
      </c>
      <c r="C791" s="95" t="s">
        <v>748</v>
      </c>
      <c r="D791" s="95" t="s">
        <v>114</v>
      </c>
      <c r="E791" s="95" t="s">
        <v>389</v>
      </c>
      <c r="F791" s="95" t="s">
        <v>586</v>
      </c>
      <c r="G791" s="9">
        <v>700000.0</v>
      </c>
      <c r="H791" s="95" t="s">
        <v>530</v>
      </c>
      <c r="I791" s="13">
        <f t="shared" si="33"/>
        <v>70000</v>
      </c>
      <c r="J791" s="97" t="s">
        <v>1384</v>
      </c>
      <c r="K791" s="97" t="s">
        <v>631</v>
      </c>
      <c r="L791" s="98"/>
    </row>
    <row r="792">
      <c r="B792" s="95" t="s">
        <v>526</v>
      </c>
      <c r="C792" s="95" t="s">
        <v>686</v>
      </c>
      <c r="D792" s="95" t="s">
        <v>114</v>
      </c>
      <c r="E792" s="95" t="s">
        <v>389</v>
      </c>
      <c r="F792" s="95" t="s">
        <v>586</v>
      </c>
      <c r="G792" s="9">
        <v>2000000.0</v>
      </c>
      <c r="H792" s="95" t="s">
        <v>530</v>
      </c>
      <c r="I792" s="13">
        <f t="shared" si="33"/>
        <v>200000</v>
      </c>
      <c r="J792" s="97" t="s">
        <v>1384</v>
      </c>
      <c r="K792" s="97" t="s">
        <v>631</v>
      </c>
      <c r="L792" s="98"/>
    </row>
    <row r="793">
      <c r="B793" s="95" t="s">
        <v>526</v>
      </c>
      <c r="C793" s="95" t="s">
        <v>705</v>
      </c>
      <c r="D793" s="95" t="s">
        <v>114</v>
      </c>
      <c r="E793" s="95" t="s">
        <v>389</v>
      </c>
      <c r="F793" s="95" t="s">
        <v>586</v>
      </c>
      <c r="G793" s="9">
        <v>1200000.0</v>
      </c>
      <c r="H793" s="95" t="s">
        <v>530</v>
      </c>
      <c r="I793" s="13">
        <f t="shared" si="33"/>
        <v>120000</v>
      </c>
      <c r="J793" s="97" t="s">
        <v>1384</v>
      </c>
      <c r="K793" s="97" t="s">
        <v>631</v>
      </c>
      <c r="L793" s="98"/>
    </row>
    <row r="794">
      <c r="B794" s="95" t="s">
        <v>526</v>
      </c>
      <c r="C794" s="95" t="s">
        <v>706</v>
      </c>
      <c r="D794" s="95" t="s">
        <v>114</v>
      </c>
      <c r="E794" s="95" t="s">
        <v>389</v>
      </c>
      <c r="F794" s="95" t="s">
        <v>586</v>
      </c>
      <c r="G794" s="9">
        <v>1200000.0</v>
      </c>
      <c r="H794" s="95" t="s">
        <v>530</v>
      </c>
      <c r="I794" s="13">
        <f t="shared" si="33"/>
        <v>120000</v>
      </c>
      <c r="J794" s="97" t="s">
        <v>1384</v>
      </c>
      <c r="K794" s="97" t="s">
        <v>631</v>
      </c>
      <c r="L794" s="98"/>
    </row>
    <row r="795">
      <c r="B795" s="95" t="s">
        <v>526</v>
      </c>
      <c r="C795" s="95" t="s">
        <v>1387</v>
      </c>
      <c r="D795" s="95" t="s">
        <v>114</v>
      </c>
      <c r="E795" s="95" t="s">
        <v>389</v>
      </c>
      <c r="F795" s="95" t="s">
        <v>586</v>
      </c>
      <c r="G795" s="9">
        <v>1000000.0</v>
      </c>
      <c r="H795" s="95" t="s">
        <v>530</v>
      </c>
      <c r="I795" s="13">
        <f t="shared" si="33"/>
        <v>100000</v>
      </c>
      <c r="J795" s="97" t="s">
        <v>1384</v>
      </c>
      <c r="K795" s="97" t="s">
        <v>631</v>
      </c>
      <c r="L795" s="98"/>
    </row>
    <row r="796">
      <c r="B796" s="95" t="s">
        <v>526</v>
      </c>
      <c r="C796" s="95" t="s">
        <v>852</v>
      </c>
      <c r="D796" s="95" t="s">
        <v>114</v>
      </c>
      <c r="E796" s="95" t="s">
        <v>389</v>
      </c>
      <c r="F796" s="95" t="s">
        <v>586</v>
      </c>
      <c r="G796" s="9">
        <v>550000.0</v>
      </c>
      <c r="H796" s="95" t="s">
        <v>530</v>
      </c>
      <c r="I796" s="13">
        <f t="shared" si="33"/>
        <v>55000</v>
      </c>
      <c r="J796" s="97" t="s">
        <v>1384</v>
      </c>
      <c r="K796" s="97" t="s">
        <v>631</v>
      </c>
      <c r="L796" s="98"/>
    </row>
    <row r="797">
      <c r="B797" s="95" t="s">
        <v>526</v>
      </c>
      <c r="C797" s="95" t="s">
        <v>693</v>
      </c>
      <c r="D797" s="95" t="s">
        <v>114</v>
      </c>
      <c r="E797" s="95" t="s">
        <v>389</v>
      </c>
      <c r="F797" s="95" t="s">
        <v>586</v>
      </c>
      <c r="G797" s="9">
        <v>1600000.0</v>
      </c>
      <c r="H797" s="95" t="s">
        <v>530</v>
      </c>
      <c r="I797" s="13">
        <f t="shared" si="33"/>
        <v>160000</v>
      </c>
      <c r="J797" s="97" t="s">
        <v>1384</v>
      </c>
      <c r="K797" s="97" t="s">
        <v>631</v>
      </c>
      <c r="L797" s="98"/>
    </row>
    <row r="798">
      <c r="B798" s="95" t="s">
        <v>526</v>
      </c>
      <c r="C798" s="95" t="s">
        <v>699</v>
      </c>
      <c r="D798" s="95" t="s">
        <v>114</v>
      </c>
      <c r="E798" s="95" t="s">
        <v>389</v>
      </c>
      <c r="F798" s="95" t="s">
        <v>586</v>
      </c>
      <c r="G798" s="9">
        <v>1800000.0</v>
      </c>
      <c r="H798" s="95" t="s">
        <v>530</v>
      </c>
      <c r="I798" s="13">
        <f t="shared" si="33"/>
        <v>180000</v>
      </c>
      <c r="J798" s="97" t="s">
        <v>1384</v>
      </c>
      <c r="K798" s="97" t="s">
        <v>631</v>
      </c>
      <c r="L798" s="98"/>
    </row>
    <row r="799">
      <c r="B799" s="95" t="s">
        <v>526</v>
      </c>
      <c r="C799" s="95" t="s">
        <v>1388</v>
      </c>
      <c r="D799" s="95" t="s">
        <v>88</v>
      </c>
      <c r="E799" s="95" t="s">
        <v>425</v>
      </c>
      <c r="F799" s="95" t="s">
        <v>906</v>
      </c>
      <c r="G799" s="9">
        <v>150000.0</v>
      </c>
      <c r="H799" s="95" t="s">
        <v>530</v>
      </c>
      <c r="I799" s="13">
        <f t="shared" si="33"/>
        <v>15000</v>
      </c>
      <c r="J799" s="97" t="s">
        <v>1389</v>
      </c>
      <c r="K799" s="98"/>
      <c r="L799" s="98"/>
    </row>
    <row r="800">
      <c r="B800" s="95" t="s">
        <v>526</v>
      </c>
      <c r="C800" s="95" t="s">
        <v>1390</v>
      </c>
      <c r="D800" s="95" t="s">
        <v>88</v>
      </c>
      <c r="E800" s="95" t="s">
        <v>425</v>
      </c>
      <c r="F800" s="95" t="s">
        <v>906</v>
      </c>
      <c r="G800" s="9">
        <v>80000.0</v>
      </c>
      <c r="H800" s="95" t="s">
        <v>530</v>
      </c>
      <c r="I800" s="13">
        <f t="shared" si="33"/>
        <v>8000</v>
      </c>
      <c r="J800" s="97" t="s">
        <v>1389</v>
      </c>
      <c r="K800" s="98"/>
      <c r="L800" s="98"/>
    </row>
    <row r="801">
      <c r="B801" s="95" t="s">
        <v>526</v>
      </c>
      <c r="C801" s="95" t="s">
        <v>1125</v>
      </c>
      <c r="D801" s="95" t="s">
        <v>88</v>
      </c>
      <c r="E801" s="95" t="s">
        <v>425</v>
      </c>
      <c r="F801" s="95" t="s">
        <v>906</v>
      </c>
      <c r="G801" s="9">
        <v>350000.0</v>
      </c>
      <c r="H801" s="95" t="s">
        <v>530</v>
      </c>
      <c r="I801" s="13">
        <f t="shared" si="33"/>
        <v>35000</v>
      </c>
      <c r="J801" s="97" t="s">
        <v>1389</v>
      </c>
      <c r="K801" s="98"/>
      <c r="L801" s="98"/>
    </row>
    <row r="802">
      <c r="B802" s="95" t="s">
        <v>526</v>
      </c>
      <c r="C802" s="95" t="s">
        <v>1391</v>
      </c>
      <c r="D802" s="95" t="s">
        <v>88</v>
      </c>
      <c r="E802" s="95" t="s">
        <v>425</v>
      </c>
      <c r="F802" s="95" t="s">
        <v>906</v>
      </c>
      <c r="G802" s="9">
        <v>80000.0</v>
      </c>
      <c r="H802" s="95" t="s">
        <v>530</v>
      </c>
      <c r="I802" s="13">
        <f t="shared" si="33"/>
        <v>8000</v>
      </c>
      <c r="J802" s="97" t="s">
        <v>1389</v>
      </c>
      <c r="K802" s="98"/>
      <c r="L802" s="98"/>
    </row>
    <row r="803">
      <c r="B803" s="95" t="s">
        <v>526</v>
      </c>
      <c r="C803" s="95" t="s">
        <v>1392</v>
      </c>
      <c r="D803" s="95" t="s">
        <v>88</v>
      </c>
      <c r="E803" s="95" t="s">
        <v>425</v>
      </c>
      <c r="F803" s="95" t="s">
        <v>906</v>
      </c>
      <c r="G803" s="9">
        <v>50000.0</v>
      </c>
      <c r="H803" s="95" t="s">
        <v>530</v>
      </c>
      <c r="I803" s="13">
        <f t="shared" si="33"/>
        <v>5000</v>
      </c>
      <c r="J803" s="97" t="s">
        <v>1389</v>
      </c>
      <c r="K803" s="98"/>
      <c r="L803" s="98"/>
    </row>
    <row r="804">
      <c r="B804" s="95" t="s">
        <v>526</v>
      </c>
      <c r="C804" s="95" t="s">
        <v>1393</v>
      </c>
      <c r="D804" s="95" t="s">
        <v>88</v>
      </c>
      <c r="E804" s="95" t="s">
        <v>425</v>
      </c>
      <c r="F804" s="95" t="s">
        <v>906</v>
      </c>
      <c r="G804" s="9">
        <v>250000.0</v>
      </c>
      <c r="H804" s="95" t="s">
        <v>530</v>
      </c>
      <c r="I804" s="13">
        <f t="shared" si="33"/>
        <v>25000</v>
      </c>
      <c r="J804" s="97" t="s">
        <v>1389</v>
      </c>
      <c r="K804" s="98"/>
      <c r="L804" s="98"/>
    </row>
    <row r="805">
      <c r="B805" s="95" t="s">
        <v>526</v>
      </c>
      <c r="C805" s="95" t="s">
        <v>1394</v>
      </c>
      <c r="D805" s="95" t="s">
        <v>88</v>
      </c>
      <c r="E805" s="95" t="s">
        <v>425</v>
      </c>
      <c r="F805" s="95" t="s">
        <v>906</v>
      </c>
      <c r="G805" s="9">
        <v>80000.0</v>
      </c>
      <c r="H805" s="95" t="s">
        <v>530</v>
      </c>
      <c r="I805" s="13">
        <f t="shared" si="33"/>
        <v>8000</v>
      </c>
      <c r="J805" s="97" t="s">
        <v>1389</v>
      </c>
      <c r="K805" s="98"/>
      <c r="L805" s="98"/>
    </row>
    <row r="806">
      <c r="B806" s="95" t="s">
        <v>526</v>
      </c>
      <c r="C806" s="95" t="s">
        <v>1395</v>
      </c>
      <c r="D806" s="95" t="s">
        <v>88</v>
      </c>
      <c r="E806" s="95" t="s">
        <v>425</v>
      </c>
      <c r="F806" s="95" t="s">
        <v>906</v>
      </c>
      <c r="G806" s="9">
        <v>175000.0</v>
      </c>
      <c r="H806" s="95" t="s">
        <v>530</v>
      </c>
      <c r="I806" s="13">
        <f t="shared" si="33"/>
        <v>17500</v>
      </c>
      <c r="J806" s="97" t="s">
        <v>1389</v>
      </c>
      <c r="K806" s="98"/>
      <c r="L806" s="98"/>
    </row>
    <row r="807">
      <c r="B807" s="95" t="s">
        <v>526</v>
      </c>
      <c r="C807" s="95" t="s">
        <v>1396</v>
      </c>
      <c r="D807" s="95" t="s">
        <v>88</v>
      </c>
      <c r="E807" s="95" t="s">
        <v>425</v>
      </c>
      <c r="F807" s="95" t="s">
        <v>906</v>
      </c>
      <c r="G807" s="9">
        <v>160000.0</v>
      </c>
      <c r="H807" s="95" t="s">
        <v>530</v>
      </c>
      <c r="I807" s="13">
        <f t="shared" si="33"/>
        <v>16000</v>
      </c>
      <c r="J807" s="97" t="s">
        <v>1389</v>
      </c>
      <c r="K807" s="98"/>
      <c r="L807" s="98"/>
    </row>
    <row r="808">
      <c r="B808" s="95" t="s">
        <v>526</v>
      </c>
      <c r="C808" s="95" t="s">
        <v>606</v>
      </c>
      <c r="D808" s="95" t="s">
        <v>88</v>
      </c>
      <c r="E808" s="95" t="s">
        <v>425</v>
      </c>
      <c r="F808" s="95" t="s">
        <v>906</v>
      </c>
      <c r="G808" s="9">
        <v>170000.0</v>
      </c>
      <c r="H808" s="95" t="s">
        <v>530</v>
      </c>
      <c r="I808" s="13">
        <f t="shared" si="33"/>
        <v>17000</v>
      </c>
      <c r="J808" s="97" t="s">
        <v>1389</v>
      </c>
      <c r="K808" s="98"/>
      <c r="L808" s="98"/>
    </row>
    <row r="809">
      <c r="B809" s="95" t="s">
        <v>526</v>
      </c>
      <c r="C809" s="95" t="s">
        <v>1397</v>
      </c>
      <c r="D809" s="95" t="s">
        <v>88</v>
      </c>
      <c r="E809" s="95" t="s">
        <v>425</v>
      </c>
      <c r="F809" s="95" t="s">
        <v>906</v>
      </c>
      <c r="G809" s="9">
        <v>375000.0</v>
      </c>
      <c r="H809" s="95" t="s">
        <v>530</v>
      </c>
      <c r="I809" s="13">
        <f t="shared" si="33"/>
        <v>37500</v>
      </c>
      <c r="J809" s="97" t="s">
        <v>1389</v>
      </c>
      <c r="K809" s="98"/>
      <c r="L809" s="98"/>
    </row>
    <row r="810">
      <c r="B810" s="95" t="s">
        <v>526</v>
      </c>
      <c r="C810" s="95" t="s">
        <v>1398</v>
      </c>
      <c r="D810" s="95" t="s">
        <v>88</v>
      </c>
      <c r="E810" s="95" t="s">
        <v>425</v>
      </c>
      <c r="F810" s="95" t="s">
        <v>906</v>
      </c>
      <c r="G810" s="9">
        <v>90000.0</v>
      </c>
      <c r="H810" s="95" t="s">
        <v>530</v>
      </c>
      <c r="I810" s="13">
        <f t="shared" si="33"/>
        <v>9000</v>
      </c>
      <c r="J810" s="97" t="s">
        <v>1389</v>
      </c>
      <c r="K810" s="98"/>
      <c r="L810" s="98"/>
    </row>
    <row r="811">
      <c r="B811" s="95" t="s">
        <v>526</v>
      </c>
      <c r="C811" s="95" t="s">
        <v>1399</v>
      </c>
      <c r="D811" s="95" t="s">
        <v>88</v>
      </c>
      <c r="E811" s="95" t="s">
        <v>425</v>
      </c>
      <c r="F811" s="95" t="s">
        <v>906</v>
      </c>
      <c r="G811" s="9">
        <v>200000.0</v>
      </c>
      <c r="H811" s="95" t="s">
        <v>530</v>
      </c>
      <c r="I811" s="13">
        <f t="shared" si="33"/>
        <v>20000</v>
      </c>
      <c r="J811" s="97" t="s">
        <v>1389</v>
      </c>
      <c r="K811" s="98"/>
      <c r="L811" s="98"/>
    </row>
    <row r="812">
      <c r="B812" s="95" t="s">
        <v>526</v>
      </c>
      <c r="C812" s="95" t="s">
        <v>1400</v>
      </c>
      <c r="D812" s="95" t="s">
        <v>427</v>
      </c>
      <c r="E812" s="95" t="s">
        <v>428</v>
      </c>
      <c r="F812" s="95" t="s">
        <v>650</v>
      </c>
      <c r="G812" s="9">
        <v>3300000.0</v>
      </c>
      <c r="H812" s="95" t="s">
        <v>530</v>
      </c>
      <c r="I812" s="13">
        <f t="shared" si="33"/>
        <v>330000</v>
      </c>
      <c r="J812" s="97" t="s">
        <v>1401</v>
      </c>
      <c r="K812" s="97" t="s">
        <v>1402</v>
      </c>
      <c r="L812" s="98"/>
    </row>
    <row r="813">
      <c r="B813" s="95" t="s">
        <v>526</v>
      </c>
      <c r="C813" s="95" t="s">
        <v>1383</v>
      </c>
      <c r="D813" s="95" t="s">
        <v>195</v>
      </c>
      <c r="E813" s="95" t="s">
        <v>434</v>
      </c>
      <c r="F813" s="95" t="s">
        <v>650</v>
      </c>
      <c r="G813" s="9">
        <v>3700000.0</v>
      </c>
      <c r="H813" s="95" t="s">
        <v>530</v>
      </c>
      <c r="I813" s="13">
        <f t="shared" si="33"/>
        <v>370000</v>
      </c>
      <c r="J813" s="97" t="s">
        <v>1401</v>
      </c>
      <c r="K813" s="98"/>
      <c r="L813" s="98"/>
    </row>
    <row r="814">
      <c r="B814" s="95" t="s">
        <v>526</v>
      </c>
      <c r="C814" s="95" t="s">
        <v>1381</v>
      </c>
      <c r="D814" s="95" t="s">
        <v>140</v>
      </c>
      <c r="E814" s="95" t="s">
        <v>141</v>
      </c>
      <c r="F814" s="95" t="s">
        <v>650</v>
      </c>
      <c r="G814" s="9">
        <f>2800000*0.85</f>
        <v>2380000</v>
      </c>
      <c r="H814" s="95" t="s">
        <v>530</v>
      </c>
      <c r="I814" s="13">
        <f t="shared" si="33"/>
        <v>238000</v>
      </c>
      <c r="J814" s="97" t="s">
        <v>1347</v>
      </c>
      <c r="K814" s="97" t="s">
        <v>1261</v>
      </c>
      <c r="L814" s="98"/>
    </row>
    <row r="815">
      <c r="B815" s="95" t="s">
        <v>526</v>
      </c>
      <c r="C815" s="95" t="s">
        <v>1379</v>
      </c>
      <c r="D815" s="95" t="s">
        <v>13</v>
      </c>
      <c r="E815" s="95" t="s">
        <v>19</v>
      </c>
      <c r="F815" s="95" t="s">
        <v>650</v>
      </c>
      <c r="G815" s="9">
        <v>3000000.0</v>
      </c>
      <c r="H815" s="95" t="s">
        <v>530</v>
      </c>
      <c r="I815" s="13">
        <f t="shared" si="33"/>
        <v>300000</v>
      </c>
      <c r="J815" s="105" t="s">
        <v>1380</v>
      </c>
      <c r="K815" s="98"/>
      <c r="L815" s="98"/>
    </row>
    <row r="816">
      <c r="B816" s="95" t="s">
        <v>526</v>
      </c>
      <c r="C816" s="95" t="s">
        <v>1383</v>
      </c>
      <c r="D816" s="95" t="s">
        <v>195</v>
      </c>
      <c r="E816" s="95" t="s">
        <v>434</v>
      </c>
      <c r="F816" s="95" t="s">
        <v>643</v>
      </c>
      <c r="G816" s="9">
        <v>3640000.0</v>
      </c>
      <c r="H816" s="95" t="s">
        <v>530</v>
      </c>
      <c r="I816" s="13">
        <f t="shared" si="33"/>
        <v>364000</v>
      </c>
      <c r="J816" s="97" t="s">
        <v>1403</v>
      </c>
      <c r="K816" s="98"/>
      <c r="L816" s="98"/>
    </row>
    <row r="817">
      <c r="B817" s="95" t="s">
        <v>526</v>
      </c>
      <c r="C817" s="95" t="s">
        <v>585</v>
      </c>
      <c r="D817" s="95" t="s">
        <v>114</v>
      </c>
      <c r="E817" s="95" t="s">
        <v>396</v>
      </c>
      <c r="F817" s="95" t="s">
        <v>643</v>
      </c>
      <c r="G817" s="9">
        <v>2548000.0</v>
      </c>
      <c r="H817" s="95" t="s">
        <v>530</v>
      </c>
      <c r="I817" s="13">
        <f t="shared" si="33"/>
        <v>254800</v>
      </c>
      <c r="J817" s="97" t="s">
        <v>1403</v>
      </c>
      <c r="K817" s="98"/>
      <c r="L817" s="98"/>
    </row>
    <row r="818">
      <c r="B818" s="95" t="s">
        <v>526</v>
      </c>
      <c r="C818" s="95" t="s">
        <v>1378</v>
      </c>
      <c r="D818" s="95" t="s">
        <v>88</v>
      </c>
      <c r="E818" s="95" t="s">
        <v>422</v>
      </c>
      <c r="F818" s="95" t="s">
        <v>643</v>
      </c>
      <c r="G818" s="9">
        <v>2366000.0</v>
      </c>
      <c r="H818" s="95" t="s">
        <v>530</v>
      </c>
      <c r="I818" s="13">
        <f t="shared" si="33"/>
        <v>236600</v>
      </c>
      <c r="J818" s="97" t="s">
        <v>1403</v>
      </c>
      <c r="K818" s="97" t="s">
        <v>1404</v>
      </c>
      <c r="L818" s="98"/>
    </row>
    <row r="819">
      <c r="B819" s="95" t="s">
        <v>526</v>
      </c>
      <c r="C819" s="95" t="s">
        <v>1377</v>
      </c>
      <c r="D819" s="95" t="s">
        <v>222</v>
      </c>
      <c r="E819" s="95" t="s">
        <v>1019</v>
      </c>
      <c r="F819" s="95" t="s">
        <v>643</v>
      </c>
      <c r="G819" s="9">
        <v>2500000.0</v>
      </c>
      <c r="H819" s="95" t="s">
        <v>530</v>
      </c>
      <c r="I819" s="13">
        <f t="shared" si="33"/>
        <v>250000</v>
      </c>
      <c r="J819" s="97" t="s">
        <v>1405</v>
      </c>
      <c r="K819" s="98"/>
      <c r="L819" s="98"/>
    </row>
    <row r="820">
      <c r="B820" s="95" t="s">
        <v>526</v>
      </c>
      <c r="C820" s="95" t="s">
        <v>1373</v>
      </c>
      <c r="D820" s="95" t="s">
        <v>195</v>
      </c>
      <c r="E820" s="95" t="s">
        <v>434</v>
      </c>
      <c r="F820" s="95" t="s">
        <v>643</v>
      </c>
      <c r="G820" s="9">
        <v>2300000.0</v>
      </c>
      <c r="H820" s="95" t="s">
        <v>530</v>
      </c>
      <c r="I820" s="13">
        <f t="shared" si="33"/>
        <v>230000</v>
      </c>
      <c r="J820" s="97" t="s">
        <v>1406</v>
      </c>
      <c r="K820" s="98"/>
      <c r="L820" s="98"/>
    </row>
    <row r="821">
      <c r="B821" s="95" t="s">
        <v>526</v>
      </c>
      <c r="C821" s="95" t="s">
        <v>1370</v>
      </c>
      <c r="D821" s="95" t="s">
        <v>140</v>
      </c>
      <c r="E821" s="95" t="s">
        <v>194</v>
      </c>
      <c r="F821" s="95" t="s">
        <v>643</v>
      </c>
      <c r="G821" s="9">
        <v>1600000.0</v>
      </c>
      <c r="H821" s="95" t="s">
        <v>530</v>
      </c>
      <c r="I821" s="13">
        <f t="shared" si="33"/>
        <v>160000</v>
      </c>
      <c r="J821" s="97" t="s">
        <v>1371</v>
      </c>
      <c r="K821" s="98"/>
      <c r="L821" s="98"/>
    </row>
    <row r="822">
      <c r="B822" s="95" t="s">
        <v>526</v>
      </c>
      <c r="C822" s="95" t="s">
        <v>599</v>
      </c>
      <c r="D822" s="95" t="s">
        <v>114</v>
      </c>
      <c r="E822" s="95" t="s">
        <v>396</v>
      </c>
      <c r="F822" s="95" t="s">
        <v>643</v>
      </c>
      <c r="G822" s="9">
        <v>1911000.0</v>
      </c>
      <c r="H822" s="95" t="s">
        <v>530</v>
      </c>
      <c r="I822" s="13">
        <f t="shared" si="33"/>
        <v>191100</v>
      </c>
      <c r="J822" s="97" t="s">
        <v>1403</v>
      </c>
      <c r="K822" s="98"/>
      <c r="L822" s="98"/>
    </row>
    <row r="823">
      <c r="B823" s="95" t="s">
        <v>526</v>
      </c>
      <c r="C823" s="95" t="s">
        <v>1407</v>
      </c>
      <c r="D823" s="95" t="s">
        <v>222</v>
      </c>
      <c r="E823" s="95" t="s">
        <v>1366</v>
      </c>
      <c r="F823" s="95" t="s">
        <v>643</v>
      </c>
      <c r="G823" s="9">
        <v>1911000.0</v>
      </c>
      <c r="H823" s="95" t="s">
        <v>530</v>
      </c>
      <c r="I823" s="13">
        <f t="shared" si="33"/>
        <v>191100</v>
      </c>
      <c r="J823" s="97" t="s">
        <v>1403</v>
      </c>
      <c r="K823" s="98"/>
      <c r="L823" s="98"/>
    </row>
    <row r="824">
      <c r="B824" s="95" t="s">
        <v>526</v>
      </c>
      <c r="C824" s="95" t="s">
        <v>1408</v>
      </c>
      <c r="D824" s="95" t="s">
        <v>195</v>
      </c>
      <c r="E824" s="95" t="s">
        <v>434</v>
      </c>
      <c r="F824" s="95" t="s">
        <v>643</v>
      </c>
      <c r="G824" s="9">
        <v>1820000.0</v>
      </c>
      <c r="H824" s="95" t="s">
        <v>530</v>
      </c>
      <c r="I824" s="13">
        <f t="shared" si="33"/>
        <v>182000</v>
      </c>
      <c r="J824" s="97" t="s">
        <v>1403</v>
      </c>
      <c r="K824" s="98"/>
      <c r="L824" s="98"/>
    </row>
    <row r="825">
      <c r="B825" s="95" t="s">
        <v>526</v>
      </c>
      <c r="C825" s="95" t="s">
        <v>1379</v>
      </c>
      <c r="D825" s="95" t="s">
        <v>13</v>
      </c>
      <c r="E825" s="95" t="s">
        <v>19</v>
      </c>
      <c r="F825" s="95" t="s">
        <v>643</v>
      </c>
      <c r="G825" s="9">
        <v>2000000.0</v>
      </c>
      <c r="H825" s="95" t="s">
        <v>530</v>
      </c>
      <c r="I825" s="13">
        <f t="shared" si="33"/>
        <v>200000</v>
      </c>
      <c r="J825" s="97" t="s">
        <v>1403</v>
      </c>
      <c r="K825" s="98" t="s">
        <v>1409</v>
      </c>
      <c r="L825" s="98"/>
    </row>
    <row r="826">
      <c r="B826" s="95" t="s">
        <v>526</v>
      </c>
      <c r="C826" s="95" t="s">
        <v>1323</v>
      </c>
      <c r="D826" s="95" t="s">
        <v>222</v>
      </c>
      <c r="E826" s="95" t="s">
        <v>1019</v>
      </c>
      <c r="F826" s="95" t="s">
        <v>643</v>
      </c>
      <c r="G826" s="9">
        <v>1820000.0</v>
      </c>
      <c r="H826" s="95" t="s">
        <v>530</v>
      </c>
      <c r="I826" s="13">
        <f t="shared" si="33"/>
        <v>182000</v>
      </c>
      <c r="J826" s="97" t="s">
        <v>1403</v>
      </c>
      <c r="K826" s="98"/>
      <c r="L826" s="98"/>
    </row>
    <row r="827">
      <c r="B827" s="95" t="s">
        <v>526</v>
      </c>
      <c r="C827" s="95" t="s">
        <v>962</v>
      </c>
      <c r="D827" s="95" t="s">
        <v>222</v>
      </c>
      <c r="E827" s="95" t="s">
        <v>1019</v>
      </c>
      <c r="F827" s="95" t="s">
        <v>643</v>
      </c>
      <c r="G827" s="9">
        <v>1820000.0</v>
      </c>
      <c r="H827" s="95" t="s">
        <v>530</v>
      </c>
      <c r="I827" s="13">
        <f t="shared" si="33"/>
        <v>182000</v>
      </c>
      <c r="J827" s="97" t="s">
        <v>1403</v>
      </c>
      <c r="K827" s="98"/>
      <c r="L827" s="98"/>
    </row>
    <row r="828">
      <c r="B828" s="95" t="s">
        <v>526</v>
      </c>
      <c r="C828" s="95" t="s">
        <v>1410</v>
      </c>
      <c r="D828" s="95" t="s">
        <v>88</v>
      </c>
      <c r="E828" s="95" t="s">
        <v>425</v>
      </c>
      <c r="F828" s="95" t="s">
        <v>643</v>
      </c>
      <c r="G828" s="9">
        <v>1820000.0</v>
      </c>
      <c r="H828" s="95" t="s">
        <v>530</v>
      </c>
      <c r="I828" s="13">
        <f t="shared" si="33"/>
        <v>182000</v>
      </c>
      <c r="J828" s="97" t="s">
        <v>1403</v>
      </c>
      <c r="K828" s="98"/>
      <c r="L828" s="98"/>
    </row>
    <row r="829">
      <c r="B829" s="95" t="s">
        <v>526</v>
      </c>
      <c r="C829" s="95" t="s">
        <v>1411</v>
      </c>
      <c r="D829" s="95" t="s">
        <v>140</v>
      </c>
      <c r="E829" s="95" t="s">
        <v>194</v>
      </c>
      <c r="F829" s="95" t="s">
        <v>643</v>
      </c>
      <c r="G829" s="9">
        <v>1820000.0</v>
      </c>
      <c r="H829" s="95" t="s">
        <v>530</v>
      </c>
      <c r="I829" s="13">
        <f t="shared" si="33"/>
        <v>182000</v>
      </c>
      <c r="J829" s="97" t="s">
        <v>1403</v>
      </c>
      <c r="K829" s="98"/>
      <c r="L829" s="98"/>
    </row>
    <row r="830">
      <c r="B830" s="95" t="s">
        <v>526</v>
      </c>
      <c r="C830" s="95" t="s">
        <v>679</v>
      </c>
      <c r="D830" s="95" t="s">
        <v>195</v>
      </c>
      <c r="E830" s="95" t="s">
        <v>432</v>
      </c>
      <c r="F830" s="95" t="s">
        <v>586</v>
      </c>
      <c r="G830" s="9">
        <v>2024000.0</v>
      </c>
      <c r="H830" s="95" t="s">
        <v>530</v>
      </c>
      <c r="I830" s="13">
        <f t="shared" si="33"/>
        <v>202400</v>
      </c>
      <c r="J830" s="97" t="s">
        <v>1376</v>
      </c>
      <c r="K830" s="98"/>
      <c r="L830" s="98"/>
    </row>
    <row r="831">
      <c r="B831" s="95" t="s">
        <v>526</v>
      </c>
      <c r="C831" s="95" t="s">
        <v>1412</v>
      </c>
      <c r="D831" s="95" t="s">
        <v>195</v>
      </c>
      <c r="E831" s="95" t="s">
        <v>434</v>
      </c>
      <c r="F831" s="95" t="s">
        <v>586</v>
      </c>
      <c r="G831" s="9">
        <v>1932000.0</v>
      </c>
      <c r="H831" s="95" t="s">
        <v>530</v>
      </c>
      <c r="I831" s="13">
        <f t="shared" si="33"/>
        <v>193200</v>
      </c>
      <c r="J831" s="97" t="s">
        <v>1376</v>
      </c>
      <c r="K831" s="98"/>
      <c r="L831" s="98"/>
    </row>
    <row r="832">
      <c r="B832" s="95" t="s">
        <v>526</v>
      </c>
      <c r="C832" s="95" t="s">
        <v>1346</v>
      </c>
      <c r="D832" s="95" t="s">
        <v>140</v>
      </c>
      <c r="E832" s="95" t="s">
        <v>203</v>
      </c>
      <c r="F832" s="95" t="s">
        <v>643</v>
      </c>
      <c r="G832" s="9">
        <v>900000.0</v>
      </c>
      <c r="H832" s="95" t="s">
        <v>530</v>
      </c>
      <c r="I832" s="13">
        <f t="shared" si="33"/>
        <v>90000</v>
      </c>
      <c r="J832" s="97" t="s">
        <v>1413</v>
      </c>
      <c r="K832" s="97" t="s">
        <v>1348</v>
      </c>
      <c r="L832" s="98"/>
    </row>
    <row r="833">
      <c r="B833" s="95" t="s">
        <v>526</v>
      </c>
      <c r="C833" s="95" t="s">
        <v>1346</v>
      </c>
      <c r="D833" s="95" t="s">
        <v>140</v>
      </c>
      <c r="E833" s="95" t="s">
        <v>203</v>
      </c>
      <c r="F833" s="95" t="s">
        <v>586</v>
      </c>
      <c r="G833" s="9">
        <v>1840000.0</v>
      </c>
      <c r="H833" s="95" t="s">
        <v>530</v>
      </c>
      <c r="I833" s="13">
        <f t="shared" si="33"/>
        <v>184000</v>
      </c>
      <c r="J833" s="97" t="s">
        <v>1376</v>
      </c>
      <c r="K833" s="98"/>
      <c r="L833" s="98"/>
    </row>
    <row r="834">
      <c r="B834" s="95" t="s">
        <v>526</v>
      </c>
      <c r="C834" s="95" t="s">
        <v>1414</v>
      </c>
      <c r="D834" s="95" t="s">
        <v>88</v>
      </c>
      <c r="E834" s="95" t="s">
        <v>425</v>
      </c>
      <c r="F834" s="95" t="s">
        <v>763</v>
      </c>
      <c r="G834" s="9">
        <v>400000.0</v>
      </c>
      <c r="H834" s="95" t="s">
        <v>530</v>
      </c>
      <c r="I834" s="13">
        <f t="shared" si="33"/>
        <v>40000</v>
      </c>
      <c r="J834" s="97" t="s">
        <v>1415</v>
      </c>
      <c r="K834" s="98"/>
      <c r="L834" s="98"/>
    </row>
    <row r="835">
      <c r="B835" s="95" t="s">
        <v>526</v>
      </c>
      <c r="C835" s="95" t="s">
        <v>1264</v>
      </c>
      <c r="D835" s="95" t="s">
        <v>174</v>
      </c>
      <c r="E835" s="95" t="s">
        <v>419</v>
      </c>
      <c r="F835" s="95" t="s">
        <v>543</v>
      </c>
      <c r="G835" s="9">
        <f>600000*0.87</f>
        <v>522000</v>
      </c>
      <c r="H835" s="95" t="s">
        <v>530</v>
      </c>
      <c r="I835" s="13">
        <f t="shared" si="33"/>
        <v>52200</v>
      </c>
      <c r="J835" s="97" t="s">
        <v>1172</v>
      </c>
      <c r="K835" s="98"/>
      <c r="L835" s="98"/>
    </row>
    <row r="836">
      <c r="B836" s="95" t="s">
        <v>526</v>
      </c>
      <c r="C836" s="95" t="s">
        <v>1264</v>
      </c>
      <c r="D836" s="95" t="s">
        <v>174</v>
      </c>
      <c r="E836" s="95" t="s">
        <v>419</v>
      </c>
      <c r="F836" s="95" t="s">
        <v>529</v>
      </c>
      <c r="G836" s="9">
        <f>400000*0.9</f>
        <v>360000</v>
      </c>
      <c r="H836" s="95" t="s">
        <v>530</v>
      </c>
      <c r="I836" s="13">
        <f t="shared" si="33"/>
        <v>36000</v>
      </c>
      <c r="J836" s="97" t="s">
        <v>1172</v>
      </c>
      <c r="K836" s="98"/>
      <c r="L836" s="98"/>
    </row>
    <row r="837">
      <c r="B837" s="95" t="s">
        <v>526</v>
      </c>
      <c r="C837" s="95" t="s">
        <v>1264</v>
      </c>
      <c r="D837" s="95" t="s">
        <v>195</v>
      </c>
      <c r="E837" s="95" t="s">
        <v>434</v>
      </c>
      <c r="F837" s="95" t="s">
        <v>763</v>
      </c>
      <c r="G837" s="9">
        <v>700000.0</v>
      </c>
      <c r="H837" s="95" t="s">
        <v>530</v>
      </c>
      <c r="I837" s="13">
        <f t="shared" si="33"/>
        <v>70000</v>
      </c>
      <c r="J837" s="97" t="s">
        <v>1415</v>
      </c>
      <c r="K837" s="98"/>
      <c r="L837" s="98"/>
    </row>
    <row r="838">
      <c r="B838" s="95" t="s">
        <v>526</v>
      </c>
      <c r="C838" s="95" t="s">
        <v>619</v>
      </c>
      <c r="D838" s="95" t="s">
        <v>114</v>
      </c>
      <c r="E838" s="95" t="s">
        <v>396</v>
      </c>
      <c r="F838" s="95" t="s">
        <v>763</v>
      </c>
      <c r="G838" s="9">
        <v>750000.0</v>
      </c>
      <c r="H838" s="95" t="s">
        <v>530</v>
      </c>
      <c r="I838" s="13">
        <f t="shared" si="33"/>
        <v>75000</v>
      </c>
      <c r="J838" s="97" t="s">
        <v>1415</v>
      </c>
      <c r="K838" s="98"/>
      <c r="L838" s="98"/>
    </row>
    <row r="839">
      <c r="B839" s="95" t="s">
        <v>526</v>
      </c>
      <c r="C839" s="95" t="s">
        <v>1416</v>
      </c>
      <c r="D839" s="95" t="s">
        <v>195</v>
      </c>
      <c r="E839" s="95" t="s">
        <v>432</v>
      </c>
      <c r="F839" s="95" t="s">
        <v>763</v>
      </c>
      <c r="G839" s="9">
        <v>800000.0</v>
      </c>
      <c r="H839" s="95" t="s">
        <v>530</v>
      </c>
      <c r="I839" s="13">
        <f t="shared" si="33"/>
        <v>80000</v>
      </c>
      <c r="J839" s="97" t="s">
        <v>1415</v>
      </c>
      <c r="K839" s="98"/>
      <c r="L839" s="98"/>
    </row>
    <row r="840">
      <c r="B840" s="95" t="s">
        <v>526</v>
      </c>
      <c r="C840" s="95" t="s">
        <v>1037</v>
      </c>
      <c r="D840" s="95" t="s">
        <v>174</v>
      </c>
      <c r="E840" s="95" t="s">
        <v>419</v>
      </c>
      <c r="F840" s="95" t="s">
        <v>763</v>
      </c>
      <c r="G840" s="9">
        <v>800000.0</v>
      </c>
      <c r="H840" s="95" t="s">
        <v>530</v>
      </c>
      <c r="I840" s="13">
        <f t="shared" si="33"/>
        <v>80000</v>
      </c>
      <c r="J840" s="97" t="s">
        <v>1415</v>
      </c>
      <c r="K840" s="98"/>
      <c r="L840" s="98"/>
    </row>
    <row r="841">
      <c r="B841" s="95" t="s">
        <v>526</v>
      </c>
      <c r="C841" s="95" t="s">
        <v>1037</v>
      </c>
      <c r="D841" s="95" t="s">
        <v>140</v>
      </c>
      <c r="E841" s="95" t="s">
        <v>178</v>
      </c>
      <c r="F841" s="95" t="s">
        <v>543</v>
      </c>
      <c r="G841" s="9">
        <v>1200000.0</v>
      </c>
      <c r="H841" s="95" t="s">
        <v>530</v>
      </c>
      <c r="I841" s="13">
        <f t="shared" si="33"/>
        <v>120000</v>
      </c>
      <c r="J841" s="97" t="s">
        <v>1415</v>
      </c>
      <c r="K841" s="98"/>
      <c r="L841" s="98"/>
    </row>
    <row r="842">
      <c r="B842" s="95" t="s">
        <v>526</v>
      </c>
      <c r="C842" s="95" t="s">
        <v>1417</v>
      </c>
      <c r="D842" s="95" t="s">
        <v>222</v>
      </c>
      <c r="E842" s="95" t="s">
        <v>1019</v>
      </c>
      <c r="F842" s="95" t="s">
        <v>763</v>
      </c>
      <c r="G842" s="9">
        <v>800000.0</v>
      </c>
      <c r="H842" s="95" t="s">
        <v>530</v>
      </c>
      <c r="I842" s="13">
        <f t="shared" si="33"/>
        <v>80000</v>
      </c>
      <c r="J842" s="97" t="s">
        <v>1415</v>
      </c>
      <c r="K842" s="98"/>
      <c r="L842" s="98"/>
    </row>
    <row r="843">
      <c r="B843" s="95" t="s">
        <v>526</v>
      </c>
      <c r="C843" s="95" t="s">
        <v>1418</v>
      </c>
      <c r="D843" s="95" t="s">
        <v>195</v>
      </c>
      <c r="E843" s="95" t="s">
        <v>432</v>
      </c>
      <c r="F843" s="95" t="s">
        <v>763</v>
      </c>
      <c r="G843" s="9">
        <v>900000.0</v>
      </c>
      <c r="H843" s="95" t="s">
        <v>530</v>
      </c>
      <c r="I843" s="13">
        <f t="shared" si="33"/>
        <v>90000</v>
      </c>
      <c r="J843" s="97" t="s">
        <v>1415</v>
      </c>
      <c r="K843" s="98"/>
      <c r="L843" s="98"/>
    </row>
    <row r="844">
      <c r="B844" s="95" t="s">
        <v>526</v>
      </c>
      <c r="C844" s="95" t="s">
        <v>847</v>
      </c>
      <c r="D844" s="95" t="s">
        <v>140</v>
      </c>
      <c r="E844" s="95" t="s">
        <v>141</v>
      </c>
      <c r="F844" s="95" t="s">
        <v>763</v>
      </c>
      <c r="G844" s="9">
        <v>950000.0</v>
      </c>
      <c r="H844" s="95" t="s">
        <v>530</v>
      </c>
      <c r="I844" s="13">
        <f t="shared" si="33"/>
        <v>95000</v>
      </c>
      <c r="J844" s="97" t="s">
        <v>1415</v>
      </c>
      <c r="K844" s="98"/>
      <c r="L844" s="98"/>
    </row>
    <row r="845">
      <c r="B845" s="95" t="s">
        <v>526</v>
      </c>
      <c r="C845" s="95" t="s">
        <v>1377</v>
      </c>
      <c r="D845" s="95" t="s">
        <v>140</v>
      </c>
      <c r="E845" s="95" t="s">
        <v>194</v>
      </c>
      <c r="F845" s="95" t="s">
        <v>738</v>
      </c>
      <c r="G845" s="9">
        <v>5000000.0</v>
      </c>
      <c r="H845" s="95" t="s">
        <v>530</v>
      </c>
      <c r="I845" s="13">
        <f t="shared" si="33"/>
        <v>500000</v>
      </c>
      <c r="J845" s="97" t="s">
        <v>1107</v>
      </c>
      <c r="K845" s="98"/>
      <c r="L845" s="98"/>
    </row>
    <row r="846">
      <c r="B846" s="95" t="s">
        <v>526</v>
      </c>
      <c r="C846" s="95" t="s">
        <v>1419</v>
      </c>
      <c r="D846" s="95" t="s">
        <v>140</v>
      </c>
      <c r="E846" s="95" t="s">
        <v>194</v>
      </c>
      <c r="F846" s="95" t="s">
        <v>738</v>
      </c>
      <c r="G846" s="9">
        <v>1800000.0</v>
      </c>
      <c r="H846" s="95" t="s">
        <v>530</v>
      </c>
      <c r="I846" s="13">
        <f t="shared" si="33"/>
        <v>180000</v>
      </c>
      <c r="J846" s="97" t="s">
        <v>1107</v>
      </c>
      <c r="K846" s="98"/>
      <c r="L846" s="98"/>
    </row>
    <row r="847">
      <c r="B847" s="95" t="s">
        <v>526</v>
      </c>
      <c r="C847" s="95" t="s">
        <v>1420</v>
      </c>
      <c r="D847" s="95" t="s">
        <v>140</v>
      </c>
      <c r="E847" s="95" t="s">
        <v>194</v>
      </c>
      <c r="F847" s="95" t="s">
        <v>738</v>
      </c>
      <c r="G847" s="9">
        <v>1800000.0</v>
      </c>
      <c r="H847" s="95" t="s">
        <v>530</v>
      </c>
      <c r="I847" s="13">
        <f t="shared" si="33"/>
        <v>180000</v>
      </c>
      <c r="J847" s="97" t="s">
        <v>1107</v>
      </c>
      <c r="K847" s="98"/>
      <c r="L847" s="98"/>
    </row>
    <row r="848">
      <c r="B848" s="95" t="s">
        <v>526</v>
      </c>
      <c r="C848" s="95" t="s">
        <v>1411</v>
      </c>
      <c r="D848" s="95" t="s">
        <v>140</v>
      </c>
      <c r="E848" s="95" t="s">
        <v>194</v>
      </c>
      <c r="F848" s="95" t="s">
        <v>738</v>
      </c>
      <c r="G848" s="9">
        <v>1850000.0</v>
      </c>
      <c r="H848" s="95" t="s">
        <v>530</v>
      </c>
      <c r="I848" s="13">
        <f t="shared" si="33"/>
        <v>185000</v>
      </c>
      <c r="J848" s="97" t="s">
        <v>1107</v>
      </c>
      <c r="K848" s="97" t="s">
        <v>1421</v>
      </c>
      <c r="L848" s="98"/>
    </row>
    <row r="849">
      <c r="B849" s="95" t="s">
        <v>526</v>
      </c>
      <c r="C849" s="95" t="s">
        <v>1422</v>
      </c>
      <c r="D849" s="95" t="s">
        <v>140</v>
      </c>
      <c r="E849" s="95" t="s">
        <v>194</v>
      </c>
      <c r="F849" s="95" t="s">
        <v>738</v>
      </c>
      <c r="G849" s="9">
        <v>1200000.0</v>
      </c>
      <c r="H849" s="95" t="s">
        <v>530</v>
      </c>
      <c r="I849" s="13">
        <f t="shared" si="33"/>
        <v>120000</v>
      </c>
      <c r="J849" s="97" t="s">
        <v>1107</v>
      </c>
      <c r="K849" s="98"/>
      <c r="L849" s="98"/>
    </row>
    <row r="850">
      <c r="B850" s="95" t="s">
        <v>526</v>
      </c>
      <c r="C850" s="95" t="s">
        <v>1416</v>
      </c>
      <c r="D850" s="95" t="s">
        <v>69</v>
      </c>
      <c r="E850" s="95" t="s">
        <v>555</v>
      </c>
      <c r="F850" s="95" t="s">
        <v>738</v>
      </c>
      <c r="G850" s="9">
        <v>350000.0</v>
      </c>
      <c r="H850" s="95" t="s">
        <v>745</v>
      </c>
      <c r="I850" s="13">
        <f>G850/5</f>
        <v>70000</v>
      </c>
      <c r="J850" s="97" t="s">
        <v>1107</v>
      </c>
      <c r="K850" s="98"/>
      <c r="L850" s="98"/>
    </row>
    <row r="851">
      <c r="B851" s="95" t="s">
        <v>526</v>
      </c>
      <c r="C851" s="95" t="s">
        <v>883</v>
      </c>
      <c r="D851" s="95" t="s">
        <v>69</v>
      </c>
      <c r="E851" s="95" t="s">
        <v>555</v>
      </c>
      <c r="F851" s="95" t="s">
        <v>738</v>
      </c>
      <c r="G851" s="9">
        <v>600000.0</v>
      </c>
      <c r="H851" s="95" t="s">
        <v>530</v>
      </c>
      <c r="I851" s="13">
        <f>G851/10</f>
        <v>60000</v>
      </c>
      <c r="J851" s="97" t="s">
        <v>1107</v>
      </c>
      <c r="K851" s="98"/>
      <c r="L851" s="98"/>
    </row>
    <row r="852">
      <c r="B852" s="95" t="s">
        <v>526</v>
      </c>
      <c r="C852" s="95" t="s">
        <v>1423</v>
      </c>
      <c r="D852" s="95" t="s">
        <v>69</v>
      </c>
      <c r="E852" s="95" t="s">
        <v>555</v>
      </c>
      <c r="F852" s="95" t="s">
        <v>738</v>
      </c>
      <c r="G852" s="9">
        <v>225000.0</v>
      </c>
      <c r="H852" s="95" t="s">
        <v>745</v>
      </c>
      <c r="I852" s="13">
        <f>G852/5</f>
        <v>45000</v>
      </c>
      <c r="J852" s="97" t="s">
        <v>1107</v>
      </c>
      <c r="K852" s="98"/>
      <c r="L852" s="98"/>
    </row>
    <row r="853">
      <c r="B853" s="95" t="s">
        <v>526</v>
      </c>
      <c r="C853" s="95" t="s">
        <v>1383</v>
      </c>
      <c r="D853" s="95" t="s">
        <v>195</v>
      </c>
      <c r="E853" s="95" t="s">
        <v>434</v>
      </c>
      <c r="F853" s="95" t="s">
        <v>738</v>
      </c>
      <c r="G853" s="9">
        <v>4000000.0</v>
      </c>
      <c r="H853" s="95" t="s">
        <v>530</v>
      </c>
      <c r="I853" s="13">
        <f t="shared" ref="I853:I893" si="34">G853/10</f>
        <v>400000</v>
      </c>
      <c r="J853" s="97" t="s">
        <v>401</v>
      </c>
      <c r="K853" s="98"/>
      <c r="L853" s="98"/>
    </row>
    <row r="854">
      <c r="B854" s="95" t="s">
        <v>526</v>
      </c>
      <c r="C854" s="95" t="s">
        <v>1030</v>
      </c>
      <c r="D854" s="95" t="s">
        <v>195</v>
      </c>
      <c r="E854" s="95" t="s">
        <v>434</v>
      </c>
      <c r="F854" s="95" t="s">
        <v>738</v>
      </c>
      <c r="G854" s="9">
        <v>3300000.0</v>
      </c>
      <c r="H854" s="95" t="s">
        <v>530</v>
      </c>
      <c r="I854" s="13">
        <f t="shared" si="34"/>
        <v>330000</v>
      </c>
      <c r="J854" s="97" t="s">
        <v>401</v>
      </c>
      <c r="K854" s="98"/>
      <c r="L854" s="98"/>
    </row>
    <row r="855">
      <c r="B855" s="95" t="s">
        <v>526</v>
      </c>
      <c r="C855" s="95" t="s">
        <v>1146</v>
      </c>
      <c r="D855" s="95" t="s">
        <v>195</v>
      </c>
      <c r="E855" s="95" t="s">
        <v>432</v>
      </c>
      <c r="F855" s="95" t="s">
        <v>738</v>
      </c>
      <c r="G855" s="9">
        <v>2400000.0</v>
      </c>
      <c r="H855" s="95" t="s">
        <v>530</v>
      </c>
      <c r="I855" s="13">
        <f t="shared" si="34"/>
        <v>240000</v>
      </c>
      <c r="J855" s="97" t="s">
        <v>401</v>
      </c>
      <c r="K855" s="97" t="s">
        <v>1424</v>
      </c>
      <c r="L855" s="98"/>
    </row>
    <row r="856">
      <c r="B856" s="95" t="s">
        <v>526</v>
      </c>
      <c r="C856" s="95" t="s">
        <v>1323</v>
      </c>
      <c r="D856" s="95" t="s">
        <v>222</v>
      </c>
      <c r="E856" s="95" t="s">
        <v>1019</v>
      </c>
      <c r="F856" s="95" t="s">
        <v>738</v>
      </c>
      <c r="G856" s="9">
        <v>2000000.0</v>
      </c>
      <c r="H856" s="95" t="s">
        <v>530</v>
      </c>
      <c r="I856" s="13">
        <f t="shared" si="34"/>
        <v>200000</v>
      </c>
      <c r="J856" s="97" t="s">
        <v>401</v>
      </c>
      <c r="K856" s="98"/>
      <c r="L856" s="98"/>
    </row>
    <row r="857">
      <c r="B857" s="95" t="s">
        <v>526</v>
      </c>
      <c r="C857" s="95" t="s">
        <v>1379</v>
      </c>
      <c r="D857" s="95" t="s">
        <v>13</v>
      </c>
      <c r="E857" s="95" t="s">
        <v>19</v>
      </c>
      <c r="F857" s="95" t="s">
        <v>738</v>
      </c>
      <c r="G857" s="9">
        <v>2000000.0</v>
      </c>
      <c r="H857" s="95" t="s">
        <v>530</v>
      </c>
      <c r="I857" s="13">
        <f t="shared" si="34"/>
        <v>200000</v>
      </c>
      <c r="J857" s="97" t="s">
        <v>401</v>
      </c>
      <c r="K857" s="98" t="s">
        <v>1409</v>
      </c>
      <c r="L857" s="98"/>
    </row>
    <row r="858">
      <c r="B858" s="95" t="s">
        <v>526</v>
      </c>
      <c r="C858" s="95" t="s">
        <v>1408</v>
      </c>
      <c r="D858" s="95" t="s">
        <v>195</v>
      </c>
      <c r="E858" s="95" t="s">
        <v>434</v>
      </c>
      <c r="F858" s="95" t="s">
        <v>738</v>
      </c>
      <c r="G858" s="9">
        <v>2000000.0</v>
      </c>
      <c r="H858" s="95" t="s">
        <v>530</v>
      </c>
      <c r="I858" s="13">
        <f t="shared" si="34"/>
        <v>200000</v>
      </c>
      <c r="J858" s="97" t="s">
        <v>401</v>
      </c>
      <c r="K858" s="98"/>
      <c r="L858" s="98"/>
    </row>
    <row r="859">
      <c r="B859" s="95" t="s">
        <v>526</v>
      </c>
      <c r="C859" s="95" t="s">
        <v>1363</v>
      </c>
      <c r="D859" s="95" t="s">
        <v>195</v>
      </c>
      <c r="E859" s="95" t="s">
        <v>432</v>
      </c>
      <c r="F859" s="95" t="s">
        <v>738</v>
      </c>
      <c r="G859" s="9">
        <v>2000000.0</v>
      </c>
      <c r="H859" s="95" t="s">
        <v>530</v>
      </c>
      <c r="I859" s="13">
        <f t="shared" si="34"/>
        <v>200000</v>
      </c>
      <c r="J859" s="97" t="s">
        <v>401</v>
      </c>
      <c r="K859" s="98"/>
      <c r="L859" s="98"/>
    </row>
    <row r="860">
      <c r="B860" s="95" t="s">
        <v>526</v>
      </c>
      <c r="C860" s="95" t="s">
        <v>1381</v>
      </c>
      <c r="D860" s="95" t="s">
        <v>140</v>
      </c>
      <c r="E860" s="95" t="s">
        <v>141</v>
      </c>
      <c r="F860" s="95" t="s">
        <v>738</v>
      </c>
      <c r="G860" s="9">
        <f>1900000</f>
        <v>1900000</v>
      </c>
      <c r="H860" s="95" t="s">
        <v>530</v>
      </c>
      <c r="I860" s="13">
        <f t="shared" si="34"/>
        <v>190000</v>
      </c>
      <c r="J860" s="97" t="s">
        <v>1425</v>
      </c>
      <c r="K860" s="98"/>
      <c r="L860" s="98"/>
    </row>
    <row r="861">
      <c r="B861" s="95" t="s">
        <v>526</v>
      </c>
      <c r="C861" s="95" t="s">
        <v>962</v>
      </c>
      <c r="D861" s="95" t="s">
        <v>222</v>
      </c>
      <c r="E861" s="95" t="s">
        <v>1019</v>
      </c>
      <c r="F861" s="95" t="s">
        <v>738</v>
      </c>
      <c r="G861" s="9">
        <v>1900000.0</v>
      </c>
      <c r="H861" s="95" t="s">
        <v>530</v>
      </c>
      <c r="I861" s="13">
        <f t="shared" si="34"/>
        <v>190000</v>
      </c>
      <c r="J861" s="97" t="s">
        <v>401</v>
      </c>
      <c r="K861" s="97" t="s">
        <v>1421</v>
      </c>
      <c r="L861" s="97" t="s">
        <v>1426</v>
      </c>
    </row>
    <row r="862">
      <c r="B862" s="95" t="s">
        <v>526</v>
      </c>
      <c r="C862" s="95" t="s">
        <v>1032</v>
      </c>
      <c r="D862" s="95" t="s">
        <v>222</v>
      </c>
      <c r="E862" s="95" t="s">
        <v>1019</v>
      </c>
      <c r="F862" s="95" t="s">
        <v>738</v>
      </c>
      <c r="G862" s="9">
        <v>1800000.0</v>
      </c>
      <c r="H862" s="95" t="s">
        <v>530</v>
      </c>
      <c r="I862" s="13">
        <f t="shared" si="34"/>
        <v>180000</v>
      </c>
      <c r="J862" s="97" t="s">
        <v>401</v>
      </c>
      <c r="K862" s="97" t="s">
        <v>1426</v>
      </c>
      <c r="L862" s="98"/>
    </row>
    <row r="863">
      <c r="B863" s="95" t="s">
        <v>526</v>
      </c>
      <c r="C863" s="95" t="s">
        <v>585</v>
      </c>
      <c r="D863" s="95" t="s">
        <v>114</v>
      </c>
      <c r="E863" s="95" t="s">
        <v>389</v>
      </c>
      <c r="F863" s="95" t="s">
        <v>738</v>
      </c>
      <c r="G863" s="9">
        <v>1800000.0</v>
      </c>
      <c r="H863" s="95" t="s">
        <v>530</v>
      </c>
      <c r="I863" s="13">
        <f t="shared" si="34"/>
        <v>180000</v>
      </c>
      <c r="J863" s="97" t="s">
        <v>401</v>
      </c>
      <c r="K863" s="98"/>
      <c r="L863" s="98"/>
    </row>
    <row r="864">
      <c r="B864" s="95" t="s">
        <v>526</v>
      </c>
      <c r="C864" s="95" t="s">
        <v>1407</v>
      </c>
      <c r="D864" s="95" t="s">
        <v>222</v>
      </c>
      <c r="E864" s="95" t="s">
        <v>1366</v>
      </c>
      <c r="F864" s="95" t="s">
        <v>738</v>
      </c>
      <c r="G864" s="9">
        <v>1850000.0</v>
      </c>
      <c r="H864" s="95" t="s">
        <v>530</v>
      </c>
      <c r="I864" s="13">
        <f t="shared" si="34"/>
        <v>185000</v>
      </c>
      <c r="J864" s="97" t="s">
        <v>401</v>
      </c>
      <c r="K864" s="97" t="s">
        <v>1427</v>
      </c>
      <c r="L864" s="98"/>
    </row>
    <row r="865">
      <c r="B865" s="95" t="s">
        <v>526</v>
      </c>
      <c r="C865" s="95" t="s">
        <v>1428</v>
      </c>
      <c r="D865" s="95" t="s">
        <v>222</v>
      </c>
      <c r="E865" s="95" t="s">
        <v>1366</v>
      </c>
      <c r="F865" s="95" t="s">
        <v>738</v>
      </c>
      <c r="G865" s="9">
        <v>1700000.0</v>
      </c>
      <c r="H865" s="95" t="s">
        <v>530</v>
      </c>
      <c r="I865" s="13">
        <f t="shared" si="34"/>
        <v>170000</v>
      </c>
      <c r="J865" s="97" t="s">
        <v>401</v>
      </c>
      <c r="K865" s="98"/>
      <c r="L865" s="98"/>
    </row>
    <row r="866">
      <c r="B866" s="95" t="s">
        <v>526</v>
      </c>
      <c r="C866" s="95" t="s">
        <v>1429</v>
      </c>
      <c r="D866" s="95" t="s">
        <v>222</v>
      </c>
      <c r="E866" s="95" t="s">
        <v>1366</v>
      </c>
      <c r="F866" s="95" t="s">
        <v>738</v>
      </c>
      <c r="G866" s="9">
        <v>2100000.0</v>
      </c>
      <c r="H866" s="95" t="s">
        <v>530</v>
      </c>
      <c r="I866" s="13">
        <f t="shared" si="34"/>
        <v>210000</v>
      </c>
      <c r="J866" s="97" t="s">
        <v>1430</v>
      </c>
      <c r="K866" s="98"/>
      <c r="L866" s="98"/>
    </row>
    <row r="867">
      <c r="B867" s="95" t="s">
        <v>526</v>
      </c>
      <c r="C867" s="95" t="s">
        <v>693</v>
      </c>
      <c r="D867" s="95" t="s">
        <v>826</v>
      </c>
      <c r="E867" s="95" t="s">
        <v>841</v>
      </c>
      <c r="F867" s="95" t="s">
        <v>738</v>
      </c>
      <c r="G867" s="9">
        <v>2500000.0</v>
      </c>
      <c r="H867" s="95" t="s">
        <v>530</v>
      </c>
      <c r="I867" s="13">
        <f t="shared" si="34"/>
        <v>250000</v>
      </c>
      <c r="J867" s="97" t="s">
        <v>1421</v>
      </c>
      <c r="K867" s="98"/>
      <c r="L867" s="98"/>
    </row>
    <row r="868">
      <c r="B868" s="95" t="s">
        <v>526</v>
      </c>
      <c r="C868" s="95" t="s">
        <v>1431</v>
      </c>
      <c r="D868" s="95" t="s">
        <v>195</v>
      </c>
      <c r="E868" s="95" t="s">
        <v>432</v>
      </c>
      <c r="F868" s="95" t="s">
        <v>738</v>
      </c>
      <c r="G868" s="9">
        <v>1500000.0</v>
      </c>
      <c r="H868" s="95" t="s">
        <v>530</v>
      </c>
      <c r="I868" s="13">
        <f t="shared" si="34"/>
        <v>150000</v>
      </c>
      <c r="J868" s="97" t="s">
        <v>1421</v>
      </c>
      <c r="K868" s="98"/>
      <c r="L868" s="98"/>
    </row>
    <row r="869">
      <c r="B869" s="95" t="s">
        <v>526</v>
      </c>
      <c r="C869" s="95" t="s">
        <v>1432</v>
      </c>
      <c r="D869" s="95" t="s">
        <v>826</v>
      </c>
      <c r="E869" s="95" t="s">
        <v>1175</v>
      </c>
      <c r="F869" s="95" t="s">
        <v>537</v>
      </c>
      <c r="G869" s="9">
        <f>4000000*0.85</f>
        <v>3400000</v>
      </c>
      <c r="H869" s="95" t="s">
        <v>530</v>
      </c>
      <c r="I869" s="13">
        <f t="shared" si="34"/>
        <v>340000</v>
      </c>
      <c r="J869" s="97" t="s">
        <v>1433</v>
      </c>
      <c r="K869" s="98"/>
      <c r="L869" s="98"/>
    </row>
    <row r="870">
      <c r="B870" s="95" t="s">
        <v>526</v>
      </c>
      <c r="C870" s="95" t="s">
        <v>1434</v>
      </c>
      <c r="D870" s="95" t="s">
        <v>826</v>
      </c>
      <c r="E870" s="95" t="s">
        <v>841</v>
      </c>
      <c r="F870" s="95" t="s">
        <v>537</v>
      </c>
      <c r="G870" s="9">
        <f>0.85*2780000</f>
        <v>2363000</v>
      </c>
      <c r="H870" s="95" t="s">
        <v>530</v>
      </c>
      <c r="I870" s="13">
        <f t="shared" si="34"/>
        <v>236300</v>
      </c>
      <c r="J870" s="97" t="s">
        <v>1433</v>
      </c>
      <c r="K870" s="98"/>
      <c r="L870" s="98"/>
    </row>
    <row r="871">
      <c r="B871" s="95" t="s">
        <v>526</v>
      </c>
      <c r="C871" s="95" t="s">
        <v>1363</v>
      </c>
      <c r="D871" s="95" t="s">
        <v>114</v>
      </c>
      <c r="E871" s="95" t="s">
        <v>396</v>
      </c>
      <c r="F871" s="95" t="s">
        <v>537</v>
      </c>
      <c r="G871" s="9">
        <f t="shared" ref="G871:G872" si="35">0.85*2550000</f>
        <v>2167500</v>
      </c>
      <c r="H871" s="95" t="s">
        <v>530</v>
      </c>
      <c r="I871" s="13">
        <f t="shared" si="34"/>
        <v>216750</v>
      </c>
      <c r="J871" s="97" t="s">
        <v>1433</v>
      </c>
      <c r="K871" s="98"/>
      <c r="L871" s="98"/>
    </row>
    <row r="872">
      <c r="B872" s="95" t="s">
        <v>526</v>
      </c>
      <c r="C872" s="95" t="s">
        <v>1435</v>
      </c>
      <c r="D872" s="95" t="s">
        <v>140</v>
      </c>
      <c r="E872" s="95" t="s">
        <v>841</v>
      </c>
      <c r="F872" s="95" t="s">
        <v>537</v>
      </c>
      <c r="G872" s="9">
        <f t="shared" si="35"/>
        <v>2167500</v>
      </c>
      <c r="H872" s="95" t="s">
        <v>530</v>
      </c>
      <c r="I872" s="13">
        <f t="shared" si="34"/>
        <v>216750</v>
      </c>
      <c r="J872" s="97" t="s">
        <v>1433</v>
      </c>
      <c r="K872" s="98"/>
      <c r="L872" s="98"/>
    </row>
    <row r="873">
      <c r="B873" s="95" t="s">
        <v>526</v>
      </c>
      <c r="C873" s="95" t="s">
        <v>1420</v>
      </c>
      <c r="D873" s="95" t="s">
        <v>195</v>
      </c>
      <c r="E873" s="95" t="s">
        <v>432</v>
      </c>
      <c r="F873" s="95" t="s">
        <v>537</v>
      </c>
      <c r="G873" s="9">
        <f>0.85*2430000</f>
        <v>2065500</v>
      </c>
      <c r="H873" s="95" t="s">
        <v>530</v>
      </c>
      <c r="I873" s="13">
        <f t="shared" si="34"/>
        <v>206550</v>
      </c>
      <c r="J873" s="97" t="s">
        <v>1433</v>
      </c>
      <c r="K873" s="98"/>
      <c r="L873" s="98"/>
    </row>
    <row r="874">
      <c r="B874" s="95" t="s">
        <v>526</v>
      </c>
      <c r="C874" s="95" t="s">
        <v>1436</v>
      </c>
      <c r="D874" s="95" t="s">
        <v>140</v>
      </c>
      <c r="E874" s="95" t="s">
        <v>141</v>
      </c>
      <c r="F874" s="95" t="s">
        <v>537</v>
      </c>
      <c r="G874" s="9">
        <f>0.85*2200000</f>
        <v>1870000</v>
      </c>
      <c r="H874" s="95" t="s">
        <v>530</v>
      </c>
      <c r="I874" s="13">
        <f t="shared" si="34"/>
        <v>187000</v>
      </c>
      <c r="J874" s="97" t="s">
        <v>1433</v>
      </c>
      <c r="K874" s="98"/>
      <c r="L874" s="98"/>
    </row>
    <row r="875">
      <c r="B875" s="95" t="s">
        <v>526</v>
      </c>
      <c r="C875" s="95" t="s">
        <v>1437</v>
      </c>
      <c r="D875" s="95" t="s">
        <v>140</v>
      </c>
      <c r="E875" s="95" t="s">
        <v>194</v>
      </c>
      <c r="F875" s="95" t="s">
        <v>537</v>
      </c>
      <c r="G875" s="9">
        <f>0.85*1900000</f>
        <v>1615000</v>
      </c>
      <c r="H875" s="95" t="s">
        <v>530</v>
      </c>
      <c r="I875" s="13">
        <f t="shared" si="34"/>
        <v>161500</v>
      </c>
      <c r="J875" s="97" t="s">
        <v>1433</v>
      </c>
      <c r="K875" s="98"/>
      <c r="L875" s="98"/>
    </row>
    <row r="876">
      <c r="B876" s="95" t="s">
        <v>526</v>
      </c>
      <c r="C876" s="95" t="s">
        <v>1379</v>
      </c>
      <c r="D876" s="95" t="s">
        <v>222</v>
      </c>
      <c r="E876" s="95" t="s">
        <v>1019</v>
      </c>
      <c r="F876" s="95" t="s">
        <v>537</v>
      </c>
      <c r="G876" s="9">
        <f>0.85*1800000</f>
        <v>1530000</v>
      </c>
      <c r="H876" s="95" t="s">
        <v>530</v>
      </c>
      <c r="I876" s="13">
        <f t="shared" si="34"/>
        <v>153000</v>
      </c>
      <c r="J876" s="97" t="s">
        <v>1433</v>
      </c>
      <c r="K876" s="97" t="s">
        <v>1438</v>
      </c>
      <c r="L876" s="98"/>
    </row>
    <row r="877">
      <c r="B877" s="95" t="s">
        <v>526</v>
      </c>
      <c r="C877" s="95" t="s">
        <v>1383</v>
      </c>
      <c r="D877" s="95" t="s">
        <v>195</v>
      </c>
      <c r="E877" s="95" t="s">
        <v>434</v>
      </c>
      <c r="F877" s="95" t="s">
        <v>537</v>
      </c>
      <c r="G877" s="9">
        <f t="shared" ref="G877:G878" si="36">0.85*1700000</f>
        <v>1445000</v>
      </c>
      <c r="H877" s="95" t="s">
        <v>530</v>
      </c>
      <c r="I877" s="13">
        <f t="shared" si="34"/>
        <v>144500</v>
      </c>
      <c r="J877" s="97" t="s">
        <v>1433</v>
      </c>
      <c r="K877" s="98"/>
      <c r="L877" s="98"/>
    </row>
    <row r="878">
      <c r="B878" s="95" t="s">
        <v>526</v>
      </c>
      <c r="C878" s="95" t="s">
        <v>1071</v>
      </c>
      <c r="D878" s="95" t="s">
        <v>195</v>
      </c>
      <c r="E878" s="95" t="s">
        <v>432</v>
      </c>
      <c r="F878" s="95" t="s">
        <v>537</v>
      </c>
      <c r="G878" s="9">
        <f t="shared" si="36"/>
        <v>1445000</v>
      </c>
      <c r="H878" s="95" t="s">
        <v>530</v>
      </c>
      <c r="I878" s="13">
        <f t="shared" si="34"/>
        <v>144500</v>
      </c>
      <c r="J878" s="97" t="s">
        <v>1433</v>
      </c>
      <c r="K878" s="98"/>
      <c r="L878" s="98"/>
    </row>
    <row r="879">
      <c r="B879" s="95" t="s">
        <v>526</v>
      </c>
      <c r="C879" s="95" t="s">
        <v>1377</v>
      </c>
      <c r="D879" s="95" t="s">
        <v>140</v>
      </c>
      <c r="E879" s="95" t="s">
        <v>194</v>
      </c>
      <c r="F879" s="95" t="s">
        <v>763</v>
      </c>
      <c r="G879" s="9">
        <f>0.85*4500000</f>
        <v>3825000</v>
      </c>
      <c r="H879" s="95" t="s">
        <v>530</v>
      </c>
      <c r="I879" s="13">
        <f t="shared" si="34"/>
        <v>382500</v>
      </c>
      <c r="J879" s="97" t="s">
        <v>1439</v>
      </c>
      <c r="K879" s="98"/>
      <c r="L879" s="98"/>
    </row>
    <row r="880">
      <c r="B880" s="95" t="s">
        <v>526</v>
      </c>
      <c r="C880" s="95" t="s">
        <v>1383</v>
      </c>
      <c r="D880" s="95" t="s">
        <v>195</v>
      </c>
      <c r="E880" s="95" t="s">
        <v>434</v>
      </c>
      <c r="F880" s="95" t="s">
        <v>763</v>
      </c>
      <c r="G880" s="9">
        <f>0.85*3700000</f>
        <v>3145000</v>
      </c>
      <c r="H880" s="95" t="s">
        <v>530</v>
      </c>
      <c r="I880" s="13">
        <f t="shared" si="34"/>
        <v>314500</v>
      </c>
      <c r="J880" s="97" t="s">
        <v>1439</v>
      </c>
      <c r="K880" s="98"/>
      <c r="L880" s="98"/>
    </row>
    <row r="881">
      <c r="B881" s="95" t="s">
        <v>526</v>
      </c>
      <c r="C881" s="95" t="s">
        <v>1030</v>
      </c>
      <c r="D881" s="95" t="s">
        <v>195</v>
      </c>
      <c r="E881" s="95" t="s">
        <v>434</v>
      </c>
      <c r="F881" s="95" t="s">
        <v>763</v>
      </c>
      <c r="G881" s="9">
        <f>0.85*3000000</f>
        <v>2550000</v>
      </c>
      <c r="H881" s="95" t="s">
        <v>530</v>
      </c>
      <c r="I881" s="13">
        <f t="shared" si="34"/>
        <v>255000</v>
      </c>
      <c r="J881" s="97" t="s">
        <v>1439</v>
      </c>
      <c r="K881" s="98"/>
      <c r="L881" s="98"/>
    </row>
    <row r="882">
      <c r="B882" s="95" t="s">
        <v>526</v>
      </c>
      <c r="C882" s="95" t="s">
        <v>693</v>
      </c>
      <c r="D882" s="95" t="s">
        <v>826</v>
      </c>
      <c r="E882" s="95" t="s">
        <v>841</v>
      </c>
      <c r="F882" s="95" t="s">
        <v>763</v>
      </c>
      <c r="G882" s="9">
        <f>0.85*2500000</f>
        <v>2125000</v>
      </c>
      <c r="H882" s="95" t="s">
        <v>530</v>
      </c>
      <c r="I882" s="13">
        <f t="shared" si="34"/>
        <v>212500</v>
      </c>
      <c r="J882" s="97" t="s">
        <v>1439</v>
      </c>
      <c r="K882" s="98"/>
      <c r="L882" s="98"/>
    </row>
    <row r="883">
      <c r="B883" s="95" t="s">
        <v>526</v>
      </c>
      <c r="C883" s="95" t="s">
        <v>1420</v>
      </c>
      <c r="D883" s="95" t="s">
        <v>195</v>
      </c>
      <c r="E883" s="95" t="s">
        <v>432</v>
      </c>
      <c r="F883" s="95" t="s">
        <v>763</v>
      </c>
      <c r="G883" s="9">
        <f>0.85*2300000</f>
        <v>1955000</v>
      </c>
      <c r="H883" s="95" t="s">
        <v>530</v>
      </c>
      <c r="I883" s="13">
        <f t="shared" si="34"/>
        <v>195500</v>
      </c>
      <c r="J883" s="97" t="s">
        <v>1439</v>
      </c>
      <c r="K883" s="98"/>
      <c r="L883" s="98"/>
    </row>
    <row r="884">
      <c r="B884" s="95" t="s">
        <v>526</v>
      </c>
      <c r="C884" s="95" t="s">
        <v>1381</v>
      </c>
      <c r="D884" s="95" t="s">
        <v>140</v>
      </c>
      <c r="E884" s="95" t="s">
        <v>141</v>
      </c>
      <c r="F884" s="95" t="s">
        <v>763</v>
      </c>
      <c r="G884" s="9">
        <f>0.85*2000000</f>
        <v>1700000</v>
      </c>
      <c r="H884" s="95" t="s">
        <v>530</v>
      </c>
      <c r="I884" s="13">
        <f t="shared" si="34"/>
        <v>170000</v>
      </c>
      <c r="J884" s="97" t="s">
        <v>1439</v>
      </c>
      <c r="K884" s="98"/>
      <c r="L884" s="98"/>
    </row>
    <row r="885">
      <c r="B885" s="95" t="s">
        <v>526</v>
      </c>
      <c r="C885" s="95" t="s">
        <v>1434</v>
      </c>
      <c r="D885" s="95" t="s">
        <v>195</v>
      </c>
      <c r="E885" s="95" t="s">
        <v>432</v>
      </c>
      <c r="F885" s="95" t="s">
        <v>763</v>
      </c>
      <c r="G885" s="9">
        <f>0.85*1900000</f>
        <v>1615000</v>
      </c>
      <c r="H885" s="95" t="s">
        <v>530</v>
      </c>
      <c r="I885" s="13">
        <f t="shared" si="34"/>
        <v>161500</v>
      </c>
      <c r="J885" s="97" t="s">
        <v>1439</v>
      </c>
      <c r="K885" s="98"/>
      <c r="L885" s="98"/>
    </row>
    <row r="886">
      <c r="B886" s="95" t="s">
        <v>526</v>
      </c>
      <c r="C886" s="95" t="s">
        <v>1407</v>
      </c>
      <c r="D886" s="95" t="s">
        <v>826</v>
      </c>
      <c r="E886" s="95" t="s">
        <v>841</v>
      </c>
      <c r="F886" s="95" t="s">
        <v>763</v>
      </c>
      <c r="G886" s="9">
        <f t="shared" ref="G886:G889" si="37">0.85*1800000</f>
        <v>1530000</v>
      </c>
      <c r="H886" s="95" t="s">
        <v>530</v>
      </c>
      <c r="I886" s="13">
        <f t="shared" si="34"/>
        <v>153000</v>
      </c>
      <c r="J886" s="97" t="s">
        <v>1439</v>
      </c>
      <c r="K886" s="98"/>
      <c r="L886" s="98"/>
    </row>
    <row r="887">
      <c r="B887" s="95" t="s">
        <v>526</v>
      </c>
      <c r="C887" s="95" t="s">
        <v>585</v>
      </c>
      <c r="D887" s="95" t="s">
        <v>114</v>
      </c>
      <c r="E887" s="95" t="s">
        <v>389</v>
      </c>
      <c r="F887" s="95" t="s">
        <v>763</v>
      </c>
      <c r="G887" s="9">
        <f t="shared" si="37"/>
        <v>1530000</v>
      </c>
      <c r="H887" s="95" t="s">
        <v>530</v>
      </c>
      <c r="I887" s="13">
        <f t="shared" si="34"/>
        <v>153000</v>
      </c>
      <c r="J887" s="97" t="s">
        <v>1439</v>
      </c>
      <c r="K887" s="98"/>
      <c r="L887" s="98"/>
    </row>
    <row r="888">
      <c r="B888" s="95" t="s">
        <v>526</v>
      </c>
      <c r="C888" s="95" t="s">
        <v>1363</v>
      </c>
      <c r="D888" s="95" t="s">
        <v>140</v>
      </c>
      <c r="E888" s="95" t="s">
        <v>194</v>
      </c>
      <c r="F888" s="95" t="s">
        <v>763</v>
      </c>
      <c r="G888" s="9">
        <f t="shared" si="37"/>
        <v>1530000</v>
      </c>
      <c r="H888" s="95" t="s">
        <v>530</v>
      </c>
      <c r="I888" s="13">
        <f t="shared" si="34"/>
        <v>153000</v>
      </c>
      <c r="J888" s="97" t="s">
        <v>1439</v>
      </c>
      <c r="K888" s="98"/>
      <c r="L888" s="98"/>
    </row>
    <row r="889">
      <c r="B889" s="95" t="s">
        <v>526</v>
      </c>
      <c r="C889" s="95" t="s">
        <v>1419</v>
      </c>
      <c r="D889" s="95" t="s">
        <v>140</v>
      </c>
      <c r="E889" s="95" t="s">
        <v>194</v>
      </c>
      <c r="F889" s="95" t="s">
        <v>763</v>
      </c>
      <c r="G889" s="9">
        <f t="shared" si="37"/>
        <v>1530000</v>
      </c>
      <c r="H889" s="95" t="s">
        <v>530</v>
      </c>
      <c r="I889" s="13">
        <f t="shared" si="34"/>
        <v>153000</v>
      </c>
      <c r="J889" s="97" t="s">
        <v>1439</v>
      </c>
      <c r="K889" s="98"/>
      <c r="L889" s="98"/>
    </row>
    <row r="890">
      <c r="B890" s="95" t="s">
        <v>526</v>
      </c>
      <c r="C890" s="95" t="s">
        <v>1440</v>
      </c>
      <c r="D890" s="95" t="s">
        <v>222</v>
      </c>
      <c r="E890" s="95" t="s">
        <v>1019</v>
      </c>
      <c r="F890" s="95" t="s">
        <v>763</v>
      </c>
      <c r="G890" s="9">
        <f>0.85*1700000</f>
        <v>1445000</v>
      </c>
      <c r="H890" s="95" t="s">
        <v>530</v>
      </c>
      <c r="I890" s="13">
        <f t="shared" si="34"/>
        <v>144500</v>
      </c>
      <c r="J890" s="97" t="s">
        <v>1439</v>
      </c>
      <c r="K890" s="98"/>
      <c r="L890" s="98"/>
    </row>
    <row r="891">
      <c r="B891" s="95" t="s">
        <v>526</v>
      </c>
      <c r="C891" s="95" t="s">
        <v>1435</v>
      </c>
      <c r="D891" s="95" t="s">
        <v>222</v>
      </c>
      <c r="E891" s="95" t="s">
        <v>1019</v>
      </c>
      <c r="F891" s="95" t="s">
        <v>763</v>
      </c>
      <c r="G891" s="9">
        <v>1800000.0</v>
      </c>
      <c r="H891" s="95" t="s">
        <v>530</v>
      </c>
      <c r="I891" s="13">
        <f t="shared" si="34"/>
        <v>180000</v>
      </c>
      <c r="J891" s="97" t="s">
        <v>1439</v>
      </c>
      <c r="K891" s="97" t="s">
        <v>1426</v>
      </c>
      <c r="L891" s="98"/>
    </row>
    <row r="892">
      <c r="B892" s="95" t="s">
        <v>526</v>
      </c>
      <c r="C892" s="95" t="s">
        <v>1323</v>
      </c>
      <c r="D892" s="95" t="s">
        <v>222</v>
      </c>
      <c r="E892" s="95" t="s">
        <v>1019</v>
      </c>
      <c r="F892" s="95" t="s">
        <v>763</v>
      </c>
      <c r="G892" s="9">
        <v>2000000.0</v>
      </c>
      <c r="H892" s="95" t="s">
        <v>530</v>
      </c>
      <c r="I892" s="13">
        <f t="shared" si="34"/>
        <v>200000</v>
      </c>
      <c r="J892" s="97" t="s">
        <v>1439</v>
      </c>
      <c r="K892" s="97" t="s">
        <v>1441</v>
      </c>
      <c r="L892" s="98"/>
    </row>
    <row r="893">
      <c r="B893" s="95" t="s">
        <v>526</v>
      </c>
      <c r="C893" s="95" t="s">
        <v>1442</v>
      </c>
      <c r="D893" s="95" t="s">
        <v>140</v>
      </c>
      <c r="E893" s="95" t="s">
        <v>141</v>
      </c>
      <c r="F893" s="95" t="s">
        <v>763</v>
      </c>
      <c r="G893" s="9">
        <f>0.85*1500000</f>
        <v>1275000</v>
      </c>
      <c r="H893" s="95" t="s">
        <v>530</v>
      </c>
      <c r="I893" s="13">
        <f t="shared" si="34"/>
        <v>127500</v>
      </c>
      <c r="J893" s="97" t="s">
        <v>1439</v>
      </c>
      <c r="K893" s="98"/>
      <c r="L893" s="98"/>
    </row>
    <row r="894">
      <c r="B894" s="95" t="s">
        <v>526</v>
      </c>
      <c r="C894" s="95" t="s">
        <v>1379</v>
      </c>
      <c r="D894" s="95" t="s">
        <v>13</v>
      </c>
      <c r="E894" s="95" t="s">
        <v>19</v>
      </c>
      <c r="F894" s="95" t="s">
        <v>763</v>
      </c>
      <c r="G894" s="9">
        <v>1200000.0</v>
      </c>
      <c r="H894" s="95" t="s">
        <v>610</v>
      </c>
      <c r="I894" s="13">
        <f>G894/9</f>
        <v>133333.3333</v>
      </c>
      <c r="J894" s="97" t="s">
        <v>1439</v>
      </c>
      <c r="K894" s="97" t="s">
        <v>620</v>
      </c>
      <c r="L894" s="98"/>
    </row>
    <row r="895">
      <c r="B895" s="95" t="s">
        <v>526</v>
      </c>
      <c r="C895" s="95" t="s">
        <v>1440</v>
      </c>
      <c r="D895" s="95" t="s">
        <v>13</v>
      </c>
      <c r="E895" s="95" t="s">
        <v>1443</v>
      </c>
      <c r="F895" s="134">
        <v>46338.0</v>
      </c>
      <c r="G895" s="9">
        <f>0.7*130000</f>
        <v>91000</v>
      </c>
      <c r="H895" s="95" t="s">
        <v>530</v>
      </c>
      <c r="I895" s="13">
        <f t="shared" ref="I895:I899" si="38">G895/10</f>
        <v>9100</v>
      </c>
      <c r="J895" s="97" t="s">
        <v>1444</v>
      </c>
      <c r="K895" s="98"/>
      <c r="L895" s="98"/>
    </row>
    <row r="896">
      <c r="B896" s="95" t="s">
        <v>526</v>
      </c>
      <c r="C896" s="95" t="s">
        <v>1445</v>
      </c>
      <c r="D896" s="95" t="s">
        <v>114</v>
      </c>
      <c r="E896" s="95" t="s">
        <v>377</v>
      </c>
      <c r="F896" s="95" t="s">
        <v>799</v>
      </c>
      <c r="G896" s="9">
        <v>30000.0</v>
      </c>
      <c r="H896" s="95" t="s">
        <v>530</v>
      </c>
      <c r="I896" s="13">
        <f t="shared" si="38"/>
        <v>3000</v>
      </c>
      <c r="J896" s="97" t="s">
        <v>1331</v>
      </c>
      <c r="K896" s="98"/>
      <c r="L896" s="98"/>
    </row>
    <row r="897">
      <c r="B897" s="95" t="s">
        <v>526</v>
      </c>
      <c r="C897" s="95" t="s">
        <v>1446</v>
      </c>
      <c r="D897" s="95" t="s">
        <v>114</v>
      </c>
      <c r="E897" s="95" t="s">
        <v>377</v>
      </c>
      <c r="F897" s="95" t="s">
        <v>799</v>
      </c>
      <c r="G897" s="9">
        <v>50000.0</v>
      </c>
      <c r="H897" s="95" t="s">
        <v>530</v>
      </c>
      <c r="I897" s="13">
        <f t="shared" si="38"/>
        <v>5000</v>
      </c>
      <c r="J897" s="97" t="s">
        <v>1331</v>
      </c>
      <c r="K897" s="98"/>
      <c r="L897" s="98"/>
    </row>
    <row r="898">
      <c r="B898" s="95" t="s">
        <v>526</v>
      </c>
      <c r="C898" s="95" t="s">
        <v>1447</v>
      </c>
      <c r="D898" s="95" t="s">
        <v>114</v>
      </c>
      <c r="E898" s="95" t="s">
        <v>370</v>
      </c>
      <c r="F898" s="95" t="s">
        <v>529</v>
      </c>
      <c r="G898" s="9">
        <f t="shared" ref="G898:G899" si="39">200000*0.9</f>
        <v>180000</v>
      </c>
      <c r="H898" s="95" t="s">
        <v>530</v>
      </c>
      <c r="I898" s="13">
        <f t="shared" si="38"/>
        <v>18000</v>
      </c>
      <c r="J898" s="97" t="s">
        <v>1448</v>
      </c>
      <c r="K898" s="98"/>
      <c r="L898" s="98"/>
    </row>
    <row r="899">
      <c r="B899" s="95" t="s">
        <v>526</v>
      </c>
      <c r="C899" s="95" t="s">
        <v>1449</v>
      </c>
      <c r="D899" s="95" t="s">
        <v>114</v>
      </c>
      <c r="E899" s="95" t="s">
        <v>370</v>
      </c>
      <c r="F899" s="95" t="s">
        <v>529</v>
      </c>
      <c r="G899" s="9">
        <f t="shared" si="39"/>
        <v>180000</v>
      </c>
      <c r="H899" s="95" t="s">
        <v>530</v>
      </c>
      <c r="I899" s="13">
        <f t="shared" si="38"/>
        <v>18000</v>
      </c>
      <c r="J899" s="97" t="s">
        <v>1450</v>
      </c>
      <c r="K899" s="98"/>
      <c r="L899" s="98"/>
    </row>
    <row r="900">
      <c r="B900" s="95" t="s">
        <v>526</v>
      </c>
      <c r="C900" s="95" t="s">
        <v>955</v>
      </c>
      <c r="D900" s="95" t="s">
        <v>114</v>
      </c>
      <c r="E900" s="95" t="s">
        <v>370</v>
      </c>
      <c r="F900" s="95" t="s">
        <v>529</v>
      </c>
      <c r="G900" s="9">
        <f>0.9*75000</f>
        <v>67500</v>
      </c>
      <c r="H900" s="95" t="s">
        <v>745</v>
      </c>
      <c r="I900" s="13">
        <f>G900/5</f>
        <v>13500</v>
      </c>
      <c r="J900" s="97" t="s">
        <v>1451</v>
      </c>
      <c r="K900" s="98"/>
      <c r="L900" s="98"/>
    </row>
    <row r="901">
      <c r="B901" s="95" t="s">
        <v>526</v>
      </c>
      <c r="C901" s="95" t="s">
        <v>1452</v>
      </c>
      <c r="D901" s="95" t="s">
        <v>114</v>
      </c>
      <c r="E901" s="95" t="s">
        <v>370</v>
      </c>
      <c r="F901" s="95" t="s">
        <v>543</v>
      </c>
      <c r="G901" s="9">
        <v>250000.0</v>
      </c>
      <c r="H901" s="95" t="s">
        <v>530</v>
      </c>
      <c r="I901" s="13">
        <f t="shared" ref="I901:I906" si="40">G901/10</f>
        <v>25000</v>
      </c>
      <c r="J901" s="97" t="s">
        <v>1453</v>
      </c>
      <c r="K901" s="98"/>
      <c r="L901" s="98"/>
    </row>
    <row r="902">
      <c r="B902" s="95" t="s">
        <v>526</v>
      </c>
      <c r="C902" s="95" t="s">
        <v>1432</v>
      </c>
      <c r="D902" s="95" t="s">
        <v>826</v>
      </c>
      <c r="E902" s="95" t="s">
        <v>1175</v>
      </c>
      <c r="F902" s="95" t="s">
        <v>799</v>
      </c>
      <c r="G902" s="9">
        <f t="shared" ref="G902:G903" si="41">3000000*0.9</f>
        <v>2700000</v>
      </c>
      <c r="H902" s="95" t="s">
        <v>530</v>
      </c>
      <c r="I902" s="13">
        <f t="shared" si="40"/>
        <v>270000</v>
      </c>
      <c r="J902" s="97" t="s">
        <v>1454</v>
      </c>
      <c r="K902" s="98"/>
      <c r="L902" s="98"/>
    </row>
    <row r="903">
      <c r="B903" s="95" t="s">
        <v>526</v>
      </c>
      <c r="C903" s="95" t="s">
        <v>1432</v>
      </c>
      <c r="D903" s="95" t="s">
        <v>826</v>
      </c>
      <c r="E903" s="95" t="s">
        <v>1175</v>
      </c>
      <c r="F903" s="95" t="s">
        <v>920</v>
      </c>
      <c r="G903" s="9">
        <f t="shared" si="41"/>
        <v>2700000</v>
      </c>
      <c r="H903" s="95" t="s">
        <v>530</v>
      </c>
      <c r="I903" s="13">
        <f t="shared" si="40"/>
        <v>270000</v>
      </c>
      <c r="J903" s="97" t="s">
        <v>1454</v>
      </c>
      <c r="K903" s="98"/>
      <c r="L903" s="98"/>
    </row>
    <row r="904">
      <c r="B904" s="95" t="s">
        <v>526</v>
      </c>
      <c r="C904" s="95" t="s">
        <v>1432</v>
      </c>
      <c r="D904" s="95" t="s">
        <v>826</v>
      </c>
      <c r="E904" s="95" t="s">
        <v>1175</v>
      </c>
      <c r="F904" s="95" t="s">
        <v>906</v>
      </c>
      <c r="G904" s="9">
        <f>3000000*0.86</f>
        <v>2580000</v>
      </c>
      <c r="H904" s="95" t="s">
        <v>530</v>
      </c>
      <c r="I904" s="13">
        <f t="shared" si="40"/>
        <v>258000</v>
      </c>
      <c r="J904" s="97" t="s">
        <v>1454</v>
      </c>
      <c r="K904" s="98"/>
      <c r="L904" s="98"/>
    </row>
    <row r="905">
      <c r="B905" s="95" t="s">
        <v>526</v>
      </c>
      <c r="C905" s="95" t="s">
        <v>1455</v>
      </c>
      <c r="D905" s="95" t="s">
        <v>222</v>
      </c>
      <c r="E905" s="95" t="s">
        <v>1366</v>
      </c>
      <c r="F905" s="95" t="s">
        <v>650</v>
      </c>
      <c r="G905" s="9">
        <v>400000.0</v>
      </c>
      <c r="H905" s="95" t="s">
        <v>530</v>
      </c>
      <c r="I905" s="13">
        <f t="shared" si="40"/>
        <v>40000</v>
      </c>
      <c r="J905" s="97" t="s">
        <v>1456</v>
      </c>
      <c r="K905" s="98"/>
      <c r="L905" s="98"/>
    </row>
    <row r="906">
      <c r="B906" s="95" t="s">
        <v>526</v>
      </c>
      <c r="C906" s="95" t="s">
        <v>1455</v>
      </c>
      <c r="D906" s="95" t="s">
        <v>222</v>
      </c>
      <c r="E906" s="95" t="s">
        <v>1457</v>
      </c>
      <c r="F906" s="95" t="s">
        <v>586</v>
      </c>
      <c r="G906" s="9">
        <v>90000.0</v>
      </c>
      <c r="H906" s="95" t="s">
        <v>530</v>
      </c>
      <c r="I906" s="13">
        <f t="shared" si="40"/>
        <v>9000</v>
      </c>
      <c r="J906" s="97" t="s">
        <v>1456</v>
      </c>
      <c r="K906" s="98"/>
      <c r="L906" s="98"/>
    </row>
    <row r="907">
      <c r="B907" s="95" t="s">
        <v>526</v>
      </c>
      <c r="C907" s="95" t="s">
        <v>1458</v>
      </c>
      <c r="D907" s="95" t="s">
        <v>69</v>
      </c>
      <c r="E907" s="95" t="s">
        <v>561</v>
      </c>
      <c r="F907" s="95" t="s">
        <v>586</v>
      </c>
      <c r="G907" s="9">
        <f>4*32500</f>
        <v>130000</v>
      </c>
      <c r="H907" s="95" t="s">
        <v>680</v>
      </c>
      <c r="I907" s="13">
        <f>G907/4</f>
        <v>32500</v>
      </c>
      <c r="J907" s="98" t="s">
        <v>1459</v>
      </c>
      <c r="K907" s="98"/>
      <c r="L907" s="98"/>
    </row>
    <row r="908">
      <c r="B908" s="95" t="s">
        <v>526</v>
      </c>
      <c r="C908" s="95" t="s">
        <v>1312</v>
      </c>
      <c r="D908" s="95" t="s">
        <v>69</v>
      </c>
      <c r="E908" s="95" t="s">
        <v>542</v>
      </c>
      <c r="F908" s="95" t="s">
        <v>650</v>
      </c>
      <c r="G908" s="9">
        <v>100000.0</v>
      </c>
      <c r="H908" s="95" t="s">
        <v>530</v>
      </c>
      <c r="I908" s="13">
        <f>G908/10</f>
        <v>10000</v>
      </c>
      <c r="J908" s="98" t="s">
        <v>1310</v>
      </c>
      <c r="K908" s="98"/>
      <c r="L908" s="98"/>
    </row>
    <row r="909">
      <c r="B909" s="95" t="s">
        <v>526</v>
      </c>
      <c r="C909" s="95" t="s">
        <v>904</v>
      </c>
      <c r="D909" s="95" t="s">
        <v>69</v>
      </c>
      <c r="E909" s="95" t="s">
        <v>561</v>
      </c>
      <c r="F909" s="95" t="s">
        <v>586</v>
      </c>
      <c r="G909" s="9">
        <v>60000.0</v>
      </c>
      <c r="H909" s="95" t="s">
        <v>872</v>
      </c>
      <c r="I909" s="13">
        <f t="shared" ref="I909:I910" si="42">G909/3</f>
        <v>20000</v>
      </c>
      <c r="J909" s="98" t="s">
        <v>1064</v>
      </c>
      <c r="K909" s="98"/>
      <c r="L909" s="98"/>
    </row>
    <row r="910">
      <c r="B910" s="95" t="s">
        <v>526</v>
      </c>
      <c r="C910" s="95" t="s">
        <v>846</v>
      </c>
      <c r="D910" s="95" t="s">
        <v>69</v>
      </c>
      <c r="E910" s="95" t="s">
        <v>561</v>
      </c>
      <c r="F910" s="95" t="s">
        <v>650</v>
      </c>
      <c r="G910" s="9">
        <v>90000.0</v>
      </c>
      <c r="H910" s="95" t="s">
        <v>872</v>
      </c>
      <c r="I910" s="13">
        <f t="shared" si="42"/>
        <v>30000</v>
      </c>
      <c r="J910" s="97" t="s">
        <v>1460</v>
      </c>
      <c r="K910" s="98"/>
      <c r="L910" s="98"/>
    </row>
    <row r="911">
      <c r="B911" s="95" t="s">
        <v>526</v>
      </c>
      <c r="C911" s="95" t="s">
        <v>1461</v>
      </c>
      <c r="D911" s="95" t="s">
        <v>69</v>
      </c>
      <c r="E911" s="95" t="s">
        <v>561</v>
      </c>
      <c r="F911" s="95" t="s">
        <v>650</v>
      </c>
      <c r="G911" s="9">
        <v>400000.0</v>
      </c>
      <c r="H911" s="95" t="s">
        <v>530</v>
      </c>
      <c r="I911" s="13">
        <f t="shared" ref="I911:I914" si="43">G911/10</f>
        <v>40000</v>
      </c>
      <c r="J911" s="98" t="s">
        <v>1462</v>
      </c>
      <c r="K911" s="98"/>
      <c r="L911" s="98"/>
    </row>
    <row r="912">
      <c r="B912" s="95" t="s">
        <v>526</v>
      </c>
      <c r="C912" s="95" t="s">
        <v>1463</v>
      </c>
      <c r="D912" s="95" t="s">
        <v>69</v>
      </c>
      <c r="E912" s="95" t="s">
        <v>561</v>
      </c>
      <c r="F912" s="95" t="s">
        <v>650</v>
      </c>
      <c r="G912" s="9">
        <v>250000.0</v>
      </c>
      <c r="H912" s="95" t="s">
        <v>530</v>
      </c>
      <c r="I912" s="13">
        <f t="shared" si="43"/>
        <v>25000</v>
      </c>
      <c r="J912" s="98" t="s">
        <v>1464</v>
      </c>
      <c r="K912" s="98"/>
      <c r="L912" s="98"/>
    </row>
    <row r="913">
      <c r="B913" s="95" t="s">
        <v>526</v>
      </c>
      <c r="C913" s="95" t="s">
        <v>1465</v>
      </c>
      <c r="D913" s="95" t="s">
        <v>69</v>
      </c>
      <c r="E913" s="95" t="s">
        <v>561</v>
      </c>
      <c r="F913" s="95" t="s">
        <v>650</v>
      </c>
      <c r="G913" s="9">
        <v>145000.0</v>
      </c>
      <c r="H913" s="95" t="s">
        <v>530</v>
      </c>
      <c r="I913" s="13">
        <f t="shared" si="43"/>
        <v>14500</v>
      </c>
      <c r="J913" s="98" t="s">
        <v>1466</v>
      </c>
      <c r="K913" s="98" t="s">
        <v>1467</v>
      </c>
      <c r="L913" s="98"/>
    </row>
    <row r="914">
      <c r="B914" s="95" t="s">
        <v>526</v>
      </c>
      <c r="C914" s="95" t="s">
        <v>1465</v>
      </c>
      <c r="D914" s="95" t="s">
        <v>69</v>
      </c>
      <c r="E914" s="95" t="s">
        <v>561</v>
      </c>
      <c r="F914" s="95" t="s">
        <v>685</v>
      </c>
      <c r="G914" s="9">
        <v>315000.0</v>
      </c>
      <c r="H914" s="95" t="s">
        <v>530</v>
      </c>
      <c r="I914" s="13">
        <f t="shared" si="43"/>
        <v>31500</v>
      </c>
      <c r="J914" s="98" t="s">
        <v>1468</v>
      </c>
      <c r="K914" s="98"/>
      <c r="L914" s="98"/>
    </row>
    <row r="915">
      <c r="B915" s="95" t="s">
        <v>526</v>
      </c>
      <c r="C915" s="95" t="s">
        <v>1469</v>
      </c>
      <c r="D915" s="95" t="s">
        <v>69</v>
      </c>
      <c r="E915" s="95" t="s">
        <v>561</v>
      </c>
      <c r="F915" s="95" t="s">
        <v>650</v>
      </c>
      <c r="G915" s="9">
        <f>12000*6</f>
        <v>72000</v>
      </c>
      <c r="H915" s="95" t="s">
        <v>635</v>
      </c>
      <c r="I915" s="13">
        <f>G915/6</f>
        <v>12000</v>
      </c>
      <c r="J915" s="98" t="s">
        <v>1466</v>
      </c>
      <c r="K915" s="98"/>
      <c r="L915" s="98"/>
    </row>
    <row r="916">
      <c r="B916" s="95" t="s">
        <v>526</v>
      </c>
      <c r="C916" s="95" t="s">
        <v>1447</v>
      </c>
      <c r="D916" s="95" t="s">
        <v>114</v>
      </c>
      <c r="E916" s="95" t="s">
        <v>370</v>
      </c>
      <c r="F916" s="95" t="s">
        <v>543</v>
      </c>
      <c r="G916" s="9">
        <f>0.87*150000</f>
        <v>130500</v>
      </c>
      <c r="H916" s="95" t="s">
        <v>530</v>
      </c>
      <c r="I916" s="13">
        <f t="shared" ref="I916:I944" si="44">G916/10</f>
        <v>13050</v>
      </c>
      <c r="J916" s="97" t="s">
        <v>1448</v>
      </c>
      <c r="K916" s="98"/>
      <c r="L916" s="98"/>
    </row>
    <row r="917">
      <c r="B917" s="95" t="s">
        <v>526</v>
      </c>
      <c r="C917" s="95" t="s">
        <v>1470</v>
      </c>
      <c r="D917" s="95" t="s">
        <v>114</v>
      </c>
      <c r="E917" s="95" t="s">
        <v>370</v>
      </c>
      <c r="F917" s="95" t="s">
        <v>763</v>
      </c>
      <c r="G917" s="9">
        <v>135000.0</v>
      </c>
      <c r="H917" s="95" t="s">
        <v>530</v>
      </c>
      <c r="I917" s="13">
        <f t="shared" si="44"/>
        <v>13500</v>
      </c>
      <c r="J917" s="97" t="s">
        <v>1471</v>
      </c>
      <c r="K917" s="98"/>
      <c r="L917" s="98"/>
    </row>
    <row r="918">
      <c r="B918" s="95" t="s">
        <v>526</v>
      </c>
      <c r="C918" s="95" t="s">
        <v>1472</v>
      </c>
      <c r="D918" s="95" t="s">
        <v>69</v>
      </c>
      <c r="E918" s="95" t="s">
        <v>561</v>
      </c>
      <c r="F918" s="95" t="s">
        <v>650</v>
      </c>
      <c r="G918" s="9">
        <v>130000.0</v>
      </c>
      <c r="H918" s="95" t="s">
        <v>530</v>
      </c>
      <c r="I918" s="13">
        <f t="shared" si="44"/>
        <v>13000</v>
      </c>
      <c r="J918" s="98" t="s">
        <v>1466</v>
      </c>
      <c r="K918" s="98"/>
      <c r="L918" s="98"/>
    </row>
    <row r="919">
      <c r="B919" s="95" t="s">
        <v>526</v>
      </c>
      <c r="C919" s="95" t="s">
        <v>817</v>
      </c>
      <c r="D919" s="95" t="s">
        <v>1473</v>
      </c>
      <c r="E919" s="95" t="s">
        <v>1474</v>
      </c>
      <c r="F919" s="95" t="s">
        <v>643</v>
      </c>
      <c r="G919" s="9">
        <f>350000*0.9</f>
        <v>315000</v>
      </c>
      <c r="H919" s="95" t="s">
        <v>530</v>
      </c>
      <c r="I919" s="13">
        <f t="shared" si="44"/>
        <v>31500</v>
      </c>
      <c r="J919" s="97" t="s">
        <v>1475</v>
      </c>
      <c r="K919" s="98"/>
      <c r="L919" s="98"/>
    </row>
    <row r="920">
      <c r="B920" s="95" t="s">
        <v>526</v>
      </c>
      <c r="C920" s="95" t="s">
        <v>1476</v>
      </c>
      <c r="D920" s="95" t="s">
        <v>114</v>
      </c>
      <c r="E920" s="95" t="s">
        <v>380</v>
      </c>
      <c r="F920" s="95" t="s">
        <v>799</v>
      </c>
      <c r="G920" s="9">
        <v>150000.0</v>
      </c>
      <c r="H920" s="95" t="s">
        <v>530</v>
      </c>
      <c r="I920" s="13">
        <f t="shared" si="44"/>
        <v>15000</v>
      </c>
      <c r="J920" s="97" t="s">
        <v>1331</v>
      </c>
      <c r="K920" s="98"/>
      <c r="L920" s="98"/>
    </row>
    <row r="921">
      <c r="B921" s="95" t="s">
        <v>526</v>
      </c>
      <c r="C921" s="95" t="s">
        <v>1205</v>
      </c>
      <c r="D921" s="95" t="s">
        <v>114</v>
      </c>
      <c r="E921" s="95" t="s">
        <v>370</v>
      </c>
      <c r="F921" s="95" t="s">
        <v>763</v>
      </c>
      <c r="G921" s="9">
        <f>0.85*165000</f>
        <v>140250</v>
      </c>
      <c r="H921" s="95" t="s">
        <v>530</v>
      </c>
      <c r="I921" s="13">
        <f t="shared" si="44"/>
        <v>14025</v>
      </c>
      <c r="J921" s="97" t="s">
        <v>1477</v>
      </c>
      <c r="K921" s="98"/>
      <c r="L921" s="98"/>
    </row>
    <row r="922">
      <c r="B922" s="95" t="s">
        <v>526</v>
      </c>
      <c r="C922" s="95" t="s">
        <v>1478</v>
      </c>
      <c r="D922" s="95" t="s">
        <v>114</v>
      </c>
      <c r="E922" s="5" t="s">
        <v>370</v>
      </c>
      <c r="F922" s="95" t="s">
        <v>738</v>
      </c>
      <c r="G922" s="9">
        <v>150000.0</v>
      </c>
      <c r="H922" s="95" t="s">
        <v>530</v>
      </c>
      <c r="I922" s="13">
        <f t="shared" si="44"/>
        <v>15000</v>
      </c>
      <c r="J922" s="97" t="s">
        <v>1479</v>
      </c>
      <c r="K922" s="98"/>
      <c r="L922" s="98"/>
    </row>
    <row r="923">
      <c r="B923" s="95" t="s">
        <v>526</v>
      </c>
      <c r="C923" s="95" t="s">
        <v>1480</v>
      </c>
      <c r="D923" s="95" t="s">
        <v>114</v>
      </c>
      <c r="E923" s="95" t="s">
        <v>380</v>
      </c>
      <c r="F923" s="95" t="s">
        <v>799</v>
      </c>
      <c r="G923" s="9">
        <v>150000.0</v>
      </c>
      <c r="H923" s="95" t="s">
        <v>530</v>
      </c>
      <c r="I923" s="13">
        <f t="shared" si="44"/>
        <v>15000</v>
      </c>
      <c r="J923" s="97" t="s">
        <v>1331</v>
      </c>
      <c r="K923" s="98"/>
      <c r="L923" s="98"/>
    </row>
    <row r="924">
      <c r="B924" s="95" t="s">
        <v>526</v>
      </c>
      <c r="C924" s="95" t="s">
        <v>1481</v>
      </c>
      <c r="D924" s="95" t="s">
        <v>114</v>
      </c>
      <c r="E924" s="95" t="s">
        <v>380</v>
      </c>
      <c r="F924" s="95" t="s">
        <v>799</v>
      </c>
      <c r="G924" s="9">
        <v>100000.0</v>
      </c>
      <c r="H924" s="95" t="s">
        <v>530</v>
      </c>
      <c r="I924" s="13">
        <f t="shared" si="44"/>
        <v>10000</v>
      </c>
      <c r="J924" s="97" t="s">
        <v>1331</v>
      </c>
      <c r="K924" s="98"/>
      <c r="L924" s="98"/>
    </row>
    <row r="925">
      <c r="B925" s="95" t="s">
        <v>526</v>
      </c>
      <c r="C925" s="95" t="s">
        <v>1482</v>
      </c>
      <c r="D925" s="95" t="s">
        <v>114</v>
      </c>
      <c r="E925" s="95" t="s">
        <v>380</v>
      </c>
      <c r="F925" s="95" t="s">
        <v>799</v>
      </c>
      <c r="G925" s="9">
        <v>100000.0</v>
      </c>
      <c r="H925" s="95" t="s">
        <v>530</v>
      </c>
      <c r="I925" s="13">
        <f t="shared" si="44"/>
        <v>10000</v>
      </c>
      <c r="J925" s="97" t="s">
        <v>1331</v>
      </c>
      <c r="K925" s="98"/>
      <c r="L925" s="98"/>
    </row>
    <row r="926">
      <c r="B926" s="95" t="s">
        <v>526</v>
      </c>
      <c r="C926" s="95" t="s">
        <v>1483</v>
      </c>
      <c r="D926" s="95" t="s">
        <v>114</v>
      </c>
      <c r="E926" s="95" t="s">
        <v>380</v>
      </c>
      <c r="F926" s="95" t="s">
        <v>799</v>
      </c>
      <c r="G926" s="9">
        <v>40000.0</v>
      </c>
      <c r="H926" s="95" t="s">
        <v>530</v>
      </c>
      <c r="I926" s="13">
        <f t="shared" si="44"/>
        <v>4000</v>
      </c>
      <c r="J926" s="97" t="s">
        <v>1331</v>
      </c>
      <c r="K926" s="98"/>
      <c r="L926" s="98"/>
    </row>
    <row r="927">
      <c r="B927" s="95" t="s">
        <v>526</v>
      </c>
      <c r="C927" s="95" t="s">
        <v>1484</v>
      </c>
      <c r="D927" s="95" t="s">
        <v>114</v>
      </c>
      <c r="E927" s="95" t="s">
        <v>380</v>
      </c>
      <c r="F927" s="95" t="s">
        <v>799</v>
      </c>
      <c r="G927" s="9">
        <v>30000.0</v>
      </c>
      <c r="H927" s="95" t="s">
        <v>530</v>
      </c>
      <c r="I927" s="13">
        <f t="shared" si="44"/>
        <v>3000</v>
      </c>
      <c r="J927" s="97" t="s">
        <v>1331</v>
      </c>
      <c r="K927" s="98"/>
      <c r="L927" s="98"/>
    </row>
    <row r="928">
      <c r="B928" s="95" t="s">
        <v>526</v>
      </c>
      <c r="C928" s="95" t="s">
        <v>1485</v>
      </c>
      <c r="D928" s="95" t="s">
        <v>114</v>
      </c>
      <c r="E928" s="95" t="s">
        <v>380</v>
      </c>
      <c r="F928" s="95" t="s">
        <v>799</v>
      </c>
      <c r="G928" s="9">
        <v>50000.0</v>
      </c>
      <c r="H928" s="95" t="s">
        <v>530</v>
      </c>
      <c r="I928" s="13">
        <f t="shared" si="44"/>
        <v>5000</v>
      </c>
      <c r="J928" s="97" t="s">
        <v>1331</v>
      </c>
      <c r="K928" s="98"/>
      <c r="L928" s="98"/>
    </row>
    <row r="929">
      <c r="B929" s="95" t="s">
        <v>526</v>
      </c>
      <c r="C929" s="95" t="s">
        <v>1486</v>
      </c>
      <c r="D929" s="95" t="s">
        <v>114</v>
      </c>
      <c r="E929" s="95" t="s">
        <v>380</v>
      </c>
      <c r="F929" s="95" t="s">
        <v>799</v>
      </c>
      <c r="G929" s="9">
        <v>15000.0</v>
      </c>
      <c r="H929" s="95" t="s">
        <v>530</v>
      </c>
      <c r="I929" s="13">
        <f t="shared" si="44"/>
        <v>1500</v>
      </c>
      <c r="J929" s="97" t="s">
        <v>1331</v>
      </c>
      <c r="K929" s="98"/>
      <c r="L929" s="98"/>
    </row>
    <row r="930">
      <c r="B930" s="95" t="s">
        <v>526</v>
      </c>
      <c r="C930" s="95" t="s">
        <v>1487</v>
      </c>
      <c r="D930" s="95" t="s">
        <v>114</v>
      </c>
      <c r="E930" s="95" t="s">
        <v>380</v>
      </c>
      <c r="F930" s="95" t="s">
        <v>799</v>
      </c>
      <c r="G930" s="9">
        <v>50000.0</v>
      </c>
      <c r="H930" s="95" t="s">
        <v>530</v>
      </c>
      <c r="I930" s="13">
        <f t="shared" si="44"/>
        <v>5000</v>
      </c>
      <c r="J930" s="97" t="s">
        <v>1331</v>
      </c>
      <c r="K930" s="98"/>
      <c r="L930" s="98"/>
    </row>
    <row r="931">
      <c r="B931" s="95" t="s">
        <v>526</v>
      </c>
      <c r="C931" s="95" t="s">
        <v>1488</v>
      </c>
      <c r="D931" s="95" t="s">
        <v>114</v>
      </c>
      <c r="E931" s="95" t="s">
        <v>380</v>
      </c>
      <c r="F931" s="95" t="s">
        <v>799</v>
      </c>
      <c r="G931" s="9">
        <v>40000.0</v>
      </c>
      <c r="H931" s="95" t="s">
        <v>530</v>
      </c>
      <c r="I931" s="13">
        <f t="shared" si="44"/>
        <v>4000</v>
      </c>
      <c r="J931" s="97" t="s">
        <v>1331</v>
      </c>
      <c r="K931" s="98"/>
      <c r="L931" s="98"/>
    </row>
    <row r="932">
      <c r="B932" s="95" t="s">
        <v>526</v>
      </c>
      <c r="C932" s="95" t="s">
        <v>1489</v>
      </c>
      <c r="D932" s="95" t="s">
        <v>114</v>
      </c>
      <c r="E932" s="95" t="s">
        <v>380</v>
      </c>
      <c r="F932" s="95" t="s">
        <v>799</v>
      </c>
      <c r="G932" s="9">
        <v>12000.0</v>
      </c>
      <c r="H932" s="95" t="s">
        <v>530</v>
      </c>
      <c r="I932" s="13">
        <f t="shared" si="44"/>
        <v>1200</v>
      </c>
      <c r="J932" s="97" t="s">
        <v>1331</v>
      </c>
      <c r="K932" s="98"/>
      <c r="L932" s="98"/>
    </row>
    <row r="933">
      <c r="B933" s="95" t="s">
        <v>526</v>
      </c>
      <c r="C933" s="95" t="s">
        <v>1490</v>
      </c>
      <c r="D933" s="95" t="s">
        <v>114</v>
      </c>
      <c r="E933" s="95" t="s">
        <v>380</v>
      </c>
      <c r="F933" s="95" t="s">
        <v>799</v>
      </c>
      <c r="G933" s="9">
        <v>15000.0</v>
      </c>
      <c r="H933" s="95" t="s">
        <v>530</v>
      </c>
      <c r="I933" s="13">
        <f t="shared" si="44"/>
        <v>1500</v>
      </c>
      <c r="J933" s="97" t="s">
        <v>1331</v>
      </c>
      <c r="K933" s="98"/>
      <c r="L933" s="98"/>
    </row>
    <row r="934">
      <c r="B934" s="95" t="s">
        <v>526</v>
      </c>
      <c r="C934" s="95" t="s">
        <v>1204</v>
      </c>
      <c r="D934" s="95" t="s">
        <v>114</v>
      </c>
      <c r="E934" s="95" t="s">
        <v>380</v>
      </c>
      <c r="F934" s="95" t="s">
        <v>799</v>
      </c>
      <c r="G934" s="9">
        <v>100000.0</v>
      </c>
      <c r="H934" s="95" t="s">
        <v>530</v>
      </c>
      <c r="I934" s="13">
        <f t="shared" si="44"/>
        <v>10000</v>
      </c>
      <c r="J934" s="97" t="s">
        <v>1331</v>
      </c>
      <c r="K934" s="98"/>
      <c r="L934" s="98"/>
    </row>
    <row r="935">
      <c r="B935" s="95" t="s">
        <v>526</v>
      </c>
      <c r="C935" s="95" t="s">
        <v>1491</v>
      </c>
      <c r="D935" s="95" t="s">
        <v>114</v>
      </c>
      <c r="E935" s="95" t="s">
        <v>380</v>
      </c>
      <c r="F935" s="95" t="s">
        <v>799</v>
      </c>
      <c r="G935" s="9">
        <v>30000.0</v>
      </c>
      <c r="H935" s="95" t="s">
        <v>530</v>
      </c>
      <c r="I935" s="13">
        <f t="shared" si="44"/>
        <v>3000</v>
      </c>
      <c r="J935" s="97" t="s">
        <v>1331</v>
      </c>
      <c r="K935" s="98"/>
      <c r="L935" s="98"/>
    </row>
    <row r="936">
      <c r="B936" s="95" t="s">
        <v>526</v>
      </c>
      <c r="C936" s="95" t="s">
        <v>758</v>
      </c>
      <c r="D936" s="95" t="s">
        <v>114</v>
      </c>
      <c r="E936" s="95" t="s">
        <v>380</v>
      </c>
      <c r="F936" s="95" t="s">
        <v>738</v>
      </c>
      <c r="G936" s="9">
        <v>35000.0</v>
      </c>
      <c r="H936" s="95" t="s">
        <v>530</v>
      </c>
      <c r="I936" s="13">
        <f t="shared" si="44"/>
        <v>3500</v>
      </c>
      <c r="J936" s="97" t="s">
        <v>1492</v>
      </c>
      <c r="K936" s="98"/>
      <c r="L936" s="98"/>
    </row>
    <row r="937">
      <c r="B937" s="95" t="s">
        <v>526</v>
      </c>
      <c r="C937" s="95" t="s">
        <v>1493</v>
      </c>
      <c r="D937" s="95" t="s">
        <v>114</v>
      </c>
      <c r="E937" s="95" t="s">
        <v>377</v>
      </c>
      <c r="F937" s="95" t="s">
        <v>799</v>
      </c>
      <c r="G937" s="9">
        <v>50000.0</v>
      </c>
      <c r="H937" s="95" t="s">
        <v>530</v>
      </c>
      <c r="I937" s="13">
        <f t="shared" si="44"/>
        <v>5000</v>
      </c>
      <c r="J937" s="97" t="s">
        <v>1331</v>
      </c>
      <c r="K937" s="98"/>
      <c r="L937" s="98"/>
    </row>
    <row r="938">
      <c r="B938" s="95" t="s">
        <v>526</v>
      </c>
      <c r="C938" s="95" t="s">
        <v>1494</v>
      </c>
      <c r="D938" s="95" t="s">
        <v>114</v>
      </c>
      <c r="E938" s="95" t="s">
        <v>377</v>
      </c>
      <c r="F938" s="95" t="s">
        <v>799</v>
      </c>
      <c r="G938" s="9">
        <v>50000.0</v>
      </c>
      <c r="H938" s="95" t="s">
        <v>530</v>
      </c>
      <c r="I938" s="13">
        <f t="shared" si="44"/>
        <v>5000</v>
      </c>
      <c r="J938" s="97" t="s">
        <v>1331</v>
      </c>
      <c r="K938" s="98"/>
      <c r="L938" s="98"/>
    </row>
    <row r="939">
      <c r="B939" s="95" t="s">
        <v>526</v>
      </c>
      <c r="C939" s="95" t="s">
        <v>1495</v>
      </c>
      <c r="D939" s="95" t="s">
        <v>114</v>
      </c>
      <c r="E939" s="95" t="s">
        <v>377</v>
      </c>
      <c r="F939" s="95" t="s">
        <v>799</v>
      </c>
      <c r="G939" s="9">
        <v>25000.0</v>
      </c>
      <c r="H939" s="95" t="s">
        <v>530</v>
      </c>
      <c r="I939" s="13">
        <f t="shared" si="44"/>
        <v>2500</v>
      </c>
      <c r="J939" s="97" t="s">
        <v>1331</v>
      </c>
      <c r="K939" s="98"/>
      <c r="L939" s="98"/>
    </row>
    <row r="940">
      <c r="B940" s="95" t="s">
        <v>526</v>
      </c>
      <c r="C940" s="95" t="s">
        <v>1496</v>
      </c>
      <c r="D940" s="95" t="s">
        <v>114</v>
      </c>
      <c r="E940" s="95" t="s">
        <v>377</v>
      </c>
      <c r="F940" s="95" t="s">
        <v>799</v>
      </c>
      <c r="G940" s="9">
        <v>30000.0</v>
      </c>
      <c r="H940" s="95" t="s">
        <v>530</v>
      </c>
      <c r="I940" s="13">
        <f t="shared" si="44"/>
        <v>3000</v>
      </c>
      <c r="J940" s="97" t="s">
        <v>1331</v>
      </c>
      <c r="K940" s="98"/>
      <c r="L940" s="98"/>
    </row>
    <row r="941">
      <c r="B941" s="95" t="s">
        <v>526</v>
      </c>
      <c r="C941" s="95" t="s">
        <v>1497</v>
      </c>
      <c r="D941" s="95" t="s">
        <v>114</v>
      </c>
      <c r="E941" s="95" t="s">
        <v>377</v>
      </c>
      <c r="F941" s="95" t="s">
        <v>799</v>
      </c>
      <c r="G941" s="9">
        <v>30000.0</v>
      </c>
      <c r="H941" s="95" t="s">
        <v>530</v>
      </c>
      <c r="I941" s="13">
        <f t="shared" si="44"/>
        <v>3000</v>
      </c>
      <c r="J941" s="97" t="s">
        <v>1331</v>
      </c>
      <c r="K941" s="98"/>
      <c r="L941" s="98"/>
    </row>
    <row r="942">
      <c r="B942" s="95" t="s">
        <v>526</v>
      </c>
      <c r="C942" s="95" t="s">
        <v>1498</v>
      </c>
      <c r="D942" s="95" t="s">
        <v>114</v>
      </c>
      <c r="E942" s="95" t="s">
        <v>377</v>
      </c>
      <c r="F942" s="95" t="s">
        <v>799</v>
      </c>
      <c r="G942" s="9">
        <v>50000.0</v>
      </c>
      <c r="H942" s="95" t="s">
        <v>530</v>
      </c>
      <c r="I942" s="13">
        <f t="shared" si="44"/>
        <v>5000</v>
      </c>
      <c r="J942" s="97" t="s">
        <v>1331</v>
      </c>
      <c r="K942" s="98"/>
      <c r="L942" s="98"/>
    </row>
    <row r="943">
      <c r="B943" s="95" t="s">
        <v>526</v>
      </c>
      <c r="C943" s="95" t="s">
        <v>1499</v>
      </c>
      <c r="D943" s="95" t="s">
        <v>114</v>
      </c>
      <c r="E943" s="95" t="s">
        <v>377</v>
      </c>
      <c r="F943" s="95" t="s">
        <v>799</v>
      </c>
      <c r="G943" s="9">
        <v>18000.0</v>
      </c>
      <c r="H943" s="95" t="s">
        <v>530</v>
      </c>
      <c r="I943" s="13">
        <f t="shared" si="44"/>
        <v>1800</v>
      </c>
      <c r="J943" s="97" t="s">
        <v>1331</v>
      </c>
      <c r="K943" s="98"/>
      <c r="L943" s="98"/>
    </row>
    <row r="944">
      <c r="B944" s="95" t="s">
        <v>526</v>
      </c>
      <c r="C944" s="95" t="s">
        <v>1500</v>
      </c>
      <c r="D944" s="95" t="s">
        <v>114</v>
      </c>
      <c r="E944" s="95" t="s">
        <v>377</v>
      </c>
      <c r="F944" s="95" t="s">
        <v>799</v>
      </c>
      <c r="G944" s="9">
        <v>15000.0</v>
      </c>
      <c r="H944" s="95" t="s">
        <v>530</v>
      </c>
      <c r="I944" s="13">
        <f t="shared" si="44"/>
        <v>1500</v>
      </c>
      <c r="J944" s="97" t="s">
        <v>1331</v>
      </c>
      <c r="K944" s="98"/>
      <c r="L944" s="98"/>
    </row>
    <row r="945">
      <c r="B945" s="95" t="s">
        <v>526</v>
      </c>
      <c r="C945" s="95" t="s">
        <v>1501</v>
      </c>
      <c r="D945" s="95" t="s">
        <v>114</v>
      </c>
      <c r="E945" s="95" t="s">
        <v>377</v>
      </c>
      <c r="F945" s="95" t="s">
        <v>799</v>
      </c>
      <c r="G945" s="9">
        <v>2500.0</v>
      </c>
      <c r="H945" s="95" t="s">
        <v>1082</v>
      </c>
      <c r="I945" s="13">
        <f>G945/1</f>
        <v>2500</v>
      </c>
      <c r="J945" s="97" t="s">
        <v>1331</v>
      </c>
      <c r="K945" s="98"/>
      <c r="L945" s="98"/>
    </row>
    <row r="946">
      <c r="B946" s="95" t="s">
        <v>526</v>
      </c>
      <c r="C946" s="95" t="s">
        <v>1502</v>
      </c>
      <c r="D946" s="95" t="s">
        <v>114</v>
      </c>
      <c r="E946" s="95" t="s">
        <v>377</v>
      </c>
      <c r="F946" s="95" t="s">
        <v>799</v>
      </c>
      <c r="G946" s="9">
        <v>40000.0</v>
      </c>
      <c r="H946" s="95" t="s">
        <v>530</v>
      </c>
      <c r="I946" s="13">
        <f t="shared" ref="I946:I947" si="45">G946/10</f>
        <v>4000</v>
      </c>
      <c r="J946" s="97" t="s">
        <v>1331</v>
      </c>
      <c r="K946" s="98"/>
      <c r="L946" s="98"/>
    </row>
    <row r="947">
      <c r="B947" s="95" t="s">
        <v>526</v>
      </c>
      <c r="C947" s="95" t="s">
        <v>1503</v>
      </c>
      <c r="D947" s="95" t="s">
        <v>114</v>
      </c>
      <c r="E947" s="95" t="s">
        <v>377</v>
      </c>
      <c r="F947" s="95" t="s">
        <v>799</v>
      </c>
      <c r="G947" s="9">
        <v>10000.0</v>
      </c>
      <c r="H947" s="95" t="s">
        <v>530</v>
      </c>
      <c r="I947" s="13">
        <f t="shared" si="45"/>
        <v>1000</v>
      </c>
      <c r="J947" s="97" t="s">
        <v>1331</v>
      </c>
      <c r="K947" s="98"/>
      <c r="L947" s="98"/>
    </row>
    <row r="948">
      <c r="B948" s="95" t="s">
        <v>526</v>
      </c>
      <c r="C948" s="95" t="s">
        <v>1242</v>
      </c>
      <c r="D948" s="95" t="s">
        <v>114</v>
      </c>
      <c r="E948" s="95" t="s">
        <v>377</v>
      </c>
      <c r="F948" s="95" t="s">
        <v>650</v>
      </c>
      <c r="G948" s="9">
        <v>600000.0</v>
      </c>
      <c r="H948" s="95" t="s">
        <v>635</v>
      </c>
      <c r="I948" s="13">
        <f>G948/6</f>
        <v>100000</v>
      </c>
      <c r="J948" s="97" t="s">
        <v>1504</v>
      </c>
      <c r="K948" s="98"/>
      <c r="L948" s="98"/>
    </row>
    <row r="949">
      <c r="B949" s="95" t="s">
        <v>526</v>
      </c>
      <c r="C949" s="95" t="s">
        <v>1505</v>
      </c>
      <c r="D949" s="95" t="s">
        <v>114</v>
      </c>
      <c r="E949" s="95" t="s">
        <v>377</v>
      </c>
      <c r="F949" s="95" t="s">
        <v>685</v>
      </c>
      <c r="G949" s="9">
        <v>1000000.0</v>
      </c>
      <c r="H949" s="95" t="s">
        <v>530</v>
      </c>
      <c r="I949" s="13">
        <f t="shared" ref="I949:I954" si="46">G949/10</f>
        <v>100000</v>
      </c>
      <c r="J949" s="97" t="s">
        <v>1506</v>
      </c>
      <c r="K949" s="98"/>
      <c r="L949" s="98"/>
    </row>
    <row r="950">
      <c r="B950" s="95" t="s">
        <v>526</v>
      </c>
      <c r="C950" s="95" t="s">
        <v>1363</v>
      </c>
      <c r="D950" s="95" t="s">
        <v>114</v>
      </c>
      <c r="E950" s="95" t="s">
        <v>377</v>
      </c>
      <c r="F950" s="95" t="s">
        <v>685</v>
      </c>
      <c r="G950" s="9">
        <v>1100000.0</v>
      </c>
      <c r="H950" s="95" t="s">
        <v>530</v>
      </c>
      <c r="I950" s="13">
        <f t="shared" si="46"/>
        <v>110000</v>
      </c>
      <c r="J950" s="97" t="s">
        <v>1507</v>
      </c>
      <c r="K950" s="97" t="s">
        <v>1508</v>
      </c>
      <c r="L950" s="98"/>
    </row>
    <row r="951">
      <c r="B951" s="95" t="s">
        <v>526</v>
      </c>
      <c r="C951" s="95" t="s">
        <v>1509</v>
      </c>
      <c r="D951" s="95" t="s">
        <v>195</v>
      </c>
      <c r="E951" s="95" t="s">
        <v>267</v>
      </c>
      <c r="F951" s="95" t="s">
        <v>685</v>
      </c>
      <c r="G951" s="9">
        <v>170000.0</v>
      </c>
      <c r="H951" s="95" t="s">
        <v>530</v>
      </c>
      <c r="I951" s="13">
        <f t="shared" si="46"/>
        <v>17000</v>
      </c>
      <c r="J951" s="98" t="s">
        <v>1310</v>
      </c>
      <c r="K951" s="98"/>
      <c r="L951" s="98"/>
    </row>
    <row r="952">
      <c r="B952" s="95" t="s">
        <v>526</v>
      </c>
      <c r="C952" s="95" t="s">
        <v>758</v>
      </c>
      <c r="D952" s="95" t="s">
        <v>114</v>
      </c>
      <c r="E952" s="95" t="s">
        <v>370</v>
      </c>
      <c r="F952" s="95" t="s">
        <v>643</v>
      </c>
      <c r="G952" s="9">
        <v>80000.0</v>
      </c>
      <c r="H952" s="95" t="s">
        <v>530</v>
      </c>
      <c r="I952" s="13">
        <f t="shared" si="46"/>
        <v>8000</v>
      </c>
      <c r="J952" s="97" t="s">
        <v>1492</v>
      </c>
      <c r="K952" s="98"/>
      <c r="L952" s="98"/>
    </row>
    <row r="953">
      <c r="B953" s="95" t="s">
        <v>526</v>
      </c>
      <c r="C953" s="95" t="s">
        <v>839</v>
      </c>
      <c r="D953" s="95" t="s">
        <v>69</v>
      </c>
      <c r="E953" s="95" t="s">
        <v>131</v>
      </c>
      <c r="F953" s="95" t="s">
        <v>643</v>
      </c>
      <c r="G953" s="9">
        <v>100000.0</v>
      </c>
      <c r="H953" s="95" t="s">
        <v>530</v>
      </c>
      <c r="I953" s="13">
        <f t="shared" si="46"/>
        <v>10000</v>
      </c>
      <c r="J953" s="97" t="s">
        <v>1510</v>
      </c>
      <c r="K953" s="97" t="s">
        <v>1511</v>
      </c>
      <c r="L953" s="98"/>
    </row>
    <row r="954">
      <c r="B954" s="95" t="s">
        <v>526</v>
      </c>
      <c r="C954" s="95" t="s">
        <v>839</v>
      </c>
      <c r="D954" s="95" t="s">
        <v>815</v>
      </c>
      <c r="E954" s="95" t="s">
        <v>840</v>
      </c>
      <c r="F954" s="95" t="s">
        <v>543</v>
      </c>
      <c r="G954" s="9">
        <v>460000.0</v>
      </c>
      <c r="H954" s="95" t="s">
        <v>530</v>
      </c>
      <c r="I954" s="13">
        <f t="shared" si="46"/>
        <v>46000</v>
      </c>
      <c r="J954" s="97" t="s">
        <v>1512</v>
      </c>
      <c r="K954" s="98"/>
      <c r="L954" s="98"/>
    </row>
    <row r="955">
      <c r="B955" s="95" t="s">
        <v>526</v>
      </c>
      <c r="C955" s="95" t="s">
        <v>1065</v>
      </c>
      <c r="D955" s="95" t="s">
        <v>69</v>
      </c>
      <c r="E955" s="95" t="s">
        <v>561</v>
      </c>
      <c r="F955" s="95" t="s">
        <v>650</v>
      </c>
      <c r="G955" s="9">
        <f>18000*6</f>
        <v>108000</v>
      </c>
      <c r="H955" s="95" t="s">
        <v>635</v>
      </c>
      <c r="I955" s="13">
        <f>G955/6</f>
        <v>18000</v>
      </c>
      <c r="J955" s="98" t="s">
        <v>1466</v>
      </c>
      <c r="K955" s="98"/>
      <c r="L955" s="98"/>
    </row>
    <row r="956">
      <c r="B956" s="95" t="s">
        <v>526</v>
      </c>
      <c r="C956" s="95" t="s">
        <v>1320</v>
      </c>
      <c r="D956" s="95" t="s">
        <v>69</v>
      </c>
      <c r="E956" s="95" t="s">
        <v>561</v>
      </c>
      <c r="F956" s="95" t="s">
        <v>650</v>
      </c>
      <c r="G956" s="9">
        <v>80000.0</v>
      </c>
      <c r="H956" s="95" t="s">
        <v>530</v>
      </c>
      <c r="I956" s="13">
        <f t="shared" ref="I956:I1001" si="47">G956/10</f>
        <v>8000</v>
      </c>
      <c r="J956" s="98" t="s">
        <v>1466</v>
      </c>
      <c r="K956" s="98"/>
      <c r="L956" s="98"/>
    </row>
    <row r="957">
      <c r="B957" s="95" t="s">
        <v>526</v>
      </c>
      <c r="C957" s="95" t="s">
        <v>1513</v>
      </c>
      <c r="D957" s="95" t="s">
        <v>69</v>
      </c>
      <c r="E957" s="95" t="s">
        <v>877</v>
      </c>
      <c r="F957" s="95" t="s">
        <v>643</v>
      </c>
      <c r="G957" s="9">
        <v>50000.0</v>
      </c>
      <c r="H957" s="95" t="s">
        <v>530</v>
      </c>
      <c r="I957" s="13">
        <f t="shared" si="47"/>
        <v>5000</v>
      </c>
      <c r="J957" s="98" t="s">
        <v>1064</v>
      </c>
      <c r="K957" s="98"/>
      <c r="L957" s="98"/>
    </row>
    <row r="958">
      <c r="B958" s="95" t="s">
        <v>526</v>
      </c>
      <c r="C958" s="95" t="s">
        <v>1513</v>
      </c>
      <c r="D958" s="95" t="s">
        <v>69</v>
      </c>
      <c r="E958" s="95" t="s">
        <v>542</v>
      </c>
      <c r="F958" s="95" t="s">
        <v>586</v>
      </c>
      <c r="G958" s="9">
        <v>70000.0</v>
      </c>
      <c r="H958" s="95" t="s">
        <v>530</v>
      </c>
      <c r="I958" s="13">
        <f t="shared" si="47"/>
        <v>7000</v>
      </c>
      <c r="J958" s="98" t="s">
        <v>1064</v>
      </c>
      <c r="K958" s="98"/>
      <c r="L958" s="98"/>
    </row>
    <row r="959">
      <c r="B959" s="95" t="s">
        <v>526</v>
      </c>
      <c r="C959" s="95" t="s">
        <v>1514</v>
      </c>
      <c r="D959" s="95" t="s">
        <v>71</v>
      </c>
      <c r="E959" s="95" t="s">
        <v>798</v>
      </c>
      <c r="F959" s="95" t="s">
        <v>529</v>
      </c>
      <c r="G959" s="9">
        <f>0.9*1000000</f>
        <v>900000</v>
      </c>
      <c r="H959" s="95" t="s">
        <v>530</v>
      </c>
      <c r="I959" s="13">
        <f t="shared" si="47"/>
        <v>90000</v>
      </c>
      <c r="J959" s="97" t="s">
        <v>1515</v>
      </c>
      <c r="K959" s="98"/>
      <c r="L959" s="98"/>
    </row>
    <row r="960">
      <c r="B960" s="95" t="s">
        <v>526</v>
      </c>
      <c r="C960" s="95" t="s">
        <v>1516</v>
      </c>
      <c r="D960" s="95" t="s">
        <v>69</v>
      </c>
      <c r="E960" s="95" t="s">
        <v>561</v>
      </c>
      <c r="F960" s="95" t="s">
        <v>650</v>
      </c>
      <c r="G960" s="9">
        <v>100000.0</v>
      </c>
      <c r="H960" s="95" t="s">
        <v>530</v>
      </c>
      <c r="I960" s="13">
        <f t="shared" si="47"/>
        <v>10000</v>
      </c>
      <c r="J960" s="98" t="s">
        <v>1517</v>
      </c>
      <c r="K960" s="98"/>
      <c r="L960" s="98"/>
    </row>
    <row r="961">
      <c r="B961" s="95" t="s">
        <v>526</v>
      </c>
      <c r="C961" s="95" t="s">
        <v>581</v>
      </c>
      <c r="D961" s="95" t="s">
        <v>69</v>
      </c>
      <c r="E961" s="95" t="s">
        <v>561</v>
      </c>
      <c r="F961" s="95" t="s">
        <v>650</v>
      </c>
      <c r="G961" s="9">
        <v>150000.0</v>
      </c>
      <c r="H961" s="95" t="s">
        <v>530</v>
      </c>
      <c r="I961" s="13">
        <f t="shared" si="47"/>
        <v>15000</v>
      </c>
      <c r="J961" s="98" t="s">
        <v>1064</v>
      </c>
      <c r="K961" s="98"/>
      <c r="L961" s="98"/>
    </row>
    <row r="962">
      <c r="B962" s="95" t="s">
        <v>526</v>
      </c>
      <c r="C962" s="95" t="s">
        <v>804</v>
      </c>
      <c r="D962" s="95" t="s">
        <v>71</v>
      </c>
      <c r="E962" s="95" t="s">
        <v>1518</v>
      </c>
      <c r="F962" s="95" t="s">
        <v>543</v>
      </c>
      <c r="G962" s="9">
        <v>65000.0</v>
      </c>
      <c r="H962" s="95" t="s">
        <v>530</v>
      </c>
      <c r="I962" s="13">
        <f t="shared" si="47"/>
        <v>6500</v>
      </c>
      <c r="J962" s="97" t="s">
        <v>791</v>
      </c>
      <c r="K962" s="98"/>
      <c r="L962" s="98"/>
    </row>
    <row r="963">
      <c r="B963" s="95" t="s">
        <v>526</v>
      </c>
      <c r="C963" s="95" t="s">
        <v>904</v>
      </c>
      <c r="D963" s="95" t="s">
        <v>69</v>
      </c>
      <c r="E963" s="95" t="s">
        <v>561</v>
      </c>
      <c r="F963" s="95" t="s">
        <v>650</v>
      </c>
      <c r="G963" s="9">
        <v>300000.0</v>
      </c>
      <c r="H963" s="95" t="s">
        <v>530</v>
      </c>
      <c r="I963" s="13">
        <f t="shared" si="47"/>
        <v>30000</v>
      </c>
      <c r="J963" s="98" t="s">
        <v>1064</v>
      </c>
      <c r="K963" s="98"/>
      <c r="L963" s="98"/>
    </row>
    <row r="964">
      <c r="B964" s="95" t="s">
        <v>526</v>
      </c>
      <c r="C964" s="95" t="s">
        <v>1378</v>
      </c>
      <c r="D964" s="95" t="s">
        <v>140</v>
      </c>
      <c r="E964" s="95" t="s">
        <v>194</v>
      </c>
      <c r="F964" s="95" t="s">
        <v>650</v>
      </c>
      <c r="G964" s="9">
        <v>2220000.0</v>
      </c>
      <c r="H964" s="95" t="s">
        <v>530</v>
      </c>
      <c r="I964" s="13">
        <f t="shared" si="47"/>
        <v>222000</v>
      </c>
      <c r="J964" s="97" t="s">
        <v>1347</v>
      </c>
      <c r="K964" s="97" t="s">
        <v>1519</v>
      </c>
      <c r="L964" s="98"/>
    </row>
    <row r="965">
      <c r="B965" s="95" t="s">
        <v>526</v>
      </c>
      <c r="C965" s="95" t="s">
        <v>1370</v>
      </c>
      <c r="D965" s="95" t="s">
        <v>140</v>
      </c>
      <c r="E965" s="95" t="s">
        <v>194</v>
      </c>
      <c r="F965" s="95" t="s">
        <v>650</v>
      </c>
      <c r="G965" s="9">
        <v>2000000.0</v>
      </c>
      <c r="H965" s="95" t="s">
        <v>530</v>
      </c>
      <c r="I965" s="13">
        <f t="shared" si="47"/>
        <v>200000</v>
      </c>
      <c r="J965" s="97" t="s">
        <v>1371</v>
      </c>
      <c r="K965" s="98"/>
      <c r="L965" s="98"/>
    </row>
    <row r="966">
      <c r="B966" s="95" t="s">
        <v>526</v>
      </c>
      <c r="C966" s="95" t="s">
        <v>1375</v>
      </c>
      <c r="D966" s="95" t="s">
        <v>140</v>
      </c>
      <c r="E966" s="95" t="s">
        <v>141</v>
      </c>
      <c r="F966" s="95" t="s">
        <v>650</v>
      </c>
      <c r="G966" s="9">
        <v>2100000.0</v>
      </c>
      <c r="H966" s="95" t="s">
        <v>530</v>
      </c>
      <c r="I966" s="13">
        <f t="shared" si="47"/>
        <v>210000</v>
      </c>
      <c r="J966" s="97" t="s">
        <v>1520</v>
      </c>
      <c r="K966" s="97" t="s">
        <v>1521</v>
      </c>
      <c r="L966" s="98"/>
    </row>
    <row r="967">
      <c r="B967" s="95" t="s">
        <v>526</v>
      </c>
      <c r="C967" s="95" t="s">
        <v>1522</v>
      </c>
      <c r="D967" s="95" t="s">
        <v>140</v>
      </c>
      <c r="E967" s="95" t="s">
        <v>178</v>
      </c>
      <c r="F967" s="95" t="s">
        <v>650</v>
      </c>
      <c r="G967" s="9">
        <v>1300000.0</v>
      </c>
      <c r="H967" s="95" t="s">
        <v>530</v>
      </c>
      <c r="I967" s="13">
        <f t="shared" si="47"/>
        <v>130000</v>
      </c>
      <c r="J967" s="97" t="s">
        <v>1523</v>
      </c>
      <c r="K967" s="97" t="s">
        <v>1524</v>
      </c>
      <c r="L967" s="101" t="s">
        <v>1525</v>
      </c>
    </row>
    <row r="968">
      <c r="B968" s="95" t="s">
        <v>526</v>
      </c>
      <c r="C968" s="95" t="s">
        <v>1526</v>
      </c>
      <c r="D968" s="95" t="s">
        <v>140</v>
      </c>
      <c r="E968" s="95" t="s">
        <v>178</v>
      </c>
      <c r="F968" s="95" t="s">
        <v>586</v>
      </c>
      <c r="G968" s="9">
        <v>280000.0</v>
      </c>
      <c r="H968" s="95" t="s">
        <v>530</v>
      </c>
      <c r="I968" s="13">
        <f t="shared" si="47"/>
        <v>28000</v>
      </c>
      <c r="J968" s="97" t="s">
        <v>1527</v>
      </c>
      <c r="K968" s="98"/>
      <c r="L968" s="98"/>
    </row>
    <row r="969">
      <c r="B969" s="95" t="s">
        <v>526</v>
      </c>
      <c r="C969" s="95" t="s">
        <v>1528</v>
      </c>
      <c r="D969" s="95" t="s">
        <v>140</v>
      </c>
      <c r="E969" s="95" t="s">
        <v>141</v>
      </c>
      <c r="F969" s="95" t="s">
        <v>643</v>
      </c>
      <c r="G969" s="9">
        <v>1500000.0</v>
      </c>
      <c r="H969" s="95" t="s">
        <v>530</v>
      </c>
      <c r="I969" s="13">
        <f t="shared" si="47"/>
        <v>150000</v>
      </c>
      <c r="J969" s="97" t="s">
        <v>1529</v>
      </c>
      <c r="K969" s="98"/>
      <c r="L969" s="98"/>
    </row>
    <row r="970">
      <c r="B970" s="95" t="s">
        <v>526</v>
      </c>
      <c r="C970" s="95" t="s">
        <v>1528</v>
      </c>
      <c r="D970" s="95" t="s">
        <v>140</v>
      </c>
      <c r="E970" s="95" t="s">
        <v>141</v>
      </c>
      <c r="F970" s="95" t="s">
        <v>586</v>
      </c>
      <c r="G970" s="9">
        <v>1500000.0</v>
      </c>
      <c r="H970" s="95" t="s">
        <v>530</v>
      </c>
      <c r="I970" s="13">
        <f t="shared" si="47"/>
        <v>150000</v>
      </c>
      <c r="J970" s="97" t="s">
        <v>1529</v>
      </c>
      <c r="K970" s="98"/>
      <c r="L970" s="98"/>
    </row>
    <row r="971">
      <c r="B971" s="95" t="s">
        <v>526</v>
      </c>
      <c r="C971" s="95" t="s">
        <v>1528</v>
      </c>
      <c r="D971" s="95" t="s">
        <v>140</v>
      </c>
      <c r="E971" s="95" t="s">
        <v>141</v>
      </c>
      <c r="F971" s="95" t="s">
        <v>650</v>
      </c>
      <c r="G971" s="9">
        <v>1600000.0</v>
      </c>
      <c r="H971" s="95" t="s">
        <v>530</v>
      </c>
      <c r="I971" s="13">
        <f t="shared" si="47"/>
        <v>160000</v>
      </c>
      <c r="J971" s="97" t="s">
        <v>1529</v>
      </c>
      <c r="K971" s="97" t="s">
        <v>1521</v>
      </c>
      <c r="L971" s="98"/>
    </row>
    <row r="972">
      <c r="B972" s="95" t="s">
        <v>526</v>
      </c>
      <c r="C972" s="95" t="s">
        <v>1436</v>
      </c>
      <c r="D972" s="95" t="s">
        <v>140</v>
      </c>
      <c r="E972" s="95" t="s">
        <v>141</v>
      </c>
      <c r="F972" s="95" t="s">
        <v>650</v>
      </c>
      <c r="G972" s="9">
        <v>300000.0</v>
      </c>
      <c r="H972" s="95" t="s">
        <v>530</v>
      </c>
      <c r="I972" s="13">
        <f t="shared" si="47"/>
        <v>30000</v>
      </c>
      <c r="J972" s="97" t="s">
        <v>1521</v>
      </c>
      <c r="K972" s="98"/>
      <c r="L972" s="98"/>
    </row>
    <row r="973">
      <c r="B973" s="95" t="s">
        <v>526</v>
      </c>
      <c r="C973" s="95" t="s">
        <v>1530</v>
      </c>
      <c r="D973" s="95" t="s">
        <v>140</v>
      </c>
      <c r="E973" s="95" t="s">
        <v>141</v>
      </c>
      <c r="F973" s="95" t="s">
        <v>650</v>
      </c>
      <c r="G973" s="9">
        <v>1100000.0</v>
      </c>
      <c r="H973" s="95" t="s">
        <v>530</v>
      </c>
      <c r="I973" s="13">
        <f t="shared" si="47"/>
        <v>110000</v>
      </c>
      <c r="J973" s="97" t="s">
        <v>1521</v>
      </c>
      <c r="K973" s="98"/>
      <c r="L973" s="98"/>
    </row>
    <row r="974">
      <c r="B974" s="95" t="s">
        <v>526</v>
      </c>
      <c r="C974" s="95" t="s">
        <v>1531</v>
      </c>
      <c r="D974" s="95" t="s">
        <v>140</v>
      </c>
      <c r="E974" s="95" t="s">
        <v>141</v>
      </c>
      <c r="F974" s="95" t="s">
        <v>650</v>
      </c>
      <c r="G974" s="9">
        <v>1500000.0</v>
      </c>
      <c r="H974" s="95" t="s">
        <v>530</v>
      </c>
      <c r="I974" s="13">
        <f t="shared" si="47"/>
        <v>150000</v>
      </c>
      <c r="J974" s="97" t="s">
        <v>1521</v>
      </c>
      <c r="K974" s="97" t="s">
        <v>1532</v>
      </c>
      <c r="L974" s="98"/>
    </row>
    <row r="975">
      <c r="B975" s="95" t="s">
        <v>526</v>
      </c>
      <c r="C975" s="95" t="s">
        <v>1533</v>
      </c>
      <c r="D975" s="95" t="s">
        <v>140</v>
      </c>
      <c r="E975" s="95" t="s">
        <v>141</v>
      </c>
      <c r="F975" s="95" t="s">
        <v>586</v>
      </c>
      <c r="G975" s="9">
        <v>510000.0</v>
      </c>
      <c r="H975" s="95" t="s">
        <v>530</v>
      </c>
      <c r="I975" s="13">
        <f t="shared" si="47"/>
        <v>51000</v>
      </c>
      <c r="J975" s="97" t="s">
        <v>1534</v>
      </c>
      <c r="K975" s="98"/>
      <c r="L975" s="98"/>
    </row>
    <row r="976">
      <c r="B976" s="95" t="s">
        <v>526</v>
      </c>
      <c r="C976" s="95" t="s">
        <v>1535</v>
      </c>
      <c r="D976" s="95" t="s">
        <v>140</v>
      </c>
      <c r="E976" s="95" t="s">
        <v>141</v>
      </c>
      <c r="F976" s="95" t="s">
        <v>650</v>
      </c>
      <c r="G976" s="9">
        <v>820000.0</v>
      </c>
      <c r="H976" s="95" t="s">
        <v>530</v>
      </c>
      <c r="I976" s="13">
        <f t="shared" si="47"/>
        <v>82000</v>
      </c>
      <c r="J976" s="97" t="s">
        <v>1534</v>
      </c>
      <c r="K976" s="98"/>
      <c r="L976" s="98"/>
    </row>
    <row r="977">
      <c r="B977" s="95" t="s">
        <v>526</v>
      </c>
      <c r="C977" s="95" t="s">
        <v>1536</v>
      </c>
      <c r="D977" s="95" t="s">
        <v>140</v>
      </c>
      <c r="E977" s="95" t="s">
        <v>141</v>
      </c>
      <c r="F977" s="95" t="s">
        <v>650</v>
      </c>
      <c r="G977" s="9">
        <v>1100000.0</v>
      </c>
      <c r="H977" s="95" t="s">
        <v>530</v>
      </c>
      <c r="I977" s="13">
        <f t="shared" si="47"/>
        <v>110000</v>
      </c>
      <c r="J977" s="97" t="s">
        <v>1534</v>
      </c>
      <c r="K977" s="98"/>
      <c r="L977" s="98"/>
    </row>
    <row r="978">
      <c r="B978" s="95" t="s">
        <v>526</v>
      </c>
      <c r="C978" s="95" t="s">
        <v>1530</v>
      </c>
      <c r="D978" s="95" t="s">
        <v>140</v>
      </c>
      <c r="E978" s="95" t="s">
        <v>141</v>
      </c>
      <c r="F978" s="95" t="s">
        <v>586</v>
      </c>
      <c r="G978" s="9">
        <v>820000.0</v>
      </c>
      <c r="H978" s="95" t="s">
        <v>530</v>
      </c>
      <c r="I978" s="13">
        <f t="shared" si="47"/>
        <v>82000</v>
      </c>
      <c r="J978" s="97" t="s">
        <v>1534</v>
      </c>
      <c r="K978" s="98"/>
      <c r="L978" s="98"/>
    </row>
    <row r="979">
      <c r="B979" s="95" t="s">
        <v>641</v>
      </c>
      <c r="C979" s="95" t="s">
        <v>1537</v>
      </c>
      <c r="D979" s="95" t="s">
        <v>140</v>
      </c>
      <c r="E979" s="95" t="s">
        <v>141</v>
      </c>
      <c r="F979" s="95" t="s">
        <v>586</v>
      </c>
      <c r="G979" s="9">
        <v>820000.0</v>
      </c>
      <c r="H979" s="95" t="s">
        <v>530</v>
      </c>
      <c r="I979" s="13">
        <f t="shared" si="47"/>
        <v>82000</v>
      </c>
      <c r="J979" s="97" t="s">
        <v>1538</v>
      </c>
      <c r="K979" s="98"/>
      <c r="L979" s="98"/>
    </row>
    <row r="980">
      <c r="B980" s="95" t="s">
        <v>526</v>
      </c>
      <c r="C980" s="95" t="s">
        <v>1400</v>
      </c>
      <c r="D980" s="95" t="s">
        <v>140</v>
      </c>
      <c r="E980" s="95" t="s">
        <v>141</v>
      </c>
      <c r="F980" s="95" t="s">
        <v>586</v>
      </c>
      <c r="G980" s="9">
        <v>1100000.0</v>
      </c>
      <c r="H980" s="95" t="s">
        <v>530</v>
      </c>
      <c r="I980" s="13">
        <f t="shared" si="47"/>
        <v>110000</v>
      </c>
      <c r="J980" s="97" t="s">
        <v>1538</v>
      </c>
      <c r="K980" s="98"/>
      <c r="L980" s="98"/>
    </row>
    <row r="981">
      <c r="B981" s="95" t="s">
        <v>526</v>
      </c>
      <c r="C981" s="95" t="s">
        <v>1539</v>
      </c>
      <c r="D981" s="95" t="s">
        <v>140</v>
      </c>
      <c r="E981" s="95" t="s">
        <v>141</v>
      </c>
      <c r="F981" s="95" t="s">
        <v>586</v>
      </c>
      <c r="G981" s="9">
        <v>280000.0</v>
      </c>
      <c r="H981" s="95" t="s">
        <v>530</v>
      </c>
      <c r="I981" s="13">
        <f t="shared" si="47"/>
        <v>28000</v>
      </c>
      <c r="J981" s="97" t="s">
        <v>1538</v>
      </c>
      <c r="K981" s="98"/>
      <c r="L981" s="98"/>
    </row>
    <row r="982">
      <c r="B982" s="95" t="s">
        <v>526</v>
      </c>
      <c r="C982" s="95" t="s">
        <v>1540</v>
      </c>
      <c r="D982" s="95" t="s">
        <v>140</v>
      </c>
      <c r="E982" s="95" t="s">
        <v>141</v>
      </c>
      <c r="F982" s="95" t="s">
        <v>586</v>
      </c>
      <c r="G982" s="9">
        <v>820000.0</v>
      </c>
      <c r="H982" s="95" t="s">
        <v>530</v>
      </c>
      <c r="I982" s="13">
        <f t="shared" si="47"/>
        <v>82000</v>
      </c>
      <c r="J982" s="97" t="s">
        <v>1538</v>
      </c>
      <c r="K982" s="98"/>
      <c r="L982" s="98"/>
    </row>
    <row r="983">
      <c r="B983" s="95" t="s">
        <v>526</v>
      </c>
      <c r="C983" s="95" t="s">
        <v>1535</v>
      </c>
      <c r="D983" s="95" t="s">
        <v>140</v>
      </c>
      <c r="E983" s="95" t="s">
        <v>141</v>
      </c>
      <c r="F983" s="95" t="s">
        <v>586</v>
      </c>
      <c r="G983" s="9">
        <v>820000.0</v>
      </c>
      <c r="H983" s="95" t="s">
        <v>530</v>
      </c>
      <c r="I983" s="13">
        <f t="shared" si="47"/>
        <v>82000</v>
      </c>
      <c r="J983" s="97" t="s">
        <v>1534</v>
      </c>
      <c r="K983" s="98"/>
      <c r="L983" s="98"/>
    </row>
    <row r="984">
      <c r="B984" s="95" t="s">
        <v>526</v>
      </c>
      <c r="C984" s="95" t="s">
        <v>1522</v>
      </c>
      <c r="D984" s="95" t="s">
        <v>140</v>
      </c>
      <c r="E984" s="95" t="s">
        <v>178</v>
      </c>
      <c r="F984" s="95" t="s">
        <v>586</v>
      </c>
      <c r="G984" s="9">
        <v>800000.0</v>
      </c>
      <c r="H984" s="95" t="s">
        <v>530</v>
      </c>
      <c r="I984" s="13">
        <f t="shared" si="47"/>
        <v>80000</v>
      </c>
      <c r="J984" s="97" t="s">
        <v>1541</v>
      </c>
      <c r="K984" s="98"/>
      <c r="L984" s="98"/>
    </row>
    <row r="985">
      <c r="B985" s="95" t="s">
        <v>526</v>
      </c>
      <c r="C985" s="95" t="s">
        <v>1526</v>
      </c>
      <c r="D985" s="95" t="s">
        <v>140</v>
      </c>
      <c r="E985" s="95" t="s">
        <v>178</v>
      </c>
      <c r="F985" s="95" t="s">
        <v>643</v>
      </c>
      <c r="G985" s="9">
        <v>200000.0</v>
      </c>
      <c r="H985" s="95" t="s">
        <v>530</v>
      </c>
      <c r="I985" s="13">
        <f t="shared" si="47"/>
        <v>20000</v>
      </c>
      <c r="J985" s="97" t="s">
        <v>1542</v>
      </c>
      <c r="K985" s="98"/>
      <c r="L985" s="98"/>
    </row>
    <row r="986">
      <c r="B986" s="95" t="s">
        <v>526</v>
      </c>
      <c r="C986" s="95" t="s">
        <v>1323</v>
      </c>
      <c r="D986" s="95" t="s">
        <v>195</v>
      </c>
      <c r="E986" s="95" t="s">
        <v>432</v>
      </c>
      <c r="F986" s="95" t="s">
        <v>685</v>
      </c>
      <c r="G986" s="9">
        <v>1500000.0</v>
      </c>
      <c r="H986" s="95" t="s">
        <v>530</v>
      </c>
      <c r="I986" s="13">
        <f t="shared" si="47"/>
        <v>150000</v>
      </c>
      <c r="J986" s="97" t="s">
        <v>1543</v>
      </c>
      <c r="K986" s="98"/>
      <c r="L986" s="98"/>
    </row>
    <row r="987">
      <c r="B987" s="95" t="s">
        <v>526</v>
      </c>
      <c r="C987" s="95" t="s">
        <v>875</v>
      </c>
      <c r="D987" s="95" t="s">
        <v>88</v>
      </c>
      <c r="E987" s="95" t="s">
        <v>422</v>
      </c>
      <c r="F987" s="95" t="s">
        <v>685</v>
      </c>
      <c r="G987" s="9">
        <v>1300000.0</v>
      </c>
      <c r="H987" s="95" t="s">
        <v>530</v>
      </c>
      <c r="I987" s="13">
        <f t="shared" si="47"/>
        <v>130000</v>
      </c>
      <c r="J987" s="97" t="s">
        <v>1544</v>
      </c>
      <c r="K987" s="98"/>
      <c r="L987" s="98"/>
    </row>
    <row r="988">
      <c r="B988" s="95" t="s">
        <v>526</v>
      </c>
      <c r="C988" s="95" t="s">
        <v>875</v>
      </c>
      <c r="D988" s="95" t="s">
        <v>88</v>
      </c>
      <c r="E988" s="95" t="s">
        <v>422</v>
      </c>
      <c r="F988" s="95" t="s">
        <v>1545</v>
      </c>
      <c r="G988" s="9">
        <v>1300000.0</v>
      </c>
      <c r="H988" s="95" t="s">
        <v>530</v>
      </c>
      <c r="I988" s="13">
        <f t="shared" si="47"/>
        <v>130000</v>
      </c>
      <c r="J988" s="97" t="s">
        <v>1544</v>
      </c>
      <c r="K988" s="98"/>
      <c r="L988" s="98"/>
    </row>
    <row r="989">
      <c r="B989" s="95" t="s">
        <v>526</v>
      </c>
      <c r="C989" s="95" t="s">
        <v>1358</v>
      </c>
      <c r="D989" s="95" t="s">
        <v>88</v>
      </c>
      <c r="E989" s="95" t="s">
        <v>422</v>
      </c>
      <c r="F989" s="95" t="s">
        <v>685</v>
      </c>
      <c r="G989" s="9">
        <v>1750000.0</v>
      </c>
      <c r="H989" s="95" t="s">
        <v>530</v>
      </c>
      <c r="I989" s="13">
        <f t="shared" si="47"/>
        <v>175000</v>
      </c>
      <c r="J989" s="137" t="s">
        <v>1546</v>
      </c>
      <c r="K989" s="98"/>
      <c r="L989" s="98"/>
    </row>
    <row r="990">
      <c r="B990" s="95" t="s">
        <v>526</v>
      </c>
      <c r="C990" s="95" t="s">
        <v>1400</v>
      </c>
      <c r="D990" s="95" t="s">
        <v>140</v>
      </c>
      <c r="E990" s="95" t="s">
        <v>1547</v>
      </c>
      <c r="F990" s="95" t="s">
        <v>763</v>
      </c>
      <c r="G990" s="9">
        <v>225000.0</v>
      </c>
      <c r="H990" s="95" t="s">
        <v>530</v>
      </c>
      <c r="I990" s="13">
        <f t="shared" si="47"/>
        <v>22500</v>
      </c>
      <c r="J990" s="97" t="s">
        <v>1548</v>
      </c>
      <c r="K990" s="98"/>
      <c r="L990" s="98"/>
    </row>
    <row r="991">
      <c r="B991" s="95" t="s">
        <v>526</v>
      </c>
      <c r="C991" s="95" t="s">
        <v>910</v>
      </c>
      <c r="D991" s="95" t="s">
        <v>140</v>
      </c>
      <c r="E991" s="95" t="s">
        <v>194</v>
      </c>
      <c r="F991" s="95" t="s">
        <v>586</v>
      </c>
      <c r="G991" s="9">
        <v>1150000.0</v>
      </c>
      <c r="H991" s="95" t="s">
        <v>530</v>
      </c>
      <c r="I991" s="13">
        <f t="shared" si="47"/>
        <v>115000</v>
      </c>
      <c r="J991" s="97" t="s">
        <v>1371</v>
      </c>
      <c r="K991" s="97" t="s">
        <v>1372</v>
      </c>
      <c r="L991" s="98"/>
    </row>
    <row r="992">
      <c r="B992" s="95" t="s">
        <v>526</v>
      </c>
      <c r="C992" s="95" t="s">
        <v>1411</v>
      </c>
      <c r="D992" s="95" t="s">
        <v>140</v>
      </c>
      <c r="E992" s="95" t="s">
        <v>194</v>
      </c>
      <c r="F992" s="95" t="s">
        <v>586</v>
      </c>
      <c r="G992" s="9">
        <v>1150000.0</v>
      </c>
      <c r="H992" s="95" t="s">
        <v>530</v>
      </c>
      <c r="I992" s="13">
        <f t="shared" si="47"/>
        <v>115000</v>
      </c>
      <c r="J992" s="97" t="s">
        <v>1371</v>
      </c>
      <c r="K992" s="97" t="s">
        <v>1372</v>
      </c>
      <c r="L992" s="98"/>
    </row>
    <row r="993">
      <c r="B993" s="95" t="s">
        <v>526</v>
      </c>
      <c r="C993" s="95" t="s">
        <v>1364</v>
      </c>
      <c r="D993" s="95" t="s">
        <v>140</v>
      </c>
      <c r="E993" s="95" t="s">
        <v>194</v>
      </c>
      <c r="F993" s="95" t="s">
        <v>586</v>
      </c>
      <c r="G993" s="9">
        <v>1400000.0</v>
      </c>
      <c r="H993" s="95" t="s">
        <v>530</v>
      </c>
      <c r="I993" s="13">
        <f t="shared" si="47"/>
        <v>140000</v>
      </c>
      <c r="J993" s="97" t="s">
        <v>1372</v>
      </c>
      <c r="K993" s="97" t="s">
        <v>1371</v>
      </c>
      <c r="L993" s="98"/>
    </row>
    <row r="994">
      <c r="B994" s="95" t="s">
        <v>526</v>
      </c>
      <c r="C994" s="95" t="s">
        <v>1420</v>
      </c>
      <c r="D994" s="95" t="s">
        <v>140</v>
      </c>
      <c r="E994" s="95" t="s">
        <v>194</v>
      </c>
      <c r="F994" s="95" t="s">
        <v>586</v>
      </c>
      <c r="G994" s="9">
        <v>1150000.0</v>
      </c>
      <c r="H994" s="95" t="s">
        <v>530</v>
      </c>
      <c r="I994" s="13">
        <f t="shared" si="47"/>
        <v>115000</v>
      </c>
      <c r="J994" s="97" t="s">
        <v>1371</v>
      </c>
      <c r="K994" s="97" t="s">
        <v>1372</v>
      </c>
      <c r="L994" s="98"/>
    </row>
    <row r="995">
      <c r="B995" s="95" t="s">
        <v>526</v>
      </c>
      <c r="C995" s="95" t="s">
        <v>1364</v>
      </c>
      <c r="D995" s="95" t="s">
        <v>140</v>
      </c>
      <c r="E995" s="95" t="s">
        <v>194</v>
      </c>
      <c r="F995" s="95" t="s">
        <v>643</v>
      </c>
      <c r="G995" s="9">
        <v>1100000.0</v>
      </c>
      <c r="H995" s="95" t="s">
        <v>530</v>
      </c>
      <c r="I995" s="13">
        <f t="shared" si="47"/>
        <v>110000</v>
      </c>
      <c r="J995" s="97" t="s">
        <v>1371</v>
      </c>
      <c r="K995" s="98"/>
      <c r="L995" s="98"/>
    </row>
    <row r="996">
      <c r="B996" s="95" t="s">
        <v>526</v>
      </c>
      <c r="C996" s="95" t="s">
        <v>1549</v>
      </c>
      <c r="D996" s="95" t="s">
        <v>140</v>
      </c>
      <c r="E996" s="95" t="s">
        <v>194</v>
      </c>
      <c r="F996" s="95" t="s">
        <v>586</v>
      </c>
      <c r="G996" s="9">
        <v>870000.0</v>
      </c>
      <c r="H996" s="95" t="s">
        <v>530</v>
      </c>
      <c r="I996" s="13">
        <f t="shared" si="47"/>
        <v>87000</v>
      </c>
      <c r="J996" s="97" t="s">
        <v>1372</v>
      </c>
      <c r="K996" s="97" t="s">
        <v>1371</v>
      </c>
      <c r="L996" s="98"/>
    </row>
    <row r="997">
      <c r="B997" s="95" t="s">
        <v>526</v>
      </c>
      <c r="C997" s="95" t="s">
        <v>1550</v>
      </c>
      <c r="D997" s="95" t="s">
        <v>140</v>
      </c>
      <c r="E997" s="95" t="s">
        <v>194</v>
      </c>
      <c r="F997" s="95" t="s">
        <v>586</v>
      </c>
      <c r="G997" s="9">
        <v>690000.0</v>
      </c>
      <c r="H997" s="95" t="s">
        <v>530</v>
      </c>
      <c r="I997" s="13">
        <f t="shared" si="47"/>
        <v>69000</v>
      </c>
      <c r="J997" s="97" t="s">
        <v>1371</v>
      </c>
      <c r="K997" s="97" t="s">
        <v>1372</v>
      </c>
      <c r="L997" s="98"/>
    </row>
    <row r="998">
      <c r="B998" s="95" t="s">
        <v>526</v>
      </c>
      <c r="C998" s="95" t="s">
        <v>1551</v>
      </c>
      <c r="D998" s="95" t="s">
        <v>140</v>
      </c>
      <c r="E998" s="95" t="s">
        <v>194</v>
      </c>
      <c r="F998" s="95" t="s">
        <v>586</v>
      </c>
      <c r="G998" s="9">
        <v>460000.0</v>
      </c>
      <c r="H998" s="95" t="s">
        <v>530</v>
      </c>
      <c r="I998" s="13">
        <f t="shared" si="47"/>
        <v>46000</v>
      </c>
      <c r="J998" s="97" t="s">
        <v>1371</v>
      </c>
      <c r="K998" s="97" t="s">
        <v>1372</v>
      </c>
      <c r="L998" s="98"/>
    </row>
    <row r="999">
      <c r="B999" s="95" t="s">
        <v>526</v>
      </c>
      <c r="C999" s="95" t="s">
        <v>1552</v>
      </c>
      <c r="D999" s="95" t="s">
        <v>140</v>
      </c>
      <c r="E999" s="95" t="s">
        <v>194</v>
      </c>
      <c r="F999" s="95" t="s">
        <v>586</v>
      </c>
      <c r="G999" s="9">
        <v>460000.0</v>
      </c>
      <c r="H999" s="95" t="s">
        <v>530</v>
      </c>
      <c r="I999" s="13">
        <f t="shared" si="47"/>
        <v>46000</v>
      </c>
      <c r="J999" s="97" t="s">
        <v>1371</v>
      </c>
      <c r="K999" s="97" t="s">
        <v>1372</v>
      </c>
      <c r="L999" s="98"/>
    </row>
    <row r="1000">
      <c r="B1000" s="95" t="s">
        <v>641</v>
      </c>
      <c r="C1000" s="95" t="s">
        <v>1553</v>
      </c>
      <c r="D1000" s="95" t="s">
        <v>140</v>
      </c>
      <c r="E1000" s="95" t="s">
        <v>194</v>
      </c>
      <c r="F1000" s="95" t="s">
        <v>643</v>
      </c>
      <c r="G1000" s="9">
        <v>270000.0</v>
      </c>
      <c r="H1000" s="95" t="s">
        <v>530</v>
      </c>
      <c r="I1000" s="13">
        <f t="shared" si="47"/>
        <v>27000</v>
      </c>
      <c r="J1000" s="97" t="s">
        <v>1371</v>
      </c>
      <c r="K1000" s="98"/>
      <c r="L1000" s="98"/>
    </row>
    <row r="1001">
      <c r="B1001" s="95" t="s">
        <v>641</v>
      </c>
      <c r="C1001" s="95" t="s">
        <v>1554</v>
      </c>
      <c r="D1001" s="95" t="s">
        <v>140</v>
      </c>
      <c r="E1001" s="95" t="s">
        <v>194</v>
      </c>
      <c r="F1001" s="95" t="s">
        <v>586</v>
      </c>
      <c r="G1001" s="9">
        <v>270000.0</v>
      </c>
      <c r="H1001" s="95" t="s">
        <v>530</v>
      </c>
      <c r="I1001" s="13">
        <f t="shared" si="47"/>
        <v>27000</v>
      </c>
      <c r="J1001" s="97" t="s">
        <v>1371</v>
      </c>
      <c r="K1001" s="97" t="s">
        <v>1372</v>
      </c>
      <c r="L1001" s="98"/>
    </row>
    <row r="1002">
      <c r="B1002" s="95" t="s">
        <v>641</v>
      </c>
      <c r="C1002" s="95" t="s">
        <v>1554</v>
      </c>
      <c r="D1002" s="95" t="s">
        <v>88</v>
      </c>
      <c r="E1002" s="95" t="s">
        <v>422</v>
      </c>
      <c r="F1002" s="95" t="s">
        <v>650</v>
      </c>
      <c r="G1002" s="9">
        <v>300000.0</v>
      </c>
      <c r="H1002" s="95" t="s">
        <v>635</v>
      </c>
      <c r="I1002" s="13">
        <f>G1002/6</f>
        <v>50000</v>
      </c>
      <c r="J1002" s="97" t="s">
        <v>1555</v>
      </c>
      <c r="K1002" s="98"/>
      <c r="L1002" s="98"/>
    </row>
    <row r="1003">
      <c r="B1003" s="95" t="s">
        <v>641</v>
      </c>
      <c r="C1003" s="95" t="s">
        <v>1554</v>
      </c>
      <c r="D1003" s="95" t="s">
        <v>88</v>
      </c>
      <c r="E1003" s="95" t="s">
        <v>422</v>
      </c>
      <c r="F1003" s="95" t="s">
        <v>685</v>
      </c>
      <c r="G1003" s="9">
        <v>700000.0</v>
      </c>
      <c r="H1003" s="95" t="s">
        <v>530</v>
      </c>
      <c r="I1003" s="13">
        <f t="shared" ref="I1003:I1006" si="48">G1003/10</f>
        <v>70000</v>
      </c>
      <c r="J1003" s="97" t="s">
        <v>1555</v>
      </c>
      <c r="K1003" s="98"/>
      <c r="L1003" s="98"/>
    </row>
    <row r="1004">
      <c r="B1004" s="95" t="s">
        <v>526</v>
      </c>
      <c r="C1004" s="95" t="s">
        <v>1556</v>
      </c>
      <c r="D1004" s="95" t="s">
        <v>140</v>
      </c>
      <c r="E1004" s="95" t="s">
        <v>194</v>
      </c>
      <c r="F1004" s="95" t="s">
        <v>586</v>
      </c>
      <c r="G1004" s="9">
        <v>870000.0</v>
      </c>
      <c r="H1004" s="95" t="s">
        <v>530</v>
      </c>
      <c r="I1004" s="13">
        <f t="shared" si="48"/>
        <v>87000</v>
      </c>
      <c r="J1004" s="97" t="s">
        <v>1371</v>
      </c>
      <c r="K1004" s="97" t="s">
        <v>1372</v>
      </c>
      <c r="L1004" s="98"/>
    </row>
    <row r="1005">
      <c r="B1005" s="95" t="s">
        <v>526</v>
      </c>
      <c r="C1005" s="95" t="s">
        <v>1557</v>
      </c>
      <c r="D1005" s="95" t="s">
        <v>140</v>
      </c>
      <c r="E1005" s="95" t="s">
        <v>194</v>
      </c>
      <c r="F1005" s="95" t="s">
        <v>586</v>
      </c>
      <c r="G1005" s="9">
        <v>665000.0</v>
      </c>
      <c r="H1005" s="95" t="s">
        <v>530</v>
      </c>
      <c r="I1005" s="13">
        <f t="shared" si="48"/>
        <v>66500</v>
      </c>
      <c r="J1005" s="97" t="s">
        <v>1371</v>
      </c>
      <c r="K1005" s="97" t="s">
        <v>1372</v>
      </c>
      <c r="L1005" s="98"/>
    </row>
    <row r="1006">
      <c r="B1006" s="95" t="s">
        <v>526</v>
      </c>
      <c r="C1006" s="95" t="s">
        <v>1558</v>
      </c>
      <c r="D1006" s="95" t="s">
        <v>140</v>
      </c>
      <c r="E1006" s="95" t="s">
        <v>194</v>
      </c>
      <c r="F1006" s="95" t="s">
        <v>586</v>
      </c>
      <c r="G1006" s="9">
        <v>870000.0</v>
      </c>
      <c r="H1006" s="95" t="s">
        <v>530</v>
      </c>
      <c r="I1006" s="13">
        <f t="shared" si="48"/>
        <v>87000</v>
      </c>
      <c r="J1006" s="97" t="s">
        <v>1371</v>
      </c>
      <c r="K1006" s="97" t="s">
        <v>1372</v>
      </c>
      <c r="L1006" s="98"/>
    </row>
    <row r="1007">
      <c r="B1007" s="95" t="s">
        <v>526</v>
      </c>
      <c r="C1007" s="95" t="s">
        <v>1559</v>
      </c>
      <c r="D1007" s="95" t="s">
        <v>69</v>
      </c>
      <c r="E1007" s="95" t="s">
        <v>561</v>
      </c>
      <c r="F1007" s="95" t="s">
        <v>543</v>
      </c>
      <c r="G1007" s="9">
        <v>40000.0</v>
      </c>
      <c r="H1007" s="95" t="s">
        <v>610</v>
      </c>
      <c r="I1007" s="13">
        <f>G1007/9</f>
        <v>4444.444444</v>
      </c>
      <c r="J1007" s="98" t="s">
        <v>1064</v>
      </c>
      <c r="K1007" s="98"/>
      <c r="L1007" s="98"/>
    </row>
    <row r="1008">
      <c r="B1008" s="95" t="s">
        <v>526</v>
      </c>
      <c r="C1008" s="138" t="s">
        <v>1560</v>
      </c>
      <c r="D1008" s="139" t="s">
        <v>69</v>
      </c>
      <c r="E1008" s="139" t="s">
        <v>561</v>
      </c>
      <c r="F1008" s="139" t="s">
        <v>543</v>
      </c>
      <c r="G1008" s="140">
        <v>25000.0</v>
      </c>
      <c r="H1008" s="138" t="s">
        <v>745</v>
      </c>
      <c r="I1008" s="13">
        <f>G1008/5</f>
        <v>5000</v>
      </c>
      <c r="J1008" s="141" t="s">
        <v>1064</v>
      </c>
      <c r="K1008" s="142"/>
      <c r="L1008" s="98"/>
    </row>
    <row r="1009">
      <c r="B1009" s="95" t="s">
        <v>526</v>
      </c>
      <c r="C1009" s="138" t="s">
        <v>1561</v>
      </c>
      <c r="D1009" s="139" t="s">
        <v>69</v>
      </c>
      <c r="E1009" s="138" t="s">
        <v>772</v>
      </c>
      <c r="F1009" s="138" t="s">
        <v>543</v>
      </c>
      <c r="G1009" s="140">
        <v>40000.0</v>
      </c>
      <c r="H1009" s="138" t="s">
        <v>530</v>
      </c>
      <c r="I1009" s="13">
        <f t="shared" ref="I1009:I1014" si="49">G1009/10</f>
        <v>4000</v>
      </c>
      <c r="J1009" s="141" t="s">
        <v>1064</v>
      </c>
      <c r="K1009" s="142"/>
      <c r="L1009" s="98"/>
    </row>
    <row r="1010">
      <c r="B1010" s="95" t="s">
        <v>526</v>
      </c>
      <c r="C1010" s="95" t="s">
        <v>1562</v>
      </c>
      <c r="D1010" s="95" t="s">
        <v>69</v>
      </c>
      <c r="E1010" s="95" t="s">
        <v>561</v>
      </c>
      <c r="F1010" s="95" t="s">
        <v>543</v>
      </c>
      <c r="G1010" s="9">
        <v>30000.0</v>
      </c>
      <c r="H1010" s="95" t="s">
        <v>530</v>
      </c>
      <c r="I1010" s="13">
        <f t="shared" si="49"/>
        <v>3000</v>
      </c>
      <c r="J1010" s="98" t="s">
        <v>1064</v>
      </c>
      <c r="K1010" s="98"/>
      <c r="L1010" s="98"/>
    </row>
    <row r="1011">
      <c r="B1011" s="95" t="s">
        <v>641</v>
      </c>
      <c r="C1011" s="95" t="s">
        <v>1563</v>
      </c>
      <c r="D1011" s="95" t="s">
        <v>69</v>
      </c>
      <c r="E1011" s="95" t="s">
        <v>561</v>
      </c>
      <c r="F1011" s="95" t="s">
        <v>543</v>
      </c>
      <c r="G1011" s="9">
        <v>80000.0</v>
      </c>
      <c r="H1011" s="95" t="s">
        <v>530</v>
      </c>
      <c r="I1011" s="13">
        <f t="shared" si="49"/>
        <v>8000</v>
      </c>
      <c r="J1011" s="98" t="s">
        <v>1064</v>
      </c>
      <c r="K1011" s="98"/>
      <c r="L1011" s="98"/>
    </row>
    <row r="1012">
      <c r="B1012" s="95" t="s">
        <v>641</v>
      </c>
      <c r="C1012" s="95" t="s">
        <v>1564</v>
      </c>
      <c r="D1012" s="95" t="s">
        <v>69</v>
      </c>
      <c r="E1012" s="95" t="s">
        <v>561</v>
      </c>
      <c r="F1012" s="95" t="s">
        <v>763</v>
      </c>
      <c r="G1012" s="9">
        <v>50000.0</v>
      </c>
      <c r="H1012" s="95" t="s">
        <v>530</v>
      </c>
      <c r="I1012" s="13">
        <f t="shared" si="49"/>
        <v>5000</v>
      </c>
      <c r="J1012" s="98" t="s">
        <v>1064</v>
      </c>
      <c r="K1012" s="98"/>
      <c r="L1012" s="98"/>
    </row>
    <row r="1013">
      <c r="B1013" s="95" t="s">
        <v>526</v>
      </c>
      <c r="C1013" s="95" t="s">
        <v>1068</v>
      </c>
      <c r="D1013" s="95" t="s">
        <v>69</v>
      </c>
      <c r="E1013" s="95" t="s">
        <v>561</v>
      </c>
      <c r="F1013" s="95" t="s">
        <v>650</v>
      </c>
      <c r="G1013" s="9">
        <v>350000.0</v>
      </c>
      <c r="H1013" s="95" t="s">
        <v>530</v>
      </c>
      <c r="I1013" s="13">
        <f t="shared" si="49"/>
        <v>35000</v>
      </c>
      <c r="J1013" s="98" t="s">
        <v>1565</v>
      </c>
      <c r="K1013" s="98"/>
      <c r="L1013" s="98"/>
    </row>
    <row r="1014">
      <c r="B1014" s="95" t="s">
        <v>526</v>
      </c>
      <c r="C1014" s="95" t="s">
        <v>1566</v>
      </c>
      <c r="D1014" s="95" t="s">
        <v>69</v>
      </c>
      <c r="E1014" s="95" t="s">
        <v>561</v>
      </c>
      <c r="F1014" s="95" t="s">
        <v>643</v>
      </c>
      <c r="G1014" s="9">
        <v>60000.0</v>
      </c>
      <c r="H1014" s="95" t="s">
        <v>530</v>
      </c>
      <c r="I1014" s="13">
        <f t="shared" si="49"/>
        <v>6000</v>
      </c>
      <c r="J1014" s="98" t="s">
        <v>1064</v>
      </c>
      <c r="K1014" s="98"/>
      <c r="L1014" s="98"/>
    </row>
    <row r="1015">
      <c r="B1015" s="95" t="s">
        <v>526</v>
      </c>
      <c r="C1015" s="95" t="s">
        <v>1567</v>
      </c>
      <c r="D1015" s="95" t="s">
        <v>69</v>
      </c>
      <c r="E1015" s="95" t="s">
        <v>561</v>
      </c>
      <c r="F1015" s="95" t="s">
        <v>738</v>
      </c>
      <c r="G1015" s="9">
        <f>2*18000</f>
        <v>36000</v>
      </c>
      <c r="H1015" s="95" t="s">
        <v>677</v>
      </c>
      <c r="I1015" s="13">
        <f>G1015/2</f>
        <v>18000</v>
      </c>
      <c r="J1015" s="97" t="s">
        <v>1089</v>
      </c>
      <c r="K1015" s="98"/>
      <c r="L1015" s="98"/>
    </row>
    <row r="1016">
      <c r="B1016" s="95" t="s">
        <v>526</v>
      </c>
      <c r="C1016" s="95" t="s">
        <v>958</v>
      </c>
      <c r="D1016" s="95" t="s">
        <v>69</v>
      </c>
      <c r="E1016" s="95" t="s">
        <v>542</v>
      </c>
      <c r="F1016" s="95" t="s">
        <v>920</v>
      </c>
      <c r="G1016" s="9">
        <v>80000.0</v>
      </c>
      <c r="H1016" s="95" t="s">
        <v>530</v>
      </c>
      <c r="I1016" s="13">
        <f t="shared" ref="I1016:I1029" si="50">G1016/10</f>
        <v>8000</v>
      </c>
      <c r="J1016" s="97" t="s">
        <v>1568</v>
      </c>
      <c r="K1016" s="98"/>
      <c r="L1016" s="98"/>
    </row>
    <row r="1017">
      <c r="B1017" s="95" t="s">
        <v>526</v>
      </c>
      <c r="C1017" s="95" t="s">
        <v>1569</v>
      </c>
      <c r="D1017" s="95" t="s">
        <v>69</v>
      </c>
      <c r="E1017" s="95" t="s">
        <v>550</v>
      </c>
      <c r="F1017" s="95" t="s">
        <v>920</v>
      </c>
      <c r="G1017" s="9">
        <v>40000.0</v>
      </c>
      <c r="H1017" s="95" t="s">
        <v>530</v>
      </c>
      <c r="I1017" s="13">
        <f t="shared" si="50"/>
        <v>4000</v>
      </c>
      <c r="J1017" s="97" t="s">
        <v>1568</v>
      </c>
      <c r="K1017" s="98"/>
      <c r="L1017" s="98"/>
    </row>
    <row r="1018">
      <c r="B1018" s="95" t="s">
        <v>526</v>
      </c>
      <c r="C1018" s="95" t="s">
        <v>804</v>
      </c>
      <c r="D1018" s="95" t="s">
        <v>69</v>
      </c>
      <c r="E1018" s="95" t="s">
        <v>542</v>
      </c>
      <c r="F1018" s="95" t="s">
        <v>920</v>
      </c>
      <c r="G1018" s="9">
        <v>35000.0</v>
      </c>
      <c r="H1018" s="95" t="s">
        <v>530</v>
      </c>
      <c r="I1018" s="13">
        <f t="shared" si="50"/>
        <v>3500</v>
      </c>
      <c r="J1018" s="97" t="s">
        <v>1568</v>
      </c>
      <c r="K1018" s="98"/>
      <c r="L1018" s="98"/>
    </row>
    <row r="1019">
      <c r="B1019" s="95" t="s">
        <v>526</v>
      </c>
      <c r="C1019" s="95" t="s">
        <v>1570</v>
      </c>
      <c r="D1019" s="95" t="s">
        <v>69</v>
      </c>
      <c r="E1019" s="95" t="s">
        <v>1073</v>
      </c>
      <c r="F1019" s="95" t="s">
        <v>920</v>
      </c>
      <c r="G1019" s="9">
        <v>25000.0</v>
      </c>
      <c r="H1019" s="95" t="s">
        <v>530</v>
      </c>
      <c r="I1019" s="13">
        <f t="shared" si="50"/>
        <v>2500</v>
      </c>
      <c r="J1019" s="97" t="s">
        <v>1568</v>
      </c>
      <c r="K1019" s="98"/>
      <c r="L1019" s="98"/>
    </row>
    <row r="1020">
      <c r="B1020" s="95" t="s">
        <v>526</v>
      </c>
      <c r="C1020" s="95" t="s">
        <v>939</v>
      </c>
      <c r="D1020" s="95" t="s">
        <v>195</v>
      </c>
      <c r="E1020" s="95" t="s">
        <v>402</v>
      </c>
      <c r="F1020" s="95" t="s">
        <v>562</v>
      </c>
      <c r="G1020" s="9">
        <v>500000.0</v>
      </c>
      <c r="H1020" s="95" t="s">
        <v>530</v>
      </c>
      <c r="I1020" s="13">
        <f t="shared" si="50"/>
        <v>50000</v>
      </c>
      <c r="J1020" s="97" t="s">
        <v>1571</v>
      </c>
      <c r="K1020" s="97" t="s">
        <v>1572</v>
      </c>
      <c r="L1020" s="98"/>
    </row>
    <row r="1021">
      <c r="B1021" s="95" t="s">
        <v>526</v>
      </c>
      <c r="C1021" s="95" t="s">
        <v>724</v>
      </c>
      <c r="D1021" s="95" t="s">
        <v>69</v>
      </c>
      <c r="E1021" s="95" t="s">
        <v>555</v>
      </c>
      <c r="F1021" s="95" t="s">
        <v>738</v>
      </c>
      <c r="G1021" s="9">
        <v>600000.0</v>
      </c>
      <c r="H1021" s="95" t="s">
        <v>530</v>
      </c>
      <c r="I1021" s="13">
        <f t="shared" si="50"/>
        <v>60000</v>
      </c>
      <c r="J1021" s="97" t="s">
        <v>1573</v>
      </c>
      <c r="K1021" s="98"/>
      <c r="L1021" s="98"/>
    </row>
    <row r="1022">
      <c r="B1022" s="95" t="s">
        <v>526</v>
      </c>
      <c r="C1022" s="95" t="s">
        <v>748</v>
      </c>
      <c r="D1022" s="95" t="s">
        <v>114</v>
      </c>
      <c r="E1022" s="95" t="s">
        <v>389</v>
      </c>
      <c r="F1022" s="95" t="s">
        <v>738</v>
      </c>
      <c r="G1022" s="9">
        <v>225000.0</v>
      </c>
      <c r="H1022" s="95" t="s">
        <v>530</v>
      </c>
      <c r="I1022" s="13">
        <f t="shared" si="50"/>
        <v>22500</v>
      </c>
      <c r="J1022" s="97" t="s">
        <v>1573</v>
      </c>
      <c r="K1022" s="98"/>
      <c r="L1022" s="98"/>
    </row>
    <row r="1023">
      <c r="B1023" s="95" t="s">
        <v>526</v>
      </c>
      <c r="C1023" s="95" t="s">
        <v>1373</v>
      </c>
      <c r="D1023" s="95" t="s">
        <v>140</v>
      </c>
      <c r="E1023" s="95" t="s">
        <v>203</v>
      </c>
      <c r="F1023" s="95" t="s">
        <v>738</v>
      </c>
      <c r="G1023" s="9">
        <v>550000.0</v>
      </c>
      <c r="H1023" s="95" t="s">
        <v>530</v>
      </c>
      <c r="I1023" s="13">
        <f t="shared" si="50"/>
        <v>55000</v>
      </c>
      <c r="J1023" s="97" t="s">
        <v>1573</v>
      </c>
      <c r="K1023" s="98"/>
      <c r="L1023" s="98"/>
    </row>
    <row r="1024">
      <c r="B1024" s="95" t="s">
        <v>526</v>
      </c>
      <c r="C1024" s="95" t="s">
        <v>1195</v>
      </c>
      <c r="D1024" s="95" t="s">
        <v>195</v>
      </c>
      <c r="E1024" s="95" t="s">
        <v>432</v>
      </c>
      <c r="F1024" s="95" t="s">
        <v>586</v>
      </c>
      <c r="G1024" s="9">
        <f>0.92*1500000</f>
        <v>1380000</v>
      </c>
      <c r="H1024" s="95" t="s">
        <v>530</v>
      </c>
      <c r="I1024" s="13">
        <f t="shared" si="50"/>
        <v>138000</v>
      </c>
      <c r="J1024" s="97" t="s">
        <v>1172</v>
      </c>
      <c r="K1024" s="97" t="s">
        <v>1574</v>
      </c>
      <c r="L1024" s="98"/>
    </row>
    <row r="1025">
      <c r="B1025" s="95" t="s">
        <v>526</v>
      </c>
      <c r="C1025" s="95" t="s">
        <v>1195</v>
      </c>
      <c r="D1025" s="95" t="s">
        <v>174</v>
      </c>
      <c r="E1025" s="95" t="s">
        <v>419</v>
      </c>
      <c r="F1025" s="95" t="s">
        <v>738</v>
      </c>
      <c r="G1025" s="9">
        <f>500000*0.87</f>
        <v>435000</v>
      </c>
      <c r="H1025" s="95" t="s">
        <v>530</v>
      </c>
      <c r="I1025" s="13">
        <f t="shared" si="50"/>
        <v>43500</v>
      </c>
      <c r="J1025" s="97" t="s">
        <v>1573</v>
      </c>
      <c r="K1025" s="98"/>
      <c r="L1025" s="98"/>
    </row>
    <row r="1026">
      <c r="B1026" s="95" t="s">
        <v>526</v>
      </c>
      <c r="C1026" s="95" t="s">
        <v>606</v>
      </c>
      <c r="D1026" s="95" t="s">
        <v>88</v>
      </c>
      <c r="E1026" s="95" t="s">
        <v>422</v>
      </c>
      <c r="F1026" s="95" t="s">
        <v>738</v>
      </c>
      <c r="G1026" s="9">
        <v>500000.0</v>
      </c>
      <c r="H1026" s="95" t="s">
        <v>530</v>
      </c>
      <c r="I1026" s="13">
        <f t="shared" si="50"/>
        <v>50000</v>
      </c>
      <c r="J1026" s="97" t="s">
        <v>1573</v>
      </c>
      <c r="K1026" s="98"/>
      <c r="L1026" s="98"/>
    </row>
    <row r="1027">
      <c r="B1027" s="95" t="s">
        <v>526</v>
      </c>
      <c r="C1027" s="95" t="s">
        <v>1266</v>
      </c>
      <c r="D1027" s="95" t="s">
        <v>140</v>
      </c>
      <c r="E1027" s="95" t="s">
        <v>178</v>
      </c>
      <c r="F1027" s="95" t="s">
        <v>738</v>
      </c>
      <c r="G1027" s="9">
        <v>725000.0</v>
      </c>
      <c r="H1027" s="95" t="s">
        <v>530</v>
      </c>
      <c r="I1027" s="13">
        <f t="shared" si="50"/>
        <v>72500</v>
      </c>
      <c r="J1027" s="97" t="s">
        <v>1573</v>
      </c>
      <c r="K1027" s="98"/>
      <c r="L1027" s="98"/>
    </row>
    <row r="1028">
      <c r="B1028" s="95" t="s">
        <v>526</v>
      </c>
      <c r="C1028" s="95" t="s">
        <v>1266</v>
      </c>
      <c r="D1028" s="95" t="s">
        <v>140</v>
      </c>
      <c r="E1028" s="95" t="s">
        <v>178</v>
      </c>
      <c r="F1028" s="95" t="s">
        <v>643</v>
      </c>
      <c r="G1028" s="9">
        <f>1300000*0.9</f>
        <v>1170000</v>
      </c>
      <c r="H1028" s="95" t="s">
        <v>530</v>
      </c>
      <c r="I1028" s="13">
        <f t="shared" si="50"/>
        <v>117000</v>
      </c>
      <c r="J1028" s="97" t="s">
        <v>1575</v>
      </c>
      <c r="K1028" s="98"/>
      <c r="L1028" s="98"/>
    </row>
    <row r="1029">
      <c r="B1029" s="95" t="s">
        <v>526</v>
      </c>
      <c r="C1029" s="95" t="s">
        <v>1576</v>
      </c>
      <c r="D1029" s="95" t="s">
        <v>13</v>
      </c>
      <c r="E1029" s="95" t="s">
        <v>30</v>
      </c>
      <c r="F1029" s="95" t="s">
        <v>738</v>
      </c>
      <c r="G1029" s="9">
        <v>200000.0</v>
      </c>
      <c r="H1029" s="95" t="s">
        <v>530</v>
      </c>
      <c r="I1029" s="13">
        <f t="shared" si="50"/>
        <v>20000</v>
      </c>
      <c r="J1029" s="97" t="s">
        <v>1573</v>
      </c>
      <c r="K1029" s="98"/>
      <c r="L1029" s="98"/>
    </row>
    <row r="1030">
      <c r="B1030" s="95" t="s">
        <v>526</v>
      </c>
      <c r="C1030" s="95" t="s">
        <v>1386</v>
      </c>
      <c r="D1030" s="95" t="s">
        <v>88</v>
      </c>
      <c r="E1030" s="95" t="s">
        <v>425</v>
      </c>
      <c r="F1030" s="95" t="s">
        <v>738</v>
      </c>
      <c r="G1030" s="9">
        <f>8*80000</f>
        <v>640000</v>
      </c>
      <c r="H1030" s="95" t="s">
        <v>1155</v>
      </c>
      <c r="I1030" s="13">
        <f>G1030/8</f>
        <v>80000</v>
      </c>
      <c r="J1030" s="97" t="s">
        <v>1573</v>
      </c>
      <c r="K1030" s="98"/>
      <c r="L1030" s="98"/>
    </row>
    <row r="1031">
      <c r="B1031" s="95" t="s">
        <v>526</v>
      </c>
      <c r="C1031" s="95" t="s">
        <v>1387</v>
      </c>
      <c r="D1031" s="95" t="s">
        <v>88</v>
      </c>
      <c r="E1031" s="95" t="s">
        <v>425</v>
      </c>
      <c r="F1031" s="95" t="s">
        <v>738</v>
      </c>
      <c r="G1031" s="9">
        <v>250000.0</v>
      </c>
      <c r="H1031" s="95" t="s">
        <v>530</v>
      </c>
      <c r="I1031" s="13">
        <f t="shared" ref="I1031:I1096" si="51">G1031/10</f>
        <v>25000</v>
      </c>
      <c r="J1031" s="97" t="s">
        <v>1573</v>
      </c>
      <c r="K1031" s="98"/>
      <c r="L1031" s="98"/>
    </row>
    <row r="1032">
      <c r="B1032" s="95" t="s">
        <v>526</v>
      </c>
      <c r="C1032" s="95" t="s">
        <v>1266</v>
      </c>
      <c r="D1032" s="95" t="s">
        <v>13</v>
      </c>
      <c r="E1032" s="95" t="s">
        <v>30</v>
      </c>
      <c r="F1032" s="95" t="s">
        <v>763</v>
      </c>
      <c r="G1032" s="9">
        <v>230000.0</v>
      </c>
      <c r="H1032" s="95" t="s">
        <v>530</v>
      </c>
      <c r="I1032" s="13">
        <f t="shared" si="51"/>
        <v>23000</v>
      </c>
      <c r="J1032" s="97" t="s">
        <v>1548</v>
      </c>
      <c r="K1032" s="98"/>
      <c r="L1032" s="98"/>
    </row>
    <row r="1033">
      <c r="B1033" s="95" t="s">
        <v>526</v>
      </c>
      <c r="C1033" s="95" t="s">
        <v>1577</v>
      </c>
      <c r="D1033" s="95" t="s">
        <v>222</v>
      </c>
      <c r="E1033" s="95" t="s">
        <v>1019</v>
      </c>
      <c r="F1033" s="95" t="s">
        <v>763</v>
      </c>
      <c r="G1033" s="9">
        <v>275000.0</v>
      </c>
      <c r="H1033" s="95" t="s">
        <v>530</v>
      </c>
      <c r="I1033" s="13">
        <f t="shared" si="51"/>
        <v>27500</v>
      </c>
      <c r="J1033" s="97" t="s">
        <v>1548</v>
      </c>
      <c r="K1033" s="98"/>
      <c r="L1033" s="98"/>
    </row>
    <row r="1034">
      <c r="B1034" s="95" t="s">
        <v>526</v>
      </c>
      <c r="C1034" s="95" t="s">
        <v>1578</v>
      </c>
      <c r="D1034" s="95" t="s">
        <v>13</v>
      </c>
      <c r="E1034" s="95" t="s">
        <v>30</v>
      </c>
      <c r="F1034" s="95" t="s">
        <v>763</v>
      </c>
      <c r="G1034" s="9">
        <v>250000.0</v>
      </c>
      <c r="H1034" s="95" t="s">
        <v>530</v>
      </c>
      <c r="I1034" s="13">
        <f t="shared" si="51"/>
        <v>25000</v>
      </c>
      <c r="J1034" s="97" t="s">
        <v>1548</v>
      </c>
      <c r="K1034" s="98"/>
      <c r="L1034" s="98"/>
    </row>
    <row r="1035">
      <c r="B1035" s="95" t="s">
        <v>526</v>
      </c>
      <c r="C1035" s="95" t="s">
        <v>1246</v>
      </c>
      <c r="D1035" s="95" t="s">
        <v>826</v>
      </c>
      <c r="E1035" s="95" t="s">
        <v>834</v>
      </c>
      <c r="F1035" s="95" t="s">
        <v>763</v>
      </c>
      <c r="G1035" s="9">
        <v>400000.0</v>
      </c>
      <c r="H1035" s="95" t="s">
        <v>530</v>
      </c>
      <c r="I1035" s="13">
        <f t="shared" si="51"/>
        <v>40000</v>
      </c>
      <c r="J1035" s="97" t="s">
        <v>1548</v>
      </c>
      <c r="K1035" s="98"/>
      <c r="L1035" s="98"/>
    </row>
    <row r="1036">
      <c r="B1036" s="95" t="s">
        <v>526</v>
      </c>
      <c r="C1036" s="95" t="s">
        <v>1579</v>
      </c>
      <c r="D1036" s="95" t="s">
        <v>826</v>
      </c>
      <c r="E1036" s="95" t="s">
        <v>950</v>
      </c>
      <c r="F1036" s="95" t="s">
        <v>763</v>
      </c>
      <c r="G1036" s="9">
        <v>500000.0</v>
      </c>
      <c r="H1036" s="95" t="s">
        <v>530</v>
      </c>
      <c r="I1036" s="13">
        <f t="shared" si="51"/>
        <v>50000</v>
      </c>
      <c r="J1036" s="97" t="s">
        <v>1548</v>
      </c>
      <c r="K1036" s="98"/>
      <c r="L1036" s="98"/>
    </row>
    <row r="1037">
      <c r="B1037" s="95" t="s">
        <v>526</v>
      </c>
      <c r="C1037" s="95" t="s">
        <v>1580</v>
      </c>
      <c r="D1037" s="95" t="s">
        <v>195</v>
      </c>
      <c r="E1037" s="95" t="s">
        <v>432</v>
      </c>
      <c r="F1037" s="95" t="s">
        <v>537</v>
      </c>
      <c r="G1037" s="9">
        <v>400000.0</v>
      </c>
      <c r="H1037" s="95" t="s">
        <v>530</v>
      </c>
      <c r="I1037" s="13">
        <f t="shared" si="51"/>
        <v>40000</v>
      </c>
      <c r="J1037" s="97" t="s">
        <v>1038</v>
      </c>
      <c r="K1037" s="98"/>
      <c r="L1037" s="98"/>
    </row>
    <row r="1038">
      <c r="B1038" s="95" t="s">
        <v>526</v>
      </c>
      <c r="C1038" s="95" t="s">
        <v>1412</v>
      </c>
      <c r="D1038" s="95" t="s">
        <v>140</v>
      </c>
      <c r="E1038" s="95" t="s">
        <v>203</v>
      </c>
      <c r="F1038" s="95" t="s">
        <v>537</v>
      </c>
      <c r="G1038" s="9">
        <v>450000.0</v>
      </c>
      <c r="H1038" s="95" t="s">
        <v>530</v>
      </c>
      <c r="I1038" s="13">
        <f t="shared" si="51"/>
        <v>45000</v>
      </c>
      <c r="J1038" s="97" t="s">
        <v>1038</v>
      </c>
      <c r="K1038" s="98"/>
      <c r="L1038" s="98"/>
    </row>
    <row r="1039">
      <c r="B1039" s="95" t="s">
        <v>526</v>
      </c>
      <c r="C1039" s="95" t="s">
        <v>1085</v>
      </c>
      <c r="D1039" s="95" t="s">
        <v>71</v>
      </c>
      <c r="E1039" s="95" t="s">
        <v>1027</v>
      </c>
      <c r="F1039" s="95" t="s">
        <v>543</v>
      </c>
      <c r="G1039" s="9">
        <v>300000.0</v>
      </c>
      <c r="H1039" s="95" t="s">
        <v>530</v>
      </c>
      <c r="I1039" s="13">
        <f t="shared" si="51"/>
        <v>30000</v>
      </c>
      <c r="J1039" s="97" t="s">
        <v>764</v>
      </c>
      <c r="K1039" s="98"/>
      <c r="L1039" s="98"/>
    </row>
    <row r="1040">
      <c r="B1040" s="95" t="s">
        <v>526</v>
      </c>
      <c r="C1040" s="95" t="s">
        <v>693</v>
      </c>
      <c r="D1040" s="95" t="s">
        <v>114</v>
      </c>
      <c r="E1040" s="95" t="s">
        <v>389</v>
      </c>
      <c r="F1040" s="95" t="s">
        <v>537</v>
      </c>
      <c r="G1040" s="9">
        <v>800000.0</v>
      </c>
      <c r="H1040" s="95" t="s">
        <v>530</v>
      </c>
      <c r="I1040" s="13">
        <f t="shared" si="51"/>
        <v>80000</v>
      </c>
      <c r="J1040" s="97" t="s">
        <v>1038</v>
      </c>
      <c r="K1040" s="98"/>
      <c r="L1040" s="98"/>
    </row>
    <row r="1041">
      <c r="B1041" s="95" t="s">
        <v>526</v>
      </c>
      <c r="C1041" s="95" t="s">
        <v>1030</v>
      </c>
      <c r="D1041" s="95" t="s">
        <v>195</v>
      </c>
      <c r="E1041" s="95" t="s">
        <v>434</v>
      </c>
      <c r="F1041" s="95" t="s">
        <v>537</v>
      </c>
      <c r="G1041" s="9">
        <v>600000.0</v>
      </c>
      <c r="H1041" s="95" t="s">
        <v>530</v>
      </c>
      <c r="I1041" s="13">
        <f t="shared" si="51"/>
        <v>60000</v>
      </c>
      <c r="J1041" s="97" t="s">
        <v>1038</v>
      </c>
      <c r="K1041" s="97" t="s">
        <v>1581</v>
      </c>
      <c r="L1041" s="98"/>
    </row>
    <row r="1042">
      <c r="B1042" s="95" t="s">
        <v>526</v>
      </c>
      <c r="C1042" s="95" t="s">
        <v>1582</v>
      </c>
      <c r="D1042" s="95" t="s">
        <v>85</v>
      </c>
      <c r="E1042" s="95" t="s">
        <v>361</v>
      </c>
      <c r="F1042" s="95" t="s">
        <v>537</v>
      </c>
      <c r="G1042" s="9">
        <v>200000.0</v>
      </c>
      <c r="H1042" s="95" t="s">
        <v>530</v>
      </c>
      <c r="I1042" s="13">
        <f t="shared" si="51"/>
        <v>20000</v>
      </c>
      <c r="J1042" s="97" t="s">
        <v>1038</v>
      </c>
      <c r="K1042" s="98"/>
      <c r="L1042" s="98"/>
    </row>
    <row r="1043">
      <c r="B1043" s="95" t="s">
        <v>526</v>
      </c>
      <c r="C1043" s="95" t="s">
        <v>1268</v>
      </c>
      <c r="D1043" s="95" t="s">
        <v>71</v>
      </c>
      <c r="E1043" s="5" t="s">
        <v>1583</v>
      </c>
      <c r="F1043" s="95" t="s">
        <v>543</v>
      </c>
      <c r="G1043" s="9">
        <v>31500.0</v>
      </c>
      <c r="H1043" s="95" t="s">
        <v>530</v>
      </c>
      <c r="I1043" s="13">
        <f t="shared" si="51"/>
        <v>3150</v>
      </c>
      <c r="J1043" s="98" t="s">
        <v>1344</v>
      </c>
      <c r="K1043" s="97" t="s">
        <v>1345</v>
      </c>
      <c r="L1043" s="98"/>
    </row>
    <row r="1044">
      <c r="B1044" s="95" t="s">
        <v>526</v>
      </c>
      <c r="C1044" s="95" t="s">
        <v>663</v>
      </c>
      <c r="D1044" s="95" t="s">
        <v>71</v>
      </c>
      <c r="E1044" s="5" t="s">
        <v>117</v>
      </c>
      <c r="F1044" s="95" t="s">
        <v>543</v>
      </c>
      <c r="G1044" s="9">
        <v>40000.0</v>
      </c>
      <c r="H1044" s="95" t="s">
        <v>530</v>
      </c>
      <c r="I1044" s="13">
        <f t="shared" si="51"/>
        <v>4000</v>
      </c>
      <c r="J1044" s="97" t="s">
        <v>1584</v>
      </c>
      <c r="K1044" s="98" t="s">
        <v>1585</v>
      </c>
      <c r="L1044" s="98"/>
    </row>
    <row r="1045">
      <c r="B1045" s="95" t="s">
        <v>526</v>
      </c>
      <c r="C1045" s="95" t="s">
        <v>1522</v>
      </c>
      <c r="D1045" s="95" t="s">
        <v>140</v>
      </c>
      <c r="E1045" s="95" t="s">
        <v>1586</v>
      </c>
      <c r="F1045" s="95" t="s">
        <v>738</v>
      </c>
      <c r="G1045" s="9">
        <v>28000.0</v>
      </c>
      <c r="H1045" s="95" t="s">
        <v>530</v>
      </c>
      <c r="I1045" s="13">
        <f t="shared" si="51"/>
        <v>2800</v>
      </c>
      <c r="J1045" s="97" t="s">
        <v>1587</v>
      </c>
      <c r="K1045" s="98"/>
      <c r="L1045" s="98"/>
    </row>
    <row r="1046">
      <c r="B1046" s="95" t="s">
        <v>526</v>
      </c>
      <c r="C1046" s="95" t="s">
        <v>1588</v>
      </c>
      <c r="D1046" s="95" t="s">
        <v>114</v>
      </c>
      <c r="E1046" s="95" t="s">
        <v>380</v>
      </c>
      <c r="F1046" s="95" t="s">
        <v>685</v>
      </c>
      <c r="G1046" s="9">
        <v>880000.0</v>
      </c>
      <c r="H1046" s="95" t="s">
        <v>530</v>
      </c>
      <c r="I1046" s="13">
        <f t="shared" si="51"/>
        <v>88000</v>
      </c>
      <c r="J1046" s="97" t="s">
        <v>1589</v>
      </c>
      <c r="K1046" s="98" t="s">
        <v>1590</v>
      </c>
      <c r="L1046" s="98"/>
    </row>
    <row r="1047">
      <c r="B1047" s="95" t="s">
        <v>526</v>
      </c>
      <c r="C1047" s="95" t="s">
        <v>832</v>
      </c>
      <c r="D1047" s="95" t="s">
        <v>114</v>
      </c>
      <c r="E1047" s="95" t="s">
        <v>370</v>
      </c>
      <c r="F1047" s="95" t="s">
        <v>643</v>
      </c>
      <c r="G1047" s="9">
        <v>350000.0</v>
      </c>
      <c r="H1047" s="95" t="s">
        <v>530</v>
      </c>
      <c r="I1047" s="13">
        <f t="shared" si="51"/>
        <v>35000</v>
      </c>
      <c r="J1047" s="97" t="s">
        <v>1511</v>
      </c>
      <c r="K1047" s="98"/>
      <c r="L1047" s="98"/>
    </row>
    <row r="1048">
      <c r="B1048" s="95" t="s">
        <v>526</v>
      </c>
      <c r="C1048" s="95" t="s">
        <v>1378</v>
      </c>
      <c r="D1048" s="95" t="s">
        <v>114</v>
      </c>
      <c r="E1048" s="95" t="s">
        <v>1591</v>
      </c>
      <c r="F1048" s="95" t="s">
        <v>920</v>
      </c>
      <c r="G1048" s="9">
        <v>30000.0</v>
      </c>
      <c r="H1048" s="95" t="s">
        <v>530</v>
      </c>
      <c r="I1048" s="13">
        <f t="shared" si="51"/>
        <v>3000</v>
      </c>
      <c r="J1048" s="97" t="s">
        <v>1592</v>
      </c>
      <c r="K1048" s="98"/>
      <c r="L1048" s="98"/>
    </row>
    <row r="1049">
      <c r="B1049" s="95" t="s">
        <v>526</v>
      </c>
      <c r="C1049" s="95" t="s">
        <v>1593</v>
      </c>
      <c r="D1049" s="95" t="s">
        <v>114</v>
      </c>
      <c r="E1049" s="95" t="s">
        <v>389</v>
      </c>
      <c r="F1049" s="135">
        <v>46275.0</v>
      </c>
      <c r="G1049" s="9">
        <v>4500000.0</v>
      </c>
      <c r="H1049" s="95" t="s">
        <v>530</v>
      </c>
      <c r="I1049" s="13">
        <f t="shared" si="51"/>
        <v>450000</v>
      </c>
      <c r="J1049" s="97" t="s">
        <v>1594</v>
      </c>
      <c r="K1049" s="98"/>
      <c r="L1049" s="98"/>
    </row>
    <row r="1050">
      <c r="B1050" s="95" t="s">
        <v>526</v>
      </c>
      <c r="C1050" s="95" t="s">
        <v>1595</v>
      </c>
      <c r="D1050" s="95" t="s">
        <v>114</v>
      </c>
      <c r="E1050" s="95" t="s">
        <v>389</v>
      </c>
      <c r="F1050" s="135">
        <v>46275.0</v>
      </c>
      <c r="G1050" s="9">
        <v>3200000.0</v>
      </c>
      <c r="H1050" s="95" t="s">
        <v>530</v>
      </c>
      <c r="I1050" s="13">
        <f t="shared" si="51"/>
        <v>320000</v>
      </c>
      <c r="J1050" s="97" t="s">
        <v>1594</v>
      </c>
      <c r="K1050" s="98"/>
      <c r="L1050" s="98"/>
    </row>
    <row r="1051">
      <c r="B1051" s="95" t="s">
        <v>526</v>
      </c>
      <c r="C1051" s="95" t="s">
        <v>1596</v>
      </c>
      <c r="D1051" s="95" t="s">
        <v>114</v>
      </c>
      <c r="E1051" s="95" t="s">
        <v>389</v>
      </c>
      <c r="F1051" s="135">
        <v>46275.0</v>
      </c>
      <c r="G1051" s="9">
        <v>2500000.0</v>
      </c>
      <c r="H1051" s="95" t="s">
        <v>530</v>
      </c>
      <c r="I1051" s="13">
        <f t="shared" si="51"/>
        <v>250000</v>
      </c>
      <c r="J1051" s="97" t="s">
        <v>1594</v>
      </c>
      <c r="K1051" s="98"/>
      <c r="L1051" s="98"/>
    </row>
    <row r="1052">
      <c r="B1052" s="95" t="s">
        <v>641</v>
      </c>
      <c r="C1052" s="95" t="s">
        <v>806</v>
      </c>
      <c r="D1052" s="95" t="s">
        <v>71</v>
      </c>
      <c r="E1052" s="95" t="s">
        <v>798</v>
      </c>
      <c r="F1052" s="95" t="s">
        <v>543</v>
      </c>
      <c r="G1052" s="9">
        <v>700000.0</v>
      </c>
      <c r="H1052" s="95" t="s">
        <v>530</v>
      </c>
      <c r="I1052" s="13">
        <f t="shared" si="51"/>
        <v>70000</v>
      </c>
      <c r="J1052" s="97" t="s">
        <v>1597</v>
      </c>
      <c r="K1052" s="98"/>
      <c r="L1052" s="98"/>
    </row>
    <row r="1053">
      <c r="B1053" s="95" t="s">
        <v>526</v>
      </c>
      <c r="C1053" s="95" t="s">
        <v>1428</v>
      </c>
      <c r="D1053" s="95" t="s">
        <v>222</v>
      </c>
      <c r="E1053" s="95" t="s">
        <v>1366</v>
      </c>
      <c r="F1053" s="135" t="s">
        <v>586</v>
      </c>
      <c r="G1053" s="9">
        <v>1500000.0</v>
      </c>
      <c r="H1053" s="95" t="s">
        <v>530</v>
      </c>
      <c r="I1053" s="13">
        <f t="shared" si="51"/>
        <v>150000</v>
      </c>
      <c r="J1053" s="143" t="s">
        <v>1598</v>
      </c>
      <c r="K1053" s="97" t="s">
        <v>1599</v>
      </c>
      <c r="L1053" s="98"/>
    </row>
    <row r="1054">
      <c r="B1054" s="95" t="s">
        <v>526</v>
      </c>
      <c r="C1054" s="95" t="s">
        <v>1600</v>
      </c>
      <c r="D1054" s="95" t="s">
        <v>222</v>
      </c>
      <c r="E1054" s="95" t="s">
        <v>1601</v>
      </c>
      <c r="F1054" s="95" t="s">
        <v>650</v>
      </c>
      <c r="G1054" s="9">
        <v>375000.0</v>
      </c>
      <c r="H1054" s="95" t="s">
        <v>530</v>
      </c>
      <c r="I1054" s="13">
        <f t="shared" si="51"/>
        <v>37500</v>
      </c>
      <c r="J1054" s="143" t="s">
        <v>1602</v>
      </c>
      <c r="K1054" s="98"/>
      <c r="L1054" s="98"/>
    </row>
    <row r="1055">
      <c r="B1055" s="95" t="s">
        <v>526</v>
      </c>
      <c r="C1055" s="95" t="s">
        <v>1603</v>
      </c>
      <c r="D1055" s="95" t="s">
        <v>222</v>
      </c>
      <c r="E1055" s="5" t="s">
        <v>313</v>
      </c>
      <c r="F1055" s="95" t="s">
        <v>738</v>
      </c>
      <c r="G1055" s="9">
        <f>70000</f>
        <v>70000</v>
      </c>
      <c r="H1055" s="95" t="s">
        <v>530</v>
      </c>
      <c r="I1055" s="13">
        <f t="shared" si="51"/>
        <v>7000</v>
      </c>
      <c r="J1055" s="98" t="s">
        <v>1604</v>
      </c>
      <c r="K1055" s="97" t="s">
        <v>1605</v>
      </c>
      <c r="L1055" s="98"/>
    </row>
    <row r="1056">
      <c r="B1056" s="95" t="s">
        <v>526</v>
      </c>
      <c r="C1056" s="95" t="s">
        <v>1606</v>
      </c>
      <c r="D1056" s="95" t="s">
        <v>222</v>
      </c>
      <c r="E1056" s="95" t="s">
        <v>1366</v>
      </c>
      <c r="F1056" s="135" t="s">
        <v>586</v>
      </c>
      <c r="G1056" s="9">
        <v>1000000.0</v>
      </c>
      <c r="H1056" s="95" t="s">
        <v>530</v>
      </c>
      <c r="I1056" s="13">
        <f t="shared" si="51"/>
        <v>100000</v>
      </c>
      <c r="J1056" s="143" t="s">
        <v>1598</v>
      </c>
      <c r="K1056" s="98"/>
      <c r="L1056" s="98"/>
    </row>
    <row r="1057">
      <c r="B1057" s="95" t="s">
        <v>526</v>
      </c>
      <c r="C1057" s="95" t="s">
        <v>1607</v>
      </c>
      <c r="D1057" s="95" t="s">
        <v>222</v>
      </c>
      <c r="E1057" s="95" t="s">
        <v>1019</v>
      </c>
      <c r="F1057" s="95" t="s">
        <v>643</v>
      </c>
      <c r="G1057" s="9">
        <v>850000.0</v>
      </c>
      <c r="H1057" s="95" t="s">
        <v>530</v>
      </c>
      <c r="I1057" s="13">
        <f t="shared" si="51"/>
        <v>85000</v>
      </c>
      <c r="J1057" s="97" t="s">
        <v>1608</v>
      </c>
      <c r="K1057" s="98"/>
      <c r="L1057" s="98"/>
    </row>
    <row r="1058">
      <c r="B1058" s="95" t="s">
        <v>526</v>
      </c>
      <c r="C1058" s="95" t="s">
        <v>1609</v>
      </c>
      <c r="D1058" s="95" t="s">
        <v>222</v>
      </c>
      <c r="E1058" s="95" t="s">
        <v>1019</v>
      </c>
      <c r="F1058" s="95" t="s">
        <v>643</v>
      </c>
      <c r="G1058" s="9">
        <v>1000000.0</v>
      </c>
      <c r="H1058" s="95" t="s">
        <v>530</v>
      </c>
      <c r="I1058" s="13">
        <f t="shared" si="51"/>
        <v>100000</v>
      </c>
      <c r="J1058" s="97" t="s">
        <v>1608</v>
      </c>
      <c r="K1058" s="98"/>
      <c r="L1058" s="98"/>
    </row>
    <row r="1059">
      <c r="B1059" s="95" t="s">
        <v>526</v>
      </c>
      <c r="C1059" s="95" t="s">
        <v>1577</v>
      </c>
      <c r="D1059" s="95" t="s">
        <v>222</v>
      </c>
      <c r="E1059" s="95" t="s">
        <v>1019</v>
      </c>
      <c r="F1059" s="95" t="s">
        <v>643</v>
      </c>
      <c r="G1059" s="9">
        <v>900000.0</v>
      </c>
      <c r="H1059" s="95" t="s">
        <v>530</v>
      </c>
      <c r="I1059" s="13">
        <f t="shared" si="51"/>
        <v>90000</v>
      </c>
      <c r="J1059" s="97" t="s">
        <v>1608</v>
      </c>
      <c r="K1059" s="98"/>
      <c r="L1059" s="98"/>
    </row>
    <row r="1060">
      <c r="B1060" s="95" t="s">
        <v>526</v>
      </c>
      <c r="C1060" s="95" t="s">
        <v>1610</v>
      </c>
      <c r="D1060" s="95" t="s">
        <v>222</v>
      </c>
      <c r="E1060" s="95" t="s">
        <v>1019</v>
      </c>
      <c r="F1060" s="95" t="s">
        <v>586</v>
      </c>
      <c r="G1060" s="9">
        <v>1200000.0</v>
      </c>
      <c r="H1060" s="95" t="s">
        <v>530</v>
      </c>
      <c r="I1060" s="13">
        <f t="shared" si="51"/>
        <v>120000</v>
      </c>
      <c r="J1060" s="97" t="s">
        <v>1608</v>
      </c>
      <c r="K1060" s="97" t="s">
        <v>1611</v>
      </c>
      <c r="L1060" s="98"/>
    </row>
    <row r="1061">
      <c r="B1061" s="95" t="s">
        <v>526</v>
      </c>
      <c r="C1061" s="95" t="s">
        <v>1610</v>
      </c>
      <c r="D1061" s="95" t="s">
        <v>222</v>
      </c>
      <c r="E1061" s="95" t="s">
        <v>1019</v>
      </c>
      <c r="F1061" s="95" t="s">
        <v>650</v>
      </c>
      <c r="G1061" s="9">
        <v>1500000.0</v>
      </c>
      <c r="H1061" s="95" t="s">
        <v>530</v>
      </c>
      <c r="I1061" s="13">
        <f t="shared" si="51"/>
        <v>150000</v>
      </c>
      <c r="J1061" s="97" t="s">
        <v>1608</v>
      </c>
      <c r="K1061" s="98"/>
      <c r="L1061" s="98"/>
    </row>
    <row r="1062">
      <c r="B1062" s="95" t="s">
        <v>526</v>
      </c>
      <c r="C1062" s="95" t="s">
        <v>1612</v>
      </c>
      <c r="D1062" s="95" t="s">
        <v>222</v>
      </c>
      <c r="E1062" s="95" t="s">
        <v>1019</v>
      </c>
      <c r="F1062" s="95" t="s">
        <v>650</v>
      </c>
      <c r="G1062" s="9">
        <v>1200000.0</v>
      </c>
      <c r="H1062" s="95" t="s">
        <v>530</v>
      </c>
      <c r="I1062" s="13">
        <f t="shared" si="51"/>
        <v>120000</v>
      </c>
      <c r="J1062" s="97" t="s">
        <v>1613</v>
      </c>
      <c r="K1062" s="98"/>
      <c r="L1062" s="98"/>
    </row>
    <row r="1063">
      <c r="B1063" s="95" t="s">
        <v>526</v>
      </c>
      <c r="C1063" s="95" t="s">
        <v>1580</v>
      </c>
      <c r="D1063" s="95" t="s">
        <v>222</v>
      </c>
      <c r="E1063" s="95" t="s">
        <v>1019</v>
      </c>
      <c r="F1063" s="95" t="s">
        <v>650</v>
      </c>
      <c r="G1063" s="9">
        <v>2700000.0</v>
      </c>
      <c r="H1063" s="95" t="s">
        <v>530</v>
      </c>
      <c r="I1063" s="13">
        <f t="shared" si="51"/>
        <v>270000</v>
      </c>
      <c r="J1063" s="97" t="s">
        <v>1614</v>
      </c>
      <c r="K1063" s="105" t="s">
        <v>1615</v>
      </c>
      <c r="L1063" s="97" t="s">
        <v>1616</v>
      </c>
    </row>
    <row r="1064">
      <c r="B1064" s="95" t="s">
        <v>526</v>
      </c>
      <c r="C1064" s="95" t="s">
        <v>1617</v>
      </c>
      <c r="D1064" s="95" t="s">
        <v>222</v>
      </c>
      <c r="E1064" s="95" t="s">
        <v>1019</v>
      </c>
      <c r="F1064" s="95" t="s">
        <v>650</v>
      </c>
      <c r="G1064" s="9">
        <v>875000.0</v>
      </c>
      <c r="H1064" s="95" t="s">
        <v>530</v>
      </c>
      <c r="I1064" s="13">
        <f t="shared" si="51"/>
        <v>87500</v>
      </c>
      <c r="J1064" s="97" t="s">
        <v>1618</v>
      </c>
      <c r="K1064" s="98"/>
      <c r="L1064" s="98"/>
    </row>
    <row r="1065">
      <c r="B1065" s="95" t="s">
        <v>526</v>
      </c>
      <c r="C1065" s="95" t="s">
        <v>1084</v>
      </c>
      <c r="D1065" s="95" t="s">
        <v>222</v>
      </c>
      <c r="E1065" s="95" t="s">
        <v>1019</v>
      </c>
      <c r="F1065" s="95" t="s">
        <v>650</v>
      </c>
      <c r="G1065" s="9">
        <f>1500000*0.85</f>
        <v>1275000</v>
      </c>
      <c r="H1065" s="95" t="s">
        <v>530</v>
      </c>
      <c r="I1065" s="13">
        <f t="shared" si="51"/>
        <v>127500</v>
      </c>
      <c r="J1065" s="97" t="s">
        <v>1172</v>
      </c>
      <c r="K1065" s="97" t="s">
        <v>1172</v>
      </c>
      <c r="L1065" s="98"/>
    </row>
    <row r="1066">
      <c r="B1066" s="95" t="s">
        <v>526</v>
      </c>
      <c r="C1066" s="95" t="s">
        <v>1619</v>
      </c>
      <c r="D1066" s="95" t="s">
        <v>222</v>
      </c>
      <c r="E1066" s="95" t="s">
        <v>1019</v>
      </c>
      <c r="F1066" s="95" t="s">
        <v>650</v>
      </c>
      <c r="G1066" s="9">
        <v>500000.0</v>
      </c>
      <c r="H1066" s="95" t="s">
        <v>530</v>
      </c>
      <c r="I1066" s="13">
        <f t="shared" si="51"/>
        <v>50000</v>
      </c>
      <c r="J1066" s="97" t="s">
        <v>1618</v>
      </c>
      <c r="K1066" s="98"/>
      <c r="L1066" s="98"/>
    </row>
    <row r="1067">
      <c r="B1067" s="95" t="s">
        <v>526</v>
      </c>
      <c r="C1067" s="95" t="s">
        <v>1620</v>
      </c>
      <c r="D1067" s="95" t="s">
        <v>222</v>
      </c>
      <c r="E1067" s="95" t="s">
        <v>1019</v>
      </c>
      <c r="F1067" s="95" t="s">
        <v>650</v>
      </c>
      <c r="G1067" s="9">
        <v>450000.0</v>
      </c>
      <c r="H1067" s="95" t="s">
        <v>530</v>
      </c>
      <c r="I1067" s="13">
        <f t="shared" si="51"/>
        <v>45000</v>
      </c>
      <c r="J1067" s="97" t="s">
        <v>1618</v>
      </c>
      <c r="K1067" s="98"/>
      <c r="L1067" s="98"/>
    </row>
    <row r="1068">
      <c r="B1068" s="95" t="s">
        <v>526</v>
      </c>
      <c r="C1068" s="95" t="s">
        <v>1621</v>
      </c>
      <c r="D1068" s="95" t="s">
        <v>222</v>
      </c>
      <c r="E1068" s="95" t="s">
        <v>1366</v>
      </c>
      <c r="F1068" s="95" t="s">
        <v>650</v>
      </c>
      <c r="G1068" s="9">
        <v>1600000.0</v>
      </c>
      <c r="H1068" s="95" t="s">
        <v>530</v>
      </c>
      <c r="I1068" s="13">
        <f t="shared" si="51"/>
        <v>160000</v>
      </c>
      <c r="J1068" s="97" t="s">
        <v>1599</v>
      </c>
      <c r="K1068" s="98"/>
      <c r="L1068" s="98"/>
    </row>
    <row r="1069">
      <c r="B1069" s="95" t="s">
        <v>526</v>
      </c>
      <c r="C1069" s="95" t="s">
        <v>1622</v>
      </c>
      <c r="D1069" s="95" t="s">
        <v>222</v>
      </c>
      <c r="E1069" s="95" t="s">
        <v>1366</v>
      </c>
      <c r="F1069" s="95" t="s">
        <v>650</v>
      </c>
      <c r="G1069" s="9">
        <v>1300000.0</v>
      </c>
      <c r="H1069" s="95" t="s">
        <v>530</v>
      </c>
      <c r="I1069" s="13">
        <f t="shared" si="51"/>
        <v>130000</v>
      </c>
      <c r="J1069" s="97" t="s">
        <v>1623</v>
      </c>
      <c r="K1069" s="97" t="s">
        <v>1624</v>
      </c>
      <c r="L1069" s="98"/>
    </row>
    <row r="1070">
      <c r="B1070" s="95" t="s">
        <v>526</v>
      </c>
      <c r="C1070" s="95" t="s">
        <v>1386</v>
      </c>
      <c r="D1070" s="95" t="s">
        <v>222</v>
      </c>
      <c r="E1070" s="95" t="s">
        <v>1366</v>
      </c>
      <c r="F1070" s="95" t="s">
        <v>650</v>
      </c>
      <c r="G1070" s="9">
        <f>0.85*1200000</f>
        <v>1020000</v>
      </c>
      <c r="H1070" s="95" t="s">
        <v>530</v>
      </c>
      <c r="I1070" s="13">
        <f t="shared" si="51"/>
        <v>102000</v>
      </c>
      <c r="J1070" s="97" t="s">
        <v>1625</v>
      </c>
      <c r="K1070" s="97" t="s">
        <v>1626</v>
      </c>
      <c r="L1070" s="98"/>
    </row>
    <row r="1071">
      <c r="B1071" s="95" t="s">
        <v>526</v>
      </c>
      <c r="C1071" s="95" t="s">
        <v>1606</v>
      </c>
      <c r="D1071" s="95" t="s">
        <v>222</v>
      </c>
      <c r="E1071" s="95" t="s">
        <v>1366</v>
      </c>
      <c r="F1071" s="95" t="s">
        <v>650</v>
      </c>
      <c r="G1071" s="9">
        <v>1000000.0</v>
      </c>
      <c r="H1071" s="95" t="s">
        <v>530</v>
      </c>
      <c r="I1071" s="13">
        <f t="shared" si="51"/>
        <v>100000</v>
      </c>
      <c r="J1071" s="97" t="s">
        <v>1599</v>
      </c>
      <c r="K1071" s="98"/>
      <c r="L1071" s="98"/>
    </row>
    <row r="1072">
      <c r="B1072" s="95" t="s">
        <v>526</v>
      </c>
      <c r="C1072" s="95" t="s">
        <v>1627</v>
      </c>
      <c r="D1072" s="95" t="s">
        <v>222</v>
      </c>
      <c r="E1072" s="95" t="s">
        <v>1366</v>
      </c>
      <c r="F1072" s="95" t="s">
        <v>650</v>
      </c>
      <c r="G1072" s="9">
        <v>400000.0</v>
      </c>
      <c r="H1072" s="95" t="s">
        <v>530</v>
      </c>
      <c r="I1072" s="13">
        <f t="shared" si="51"/>
        <v>40000</v>
      </c>
      <c r="J1072" s="97" t="s">
        <v>1628</v>
      </c>
      <c r="K1072" s="98"/>
      <c r="L1072" s="98"/>
    </row>
    <row r="1073">
      <c r="B1073" s="95" t="s">
        <v>526</v>
      </c>
      <c r="C1073" s="95" t="s">
        <v>1627</v>
      </c>
      <c r="D1073" s="95" t="s">
        <v>114</v>
      </c>
      <c r="E1073" s="95" t="s">
        <v>380</v>
      </c>
      <c r="F1073" s="95" t="s">
        <v>685</v>
      </c>
      <c r="G1073" s="9">
        <v>1000000.0</v>
      </c>
      <c r="H1073" s="95" t="s">
        <v>530</v>
      </c>
      <c r="I1073" s="13">
        <f t="shared" si="51"/>
        <v>100000</v>
      </c>
      <c r="J1073" s="97" t="s">
        <v>1629</v>
      </c>
      <c r="K1073" s="98" t="s">
        <v>1630</v>
      </c>
      <c r="L1073" s="98"/>
    </row>
    <row r="1074">
      <c r="B1074" s="95" t="s">
        <v>526</v>
      </c>
      <c r="C1074" s="95" t="s">
        <v>1631</v>
      </c>
      <c r="D1074" s="95" t="s">
        <v>222</v>
      </c>
      <c r="E1074" s="95" t="s">
        <v>1366</v>
      </c>
      <c r="F1074" s="95" t="s">
        <v>650</v>
      </c>
      <c r="G1074" s="9">
        <v>300000.0</v>
      </c>
      <c r="H1074" s="95" t="s">
        <v>530</v>
      </c>
      <c r="I1074" s="13">
        <f t="shared" si="51"/>
        <v>30000</v>
      </c>
      <c r="J1074" s="97" t="s">
        <v>1599</v>
      </c>
      <c r="K1074" s="98"/>
      <c r="L1074" s="98"/>
    </row>
    <row r="1075">
      <c r="B1075" s="95" t="s">
        <v>526</v>
      </c>
      <c r="C1075" s="95" t="s">
        <v>1428</v>
      </c>
      <c r="D1075" s="95" t="s">
        <v>222</v>
      </c>
      <c r="E1075" s="95" t="s">
        <v>1366</v>
      </c>
      <c r="F1075" s="95" t="s">
        <v>643</v>
      </c>
      <c r="G1075" s="9">
        <v>1600000.0</v>
      </c>
      <c r="H1075" s="95" t="s">
        <v>530</v>
      </c>
      <c r="I1075" s="13">
        <f t="shared" si="51"/>
        <v>160000</v>
      </c>
      <c r="J1075" s="97" t="s">
        <v>1599</v>
      </c>
      <c r="K1075" s="98"/>
      <c r="L1075" s="98"/>
    </row>
    <row r="1076">
      <c r="B1076" s="95" t="s">
        <v>526</v>
      </c>
      <c r="C1076" s="95" t="s">
        <v>1408</v>
      </c>
      <c r="D1076" s="95" t="s">
        <v>222</v>
      </c>
      <c r="E1076" s="95" t="s">
        <v>1366</v>
      </c>
      <c r="F1076" s="95" t="s">
        <v>586</v>
      </c>
      <c r="G1076" s="9">
        <v>1500000.0</v>
      </c>
      <c r="H1076" s="95" t="s">
        <v>530</v>
      </c>
      <c r="I1076" s="13">
        <f t="shared" si="51"/>
        <v>150000</v>
      </c>
      <c r="J1076" s="97" t="s">
        <v>1599</v>
      </c>
      <c r="K1076" s="97" t="s">
        <v>1632</v>
      </c>
      <c r="L1076" s="98"/>
    </row>
    <row r="1077">
      <c r="B1077" s="95" t="s">
        <v>526</v>
      </c>
      <c r="C1077" s="95" t="s">
        <v>1416</v>
      </c>
      <c r="D1077" s="95" t="s">
        <v>222</v>
      </c>
      <c r="E1077" s="95" t="s">
        <v>1366</v>
      </c>
      <c r="F1077" s="95" t="s">
        <v>586</v>
      </c>
      <c r="G1077" s="9">
        <v>450000.0</v>
      </c>
      <c r="H1077" s="95" t="s">
        <v>530</v>
      </c>
      <c r="I1077" s="13">
        <f t="shared" si="51"/>
        <v>45000</v>
      </c>
      <c r="J1077" s="97" t="s">
        <v>1599</v>
      </c>
      <c r="K1077" s="98"/>
      <c r="L1077" s="98"/>
    </row>
    <row r="1078">
      <c r="B1078" s="95" t="s">
        <v>526</v>
      </c>
      <c r="C1078" s="95" t="s">
        <v>1606</v>
      </c>
      <c r="D1078" s="95" t="s">
        <v>222</v>
      </c>
      <c r="E1078" s="95" t="s">
        <v>1366</v>
      </c>
      <c r="F1078" s="95" t="s">
        <v>738</v>
      </c>
      <c r="G1078" s="9">
        <v>1000000.0</v>
      </c>
      <c r="H1078" s="95" t="s">
        <v>530</v>
      </c>
      <c r="I1078" s="13">
        <f t="shared" si="51"/>
        <v>100000</v>
      </c>
      <c r="J1078" s="97" t="s">
        <v>1633</v>
      </c>
      <c r="K1078" s="98"/>
      <c r="L1078" s="98"/>
    </row>
    <row r="1079">
      <c r="B1079" s="95" t="s">
        <v>526</v>
      </c>
      <c r="C1079" s="95" t="s">
        <v>1606</v>
      </c>
      <c r="D1079" s="95" t="s">
        <v>222</v>
      </c>
      <c r="E1079" s="95" t="s">
        <v>1366</v>
      </c>
      <c r="F1079" s="95" t="s">
        <v>643</v>
      </c>
      <c r="G1079" s="9">
        <v>1000000.0</v>
      </c>
      <c r="H1079" s="95" t="s">
        <v>530</v>
      </c>
      <c r="I1079" s="13">
        <f t="shared" si="51"/>
        <v>100000</v>
      </c>
      <c r="J1079" s="97" t="s">
        <v>1633</v>
      </c>
      <c r="K1079" s="98"/>
      <c r="L1079" s="98"/>
    </row>
    <row r="1080">
      <c r="B1080" s="95" t="s">
        <v>526</v>
      </c>
      <c r="C1080" s="95" t="s">
        <v>1362</v>
      </c>
      <c r="D1080" s="95" t="s">
        <v>222</v>
      </c>
      <c r="E1080" s="95" t="s">
        <v>1366</v>
      </c>
      <c r="F1080" s="95" t="s">
        <v>738</v>
      </c>
      <c r="G1080" s="9">
        <v>1500000.0</v>
      </c>
      <c r="H1080" s="95" t="s">
        <v>530</v>
      </c>
      <c r="I1080" s="13">
        <f t="shared" si="51"/>
        <v>150000</v>
      </c>
      <c r="J1080" s="97" t="s">
        <v>1599</v>
      </c>
      <c r="K1080" s="98"/>
      <c r="L1080" s="98"/>
    </row>
    <row r="1081">
      <c r="B1081" s="95" t="s">
        <v>526</v>
      </c>
      <c r="C1081" s="95" t="s">
        <v>1362</v>
      </c>
      <c r="D1081" s="95" t="s">
        <v>222</v>
      </c>
      <c r="E1081" s="95" t="s">
        <v>1366</v>
      </c>
      <c r="F1081" s="95" t="s">
        <v>643</v>
      </c>
      <c r="G1081" s="9">
        <v>1500000.0</v>
      </c>
      <c r="H1081" s="95" t="s">
        <v>530</v>
      </c>
      <c r="I1081" s="13">
        <f t="shared" si="51"/>
        <v>150000</v>
      </c>
      <c r="J1081" s="97" t="s">
        <v>1599</v>
      </c>
      <c r="K1081" s="98"/>
      <c r="L1081" s="98"/>
    </row>
    <row r="1082">
      <c r="B1082" s="95" t="s">
        <v>526</v>
      </c>
      <c r="C1082" s="95" t="s">
        <v>1391</v>
      </c>
      <c r="D1082" s="95" t="s">
        <v>222</v>
      </c>
      <c r="E1082" s="95" t="s">
        <v>1366</v>
      </c>
      <c r="F1082" s="95" t="s">
        <v>643</v>
      </c>
      <c r="G1082" s="9">
        <v>500000.0</v>
      </c>
      <c r="H1082" s="95" t="s">
        <v>530</v>
      </c>
      <c r="I1082" s="13">
        <f t="shared" si="51"/>
        <v>50000</v>
      </c>
      <c r="J1082" s="97" t="s">
        <v>1599</v>
      </c>
      <c r="K1082" s="98"/>
      <c r="L1082" s="98"/>
    </row>
    <row r="1083">
      <c r="B1083" s="95" t="s">
        <v>526</v>
      </c>
      <c r="C1083" s="95" t="s">
        <v>1634</v>
      </c>
      <c r="D1083" s="95" t="s">
        <v>222</v>
      </c>
      <c r="E1083" s="95" t="s">
        <v>1366</v>
      </c>
      <c r="F1083" s="95" t="s">
        <v>643</v>
      </c>
      <c r="G1083" s="9">
        <v>800000.0</v>
      </c>
      <c r="H1083" s="95" t="s">
        <v>530</v>
      </c>
      <c r="I1083" s="13">
        <f t="shared" si="51"/>
        <v>80000</v>
      </c>
      <c r="J1083" s="97" t="s">
        <v>1599</v>
      </c>
      <c r="K1083" s="98"/>
      <c r="L1083" s="98"/>
    </row>
    <row r="1084">
      <c r="B1084" s="95" t="s">
        <v>526</v>
      </c>
      <c r="C1084" s="95" t="s">
        <v>870</v>
      </c>
      <c r="D1084" s="95" t="s">
        <v>222</v>
      </c>
      <c r="E1084" s="95" t="s">
        <v>1366</v>
      </c>
      <c r="F1084" s="95" t="s">
        <v>643</v>
      </c>
      <c r="G1084" s="9">
        <v>600000.0</v>
      </c>
      <c r="H1084" s="95" t="s">
        <v>530</v>
      </c>
      <c r="I1084" s="13">
        <f t="shared" si="51"/>
        <v>60000</v>
      </c>
      <c r="J1084" s="97" t="s">
        <v>1599</v>
      </c>
      <c r="K1084" s="98"/>
      <c r="L1084" s="98"/>
    </row>
    <row r="1085">
      <c r="B1085" s="95" t="s">
        <v>526</v>
      </c>
      <c r="C1085" s="95" t="s">
        <v>1635</v>
      </c>
      <c r="D1085" s="95" t="s">
        <v>222</v>
      </c>
      <c r="E1085" s="95" t="s">
        <v>1366</v>
      </c>
      <c r="F1085" s="95" t="s">
        <v>643</v>
      </c>
      <c r="G1085" s="9">
        <v>275000.0</v>
      </c>
      <c r="H1085" s="95" t="s">
        <v>530</v>
      </c>
      <c r="I1085" s="13">
        <f t="shared" si="51"/>
        <v>27500</v>
      </c>
      <c r="J1085" s="97" t="s">
        <v>1599</v>
      </c>
      <c r="K1085" s="98"/>
      <c r="L1085" s="98"/>
    </row>
    <row r="1086">
      <c r="B1086" s="95" t="s">
        <v>526</v>
      </c>
      <c r="C1086" s="95" t="s">
        <v>1307</v>
      </c>
      <c r="D1086" s="95" t="s">
        <v>222</v>
      </c>
      <c r="E1086" s="95" t="s">
        <v>1457</v>
      </c>
      <c r="F1086" s="95" t="s">
        <v>650</v>
      </c>
      <c r="G1086" s="9">
        <v>140000.0</v>
      </c>
      <c r="H1086" s="95" t="s">
        <v>530</v>
      </c>
      <c r="I1086" s="13">
        <f t="shared" si="51"/>
        <v>14000</v>
      </c>
      <c r="J1086" s="97" t="s">
        <v>1636</v>
      </c>
      <c r="K1086" s="98" t="s">
        <v>1468</v>
      </c>
      <c r="L1086" s="98" t="s">
        <v>1637</v>
      </c>
    </row>
    <row r="1087">
      <c r="B1087" s="95" t="s">
        <v>526</v>
      </c>
      <c r="C1087" s="95" t="s">
        <v>1282</v>
      </c>
      <c r="D1087" s="95" t="s">
        <v>222</v>
      </c>
      <c r="E1087" s="95" t="s">
        <v>1457</v>
      </c>
      <c r="F1087" s="95" t="s">
        <v>586</v>
      </c>
      <c r="G1087" s="9">
        <v>230000.0</v>
      </c>
      <c r="H1087" s="95" t="s">
        <v>530</v>
      </c>
      <c r="I1087" s="13">
        <f t="shared" si="51"/>
        <v>23000</v>
      </c>
      <c r="J1087" s="97" t="s">
        <v>1636</v>
      </c>
      <c r="K1087" s="98"/>
      <c r="L1087" s="98"/>
    </row>
    <row r="1088">
      <c r="B1088" s="95" t="s">
        <v>526</v>
      </c>
      <c r="C1088" s="95" t="s">
        <v>801</v>
      </c>
      <c r="D1088" s="95" t="s">
        <v>71</v>
      </c>
      <c r="E1088" s="95" t="s">
        <v>1638</v>
      </c>
      <c r="F1088" s="95" t="s">
        <v>763</v>
      </c>
      <c r="G1088" s="9">
        <v>150000.0</v>
      </c>
      <c r="H1088" s="95" t="s">
        <v>530</v>
      </c>
      <c r="I1088" s="13">
        <f t="shared" si="51"/>
        <v>15000</v>
      </c>
      <c r="J1088" s="97" t="s">
        <v>791</v>
      </c>
      <c r="K1088" s="98"/>
      <c r="L1088" s="98"/>
    </row>
    <row r="1089">
      <c r="B1089" s="95" t="s">
        <v>526</v>
      </c>
      <c r="C1089" s="95" t="s">
        <v>1069</v>
      </c>
      <c r="D1089" s="95" t="s">
        <v>71</v>
      </c>
      <c r="E1089" s="95" t="s">
        <v>798</v>
      </c>
      <c r="F1089" s="95" t="s">
        <v>763</v>
      </c>
      <c r="G1089" s="9">
        <v>150000.0</v>
      </c>
      <c r="H1089" s="95" t="s">
        <v>530</v>
      </c>
      <c r="I1089" s="13">
        <f t="shared" si="51"/>
        <v>15000</v>
      </c>
      <c r="J1089" s="97" t="s">
        <v>1548</v>
      </c>
      <c r="K1089" s="98"/>
      <c r="L1089" s="98"/>
    </row>
    <row r="1090">
      <c r="B1090" s="95" t="s">
        <v>526</v>
      </c>
      <c r="C1090" s="95" t="s">
        <v>1639</v>
      </c>
      <c r="D1090" s="95" t="s">
        <v>71</v>
      </c>
      <c r="E1090" s="95" t="s">
        <v>1027</v>
      </c>
      <c r="F1090" s="95" t="s">
        <v>763</v>
      </c>
      <c r="G1090" s="9">
        <v>160000.0</v>
      </c>
      <c r="H1090" s="95" t="s">
        <v>530</v>
      </c>
      <c r="I1090" s="13">
        <f t="shared" si="51"/>
        <v>16000</v>
      </c>
      <c r="J1090" s="97" t="s">
        <v>1548</v>
      </c>
      <c r="K1090" s="98"/>
      <c r="L1090" s="98"/>
    </row>
    <row r="1091">
      <c r="B1091" s="95" t="s">
        <v>526</v>
      </c>
      <c r="C1091" s="95" t="s">
        <v>1268</v>
      </c>
      <c r="D1091" s="95" t="s">
        <v>71</v>
      </c>
      <c r="E1091" s="5" t="s">
        <v>109</v>
      </c>
      <c r="F1091" s="95" t="s">
        <v>763</v>
      </c>
      <c r="G1091" s="9">
        <v>105000.0</v>
      </c>
      <c r="H1091" s="95" t="s">
        <v>530</v>
      </c>
      <c r="I1091" s="13">
        <f t="shared" si="51"/>
        <v>10500</v>
      </c>
      <c r="J1091" s="98" t="s">
        <v>1344</v>
      </c>
      <c r="K1091" s="97" t="s">
        <v>1345</v>
      </c>
      <c r="L1091" s="98"/>
    </row>
    <row r="1092">
      <c r="B1092" s="95" t="s">
        <v>641</v>
      </c>
      <c r="C1092" s="95" t="s">
        <v>806</v>
      </c>
      <c r="D1092" s="95" t="s">
        <v>71</v>
      </c>
      <c r="E1092" s="95" t="s">
        <v>798</v>
      </c>
      <c r="F1092" s="95" t="s">
        <v>763</v>
      </c>
      <c r="G1092" s="9">
        <v>725000.0</v>
      </c>
      <c r="H1092" s="95" t="s">
        <v>530</v>
      </c>
      <c r="I1092" s="13">
        <f t="shared" si="51"/>
        <v>72500</v>
      </c>
      <c r="J1092" s="97" t="s">
        <v>1597</v>
      </c>
      <c r="K1092" s="98"/>
      <c r="L1092" s="98"/>
    </row>
    <row r="1093">
      <c r="B1093" s="95" t="s">
        <v>526</v>
      </c>
      <c r="C1093" s="95" t="s">
        <v>663</v>
      </c>
      <c r="D1093" s="95" t="s">
        <v>71</v>
      </c>
      <c r="E1093" s="12" t="s">
        <v>93</v>
      </c>
      <c r="F1093" s="95" t="s">
        <v>738</v>
      </c>
      <c r="G1093" s="9">
        <v>170000.0</v>
      </c>
      <c r="H1093" s="95" t="s">
        <v>530</v>
      </c>
      <c r="I1093" s="13">
        <f t="shared" si="51"/>
        <v>17000</v>
      </c>
      <c r="J1093" s="97" t="s">
        <v>1640</v>
      </c>
      <c r="K1093" s="98"/>
      <c r="L1093" s="98"/>
    </row>
    <row r="1094">
      <c r="B1094" s="95" t="s">
        <v>641</v>
      </c>
      <c r="C1094" s="95" t="s">
        <v>806</v>
      </c>
      <c r="D1094" s="95" t="s">
        <v>71</v>
      </c>
      <c r="E1094" s="95" t="s">
        <v>798</v>
      </c>
      <c r="F1094" s="95" t="s">
        <v>738</v>
      </c>
      <c r="G1094" s="9">
        <v>750000.0</v>
      </c>
      <c r="H1094" s="95" t="s">
        <v>530</v>
      </c>
      <c r="I1094" s="13">
        <f t="shared" si="51"/>
        <v>75000</v>
      </c>
      <c r="J1094" s="97" t="s">
        <v>1597</v>
      </c>
      <c r="K1094" s="98"/>
      <c r="L1094" s="98"/>
    </row>
    <row r="1095">
      <c r="B1095" s="95" t="s">
        <v>526</v>
      </c>
      <c r="C1095" s="95" t="s">
        <v>1641</v>
      </c>
      <c r="D1095" s="95" t="s">
        <v>71</v>
      </c>
      <c r="E1095" s="95" t="s">
        <v>798</v>
      </c>
      <c r="F1095" s="95" t="s">
        <v>643</v>
      </c>
      <c r="G1095" s="9">
        <v>500000.0</v>
      </c>
      <c r="H1095" s="95" t="s">
        <v>530</v>
      </c>
      <c r="I1095" s="13">
        <f t="shared" si="51"/>
        <v>50000</v>
      </c>
      <c r="J1095" s="97" t="s">
        <v>1642</v>
      </c>
      <c r="K1095" s="98"/>
      <c r="L1095" s="98"/>
    </row>
    <row r="1096">
      <c r="B1096" s="95" t="s">
        <v>526</v>
      </c>
      <c r="C1096" s="95" t="s">
        <v>1643</v>
      </c>
      <c r="D1096" s="95" t="s">
        <v>71</v>
      </c>
      <c r="E1096" s="5" t="s">
        <v>97</v>
      </c>
      <c r="F1096" s="95" t="s">
        <v>643</v>
      </c>
      <c r="G1096" s="9">
        <v>95000.0</v>
      </c>
      <c r="H1096" s="95" t="s">
        <v>530</v>
      </c>
      <c r="I1096" s="13">
        <f t="shared" si="51"/>
        <v>9500</v>
      </c>
      <c r="J1096" s="97" t="s">
        <v>1644</v>
      </c>
      <c r="K1096" s="98"/>
      <c r="L1096" s="98"/>
    </row>
    <row r="1097">
      <c r="B1097" s="95" t="s">
        <v>526</v>
      </c>
      <c r="C1097" s="95" t="s">
        <v>1645</v>
      </c>
      <c r="D1097" s="95" t="s">
        <v>114</v>
      </c>
      <c r="E1097" s="95" t="s">
        <v>389</v>
      </c>
      <c r="F1097" s="95" t="s">
        <v>586</v>
      </c>
      <c r="G1097" s="9">
        <v>180000.0</v>
      </c>
      <c r="H1097" s="95" t="s">
        <v>635</v>
      </c>
      <c r="I1097" s="13">
        <f>G1097/6</f>
        <v>30000</v>
      </c>
      <c r="J1097" s="97" t="s">
        <v>631</v>
      </c>
      <c r="K1097" s="97" t="s">
        <v>631</v>
      </c>
      <c r="L1097" s="98"/>
    </row>
    <row r="1098">
      <c r="B1098" s="95" t="s">
        <v>641</v>
      </c>
      <c r="C1098" s="95" t="s">
        <v>1646</v>
      </c>
      <c r="D1098" s="95" t="s">
        <v>114</v>
      </c>
      <c r="E1098" s="95" t="s">
        <v>389</v>
      </c>
      <c r="F1098" s="95" t="s">
        <v>586</v>
      </c>
      <c r="G1098" s="9">
        <v>900000.0</v>
      </c>
      <c r="H1098" s="95" t="s">
        <v>530</v>
      </c>
      <c r="I1098" s="13">
        <f t="shared" ref="I1098:I1100" si="52">G1098/10</f>
        <v>90000</v>
      </c>
      <c r="J1098" s="97" t="s">
        <v>631</v>
      </c>
      <c r="K1098" s="97" t="s">
        <v>631</v>
      </c>
      <c r="L1098" s="98"/>
    </row>
    <row r="1099">
      <c r="B1099" s="95" t="s">
        <v>526</v>
      </c>
      <c r="C1099" s="95" t="s">
        <v>1647</v>
      </c>
      <c r="D1099" s="95" t="s">
        <v>114</v>
      </c>
      <c r="E1099" s="5" t="s">
        <v>389</v>
      </c>
      <c r="F1099" s="134">
        <v>46306.0</v>
      </c>
      <c r="G1099" s="9">
        <v>2400000.0</v>
      </c>
      <c r="H1099" s="95" t="s">
        <v>530</v>
      </c>
      <c r="I1099" s="13">
        <f t="shared" si="52"/>
        <v>240000</v>
      </c>
      <c r="J1099" s="97" t="s">
        <v>741</v>
      </c>
      <c r="K1099" s="98"/>
      <c r="L1099" s="98"/>
    </row>
    <row r="1100">
      <c r="B1100" s="95" t="s">
        <v>526</v>
      </c>
      <c r="C1100" s="95" t="s">
        <v>1035</v>
      </c>
      <c r="D1100" s="95" t="s">
        <v>174</v>
      </c>
      <c r="E1100" s="5" t="s">
        <v>1648</v>
      </c>
      <c r="F1100" s="95" t="s">
        <v>906</v>
      </c>
      <c r="G1100" s="9">
        <v>55000.0</v>
      </c>
      <c r="H1100" s="95" t="s">
        <v>530</v>
      </c>
      <c r="I1100" s="13">
        <f t="shared" si="52"/>
        <v>5500</v>
      </c>
      <c r="J1100" s="97" t="s">
        <v>1592</v>
      </c>
      <c r="K1100" s="98"/>
      <c r="L1100" s="98"/>
    </row>
    <row r="1101">
      <c r="B1101" s="95" t="s">
        <v>526</v>
      </c>
      <c r="C1101" s="95" t="s">
        <v>1620</v>
      </c>
      <c r="D1101" s="95" t="s">
        <v>222</v>
      </c>
      <c r="E1101" s="95" t="s">
        <v>313</v>
      </c>
      <c r="F1101" s="95" t="s">
        <v>643</v>
      </c>
      <c r="G1101" s="9">
        <f>0.9*200000</f>
        <v>180000</v>
      </c>
      <c r="H1101" s="95" t="s">
        <v>635</v>
      </c>
      <c r="I1101" s="13">
        <f>G1101/6</f>
        <v>30000</v>
      </c>
      <c r="J1101" s="97" t="s">
        <v>1649</v>
      </c>
      <c r="K1101" s="98"/>
      <c r="L1101" s="98"/>
    </row>
    <row r="1102">
      <c r="B1102" s="139" t="s">
        <v>526</v>
      </c>
      <c r="C1102" s="95" t="s">
        <v>1650</v>
      </c>
      <c r="D1102" s="95" t="s">
        <v>71</v>
      </c>
      <c r="E1102" s="95" t="s">
        <v>1651</v>
      </c>
      <c r="F1102" s="95" t="s">
        <v>643</v>
      </c>
      <c r="G1102" s="9">
        <v>40000.0</v>
      </c>
      <c r="H1102" s="139" t="s">
        <v>530</v>
      </c>
      <c r="I1102" s="124">
        <f t="shared" ref="I1102:I1146" si="53">G1102/10</f>
        <v>4000</v>
      </c>
      <c r="J1102" s="97" t="s">
        <v>1652</v>
      </c>
      <c r="K1102" s="98" t="s">
        <v>1585</v>
      </c>
      <c r="L1102" s="98"/>
    </row>
    <row r="1103">
      <c r="B1103" s="139" t="s">
        <v>526</v>
      </c>
      <c r="C1103" s="95" t="s">
        <v>1653</v>
      </c>
      <c r="D1103" s="95" t="s">
        <v>71</v>
      </c>
      <c r="E1103" s="95" t="s">
        <v>97</v>
      </c>
      <c r="F1103" s="95" t="s">
        <v>643</v>
      </c>
      <c r="G1103" s="9">
        <v>55000.0</v>
      </c>
      <c r="H1103" s="139" t="s">
        <v>530</v>
      </c>
      <c r="I1103" s="124">
        <f t="shared" si="53"/>
        <v>5500</v>
      </c>
      <c r="J1103" s="97" t="s">
        <v>1654</v>
      </c>
      <c r="K1103" s="98" t="s">
        <v>1655</v>
      </c>
      <c r="L1103" s="98"/>
    </row>
    <row r="1104">
      <c r="B1104" s="139" t="s">
        <v>526</v>
      </c>
      <c r="C1104" s="95" t="s">
        <v>1656</v>
      </c>
      <c r="D1104" s="95" t="s">
        <v>71</v>
      </c>
      <c r="E1104" s="95" t="s">
        <v>101</v>
      </c>
      <c r="F1104" s="95" t="s">
        <v>643</v>
      </c>
      <c r="G1104" s="9">
        <v>70000.0</v>
      </c>
      <c r="H1104" s="139" t="s">
        <v>530</v>
      </c>
      <c r="I1104" s="124">
        <f t="shared" si="53"/>
        <v>7000</v>
      </c>
      <c r="J1104" s="97" t="s">
        <v>1657</v>
      </c>
      <c r="K1104" s="98" t="s">
        <v>1658</v>
      </c>
      <c r="L1104" s="98"/>
    </row>
    <row r="1105">
      <c r="B1105" s="95" t="s">
        <v>526</v>
      </c>
      <c r="C1105" s="95" t="s">
        <v>1659</v>
      </c>
      <c r="D1105" s="95" t="s">
        <v>20</v>
      </c>
      <c r="E1105" s="5" t="s">
        <v>68</v>
      </c>
      <c r="F1105" s="95" t="s">
        <v>643</v>
      </c>
      <c r="G1105" s="9">
        <f>0.9*32000</f>
        <v>28800</v>
      </c>
      <c r="H1105" s="95" t="s">
        <v>530</v>
      </c>
      <c r="I1105" s="13">
        <f t="shared" si="53"/>
        <v>2880</v>
      </c>
      <c r="J1105" s="97" t="s">
        <v>1660</v>
      </c>
      <c r="K1105" s="98"/>
      <c r="L1105" s="98"/>
    </row>
    <row r="1106">
      <c r="B1106" s="95" t="s">
        <v>526</v>
      </c>
      <c r="C1106" s="95" t="s">
        <v>1607</v>
      </c>
      <c r="D1106" s="95" t="s">
        <v>71</v>
      </c>
      <c r="E1106" s="95" t="s">
        <v>798</v>
      </c>
      <c r="F1106" s="135" t="s">
        <v>586</v>
      </c>
      <c r="G1106" s="9">
        <v>550000.0</v>
      </c>
      <c r="H1106" s="95" t="s">
        <v>530</v>
      </c>
      <c r="I1106" s="13">
        <f t="shared" si="53"/>
        <v>55000</v>
      </c>
      <c r="J1106" s="97" t="s">
        <v>1642</v>
      </c>
      <c r="K1106" s="98"/>
      <c r="L1106" s="98"/>
    </row>
    <row r="1107">
      <c r="B1107" s="95" t="s">
        <v>526</v>
      </c>
      <c r="C1107" s="95" t="s">
        <v>1661</v>
      </c>
      <c r="D1107" s="95" t="s">
        <v>71</v>
      </c>
      <c r="E1107" s="12" t="s">
        <v>118</v>
      </c>
      <c r="F1107" s="95" t="s">
        <v>586</v>
      </c>
      <c r="G1107" s="9">
        <v>40000.0</v>
      </c>
      <c r="H1107" s="95" t="s">
        <v>530</v>
      </c>
      <c r="I1107" s="13">
        <f t="shared" si="53"/>
        <v>4000</v>
      </c>
      <c r="J1107" s="97" t="s">
        <v>1662</v>
      </c>
      <c r="K1107" s="98"/>
      <c r="L1107" s="98"/>
    </row>
    <row r="1108">
      <c r="B1108" s="139" t="s">
        <v>526</v>
      </c>
      <c r="C1108" s="95" t="s">
        <v>1650</v>
      </c>
      <c r="D1108" s="95" t="s">
        <v>71</v>
      </c>
      <c r="E1108" s="95" t="s">
        <v>97</v>
      </c>
      <c r="F1108" s="95" t="s">
        <v>586</v>
      </c>
      <c r="G1108" s="9">
        <v>120000.0</v>
      </c>
      <c r="H1108" s="139" t="s">
        <v>530</v>
      </c>
      <c r="I1108" s="124">
        <f t="shared" si="53"/>
        <v>12000</v>
      </c>
      <c r="J1108" s="97" t="s">
        <v>1663</v>
      </c>
      <c r="K1108" s="98"/>
      <c r="L1108" s="98"/>
    </row>
    <row r="1109">
      <c r="B1109" s="95" t="s">
        <v>526</v>
      </c>
      <c r="C1109" s="95" t="s">
        <v>1664</v>
      </c>
      <c r="D1109" s="95" t="s">
        <v>195</v>
      </c>
      <c r="E1109" s="95" t="s">
        <v>466</v>
      </c>
      <c r="F1109" s="95" t="s">
        <v>543</v>
      </c>
      <c r="G1109" s="9">
        <f>0.87*200000</f>
        <v>174000</v>
      </c>
      <c r="H1109" s="95" t="s">
        <v>530</v>
      </c>
      <c r="I1109" s="13">
        <f t="shared" si="53"/>
        <v>17400</v>
      </c>
      <c r="J1109" s="97" t="s">
        <v>1665</v>
      </c>
      <c r="K1109" s="98"/>
      <c r="L1109" s="98"/>
    </row>
    <row r="1110">
      <c r="B1110" s="95" t="s">
        <v>526</v>
      </c>
      <c r="C1110" s="95" t="s">
        <v>1666</v>
      </c>
      <c r="D1110" s="95" t="s">
        <v>114</v>
      </c>
      <c r="E1110" s="95" t="s">
        <v>370</v>
      </c>
      <c r="F1110" s="95" t="s">
        <v>586</v>
      </c>
      <c r="G1110" s="13">
        <v>300000.0</v>
      </c>
      <c r="H1110" s="95" t="s">
        <v>530</v>
      </c>
      <c r="I1110" s="13">
        <f t="shared" si="53"/>
        <v>30000</v>
      </c>
      <c r="J1110" s="97" t="s">
        <v>1667</v>
      </c>
      <c r="K1110" s="98"/>
      <c r="L1110" s="98"/>
    </row>
    <row r="1111">
      <c r="B1111" s="95" t="s">
        <v>526</v>
      </c>
      <c r="C1111" s="95" t="s">
        <v>1127</v>
      </c>
      <c r="D1111" s="95" t="s">
        <v>174</v>
      </c>
      <c r="E1111" s="95" t="s">
        <v>373</v>
      </c>
      <c r="F1111" s="95" t="s">
        <v>543</v>
      </c>
      <c r="G1111" s="9">
        <f>0.87*125000</f>
        <v>108750</v>
      </c>
      <c r="H1111" s="95" t="s">
        <v>530</v>
      </c>
      <c r="I1111" s="13">
        <f t="shared" si="53"/>
        <v>10875</v>
      </c>
      <c r="J1111" s="97" t="s">
        <v>1156</v>
      </c>
      <c r="K1111" s="98"/>
      <c r="L1111" s="98"/>
    </row>
    <row r="1112">
      <c r="B1112" s="95" t="s">
        <v>526</v>
      </c>
      <c r="C1112" s="95" t="s">
        <v>1127</v>
      </c>
      <c r="D1112" s="95" t="s">
        <v>174</v>
      </c>
      <c r="E1112" s="95" t="s">
        <v>373</v>
      </c>
      <c r="F1112" s="95" t="s">
        <v>738</v>
      </c>
      <c r="G1112" s="9">
        <v>210000.0</v>
      </c>
      <c r="H1112" s="95" t="s">
        <v>530</v>
      </c>
      <c r="I1112" s="13">
        <f t="shared" si="53"/>
        <v>21000</v>
      </c>
      <c r="J1112" s="97" t="s">
        <v>1156</v>
      </c>
      <c r="K1112" s="98"/>
      <c r="L1112" s="98"/>
    </row>
    <row r="1113">
      <c r="B1113" s="95" t="s">
        <v>526</v>
      </c>
      <c r="C1113" s="95" t="s">
        <v>832</v>
      </c>
      <c r="D1113" s="95" t="s">
        <v>114</v>
      </c>
      <c r="E1113" s="95" t="s">
        <v>370</v>
      </c>
      <c r="F1113" s="95" t="s">
        <v>586</v>
      </c>
      <c r="G1113" s="9">
        <v>250000.0</v>
      </c>
      <c r="H1113" s="95" t="s">
        <v>530</v>
      </c>
      <c r="I1113" s="13">
        <f t="shared" si="53"/>
        <v>25000</v>
      </c>
      <c r="J1113" s="97" t="s">
        <v>1668</v>
      </c>
      <c r="K1113" s="98"/>
      <c r="L1113" s="98"/>
    </row>
    <row r="1114">
      <c r="B1114" s="95" t="s">
        <v>526</v>
      </c>
      <c r="C1114" s="95" t="s">
        <v>1039</v>
      </c>
      <c r="D1114" s="95" t="s">
        <v>114</v>
      </c>
      <c r="E1114" s="95" t="s">
        <v>396</v>
      </c>
      <c r="F1114" s="95" t="s">
        <v>543</v>
      </c>
      <c r="G1114" s="9">
        <v>220000.0</v>
      </c>
      <c r="H1114" s="95" t="s">
        <v>530</v>
      </c>
      <c r="I1114" s="13">
        <f t="shared" si="53"/>
        <v>22000</v>
      </c>
      <c r="J1114" s="97" t="s">
        <v>1040</v>
      </c>
      <c r="K1114" s="98"/>
      <c r="L1114" s="98"/>
    </row>
    <row r="1115">
      <c r="B1115" s="95" t="s">
        <v>526</v>
      </c>
      <c r="C1115" s="95" t="s">
        <v>1039</v>
      </c>
      <c r="D1115" s="95" t="s">
        <v>114</v>
      </c>
      <c r="E1115" s="95" t="s">
        <v>396</v>
      </c>
      <c r="F1115" s="95" t="s">
        <v>763</v>
      </c>
      <c r="G1115" s="9">
        <v>145000.0</v>
      </c>
      <c r="H1115" s="95" t="s">
        <v>530</v>
      </c>
      <c r="I1115" s="13">
        <f t="shared" si="53"/>
        <v>14500</v>
      </c>
      <c r="J1115" s="97" t="s">
        <v>1040</v>
      </c>
      <c r="K1115" s="98"/>
      <c r="L1115" s="98"/>
    </row>
    <row r="1116">
      <c r="B1116" s="95" t="s">
        <v>526</v>
      </c>
      <c r="C1116" s="95" t="s">
        <v>1039</v>
      </c>
      <c r="D1116" s="95" t="s">
        <v>140</v>
      </c>
      <c r="E1116" s="95" t="s">
        <v>1036</v>
      </c>
      <c r="F1116" s="95" t="s">
        <v>738</v>
      </c>
      <c r="G1116" s="9">
        <v>200000.0</v>
      </c>
      <c r="H1116" s="95" t="s">
        <v>530</v>
      </c>
      <c r="I1116" s="13">
        <f t="shared" si="53"/>
        <v>20000</v>
      </c>
      <c r="J1116" s="97" t="s">
        <v>1040</v>
      </c>
      <c r="K1116" s="98"/>
      <c r="L1116" s="98"/>
    </row>
    <row r="1117">
      <c r="B1117" s="95" t="s">
        <v>526</v>
      </c>
      <c r="C1117" s="95" t="s">
        <v>1669</v>
      </c>
      <c r="D1117" s="95" t="s">
        <v>174</v>
      </c>
      <c r="E1117" s="95" t="s">
        <v>419</v>
      </c>
      <c r="F1117" s="95" t="s">
        <v>738</v>
      </c>
      <c r="G1117" s="9">
        <v>700000.0</v>
      </c>
      <c r="H1117" s="95" t="s">
        <v>530</v>
      </c>
      <c r="I1117" s="13">
        <f t="shared" si="53"/>
        <v>70000</v>
      </c>
      <c r="J1117" s="97" t="s">
        <v>1670</v>
      </c>
      <c r="K1117" s="98"/>
      <c r="L1117" s="98"/>
    </row>
    <row r="1118">
      <c r="B1118" s="95" t="s">
        <v>526</v>
      </c>
      <c r="C1118" s="95" t="s">
        <v>1671</v>
      </c>
      <c r="D1118" s="95" t="s">
        <v>195</v>
      </c>
      <c r="E1118" s="95" t="s">
        <v>466</v>
      </c>
      <c r="F1118" s="95" t="s">
        <v>763</v>
      </c>
      <c r="G1118" s="9">
        <f>0.85*589000</f>
        <v>500650</v>
      </c>
      <c r="H1118" s="95" t="s">
        <v>530</v>
      </c>
      <c r="I1118" s="13">
        <f t="shared" si="53"/>
        <v>50065</v>
      </c>
      <c r="J1118" s="97" t="s">
        <v>1672</v>
      </c>
      <c r="K1118" s="98"/>
      <c r="L1118" s="98"/>
    </row>
    <row r="1119">
      <c r="B1119" s="95" t="s">
        <v>526</v>
      </c>
      <c r="C1119" s="95" t="s">
        <v>1673</v>
      </c>
      <c r="D1119" s="95" t="s">
        <v>195</v>
      </c>
      <c r="E1119" s="95" t="s">
        <v>466</v>
      </c>
      <c r="F1119" s="95" t="s">
        <v>763</v>
      </c>
      <c r="G1119" s="9">
        <f>0.85*500000</f>
        <v>425000</v>
      </c>
      <c r="H1119" s="95" t="s">
        <v>530</v>
      </c>
      <c r="I1119" s="13">
        <f t="shared" si="53"/>
        <v>42500</v>
      </c>
      <c r="J1119" s="97" t="s">
        <v>1674</v>
      </c>
      <c r="K1119" s="98"/>
      <c r="L1119" s="98"/>
    </row>
    <row r="1120">
      <c r="B1120" s="95" t="s">
        <v>526</v>
      </c>
      <c r="C1120" s="95" t="s">
        <v>758</v>
      </c>
      <c r="D1120" s="95" t="s">
        <v>114</v>
      </c>
      <c r="E1120" s="95" t="s">
        <v>370</v>
      </c>
      <c r="F1120" s="95" t="s">
        <v>586</v>
      </c>
      <c r="G1120" s="9">
        <v>90000.0</v>
      </c>
      <c r="H1120" s="95" t="s">
        <v>530</v>
      </c>
      <c r="I1120" s="13">
        <f t="shared" si="53"/>
        <v>9000</v>
      </c>
      <c r="J1120" s="97" t="s">
        <v>1492</v>
      </c>
      <c r="K1120" s="98"/>
      <c r="L1120" s="98"/>
    </row>
    <row r="1121">
      <c r="B1121" s="95" t="s">
        <v>526</v>
      </c>
      <c r="C1121" s="95" t="s">
        <v>1414</v>
      </c>
      <c r="D1121" s="95" t="s">
        <v>174</v>
      </c>
      <c r="E1121" s="95" t="s">
        <v>419</v>
      </c>
      <c r="F1121" s="95" t="s">
        <v>738</v>
      </c>
      <c r="G1121" s="9">
        <v>600000.0</v>
      </c>
      <c r="H1121" s="95" t="s">
        <v>530</v>
      </c>
      <c r="I1121" s="13">
        <f t="shared" si="53"/>
        <v>60000</v>
      </c>
      <c r="J1121" s="97" t="s">
        <v>1424</v>
      </c>
      <c r="K1121" s="98"/>
      <c r="L1121" s="98"/>
    </row>
    <row r="1122">
      <c r="B1122" s="95" t="s">
        <v>526</v>
      </c>
      <c r="C1122" s="95" t="s">
        <v>1675</v>
      </c>
      <c r="D1122" s="95" t="s">
        <v>174</v>
      </c>
      <c r="E1122" s="95" t="s">
        <v>419</v>
      </c>
      <c r="F1122" s="95" t="s">
        <v>738</v>
      </c>
      <c r="G1122" s="9">
        <v>450000.0</v>
      </c>
      <c r="H1122" s="95" t="s">
        <v>530</v>
      </c>
      <c r="I1122" s="13">
        <f t="shared" si="53"/>
        <v>45000</v>
      </c>
      <c r="J1122" s="97" t="s">
        <v>1424</v>
      </c>
      <c r="K1122" s="98"/>
      <c r="L1122" s="98"/>
    </row>
    <row r="1123">
      <c r="B1123" s="95" t="s">
        <v>526</v>
      </c>
      <c r="C1123" s="95" t="s">
        <v>1203</v>
      </c>
      <c r="D1123" s="95" t="s">
        <v>174</v>
      </c>
      <c r="E1123" s="95" t="s">
        <v>419</v>
      </c>
      <c r="F1123" s="95" t="s">
        <v>738</v>
      </c>
      <c r="G1123" s="9">
        <v>350000.0</v>
      </c>
      <c r="H1123" s="95" t="s">
        <v>530</v>
      </c>
      <c r="I1123" s="13">
        <f t="shared" si="53"/>
        <v>35000</v>
      </c>
      <c r="J1123" s="97" t="s">
        <v>1424</v>
      </c>
      <c r="K1123" s="98"/>
      <c r="L1123" s="98"/>
    </row>
    <row r="1124">
      <c r="B1124" s="95" t="s">
        <v>526</v>
      </c>
      <c r="C1124" s="95" t="s">
        <v>1159</v>
      </c>
      <c r="D1124" s="95" t="s">
        <v>174</v>
      </c>
      <c r="E1124" s="95" t="s">
        <v>419</v>
      </c>
      <c r="F1124" s="95" t="s">
        <v>738</v>
      </c>
      <c r="G1124" s="9">
        <v>275000.0</v>
      </c>
      <c r="H1124" s="95" t="s">
        <v>530</v>
      </c>
      <c r="I1124" s="13">
        <f t="shared" si="53"/>
        <v>27500</v>
      </c>
      <c r="J1124" s="97" t="s">
        <v>1424</v>
      </c>
      <c r="K1124" s="98"/>
      <c r="L1124" s="98"/>
    </row>
    <row r="1125">
      <c r="B1125" s="95" t="s">
        <v>526</v>
      </c>
      <c r="C1125" s="95" t="s">
        <v>1204</v>
      </c>
      <c r="D1125" s="95" t="s">
        <v>174</v>
      </c>
      <c r="E1125" s="95" t="s">
        <v>419</v>
      </c>
      <c r="F1125" s="95" t="s">
        <v>738</v>
      </c>
      <c r="G1125" s="9">
        <v>250000.0</v>
      </c>
      <c r="H1125" s="95" t="s">
        <v>530</v>
      </c>
      <c r="I1125" s="13">
        <f t="shared" si="53"/>
        <v>25000</v>
      </c>
      <c r="J1125" s="97" t="s">
        <v>1424</v>
      </c>
      <c r="K1125" s="98"/>
      <c r="L1125" s="98"/>
    </row>
    <row r="1126">
      <c r="B1126" s="95" t="s">
        <v>526</v>
      </c>
      <c r="C1126" s="95" t="s">
        <v>1234</v>
      </c>
      <c r="D1126" s="95" t="s">
        <v>174</v>
      </c>
      <c r="E1126" s="95" t="s">
        <v>419</v>
      </c>
      <c r="F1126" s="95" t="s">
        <v>738</v>
      </c>
      <c r="G1126" s="9">
        <v>200000.0</v>
      </c>
      <c r="H1126" s="95" t="s">
        <v>530</v>
      </c>
      <c r="I1126" s="13">
        <f t="shared" si="53"/>
        <v>20000</v>
      </c>
      <c r="J1126" s="97" t="s">
        <v>1424</v>
      </c>
      <c r="K1126" s="98"/>
      <c r="L1126" s="98"/>
    </row>
    <row r="1127">
      <c r="B1127" s="95" t="s">
        <v>526</v>
      </c>
      <c r="C1127" s="95" t="s">
        <v>1198</v>
      </c>
      <c r="D1127" s="95" t="s">
        <v>174</v>
      </c>
      <c r="E1127" s="95" t="s">
        <v>419</v>
      </c>
      <c r="F1127" s="95" t="s">
        <v>763</v>
      </c>
      <c r="G1127" s="9">
        <f>150000*0.85</f>
        <v>127500</v>
      </c>
      <c r="H1127" s="95" t="s">
        <v>530</v>
      </c>
      <c r="I1127" s="13">
        <f t="shared" si="53"/>
        <v>12750</v>
      </c>
      <c r="J1127" s="97" t="s">
        <v>1676</v>
      </c>
      <c r="K1127" s="98"/>
      <c r="L1127" s="97" t="s">
        <v>1199</v>
      </c>
    </row>
    <row r="1128">
      <c r="B1128" s="95" t="s">
        <v>526</v>
      </c>
      <c r="C1128" s="95" t="s">
        <v>1198</v>
      </c>
      <c r="D1128" s="95" t="s">
        <v>174</v>
      </c>
      <c r="E1128" s="95" t="s">
        <v>419</v>
      </c>
      <c r="F1128" s="95" t="s">
        <v>738</v>
      </c>
      <c r="G1128" s="9">
        <v>150000.0</v>
      </c>
      <c r="H1128" s="95" t="s">
        <v>530</v>
      </c>
      <c r="I1128" s="13">
        <f t="shared" si="53"/>
        <v>15000</v>
      </c>
      <c r="J1128" s="97" t="s">
        <v>1424</v>
      </c>
      <c r="K1128" s="98"/>
      <c r="L1128" s="98"/>
    </row>
    <row r="1129">
      <c r="B1129" s="95" t="s">
        <v>526</v>
      </c>
      <c r="C1129" s="95" t="s">
        <v>1162</v>
      </c>
      <c r="D1129" s="95" t="s">
        <v>174</v>
      </c>
      <c r="E1129" s="95" t="s">
        <v>419</v>
      </c>
      <c r="F1129" s="95" t="s">
        <v>738</v>
      </c>
      <c r="G1129" s="9">
        <v>150000.0</v>
      </c>
      <c r="H1129" s="95" t="s">
        <v>530</v>
      </c>
      <c r="I1129" s="13">
        <f t="shared" si="53"/>
        <v>15000</v>
      </c>
      <c r="J1129" s="97" t="s">
        <v>1424</v>
      </c>
      <c r="K1129" s="98"/>
      <c r="L1129" s="98"/>
    </row>
    <row r="1130">
      <c r="B1130" s="95" t="s">
        <v>526</v>
      </c>
      <c r="C1130" s="95" t="s">
        <v>1677</v>
      </c>
      <c r="D1130" s="95" t="s">
        <v>174</v>
      </c>
      <c r="E1130" s="95" t="s">
        <v>419</v>
      </c>
      <c r="F1130" s="95" t="s">
        <v>738</v>
      </c>
      <c r="G1130" s="9">
        <v>1000000.0</v>
      </c>
      <c r="H1130" s="95" t="s">
        <v>530</v>
      </c>
      <c r="I1130" s="13">
        <f t="shared" si="53"/>
        <v>100000</v>
      </c>
      <c r="J1130" s="97" t="s">
        <v>1424</v>
      </c>
      <c r="K1130" s="98"/>
      <c r="L1130" s="98"/>
    </row>
    <row r="1131">
      <c r="B1131" s="95" t="s">
        <v>526</v>
      </c>
      <c r="C1131" s="95" t="s">
        <v>602</v>
      </c>
      <c r="D1131" s="95" t="s">
        <v>174</v>
      </c>
      <c r="E1131" s="95" t="s">
        <v>419</v>
      </c>
      <c r="F1131" s="95" t="s">
        <v>738</v>
      </c>
      <c r="G1131" s="9">
        <v>900000.0</v>
      </c>
      <c r="H1131" s="95" t="s">
        <v>530</v>
      </c>
      <c r="I1131" s="13">
        <f t="shared" si="53"/>
        <v>90000</v>
      </c>
      <c r="J1131" s="97" t="s">
        <v>1424</v>
      </c>
      <c r="K1131" s="98"/>
      <c r="L1131" s="98"/>
    </row>
    <row r="1132">
      <c r="B1132" s="95" t="s">
        <v>526</v>
      </c>
      <c r="C1132" s="95" t="s">
        <v>1194</v>
      </c>
      <c r="D1132" s="95" t="s">
        <v>174</v>
      </c>
      <c r="E1132" s="95" t="s">
        <v>419</v>
      </c>
      <c r="F1132" s="95" t="s">
        <v>738</v>
      </c>
      <c r="G1132" s="9">
        <v>1200000.0</v>
      </c>
      <c r="H1132" s="95" t="s">
        <v>530</v>
      </c>
      <c r="I1132" s="13">
        <f t="shared" si="53"/>
        <v>120000</v>
      </c>
      <c r="J1132" s="97" t="s">
        <v>1424</v>
      </c>
      <c r="K1132" s="98"/>
      <c r="L1132" s="98"/>
    </row>
    <row r="1133">
      <c r="B1133" s="95" t="s">
        <v>526</v>
      </c>
      <c r="C1133" s="95" t="s">
        <v>1084</v>
      </c>
      <c r="D1133" s="95" t="s">
        <v>174</v>
      </c>
      <c r="E1133" s="95" t="s">
        <v>419</v>
      </c>
      <c r="F1133" s="95" t="s">
        <v>738</v>
      </c>
      <c r="G1133" s="9">
        <v>800000.0</v>
      </c>
      <c r="H1133" s="95" t="s">
        <v>530</v>
      </c>
      <c r="I1133" s="13">
        <f t="shared" si="53"/>
        <v>80000</v>
      </c>
      <c r="J1133" s="97" t="s">
        <v>1678</v>
      </c>
      <c r="K1133" s="98"/>
      <c r="L1133" s="98"/>
    </row>
    <row r="1134">
      <c r="B1134" s="95" t="s">
        <v>526</v>
      </c>
      <c r="C1134" s="95" t="s">
        <v>829</v>
      </c>
      <c r="D1134" s="95" t="s">
        <v>114</v>
      </c>
      <c r="E1134" s="95" t="s">
        <v>370</v>
      </c>
      <c r="F1134" s="95" t="s">
        <v>650</v>
      </c>
      <c r="G1134" s="9">
        <v>250000.0</v>
      </c>
      <c r="H1134" s="95" t="s">
        <v>530</v>
      </c>
      <c r="I1134" s="13">
        <f t="shared" si="53"/>
        <v>25000</v>
      </c>
      <c r="J1134" s="97" t="s">
        <v>1679</v>
      </c>
      <c r="K1134" s="97" t="s">
        <v>1680</v>
      </c>
      <c r="L1134" s="98"/>
    </row>
    <row r="1135">
      <c r="B1135" s="95" t="s">
        <v>526</v>
      </c>
      <c r="C1135" s="95" t="s">
        <v>1681</v>
      </c>
      <c r="D1135" s="95" t="s">
        <v>114</v>
      </c>
      <c r="E1135" s="95" t="s">
        <v>370</v>
      </c>
      <c r="F1135" s="95" t="s">
        <v>650</v>
      </c>
      <c r="G1135" s="9">
        <v>200000.0</v>
      </c>
      <c r="H1135" s="95" t="s">
        <v>530</v>
      </c>
      <c r="I1135" s="13">
        <f t="shared" si="53"/>
        <v>20000</v>
      </c>
      <c r="J1135" s="97" t="s">
        <v>1682</v>
      </c>
      <c r="K1135" s="98"/>
      <c r="L1135" s="98"/>
    </row>
    <row r="1136">
      <c r="B1136" s="95" t="s">
        <v>526</v>
      </c>
      <c r="C1136" s="95" t="s">
        <v>1683</v>
      </c>
      <c r="D1136" s="95" t="s">
        <v>114</v>
      </c>
      <c r="E1136" s="95" t="s">
        <v>370</v>
      </c>
      <c r="F1136" s="95" t="s">
        <v>650</v>
      </c>
      <c r="G1136" s="9">
        <v>354000.0</v>
      </c>
      <c r="H1136" s="95" t="s">
        <v>530</v>
      </c>
      <c r="I1136" s="13">
        <f t="shared" si="53"/>
        <v>35400</v>
      </c>
      <c r="J1136" s="97" t="s">
        <v>1684</v>
      </c>
      <c r="K1136" s="97" t="s">
        <v>1685</v>
      </c>
      <c r="L1136" s="98"/>
    </row>
    <row r="1137">
      <c r="B1137" s="95" t="s">
        <v>526</v>
      </c>
      <c r="C1137" s="95" t="s">
        <v>1514</v>
      </c>
      <c r="D1137" s="95" t="s">
        <v>826</v>
      </c>
      <c r="E1137" s="95" t="s">
        <v>1175</v>
      </c>
      <c r="F1137" s="95" t="s">
        <v>543</v>
      </c>
      <c r="G1137" s="9">
        <f>0.87*1500000</f>
        <v>1305000</v>
      </c>
      <c r="H1137" s="95" t="s">
        <v>530</v>
      </c>
      <c r="I1137" s="13">
        <f t="shared" si="53"/>
        <v>130500</v>
      </c>
      <c r="J1137" s="97" t="s">
        <v>1686</v>
      </c>
      <c r="K1137" s="98"/>
      <c r="L1137" s="98"/>
    </row>
    <row r="1138">
      <c r="B1138" s="95" t="s">
        <v>526</v>
      </c>
      <c r="C1138" s="95" t="s">
        <v>1687</v>
      </c>
      <c r="D1138" s="95" t="s">
        <v>88</v>
      </c>
      <c r="E1138" s="95" t="s">
        <v>422</v>
      </c>
      <c r="F1138" s="95" t="s">
        <v>543</v>
      </c>
      <c r="G1138" s="9">
        <f>0.87*200000</f>
        <v>174000</v>
      </c>
      <c r="H1138" s="95" t="s">
        <v>530</v>
      </c>
      <c r="I1138" s="13">
        <f t="shared" si="53"/>
        <v>17400</v>
      </c>
      <c r="J1138" s="97" t="s">
        <v>1688</v>
      </c>
      <c r="K1138" s="98"/>
      <c r="L1138" s="98"/>
    </row>
    <row r="1139">
      <c r="B1139" s="95" t="s">
        <v>526</v>
      </c>
      <c r="C1139" s="95" t="s">
        <v>1478</v>
      </c>
      <c r="D1139" s="95" t="s">
        <v>195</v>
      </c>
      <c r="E1139" s="5" t="s">
        <v>466</v>
      </c>
      <c r="F1139" s="95" t="s">
        <v>763</v>
      </c>
      <c r="G1139" s="9">
        <f>225000*0.85</f>
        <v>191250</v>
      </c>
      <c r="H1139" s="95" t="s">
        <v>530</v>
      </c>
      <c r="I1139" s="13">
        <f t="shared" si="53"/>
        <v>19125</v>
      </c>
      <c r="J1139" s="97" t="s">
        <v>1479</v>
      </c>
      <c r="K1139" s="98"/>
      <c r="L1139" s="98"/>
    </row>
    <row r="1140">
      <c r="B1140" s="95" t="s">
        <v>526</v>
      </c>
      <c r="C1140" s="95" t="s">
        <v>1689</v>
      </c>
      <c r="D1140" s="95" t="s">
        <v>195</v>
      </c>
      <c r="E1140" s="5" t="s">
        <v>364</v>
      </c>
      <c r="F1140" s="95" t="s">
        <v>799</v>
      </c>
      <c r="G1140" s="9">
        <f>0.9*445000</f>
        <v>400500</v>
      </c>
      <c r="H1140" s="95" t="s">
        <v>530</v>
      </c>
      <c r="I1140" s="13">
        <f t="shared" si="53"/>
        <v>40050</v>
      </c>
      <c r="J1140" s="97" t="s">
        <v>1690</v>
      </c>
      <c r="K1140" s="98"/>
      <c r="L1140" s="98"/>
    </row>
    <row r="1141">
      <c r="B1141" s="95" t="s">
        <v>526</v>
      </c>
      <c r="C1141" s="95" t="s">
        <v>955</v>
      </c>
      <c r="D1141" s="95" t="s">
        <v>1473</v>
      </c>
      <c r="E1141" s="95" t="s">
        <v>1691</v>
      </c>
      <c r="F1141" s="95" t="s">
        <v>738</v>
      </c>
      <c r="G1141" s="9">
        <v>230000.0</v>
      </c>
      <c r="H1141" s="95" t="s">
        <v>530</v>
      </c>
      <c r="I1141" s="13">
        <f t="shared" si="53"/>
        <v>23000</v>
      </c>
      <c r="J1141" s="97" t="s">
        <v>1692</v>
      </c>
      <c r="K1141" s="98"/>
      <c r="L1141" s="98"/>
    </row>
    <row r="1142">
      <c r="B1142" s="95" t="s">
        <v>526</v>
      </c>
      <c r="C1142" s="95" t="s">
        <v>1003</v>
      </c>
      <c r="D1142" s="95" t="s">
        <v>174</v>
      </c>
      <c r="E1142" s="95" t="s">
        <v>1693</v>
      </c>
      <c r="F1142" s="95" t="s">
        <v>763</v>
      </c>
      <c r="G1142" s="9">
        <f>0.85*130000</f>
        <v>110500</v>
      </c>
      <c r="H1142" s="95" t="s">
        <v>530</v>
      </c>
      <c r="I1142" s="13">
        <f t="shared" si="53"/>
        <v>11050</v>
      </c>
      <c r="J1142" s="97" t="s">
        <v>1694</v>
      </c>
      <c r="K1142" s="98"/>
      <c r="L1142" s="98"/>
    </row>
    <row r="1143">
      <c r="B1143" s="95" t="s">
        <v>526</v>
      </c>
      <c r="C1143" s="95" t="s">
        <v>1695</v>
      </c>
      <c r="D1143" s="95" t="s">
        <v>826</v>
      </c>
      <c r="E1143" s="95" t="s">
        <v>1175</v>
      </c>
      <c r="F1143" s="95" t="s">
        <v>529</v>
      </c>
      <c r="G1143" s="9">
        <f>0.9*1800000</f>
        <v>1620000</v>
      </c>
      <c r="H1143" s="95" t="s">
        <v>530</v>
      </c>
      <c r="I1143" s="13">
        <f t="shared" si="53"/>
        <v>162000</v>
      </c>
      <c r="J1143" s="97" t="s">
        <v>1694</v>
      </c>
      <c r="K1143" s="98"/>
      <c r="L1143" s="98"/>
    </row>
    <row r="1144">
      <c r="B1144" s="95" t="s">
        <v>526</v>
      </c>
      <c r="C1144" s="95" t="s">
        <v>1695</v>
      </c>
      <c r="D1144" s="95" t="s">
        <v>826</v>
      </c>
      <c r="E1144" s="95" t="s">
        <v>1175</v>
      </c>
      <c r="F1144" s="95" t="s">
        <v>543</v>
      </c>
      <c r="G1144" s="9">
        <f>0.87*1800000</f>
        <v>1566000</v>
      </c>
      <c r="H1144" s="95" t="s">
        <v>530</v>
      </c>
      <c r="I1144" s="13">
        <f t="shared" si="53"/>
        <v>156600</v>
      </c>
      <c r="J1144" s="97" t="s">
        <v>1694</v>
      </c>
      <c r="K1144" s="98"/>
      <c r="L1144" s="98"/>
    </row>
    <row r="1145">
      <c r="B1145" s="95" t="s">
        <v>526</v>
      </c>
      <c r="C1145" s="138" t="s">
        <v>1696</v>
      </c>
      <c r="D1145" s="144" t="s">
        <v>826</v>
      </c>
      <c r="E1145" s="144" t="s">
        <v>1175</v>
      </c>
      <c r="F1145" s="138" t="s">
        <v>529</v>
      </c>
      <c r="G1145" s="140">
        <v>750000.0</v>
      </c>
      <c r="H1145" s="144" t="s">
        <v>530</v>
      </c>
      <c r="I1145" s="13">
        <f t="shared" si="53"/>
        <v>75000</v>
      </c>
      <c r="J1145" s="145" t="s">
        <v>1697</v>
      </c>
      <c r="K1145" s="146"/>
      <c r="L1145" s="98"/>
    </row>
    <row r="1146">
      <c r="B1146" s="95" t="s">
        <v>526</v>
      </c>
      <c r="C1146" s="138" t="s">
        <v>1696</v>
      </c>
      <c r="D1146" s="144" t="s">
        <v>826</v>
      </c>
      <c r="E1146" s="144" t="s">
        <v>1175</v>
      </c>
      <c r="F1146" s="138" t="s">
        <v>543</v>
      </c>
      <c r="G1146" s="140">
        <v>800000.0</v>
      </c>
      <c r="H1146" s="144" t="s">
        <v>530</v>
      </c>
      <c r="I1146" s="13">
        <f t="shared" si="53"/>
        <v>80000</v>
      </c>
      <c r="J1146" s="145" t="s">
        <v>1697</v>
      </c>
      <c r="K1146" s="146"/>
      <c r="L1146" s="98"/>
    </row>
    <row r="1147">
      <c r="B1147" s="95" t="s">
        <v>526</v>
      </c>
      <c r="C1147" s="95" t="s">
        <v>832</v>
      </c>
      <c r="D1147" s="95" t="s">
        <v>195</v>
      </c>
      <c r="E1147" s="95" t="s">
        <v>466</v>
      </c>
      <c r="F1147" s="95" t="s">
        <v>738</v>
      </c>
      <c r="G1147" s="9">
        <v>250000.0</v>
      </c>
      <c r="H1147" s="95" t="s">
        <v>610</v>
      </c>
      <c r="I1147" s="13">
        <f t="shared" ref="I1147:I1148" si="54">G1147/9</f>
        <v>27777.77778</v>
      </c>
      <c r="J1147" s="97" t="s">
        <v>1698</v>
      </c>
      <c r="K1147" s="98"/>
      <c r="L1147" s="98"/>
    </row>
    <row r="1148">
      <c r="B1148" s="95" t="s">
        <v>526</v>
      </c>
      <c r="C1148" s="138" t="s">
        <v>1699</v>
      </c>
      <c r="D1148" s="144" t="s">
        <v>826</v>
      </c>
      <c r="E1148" s="144" t="s">
        <v>950</v>
      </c>
      <c r="F1148" s="138" t="s">
        <v>763</v>
      </c>
      <c r="G1148" s="140">
        <f>0.85*50000*9</f>
        <v>382500</v>
      </c>
      <c r="H1148" s="95" t="s">
        <v>610</v>
      </c>
      <c r="I1148" s="13">
        <f t="shared" si="54"/>
        <v>42500</v>
      </c>
      <c r="J1148" s="145" t="s">
        <v>1700</v>
      </c>
      <c r="K1148" s="146"/>
      <c r="L1148" s="98"/>
    </row>
    <row r="1149">
      <c r="B1149" s="95" t="s">
        <v>526</v>
      </c>
      <c r="C1149" s="95" t="s">
        <v>1505</v>
      </c>
      <c r="D1149" s="95" t="s">
        <v>114</v>
      </c>
      <c r="E1149" s="95" t="s">
        <v>370</v>
      </c>
      <c r="F1149" s="95" t="s">
        <v>650</v>
      </c>
      <c r="G1149" s="9">
        <v>420000.0</v>
      </c>
      <c r="H1149" s="95" t="s">
        <v>530</v>
      </c>
      <c r="I1149" s="13">
        <f t="shared" ref="I1149:I1196" si="55">G1149/10</f>
        <v>42000</v>
      </c>
      <c r="J1149" s="97" t="s">
        <v>1506</v>
      </c>
      <c r="K1149" s="97" t="s">
        <v>964</v>
      </c>
      <c r="L1149" s="98"/>
    </row>
    <row r="1150">
      <c r="B1150" s="95" t="s">
        <v>526</v>
      </c>
      <c r="C1150" s="95" t="s">
        <v>832</v>
      </c>
      <c r="D1150" s="95" t="s">
        <v>114</v>
      </c>
      <c r="E1150" s="95" t="s">
        <v>370</v>
      </c>
      <c r="F1150" s="95" t="s">
        <v>650</v>
      </c>
      <c r="G1150" s="9">
        <v>250000.0</v>
      </c>
      <c r="H1150" s="95" t="s">
        <v>530</v>
      </c>
      <c r="I1150" s="13">
        <f t="shared" si="55"/>
        <v>25000</v>
      </c>
      <c r="J1150" s="97" t="s">
        <v>1668</v>
      </c>
      <c r="K1150" s="98"/>
      <c r="L1150" s="98"/>
    </row>
    <row r="1151">
      <c r="B1151" s="95" t="s">
        <v>526</v>
      </c>
      <c r="C1151" s="95" t="s">
        <v>1701</v>
      </c>
      <c r="D1151" s="95" t="s">
        <v>195</v>
      </c>
      <c r="E1151" s="95" t="s">
        <v>402</v>
      </c>
      <c r="F1151" s="95" t="s">
        <v>920</v>
      </c>
      <c r="G1151" s="9">
        <f>0.9*850000</f>
        <v>765000</v>
      </c>
      <c r="H1151" s="95" t="s">
        <v>530</v>
      </c>
      <c r="I1151" s="13">
        <f t="shared" si="55"/>
        <v>76500</v>
      </c>
      <c r="J1151" s="97" t="s">
        <v>1702</v>
      </c>
      <c r="K1151" s="98"/>
      <c r="L1151" s="98"/>
    </row>
    <row r="1152">
      <c r="B1152" s="95" t="s">
        <v>526</v>
      </c>
      <c r="C1152" s="95" t="s">
        <v>1612</v>
      </c>
      <c r="D1152" s="95" t="s">
        <v>826</v>
      </c>
      <c r="E1152" s="95" t="s">
        <v>1175</v>
      </c>
      <c r="F1152" s="95" t="s">
        <v>543</v>
      </c>
      <c r="G1152" s="9">
        <f>0.87*1250000</f>
        <v>1087500</v>
      </c>
      <c r="H1152" s="95" t="s">
        <v>530</v>
      </c>
      <c r="I1152" s="13">
        <f t="shared" si="55"/>
        <v>108750</v>
      </c>
      <c r="J1152" s="97" t="s">
        <v>1703</v>
      </c>
      <c r="K1152" s="98"/>
      <c r="L1152" s="98"/>
    </row>
    <row r="1153">
      <c r="B1153" s="95" t="s">
        <v>526</v>
      </c>
      <c r="C1153" s="95" t="s">
        <v>1075</v>
      </c>
      <c r="D1153" s="95" t="s">
        <v>195</v>
      </c>
      <c r="E1153" s="95" t="s">
        <v>1704</v>
      </c>
      <c r="F1153" s="95" t="s">
        <v>537</v>
      </c>
      <c r="G1153" s="9">
        <f>150000*0.85</f>
        <v>127500</v>
      </c>
      <c r="H1153" s="95" t="s">
        <v>530</v>
      </c>
      <c r="I1153" s="13">
        <f t="shared" si="55"/>
        <v>12750</v>
      </c>
      <c r="J1153" s="97" t="s">
        <v>1705</v>
      </c>
      <c r="K1153" s="98"/>
      <c r="L1153" s="98"/>
    </row>
    <row r="1154">
      <c r="B1154" s="95" t="s">
        <v>526</v>
      </c>
      <c r="C1154" s="95" t="s">
        <v>1706</v>
      </c>
      <c r="D1154" s="95" t="s">
        <v>195</v>
      </c>
      <c r="E1154" s="5" t="s">
        <v>466</v>
      </c>
      <c r="F1154" s="95" t="s">
        <v>738</v>
      </c>
      <c r="G1154" s="9">
        <v>325000.0</v>
      </c>
      <c r="H1154" s="95" t="s">
        <v>530</v>
      </c>
      <c r="I1154" s="13">
        <f t="shared" si="55"/>
        <v>32500</v>
      </c>
      <c r="J1154" s="97" t="s">
        <v>1707</v>
      </c>
      <c r="K1154" s="98"/>
      <c r="L1154" s="98"/>
    </row>
    <row r="1155">
      <c r="B1155" s="95" t="s">
        <v>526</v>
      </c>
      <c r="C1155" s="95" t="s">
        <v>1577</v>
      </c>
      <c r="D1155" s="95" t="s">
        <v>222</v>
      </c>
      <c r="E1155" s="95" t="s">
        <v>1019</v>
      </c>
      <c r="F1155" s="95" t="s">
        <v>685</v>
      </c>
      <c r="G1155" s="9">
        <v>1760000.0</v>
      </c>
      <c r="H1155" s="95" t="s">
        <v>530</v>
      </c>
      <c r="I1155" s="13">
        <f t="shared" si="55"/>
        <v>176000</v>
      </c>
      <c r="J1155" s="97" t="s">
        <v>1708</v>
      </c>
      <c r="K1155" s="98" t="s">
        <v>1709</v>
      </c>
      <c r="L1155" s="98"/>
    </row>
    <row r="1156">
      <c r="B1156" s="95" t="s">
        <v>526</v>
      </c>
      <c r="C1156" s="95" t="s">
        <v>1373</v>
      </c>
      <c r="D1156" s="95" t="s">
        <v>222</v>
      </c>
      <c r="E1156" s="95" t="s">
        <v>1019</v>
      </c>
      <c r="F1156" s="95" t="s">
        <v>685</v>
      </c>
      <c r="G1156" s="9">
        <v>1500000.0</v>
      </c>
      <c r="H1156" s="95" t="s">
        <v>530</v>
      </c>
      <c r="I1156" s="13">
        <f t="shared" si="55"/>
        <v>150000</v>
      </c>
      <c r="J1156" s="97" t="s">
        <v>1710</v>
      </c>
      <c r="K1156" s="98" t="s">
        <v>1711</v>
      </c>
      <c r="L1156" s="97" t="s">
        <v>1712</v>
      </c>
    </row>
    <row r="1157">
      <c r="B1157" s="95" t="s">
        <v>526</v>
      </c>
      <c r="C1157" s="95" t="s">
        <v>1713</v>
      </c>
      <c r="D1157" s="95" t="s">
        <v>195</v>
      </c>
      <c r="E1157" s="95" t="s">
        <v>434</v>
      </c>
      <c r="F1157" s="95" t="s">
        <v>685</v>
      </c>
      <c r="G1157" s="9">
        <v>1500000.0</v>
      </c>
      <c r="H1157" s="95" t="s">
        <v>530</v>
      </c>
      <c r="I1157" s="13">
        <f t="shared" si="55"/>
        <v>150000</v>
      </c>
      <c r="J1157" s="118" t="s">
        <v>1714</v>
      </c>
      <c r="K1157" s="98" t="s">
        <v>1715</v>
      </c>
      <c r="L1157" s="98"/>
    </row>
    <row r="1158">
      <c r="B1158" s="95" t="s">
        <v>526</v>
      </c>
      <c r="C1158" s="95" t="s">
        <v>597</v>
      </c>
      <c r="D1158" s="95" t="s">
        <v>114</v>
      </c>
      <c r="E1158" s="95" t="s">
        <v>396</v>
      </c>
      <c r="F1158" s="95" t="s">
        <v>685</v>
      </c>
      <c r="G1158" s="9">
        <f>5300000*0.88</f>
        <v>4664000</v>
      </c>
      <c r="H1158" s="95" t="s">
        <v>530</v>
      </c>
      <c r="I1158" s="13">
        <f t="shared" si="55"/>
        <v>466400</v>
      </c>
      <c r="J1158" s="97" t="s">
        <v>547</v>
      </c>
      <c r="K1158" s="97" t="s">
        <v>653</v>
      </c>
      <c r="L1158" s="118" t="s">
        <v>1716</v>
      </c>
    </row>
    <row r="1159">
      <c r="B1159" s="95" t="s">
        <v>526</v>
      </c>
      <c r="C1159" s="95" t="s">
        <v>1717</v>
      </c>
      <c r="D1159" s="95" t="s">
        <v>88</v>
      </c>
      <c r="E1159" s="95" t="s">
        <v>425</v>
      </c>
      <c r="F1159" s="95" t="s">
        <v>650</v>
      </c>
      <c r="G1159" s="9">
        <v>1500000.0</v>
      </c>
      <c r="H1159" s="95" t="s">
        <v>530</v>
      </c>
      <c r="I1159" s="13">
        <f t="shared" si="55"/>
        <v>150000</v>
      </c>
      <c r="J1159" s="97" t="s">
        <v>1718</v>
      </c>
      <c r="K1159" s="98" t="s">
        <v>1719</v>
      </c>
      <c r="L1159" s="98"/>
    </row>
    <row r="1160">
      <c r="B1160" s="95" t="s">
        <v>641</v>
      </c>
      <c r="C1160" s="95" t="s">
        <v>806</v>
      </c>
      <c r="D1160" s="95" t="s">
        <v>69</v>
      </c>
      <c r="E1160" s="95" t="s">
        <v>555</v>
      </c>
      <c r="F1160" s="95" t="s">
        <v>650</v>
      </c>
      <c r="G1160" s="9">
        <v>1000000.0</v>
      </c>
      <c r="H1160" s="95" t="s">
        <v>530</v>
      </c>
      <c r="I1160" s="13">
        <f t="shared" si="55"/>
        <v>100000</v>
      </c>
      <c r="J1160" s="97" t="s">
        <v>1720</v>
      </c>
      <c r="K1160" s="98"/>
      <c r="L1160" s="98"/>
    </row>
    <row r="1161">
      <c r="B1161" s="95" t="s">
        <v>641</v>
      </c>
      <c r="C1161" s="95" t="s">
        <v>1721</v>
      </c>
      <c r="D1161" s="95" t="s">
        <v>69</v>
      </c>
      <c r="E1161" s="95" t="s">
        <v>555</v>
      </c>
      <c r="F1161" s="95" t="s">
        <v>650</v>
      </c>
      <c r="G1161" s="9">
        <v>300000.0</v>
      </c>
      <c r="H1161" s="95" t="s">
        <v>530</v>
      </c>
      <c r="I1161" s="13">
        <f t="shared" si="55"/>
        <v>30000</v>
      </c>
      <c r="J1161" s="98" t="s">
        <v>1722</v>
      </c>
      <c r="K1161" s="98"/>
      <c r="L1161" s="98"/>
    </row>
    <row r="1162">
      <c r="B1162" s="95" t="s">
        <v>641</v>
      </c>
      <c r="C1162" s="95" t="s">
        <v>1723</v>
      </c>
      <c r="D1162" s="95" t="s">
        <v>69</v>
      </c>
      <c r="E1162" s="95" t="s">
        <v>555</v>
      </c>
      <c r="F1162" s="95" t="s">
        <v>643</v>
      </c>
      <c r="G1162" s="9">
        <v>220000.0</v>
      </c>
      <c r="H1162" s="95" t="s">
        <v>530</v>
      </c>
      <c r="I1162" s="13">
        <f t="shared" si="55"/>
        <v>22000</v>
      </c>
      <c r="J1162" s="97" t="s">
        <v>1597</v>
      </c>
      <c r="K1162" s="98"/>
      <c r="L1162" s="98"/>
    </row>
    <row r="1163">
      <c r="B1163" s="139" t="s">
        <v>526</v>
      </c>
      <c r="C1163" s="95" t="s">
        <v>1653</v>
      </c>
      <c r="D1163" s="95" t="s">
        <v>71</v>
      </c>
      <c r="E1163" s="95" t="s">
        <v>97</v>
      </c>
      <c r="F1163" s="95" t="s">
        <v>586</v>
      </c>
      <c r="G1163" s="9">
        <v>100000.0</v>
      </c>
      <c r="H1163" s="139" t="s">
        <v>530</v>
      </c>
      <c r="I1163" s="124">
        <f t="shared" si="55"/>
        <v>10000</v>
      </c>
      <c r="J1163" s="97" t="s">
        <v>1654</v>
      </c>
      <c r="K1163" s="98" t="s">
        <v>1724</v>
      </c>
      <c r="L1163" s="98"/>
    </row>
    <row r="1164">
      <c r="B1164" s="95" t="s">
        <v>526</v>
      </c>
      <c r="C1164" s="95" t="s">
        <v>1533</v>
      </c>
      <c r="D1164" s="95" t="s">
        <v>71</v>
      </c>
      <c r="E1164" s="95" t="s">
        <v>798</v>
      </c>
      <c r="F1164" s="95" t="s">
        <v>650</v>
      </c>
      <c r="G1164" s="9">
        <v>800000.0</v>
      </c>
      <c r="H1164" s="95" t="s">
        <v>530</v>
      </c>
      <c r="I1164" s="13">
        <f t="shared" si="55"/>
        <v>80000</v>
      </c>
      <c r="J1164" s="97" t="s">
        <v>1338</v>
      </c>
      <c r="K1164" s="98"/>
      <c r="L1164" s="98"/>
    </row>
    <row r="1165">
      <c r="B1165" s="95" t="s">
        <v>526</v>
      </c>
      <c r="C1165" s="95" t="s">
        <v>1607</v>
      </c>
      <c r="D1165" s="95" t="s">
        <v>71</v>
      </c>
      <c r="E1165" s="95" t="s">
        <v>798</v>
      </c>
      <c r="F1165" s="95" t="s">
        <v>650</v>
      </c>
      <c r="G1165" s="9">
        <v>500000.0</v>
      </c>
      <c r="H1165" s="95" t="s">
        <v>530</v>
      </c>
      <c r="I1165" s="13">
        <f t="shared" si="55"/>
        <v>50000</v>
      </c>
      <c r="J1165" s="97" t="s">
        <v>1725</v>
      </c>
      <c r="K1165" s="98"/>
      <c r="L1165" s="98"/>
    </row>
    <row r="1166">
      <c r="B1166" s="95" t="s">
        <v>641</v>
      </c>
      <c r="C1166" s="95" t="s">
        <v>806</v>
      </c>
      <c r="D1166" s="95" t="s">
        <v>88</v>
      </c>
      <c r="E1166" s="95" t="s">
        <v>422</v>
      </c>
      <c r="F1166" s="95" t="s">
        <v>529</v>
      </c>
      <c r="G1166" s="9">
        <v>500000.0</v>
      </c>
      <c r="H1166" s="95" t="s">
        <v>530</v>
      </c>
      <c r="I1166" s="13">
        <f t="shared" si="55"/>
        <v>50000</v>
      </c>
      <c r="J1166" s="97" t="s">
        <v>1726</v>
      </c>
      <c r="K1166" s="98"/>
      <c r="L1166" s="98"/>
    </row>
    <row r="1167">
      <c r="B1167" s="95" t="s">
        <v>641</v>
      </c>
      <c r="C1167" s="95" t="s">
        <v>806</v>
      </c>
      <c r="D1167" s="95" t="s">
        <v>88</v>
      </c>
      <c r="E1167" s="95" t="s">
        <v>422</v>
      </c>
      <c r="F1167" s="95" t="s">
        <v>537</v>
      </c>
      <c r="G1167" s="9">
        <v>320000.0</v>
      </c>
      <c r="H1167" s="95" t="s">
        <v>530</v>
      </c>
      <c r="I1167" s="13">
        <f t="shared" si="55"/>
        <v>32000</v>
      </c>
      <c r="J1167" s="97" t="s">
        <v>1726</v>
      </c>
      <c r="K1167" s="98"/>
      <c r="L1167" s="98"/>
    </row>
    <row r="1168">
      <c r="B1168" s="95" t="s">
        <v>526</v>
      </c>
      <c r="C1168" s="95" t="s">
        <v>1032</v>
      </c>
      <c r="D1168" s="95" t="s">
        <v>88</v>
      </c>
      <c r="E1168" s="95" t="s">
        <v>422</v>
      </c>
      <c r="F1168" s="95" t="s">
        <v>586</v>
      </c>
      <c r="G1168" s="9">
        <v>1300000.0</v>
      </c>
      <c r="H1168" s="95" t="s">
        <v>530</v>
      </c>
      <c r="I1168" s="13">
        <f t="shared" si="55"/>
        <v>130000</v>
      </c>
      <c r="J1168" s="97" t="s">
        <v>1727</v>
      </c>
      <c r="K1168" s="98"/>
      <c r="L1168" s="98"/>
    </row>
    <row r="1169">
      <c r="B1169" s="95" t="s">
        <v>526</v>
      </c>
      <c r="C1169" s="95" t="s">
        <v>1362</v>
      </c>
      <c r="D1169" s="95" t="s">
        <v>88</v>
      </c>
      <c r="E1169" s="95" t="s">
        <v>422</v>
      </c>
      <c r="F1169" s="95" t="s">
        <v>586</v>
      </c>
      <c r="G1169" s="9">
        <v>1000000.0</v>
      </c>
      <c r="H1169" s="95" t="s">
        <v>530</v>
      </c>
      <c r="I1169" s="13">
        <f t="shared" si="55"/>
        <v>100000</v>
      </c>
      <c r="J1169" s="97" t="s">
        <v>1727</v>
      </c>
      <c r="K1169" s="98"/>
      <c r="L1169" s="98"/>
    </row>
    <row r="1170">
      <c r="B1170" s="95" t="s">
        <v>526</v>
      </c>
      <c r="C1170" s="95" t="s">
        <v>1358</v>
      </c>
      <c r="D1170" s="95" t="s">
        <v>88</v>
      </c>
      <c r="E1170" s="95" t="s">
        <v>422</v>
      </c>
      <c r="F1170" s="95" t="s">
        <v>586</v>
      </c>
      <c r="G1170" s="9">
        <v>1400000.0</v>
      </c>
      <c r="H1170" s="95" t="s">
        <v>530</v>
      </c>
      <c r="I1170" s="13">
        <f t="shared" si="55"/>
        <v>140000</v>
      </c>
      <c r="J1170" s="97" t="s">
        <v>1727</v>
      </c>
      <c r="K1170" s="98"/>
      <c r="L1170" s="98"/>
    </row>
    <row r="1171">
      <c r="B1171" s="95" t="s">
        <v>526</v>
      </c>
      <c r="C1171" s="95" t="s">
        <v>722</v>
      </c>
      <c r="D1171" s="95" t="s">
        <v>88</v>
      </c>
      <c r="E1171" s="95" t="s">
        <v>422</v>
      </c>
      <c r="F1171" s="95" t="s">
        <v>586</v>
      </c>
      <c r="G1171" s="9">
        <v>1200000.0</v>
      </c>
      <c r="H1171" s="95" t="s">
        <v>530</v>
      </c>
      <c r="I1171" s="13">
        <f t="shared" si="55"/>
        <v>120000</v>
      </c>
      <c r="J1171" s="97" t="s">
        <v>1727</v>
      </c>
      <c r="K1171" s="98"/>
      <c r="L1171" s="98"/>
    </row>
    <row r="1172">
      <c r="B1172" s="95" t="s">
        <v>526</v>
      </c>
      <c r="C1172" s="95" t="s">
        <v>1361</v>
      </c>
      <c r="D1172" s="95" t="s">
        <v>88</v>
      </c>
      <c r="E1172" s="95" t="s">
        <v>422</v>
      </c>
      <c r="F1172" s="95" t="s">
        <v>586</v>
      </c>
      <c r="G1172" s="9">
        <v>1000000.0</v>
      </c>
      <c r="H1172" s="95" t="s">
        <v>530</v>
      </c>
      <c r="I1172" s="13">
        <f t="shared" si="55"/>
        <v>100000</v>
      </c>
      <c r="J1172" s="97" t="s">
        <v>1727</v>
      </c>
      <c r="K1172" s="98"/>
      <c r="L1172" s="98"/>
    </row>
    <row r="1173">
      <c r="B1173" s="95" t="s">
        <v>526</v>
      </c>
      <c r="C1173" s="95" t="s">
        <v>1728</v>
      </c>
      <c r="D1173" s="95" t="s">
        <v>88</v>
      </c>
      <c r="E1173" s="95" t="s">
        <v>422</v>
      </c>
      <c r="F1173" s="95" t="s">
        <v>586</v>
      </c>
      <c r="G1173" s="9">
        <v>300000.0</v>
      </c>
      <c r="H1173" s="95" t="s">
        <v>530</v>
      </c>
      <c r="I1173" s="13">
        <f t="shared" si="55"/>
        <v>30000</v>
      </c>
      <c r="J1173" s="97" t="s">
        <v>1727</v>
      </c>
      <c r="K1173" s="98"/>
      <c r="L1173" s="98"/>
    </row>
    <row r="1174">
      <c r="B1174" s="95" t="s">
        <v>526</v>
      </c>
      <c r="C1174" s="95" t="s">
        <v>1729</v>
      </c>
      <c r="D1174" s="95" t="s">
        <v>88</v>
      </c>
      <c r="E1174" s="95" t="s">
        <v>422</v>
      </c>
      <c r="F1174" s="95" t="s">
        <v>586</v>
      </c>
      <c r="G1174" s="9">
        <v>200000.0</v>
      </c>
      <c r="H1174" s="95" t="s">
        <v>530</v>
      </c>
      <c r="I1174" s="13">
        <f t="shared" si="55"/>
        <v>20000</v>
      </c>
      <c r="J1174" s="97" t="s">
        <v>1727</v>
      </c>
      <c r="K1174" s="98"/>
      <c r="L1174" s="98"/>
    </row>
    <row r="1175">
      <c r="B1175" s="95" t="s">
        <v>526</v>
      </c>
      <c r="C1175" s="95" t="s">
        <v>1730</v>
      </c>
      <c r="D1175" s="95" t="s">
        <v>88</v>
      </c>
      <c r="E1175" s="95" t="s">
        <v>422</v>
      </c>
      <c r="F1175" s="95" t="s">
        <v>586</v>
      </c>
      <c r="G1175" s="9">
        <v>200000.0</v>
      </c>
      <c r="H1175" s="95" t="s">
        <v>530</v>
      </c>
      <c r="I1175" s="13">
        <f t="shared" si="55"/>
        <v>20000</v>
      </c>
      <c r="J1175" s="97" t="s">
        <v>1727</v>
      </c>
      <c r="K1175" s="98"/>
      <c r="L1175" s="98"/>
    </row>
    <row r="1176">
      <c r="B1176" s="95" t="s">
        <v>526</v>
      </c>
      <c r="C1176" s="95" t="s">
        <v>1360</v>
      </c>
      <c r="D1176" s="95" t="s">
        <v>88</v>
      </c>
      <c r="E1176" s="95" t="s">
        <v>422</v>
      </c>
      <c r="F1176" s="95" t="s">
        <v>586</v>
      </c>
      <c r="G1176" s="9">
        <v>800000.0</v>
      </c>
      <c r="H1176" s="95" t="s">
        <v>530</v>
      </c>
      <c r="I1176" s="13">
        <f t="shared" si="55"/>
        <v>80000</v>
      </c>
      <c r="J1176" s="97" t="s">
        <v>1727</v>
      </c>
      <c r="K1176" s="98"/>
      <c r="L1176" s="98"/>
    </row>
    <row r="1177">
      <c r="B1177" s="95" t="s">
        <v>526</v>
      </c>
      <c r="C1177" s="95" t="s">
        <v>1731</v>
      </c>
      <c r="D1177" s="95" t="s">
        <v>88</v>
      </c>
      <c r="E1177" s="95" t="s">
        <v>422</v>
      </c>
      <c r="F1177" s="95" t="s">
        <v>586</v>
      </c>
      <c r="G1177" s="9">
        <v>500000.0</v>
      </c>
      <c r="H1177" s="95" t="s">
        <v>530</v>
      </c>
      <c r="I1177" s="13">
        <f t="shared" si="55"/>
        <v>50000</v>
      </c>
      <c r="J1177" s="97" t="s">
        <v>1727</v>
      </c>
      <c r="K1177" s="98"/>
      <c r="L1177" s="98"/>
    </row>
    <row r="1178">
      <c r="B1178" s="95" t="s">
        <v>526</v>
      </c>
      <c r="C1178" s="95" t="s">
        <v>1352</v>
      </c>
      <c r="D1178" s="95" t="s">
        <v>88</v>
      </c>
      <c r="E1178" s="95" t="s">
        <v>422</v>
      </c>
      <c r="F1178" s="95" t="s">
        <v>586</v>
      </c>
      <c r="G1178" s="9">
        <v>1000000.0</v>
      </c>
      <c r="H1178" s="95" t="s">
        <v>530</v>
      </c>
      <c r="I1178" s="13">
        <f t="shared" si="55"/>
        <v>100000</v>
      </c>
      <c r="J1178" s="97" t="s">
        <v>1727</v>
      </c>
      <c r="K1178" s="98"/>
      <c r="L1178" s="98"/>
    </row>
    <row r="1179">
      <c r="B1179" s="95" t="s">
        <v>526</v>
      </c>
      <c r="C1179" s="95" t="s">
        <v>1357</v>
      </c>
      <c r="D1179" s="95" t="s">
        <v>88</v>
      </c>
      <c r="E1179" s="95" t="s">
        <v>422</v>
      </c>
      <c r="F1179" s="95" t="s">
        <v>586</v>
      </c>
      <c r="G1179" s="9">
        <v>900000.0</v>
      </c>
      <c r="H1179" s="95" t="s">
        <v>530</v>
      </c>
      <c r="I1179" s="13">
        <f t="shared" si="55"/>
        <v>90000</v>
      </c>
      <c r="J1179" s="97" t="s">
        <v>1727</v>
      </c>
      <c r="K1179" s="98"/>
      <c r="L1179" s="98"/>
    </row>
    <row r="1180">
      <c r="B1180" s="95" t="s">
        <v>526</v>
      </c>
      <c r="C1180" s="95" t="s">
        <v>1732</v>
      </c>
      <c r="D1180" s="95" t="s">
        <v>88</v>
      </c>
      <c r="E1180" s="95" t="s">
        <v>422</v>
      </c>
      <c r="F1180" s="95" t="s">
        <v>586</v>
      </c>
      <c r="G1180" s="9">
        <v>200000.0</v>
      </c>
      <c r="H1180" s="95" t="s">
        <v>530</v>
      </c>
      <c r="I1180" s="13">
        <f t="shared" si="55"/>
        <v>20000</v>
      </c>
      <c r="J1180" s="97" t="s">
        <v>1727</v>
      </c>
      <c r="K1180" s="98"/>
      <c r="L1180" s="98"/>
    </row>
    <row r="1181">
      <c r="B1181" s="95" t="s">
        <v>526</v>
      </c>
      <c r="C1181" s="95" t="s">
        <v>1733</v>
      </c>
      <c r="D1181" s="95" t="s">
        <v>88</v>
      </c>
      <c r="E1181" s="95" t="s">
        <v>422</v>
      </c>
      <c r="F1181" s="95" t="s">
        <v>586</v>
      </c>
      <c r="G1181" s="9">
        <v>700000.0</v>
      </c>
      <c r="H1181" s="95" t="s">
        <v>530</v>
      </c>
      <c r="I1181" s="13">
        <f t="shared" si="55"/>
        <v>70000</v>
      </c>
      <c r="J1181" s="97" t="s">
        <v>1727</v>
      </c>
      <c r="K1181" s="98"/>
      <c r="L1181" s="98"/>
    </row>
    <row r="1182">
      <c r="B1182" s="95" t="s">
        <v>526</v>
      </c>
      <c r="C1182" s="95" t="s">
        <v>732</v>
      </c>
      <c r="D1182" s="139" t="s">
        <v>88</v>
      </c>
      <c r="E1182" s="139" t="s">
        <v>422</v>
      </c>
      <c r="F1182" s="139" t="s">
        <v>586</v>
      </c>
      <c r="G1182" s="9">
        <v>1000000.0</v>
      </c>
      <c r="H1182" s="95" t="s">
        <v>530</v>
      </c>
      <c r="I1182" s="13">
        <f t="shared" si="55"/>
        <v>100000</v>
      </c>
      <c r="J1182" s="97" t="s">
        <v>1727</v>
      </c>
      <c r="K1182" s="98"/>
      <c r="L1182" s="98"/>
    </row>
    <row r="1183">
      <c r="B1183" s="95" t="s">
        <v>526</v>
      </c>
      <c r="C1183" s="95" t="s">
        <v>1339</v>
      </c>
      <c r="D1183" s="95" t="s">
        <v>88</v>
      </c>
      <c r="E1183" s="95" t="s">
        <v>425</v>
      </c>
      <c r="F1183" s="95" t="s">
        <v>586</v>
      </c>
      <c r="G1183" s="9">
        <v>1300000.0</v>
      </c>
      <c r="H1183" s="95" t="s">
        <v>530</v>
      </c>
      <c r="I1183" s="13">
        <f t="shared" si="55"/>
        <v>130000</v>
      </c>
      <c r="J1183" s="118" t="s">
        <v>1734</v>
      </c>
      <c r="K1183" s="98" t="s">
        <v>1468</v>
      </c>
      <c r="L1183" s="97" t="s">
        <v>1727</v>
      </c>
    </row>
    <row r="1184">
      <c r="B1184" s="95" t="s">
        <v>526</v>
      </c>
      <c r="C1184" s="95" t="s">
        <v>1429</v>
      </c>
      <c r="D1184" s="95" t="s">
        <v>88</v>
      </c>
      <c r="E1184" s="95" t="s">
        <v>425</v>
      </c>
      <c r="F1184" s="95" t="s">
        <v>586</v>
      </c>
      <c r="G1184" s="9">
        <v>1000000.0</v>
      </c>
      <c r="H1184" s="95" t="s">
        <v>530</v>
      </c>
      <c r="I1184" s="13">
        <f t="shared" si="55"/>
        <v>100000</v>
      </c>
      <c r="J1184" s="118" t="s">
        <v>1734</v>
      </c>
      <c r="K1184" s="98" t="s">
        <v>1468</v>
      </c>
      <c r="L1184" s="97" t="s">
        <v>1727</v>
      </c>
    </row>
    <row r="1185">
      <c r="B1185" s="95" t="s">
        <v>526</v>
      </c>
      <c r="C1185" s="95" t="s">
        <v>1399</v>
      </c>
      <c r="D1185" s="95" t="s">
        <v>88</v>
      </c>
      <c r="E1185" s="95" t="s">
        <v>425</v>
      </c>
      <c r="F1185" s="95" t="s">
        <v>586</v>
      </c>
      <c r="G1185" s="9">
        <v>500000.0</v>
      </c>
      <c r="H1185" s="95" t="s">
        <v>530</v>
      </c>
      <c r="I1185" s="13">
        <f t="shared" si="55"/>
        <v>50000</v>
      </c>
      <c r="J1185" s="118" t="s">
        <v>1734</v>
      </c>
      <c r="K1185" s="98" t="s">
        <v>1468</v>
      </c>
      <c r="L1185" s="97" t="s">
        <v>1727</v>
      </c>
    </row>
    <row r="1186">
      <c r="B1186" s="95" t="s">
        <v>526</v>
      </c>
      <c r="C1186" s="95" t="s">
        <v>1735</v>
      </c>
      <c r="D1186" s="95" t="s">
        <v>88</v>
      </c>
      <c r="E1186" s="95" t="s">
        <v>425</v>
      </c>
      <c r="F1186" s="95" t="s">
        <v>586</v>
      </c>
      <c r="G1186" s="9">
        <v>700000.0</v>
      </c>
      <c r="H1186" s="95" t="s">
        <v>530</v>
      </c>
      <c r="I1186" s="13">
        <f t="shared" si="55"/>
        <v>70000</v>
      </c>
      <c r="J1186" s="118" t="s">
        <v>1734</v>
      </c>
      <c r="K1186" s="98" t="s">
        <v>1468</v>
      </c>
      <c r="L1186" s="97" t="s">
        <v>1727</v>
      </c>
    </row>
    <row r="1187">
      <c r="B1187" s="95" t="s">
        <v>526</v>
      </c>
      <c r="C1187" s="95" t="s">
        <v>1736</v>
      </c>
      <c r="D1187" s="95" t="s">
        <v>88</v>
      </c>
      <c r="E1187" s="95" t="s">
        <v>425</v>
      </c>
      <c r="F1187" s="95" t="s">
        <v>586</v>
      </c>
      <c r="G1187" s="9">
        <f>1400000*0.92</f>
        <v>1288000</v>
      </c>
      <c r="H1187" s="95" t="s">
        <v>530</v>
      </c>
      <c r="I1187" s="13">
        <f t="shared" si="55"/>
        <v>128800</v>
      </c>
      <c r="J1187" s="118" t="s">
        <v>1727</v>
      </c>
      <c r="K1187" s="97" t="s">
        <v>1737</v>
      </c>
      <c r="L1187" s="98"/>
    </row>
    <row r="1188">
      <c r="B1188" s="95" t="s">
        <v>526</v>
      </c>
      <c r="C1188" s="95" t="s">
        <v>1391</v>
      </c>
      <c r="D1188" s="95" t="s">
        <v>88</v>
      </c>
      <c r="E1188" s="95" t="s">
        <v>425</v>
      </c>
      <c r="F1188" s="95" t="s">
        <v>586</v>
      </c>
      <c r="G1188" s="9">
        <v>700000.0</v>
      </c>
      <c r="H1188" s="95" t="s">
        <v>530</v>
      </c>
      <c r="I1188" s="13">
        <f t="shared" si="55"/>
        <v>70000</v>
      </c>
      <c r="J1188" s="118" t="s">
        <v>1734</v>
      </c>
      <c r="K1188" s="98" t="s">
        <v>1468</v>
      </c>
      <c r="L1188" s="97" t="s">
        <v>1727</v>
      </c>
    </row>
    <row r="1189">
      <c r="B1189" s="95" t="s">
        <v>526</v>
      </c>
      <c r="C1189" s="95" t="s">
        <v>1339</v>
      </c>
      <c r="D1189" s="95" t="s">
        <v>88</v>
      </c>
      <c r="E1189" s="95" t="s">
        <v>425</v>
      </c>
      <c r="F1189" s="95" t="s">
        <v>643</v>
      </c>
      <c r="G1189" s="9">
        <v>1300000.0</v>
      </c>
      <c r="H1189" s="95" t="s">
        <v>530</v>
      </c>
      <c r="I1189" s="13">
        <f t="shared" si="55"/>
        <v>130000</v>
      </c>
      <c r="J1189" s="118" t="s">
        <v>1734</v>
      </c>
      <c r="K1189" s="98" t="s">
        <v>1468</v>
      </c>
      <c r="L1189" s="98"/>
    </row>
    <row r="1190">
      <c r="B1190" s="95" t="s">
        <v>526</v>
      </c>
      <c r="C1190" s="95" t="s">
        <v>1339</v>
      </c>
      <c r="D1190" s="95" t="s">
        <v>88</v>
      </c>
      <c r="E1190" s="95" t="s">
        <v>425</v>
      </c>
      <c r="F1190" s="95" t="s">
        <v>738</v>
      </c>
      <c r="G1190" s="9">
        <v>1300000.0</v>
      </c>
      <c r="H1190" s="95" t="s">
        <v>530</v>
      </c>
      <c r="I1190" s="13">
        <f t="shared" si="55"/>
        <v>130000</v>
      </c>
      <c r="J1190" s="118" t="s">
        <v>1734</v>
      </c>
      <c r="K1190" s="98" t="s">
        <v>1468</v>
      </c>
      <c r="L1190" s="98"/>
    </row>
    <row r="1191">
      <c r="B1191" s="95" t="s">
        <v>526</v>
      </c>
      <c r="C1191" s="95" t="s">
        <v>1738</v>
      </c>
      <c r="D1191" s="95" t="s">
        <v>88</v>
      </c>
      <c r="E1191" s="95" t="s">
        <v>425</v>
      </c>
      <c r="F1191" s="95" t="s">
        <v>586</v>
      </c>
      <c r="G1191" s="9">
        <v>750000.0</v>
      </c>
      <c r="H1191" s="95" t="s">
        <v>530</v>
      </c>
      <c r="I1191" s="13">
        <f t="shared" si="55"/>
        <v>75000</v>
      </c>
      <c r="J1191" s="118" t="s">
        <v>1727</v>
      </c>
      <c r="K1191" s="98"/>
      <c r="L1191" s="98"/>
    </row>
    <row r="1192">
      <c r="B1192" s="95" t="s">
        <v>526</v>
      </c>
      <c r="C1192" s="95" t="s">
        <v>1422</v>
      </c>
      <c r="D1192" s="95" t="s">
        <v>88</v>
      </c>
      <c r="E1192" s="95" t="s">
        <v>425</v>
      </c>
      <c r="F1192" s="95" t="s">
        <v>586</v>
      </c>
      <c r="G1192" s="9">
        <v>1500000.0</v>
      </c>
      <c r="H1192" s="95" t="s">
        <v>530</v>
      </c>
      <c r="I1192" s="13">
        <f t="shared" si="55"/>
        <v>150000</v>
      </c>
      <c r="J1192" s="118" t="s">
        <v>1727</v>
      </c>
      <c r="K1192" s="98"/>
      <c r="L1192" s="98"/>
    </row>
    <row r="1193">
      <c r="B1193" s="95" t="s">
        <v>526</v>
      </c>
      <c r="C1193" s="95" t="s">
        <v>1739</v>
      </c>
      <c r="D1193" s="95" t="s">
        <v>88</v>
      </c>
      <c r="E1193" s="95" t="s">
        <v>425</v>
      </c>
      <c r="F1193" s="95" t="s">
        <v>586</v>
      </c>
      <c r="G1193" s="9">
        <v>900000.0</v>
      </c>
      <c r="H1193" s="95" t="s">
        <v>530</v>
      </c>
      <c r="I1193" s="13">
        <f t="shared" si="55"/>
        <v>90000</v>
      </c>
      <c r="J1193" s="118" t="s">
        <v>1727</v>
      </c>
      <c r="K1193" s="98"/>
      <c r="L1193" s="98"/>
    </row>
    <row r="1194">
      <c r="B1194" s="95" t="s">
        <v>526</v>
      </c>
      <c r="C1194" s="95" t="s">
        <v>1740</v>
      </c>
      <c r="D1194" s="95" t="s">
        <v>88</v>
      </c>
      <c r="E1194" s="95" t="s">
        <v>425</v>
      </c>
      <c r="F1194" s="95" t="s">
        <v>586</v>
      </c>
      <c r="G1194" s="9">
        <v>500000.0</v>
      </c>
      <c r="H1194" s="95" t="s">
        <v>530</v>
      </c>
      <c r="I1194" s="13">
        <f t="shared" si="55"/>
        <v>50000</v>
      </c>
      <c r="J1194" s="118" t="s">
        <v>1727</v>
      </c>
      <c r="K1194" s="98"/>
      <c r="L1194" s="98"/>
    </row>
    <row r="1195">
      <c r="B1195" s="95" t="s">
        <v>526</v>
      </c>
      <c r="C1195" s="95" t="s">
        <v>1387</v>
      </c>
      <c r="D1195" s="95" t="s">
        <v>88</v>
      </c>
      <c r="E1195" s="95" t="s">
        <v>425</v>
      </c>
      <c r="F1195" s="95" t="s">
        <v>586</v>
      </c>
      <c r="G1195" s="9">
        <v>1000000.0</v>
      </c>
      <c r="H1195" s="95" t="s">
        <v>530</v>
      </c>
      <c r="I1195" s="13">
        <f t="shared" si="55"/>
        <v>100000</v>
      </c>
      <c r="J1195" s="118" t="s">
        <v>1727</v>
      </c>
      <c r="K1195" s="98"/>
      <c r="L1195" s="98"/>
    </row>
    <row r="1196">
      <c r="B1196" s="95" t="s">
        <v>526</v>
      </c>
      <c r="C1196" s="95" t="s">
        <v>1741</v>
      </c>
      <c r="D1196" s="95" t="s">
        <v>88</v>
      </c>
      <c r="E1196" s="95" t="s">
        <v>425</v>
      </c>
      <c r="F1196" s="95" t="s">
        <v>586</v>
      </c>
      <c r="G1196" s="9">
        <v>500000.0</v>
      </c>
      <c r="H1196" s="95" t="s">
        <v>530</v>
      </c>
      <c r="I1196" s="13">
        <f t="shared" si="55"/>
        <v>50000</v>
      </c>
      <c r="J1196" s="118" t="s">
        <v>1727</v>
      </c>
      <c r="K1196" s="98"/>
      <c r="L1196" s="98"/>
    </row>
    <row r="1197">
      <c r="B1197" s="95" t="s">
        <v>526</v>
      </c>
      <c r="C1197" s="95" t="s">
        <v>1579</v>
      </c>
      <c r="D1197" s="95" t="s">
        <v>88</v>
      </c>
      <c r="E1197" s="95" t="s">
        <v>425</v>
      </c>
      <c r="F1197" s="95" t="s">
        <v>586</v>
      </c>
      <c r="G1197" s="9">
        <f>30000*6</f>
        <v>180000</v>
      </c>
      <c r="H1197" s="95" t="s">
        <v>635</v>
      </c>
      <c r="I1197" s="13">
        <f>G1197/6</f>
        <v>30000</v>
      </c>
      <c r="J1197" s="118" t="s">
        <v>1727</v>
      </c>
      <c r="K1197" s="98"/>
      <c r="L1197" s="98"/>
    </row>
    <row r="1198">
      <c r="B1198" s="95" t="s">
        <v>526</v>
      </c>
      <c r="C1198" s="95" t="s">
        <v>1742</v>
      </c>
      <c r="D1198" s="95" t="s">
        <v>88</v>
      </c>
      <c r="E1198" s="95" t="s">
        <v>425</v>
      </c>
      <c r="F1198" s="95" t="s">
        <v>586</v>
      </c>
      <c r="G1198" s="9">
        <v>1300000.0</v>
      </c>
      <c r="H1198" s="95" t="s">
        <v>530</v>
      </c>
      <c r="I1198" s="13">
        <f t="shared" ref="I1198:I1202" si="56">G1198/10</f>
        <v>130000</v>
      </c>
      <c r="J1198" s="118" t="s">
        <v>1743</v>
      </c>
      <c r="K1198" s="97" t="s">
        <v>1744</v>
      </c>
      <c r="L1198" s="97" t="s">
        <v>1727</v>
      </c>
    </row>
    <row r="1199">
      <c r="B1199" s="95" t="s">
        <v>526</v>
      </c>
      <c r="C1199" s="95" t="s">
        <v>1742</v>
      </c>
      <c r="D1199" s="95" t="s">
        <v>88</v>
      </c>
      <c r="E1199" s="95" t="s">
        <v>425</v>
      </c>
      <c r="F1199" s="95" t="s">
        <v>650</v>
      </c>
      <c r="G1199" s="9">
        <v>1400000.0</v>
      </c>
      <c r="H1199" s="95" t="s">
        <v>530</v>
      </c>
      <c r="I1199" s="13">
        <f t="shared" si="56"/>
        <v>140000</v>
      </c>
      <c r="J1199" s="118" t="s">
        <v>1743</v>
      </c>
      <c r="K1199" s="97" t="s">
        <v>1744</v>
      </c>
      <c r="L1199" s="98"/>
    </row>
    <row r="1200">
      <c r="B1200" s="95" t="s">
        <v>526</v>
      </c>
      <c r="C1200" s="95" t="s">
        <v>1745</v>
      </c>
      <c r="D1200" s="95" t="s">
        <v>826</v>
      </c>
      <c r="E1200" s="95" t="s">
        <v>833</v>
      </c>
      <c r="F1200" s="95" t="s">
        <v>650</v>
      </c>
      <c r="G1200" s="9">
        <v>1500000.0</v>
      </c>
      <c r="H1200" s="95" t="s">
        <v>530</v>
      </c>
      <c r="I1200" s="13">
        <f t="shared" si="56"/>
        <v>150000</v>
      </c>
      <c r="J1200" s="97" t="s">
        <v>1746</v>
      </c>
      <c r="K1200" s="98"/>
      <c r="L1200" s="98"/>
    </row>
    <row r="1201">
      <c r="B1201" s="95" t="s">
        <v>526</v>
      </c>
      <c r="C1201" s="95" t="s">
        <v>1747</v>
      </c>
      <c r="D1201" s="95" t="s">
        <v>222</v>
      </c>
      <c r="E1201" s="95" t="s">
        <v>1019</v>
      </c>
      <c r="F1201" s="95" t="s">
        <v>650</v>
      </c>
      <c r="G1201" s="9">
        <v>1200000.0</v>
      </c>
      <c r="H1201" s="95" t="s">
        <v>530</v>
      </c>
      <c r="I1201" s="13">
        <f t="shared" si="56"/>
        <v>120000</v>
      </c>
      <c r="J1201" s="97" t="s">
        <v>1748</v>
      </c>
      <c r="K1201" s="98"/>
      <c r="L1201" s="98"/>
    </row>
    <row r="1202">
      <c r="B1202" s="95" t="s">
        <v>526</v>
      </c>
      <c r="C1202" s="95" t="s">
        <v>1373</v>
      </c>
      <c r="D1202" s="95" t="s">
        <v>140</v>
      </c>
      <c r="E1202" s="95" t="s">
        <v>178</v>
      </c>
      <c r="F1202" s="95" t="s">
        <v>650</v>
      </c>
      <c r="G1202" s="9">
        <v>1700000.0</v>
      </c>
      <c r="H1202" s="95" t="s">
        <v>530</v>
      </c>
      <c r="I1202" s="13">
        <f t="shared" si="56"/>
        <v>170000</v>
      </c>
      <c r="J1202" s="97" t="s">
        <v>1749</v>
      </c>
      <c r="K1202" s="98"/>
      <c r="L1202" s="98"/>
    </row>
    <row r="1203">
      <c r="B1203" s="95" t="s">
        <v>526</v>
      </c>
      <c r="C1203" s="95" t="s">
        <v>786</v>
      </c>
      <c r="D1203" s="95" t="s">
        <v>195</v>
      </c>
      <c r="E1203" s="95" t="s">
        <v>402</v>
      </c>
      <c r="F1203" s="95" t="s">
        <v>906</v>
      </c>
      <c r="G1203" s="9">
        <f>5*25000</f>
        <v>125000</v>
      </c>
      <c r="H1203" s="95" t="s">
        <v>745</v>
      </c>
      <c r="I1203" s="13">
        <f>G1203/5</f>
        <v>25000</v>
      </c>
      <c r="J1203" s="97" t="s">
        <v>1011</v>
      </c>
      <c r="K1203" s="97" t="s">
        <v>1750</v>
      </c>
      <c r="L1203" s="98"/>
    </row>
    <row r="1204">
      <c r="B1204" s="95" t="s">
        <v>526</v>
      </c>
      <c r="C1204" s="95" t="s">
        <v>1751</v>
      </c>
      <c r="D1204" s="95" t="s">
        <v>88</v>
      </c>
      <c r="E1204" s="95" t="s">
        <v>425</v>
      </c>
      <c r="F1204" s="95" t="s">
        <v>650</v>
      </c>
      <c r="G1204" s="9">
        <v>1600000.0</v>
      </c>
      <c r="H1204" s="95" t="s">
        <v>530</v>
      </c>
      <c r="I1204" s="13">
        <f t="shared" ref="I1204:I1207" si="57">G1204/10</f>
        <v>160000</v>
      </c>
      <c r="J1204" s="97" t="s">
        <v>1752</v>
      </c>
      <c r="K1204" s="98" t="s">
        <v>1753</v>
      </c>
      <c r="L1204" s="97" t="s">
        <v>1754</v>
      </c>
    </row>
    <row r="1205">
      <c r="B1205" s="95" t="s">
        <v>526</v>
      </c>
      <c r="C1205" s="95" t="s">
        <v>1755</v>
      </c>
      <c r="D1205" s="95" t="s">
        <v>88</v>
      </c>
      <c r="E1205" s="95" t="s">
        <v>425</v>
      </c>
      <c r="F1205" s="95" t="s">
        <v>650</v>
      </c>
      <c r="G1205" s="9">
        <v>1000000.0</v>
      </c>
      <c r="H1205" s="95" t="s">
        <v>530</v>
      </c>
      <c r="I1205" s="13">
        <f t="shared" si="57"/>
        <v>100000</v>
      </c>
      <c r="J1205" s="97" t="s">
        <v>1756</v>
      </c>
      <c r="K1205" s="98" t="s">
        <v>1306</v>
      </c>
      <c r="L1205" s="98"/>
    </row>
    <row r="1206">
      <c r="B1206" s="95" t="s">
        <v>526</v>
      </c>
      <c r="C1206" s="95" t="s">
        <v>1757</v>
      </c>
      <c r="D1206" s="95" t="s">
        <v>195</v>
      </c>
      <c r="E1206" s="95" t="s">
        <v>434</v>
      </c>
      <c r="F1206" s="95" t="s">
        <v>650</v>
      </c>
      <c r="G1206" s="9">
        <v>1800000.0</v>
      </c>
      <c r="H1206" s="95" t="s">
        <v>530</v>
      </c>
      <c r="I1206" s="13">
        <f t="shared" si="57"/>
        <v>180000</v>
      </c>
      <c r="J1206" s="97" t="s">
        <v>1758</v>
      </c>
      <c r="K1206" s="98" t="s">
        <v>1759</v>
      </c>
      <c r="L1206" s="98"/>
    </row>
    <row r="1207">
      <c r="B1207" s="95" t="s">
        <v>526</v>
      </c>
      <c r="C1207" s="95" t="s">
        <v>1146</v>
      </c>
      <c r="D1207" s="95" t="s">
        <v>195</v>
      </c>
      <c r="E1207" s="95" t="s">
        <v>432</v>
      </c>
      <c r="F1207" s="95" t="s">
        <v>650</v>
      </c>
      <c r="G1207" s="9">
        <v>1000000.0</v>
      </c>
      <c r="H1207" s="95" t="s">
        <v>530</v>
      </c>
      <c r="I1207" s="13">
        <f t="shared" si="57"/>
        <v>100000</v>
      </c>
      <c r="J1207" s="97" t="s">
        <v>1760</v>
      </c>
      <c r="K1207" s="98" t="s">
        <v>1306</v>
      </c>
      <c r="L1207" s="98"/>
    </row>
    <row r="1208">
      <c r="B1208" s="95" t="s">
        <v>526</v>
      </c>
      <c r="C1208" s="95" t="s">
        <v>1761</v>
      </c>
      <c r="D1208" s="95" t="s">
        <v>222</v>
      </c>
      <c r="E1208" s="95" t="s">
        <v>313</v>
      </c>
      <c r="F1208" s="95" t="s">
        <v>643</v>
      </c>
      <c r="G1208" s="9">
        <f>4*9500*0.9</f>
        <v>34200</v>
      </c>
      <c r="H1208" s="95" t="s">
        <v>680</v>
      </c>
      <c r="I1208" s="13">
        <f>G1208/4</f>
        <v>8550</v>
      </c>
      <c r="J1208" s="97" t="s">
        <v>1762</v>
      </c>
      <c r="K1208" s="98"/>
      <c r="L1208" s="98"/>
    </row>
    <row r="1209">
      <c r="B1209" s="95" t="s">
        <v>526</v>
      </c>
      <c r="C1209" s="95" t="s">
        <v>914</v>
      </c>
      <c r="D1209" s="95" t="s">
        <v>222</v>
      </c>
      <c r="E1209" s="95" t="s">
        <v>313</v>
      </c>
      <c r="F1209" s="95" t="s">
        <v>643</v>
      </c>
      <c r="G1209" s="9">
        <f>0.9*195000</f>
        <v>175500</v>
      </c>
      <c r="H1209" s="95" t="s">
        <v>530</v>
      </c>
      <c r="I1209" s="13">
        <f t="shared" ref="I1209:I1220" si="58">G1209/10</f>
        <v>17550</v>
      </c>
      <c r="J1209" s="97" t="s">
        <v>1762</v>
      </c>
      <c r="K1209" s="98"/>
      <c r="L1209" s="98"/>
    </row>
    <row r="1210">
      <c r="B1210" s="95" t="s">
        <v>526</v>
      </c>
      <c r="C1210" s="95" t="s">
        <v>1323</v>
      </c>
      <c r="D1210" s="95" t="s">
        <v>195</v>
      </c>
      <c r="E1210" s="95" t="s">
        <v>432</v>
      </c>
      <c r="F1210" s="95" t="s">
        <v>586</v>
      </c>
      <c r="G1210" s="9">
        <v>1400000.0</v>
      </c>
      <c r="H1210" s="95" t="s">
        <v>530</v>
      </c>
      <c r="I1210" s="13">
        <f t="shared" si="58"/>
        <v>140000</v>
      </c>
      <c r="J1210" s="97" t="s">
        <v>1763</v>
      </c>
      <c r="K1210" s="98"/>
      <c r="L1210" s="98"/>
    </row>
    <row r="1211">
      <c r="B1211" s="95" t="s">
        <v>526</v>
      </c>
      <c r="C1211" s="95" t="s">
        <v>1194</v>
      </c>
      <c r="D1211" s="95" t="s">
        <v>195</v>
      </c>
      <c r="E1211" s="95" t="s">
        <v>432</v>
      </c>
      <c r="F1211" s="95" t="s">
        <v>586</v>
      </c>
      <c r="G1211" s="9">
        <v>2000000.0</v>
      </c>
      <c r="H1211" s="95" t="s">
        <v>530</v>
      </c>
      <c r="I1211" s="13">
        <f t="shared" si="58"/>
        <v>200000</v>
      </c>
      <c r="J1211" s="97" t="s">
        <v>1764</v>
      </c>
      <c r="K1211" s="98"/>
      <c r="L1211" s="98"/>
    </row>
    <row r="1212">
      <c r="B1212" s="95" t="s">
        <v>526</v>
      </c>
      <c r="C1212" s="95" t="s">
        <v>1577</v>
      </c>
      <c r="D1212" s="95" t="s">
        <v>195</v>
      </c>
      <c r="E1212" s="95" t="s">
        <v>432</v>
      </c>
      <c r="F1212" s="95" t="s">
        <v>586</v>
      </c>
      <c r="G1212" s="9">
        <v>950000.0</v>
      </c>
      <c r="H1212" s="95" t="s">
        <v>530</v>
      </c>
      <c r="I1212" s="13">
        <f t="shared" si="58"/>
        <v>95000</v>
      </c>
      <c r="J1212" s="97" t="s">
        <v>1765</v>
      </c>
      <c r="K1212" s="98"/>
      <c r="L1212" s="98"/>
    </row>
    <row r="1213">
      <c r="B1213" s="95" t="s">
        <v>526</v>
      </c>
      <c r="C1213" s="95" t="s">
        <v>1577</v>
      </c>
      <c r="D1213" s="95" t="s">
        <v>195</v>
      </c>
      <c r="E1213" s="95" t="s">
        <v>432</v>
      </c>
      <c r="F1213" s="95" t="s">
        <v>650</v>
      </c>
      <c r="G1213" s="9">
        <v>950000.0</v>
      </c>
      <c r="H1213" s="95" t="s">
        <v>530</v>
      </c>
      <c r="I1213" s="13">
        <f t="shared" si="58"/>
        <v>95000</v>
      </c>
      <c r="J1213" s="97" t="s">
        <v>1765</v>
      </c>
      <c r="K1213" s="98"/>
      <c r="L1213" s="98"/>
    </row>
    <row r="1214">
      <c r="B1214" s="95" t="s">
        <v>526</v>
      </c>
      <c r="C1214" s="95" t="s">
        <v>1084</v>
      </c>
      <c r="D1214" s="95" t="s">
        <v>222</v>
      </c>
      <c r="E1214" s="95" t="s">
        <v>1019</v>
      </c>
      <c r="F1214" s="95" t="s">
        <v>586</v>
      </c>
      <c r="G1214" s="9">
        <f>1500000*0.92</f>
        <v>1380000</v>
      </c>
      <c r="H1214" s="95" t="s">
        <v>530</v>
      </c>
      <c r="I1214" s="13">
        <f t="shared" si="58"/>
        <v>138000</v>
      </c>
      <c r="J1214" s="97" t="s">
        <v>1172</v>
      </c>
      <c r="K1214" s="98"/>
      <c r="L1214" s="98"/>
    </row>
    <row r="1215">
      <c r="B1215" s="95" t="s">
        <v>526</v>
      </c>
      <c r="C1215" s="95" t="s">
        <v>853</v>
      </c>
      <c r="D1215" s="95" t="s">
        <v>222</v>
      </c>
      <c r="E1215" s="95" t="s">
        <v>1019</v>
      </c>
      <c r="F1215" s="95" t="s">
        <v>643</v>
      </c>
      <c r="G1215" s="9">
        <v>500000.0</v>
      </c>
      <c r="H1215" s="95" t="s">
        <v>530</v>
      </c>
      <c r="I1215" s="13">
        <f t="shared" si="58"/>
        <v>50000</v>
      </c>
      <c r="J1215" s="97" t="s">
        <v>1766</v>
      </c>
      <c r="K1215" s="98"/>
      <c r="L1215" s="98"/>
    </row>
    <row r="1216">
      <c r="B1216" s="95" t="s">
        <v>526</v>
      </c>
      <c r="C1216" s="95" t="s">
        <v>1279</v>
      </c>
      <c r="D1216" s="95" t="s">
        <v>174</v>
      </c>
      <c r="E1216" s="95" t="s">
        <v>419</v>
      </c>
      <c r="F1216" s="95" t="s">
        <v>685</v>
      </c>
      <c r="G1216" s="9">
        <f>0.88*1000000</f>
        <v>880000</v>
      </c>
      <c r="H1216" s="95" t="s">
        <v>530</v>
      </c>
      <c r="I1216" s="13">
        <f t="shared" si="58"/>
        <v>88000</v>
      </c>
      <c r="J1216" s="101" t="s">
        <v>1767</v>
      </c>
      <c r="K1216" s="64" t="s">
        <v>1711</v>
      </c>
      <c r="L1216" s="98"/>
    </row>
    <row r="1217">
      <c r="B1217" s="95" t="s">
        <v>526</v>
      </c>
      <c r="C1217" s="95" t="s">
        <v>1768</v>
      </c>
      <c r="D1217" s="95" t="s">
        <v>195</v>
      </c>
      <c r="E1217" s="95" t="s">
        <v>1769</v>
      </c>
      <c r="F1217" s="95" t="s">
        <v>586</v>
      </c>
      <c r="G1217" s="9">
        <f>0.92*500000</f>
        <v>460000</v>
      </c>
      <c r="H1217" s="95" t="s">
        <v>530</v>
      </c>
      <c r="I1217" s="13">
        <f t="shared" si="58"/>
        <v>46000</v>
      </c>
      <c r="J1217" s="97" t="s">
        <v>1770</v>
      </c>
      <c r="K1217" s="98"/>
      <c r="L1217" s="98"/>
    </row>
    <row r="1218">
      <c r="B1218" s="95" t="s">
        <v>526</v>
      </c>
      <c r="C1218" s="95" t="s">
        <v>1771</v>
      </c>
      <c r="D1218" s="95" t="s">
        <v>427</v>
      </c>
      <c r="E1218" s="95" t="s">
        <v>428</v>
      </c>
      <c r="F1218" s="95" t="s">
        <v>685</v>
      </c>
      <c r="G1218" s="9">
        <v>3000000.0</v>
      </c>
      <c r="H1218" s="95" t="s">
        <v>530</v>
      </c>
      <c r="I1218" s="13">
        <f t="shared" si="58"/>
        <v>300000</v>
      </c>
      <c r="J1218" s="97" t="s">
        <v>1772</v>
      </c>
      <c r="K1218" s="98"/>
      <c r="L1218" s="98"/>
    </row>
    <row r="1219">
      <c r="B1219" s="95" t="s">
        <v>526</v>
      </c>
      <c r="C1219" s="95" t="s">
        <v>719</v>
      </c>
      <c r="D1219" s="95" t="s">
        <v>427</v>
      </c>
      <c r="E1219" s="95" t="s">
        <v>428</v>
      </c>
      <c r="F1219" s="95" t="s">
        <v>685</v>
      </c>
      <c r="G1219" s="9">
        <f>3200000*0.88</f>
        <v>2816000</v>
      </c>
      <c r="H1219" s="95" t="s">
        <v>530</v>
      </c>
      <c r="I1219" s="13">
        <f t="shared" si="58"/>
        <v>281600</v>
      </c>
      <c r="J1219" s="97" t="s">
        <v>1773</v>
      </c>
      <c r="K1219" s="97" t="s">
        <v>1774</v>
      </c>
      <c r="L1219" s="98"/>
    </row>
    <row r="1220">
      <c r="B1220" s="95" t="s">
        <v>526</v>
      </c>
      <c r="C1220" s="95" t="s">
        <v>1400</v>
      </c>
      <c r="D1220" s="95" t="s">
        <v>427</v>
      </c>
      <c r="E1220" s="95" t="s">
        <v>428</v>
      </c>
      <c r="F1220" s="95" t="s">
        <v>685</v>
      </c>
      <c r="G1220" s="9">
        <f>3250000*0.88</f>
        <v>2860000</v>
      </c>
      <c r="H1220" s="95" t="s">
        <v>530</v>
      </c>
      <c r="I1220" s="13">
        <f t="shared" si="58"/>
        <v>286000</v>
      </c>
      <c r="K1220" s="97" t="s">
        <v>1773</v>
      </c>
      <c r="L1220" s="97" t="s">
        <v>1772</v>
      </c>
    </row>
    <row r="1221">
      <c r="B1221" s="95" t="s">
        <v>526</v>
      </c>
      <c r="C1221" s="95" t="s">
        <v>597</v>
      </c>
      <c r="D1221" s="95" t="s">
        <v>114</v>
      </c>
      <c r="E1221" s="95" t="s">
        <v>396</v>
      </c>
      <c r="F1221" s="95" t="s">
        <v>643</v>
      </c>
      <c r="G1221" s="9">
        <v>1500000.0</v>
      </c>
      <c r="H1221" s="95" t="s">
        <v>1155</v>
      </c>
      <c r="I1221" s="13">
        <f>G1221/8</f>
        <v>187500</v>
      </c>
      <c r="J1221" s="97" t="s">
        <v>1775</v>
      </c>
      <c r="K1221" s="98"/>
      <c r="L1221" s="98"/>
    </row>
    <row r="1222">
      <c r="B1222" s="95" t="s">
        <v>526</v>
      </c>
      <c r="C1222" s="95" t="s">
        <v>1557</v>
      </c>
      <c r="D1222" s="95" t="s">
        <v>427</v>
      </c>
      <c r="E1222" s="95" t="s">
        <v>428</v>
      </c>
      <c r="F1222" s="95" t="s">
        <v>650</v>
      </c>
      <c r="G1222" s="9">
        <v>1000000.0</v>
      </c>
      <c r="H1222" s="95" t="s">
        <v>530</v>
      </c>
      <c r="I1222" s="13">
        <f t="shared" ref="I1222:I1223" si="59">G1222/10</f>
        <v>100000</v>
      </c>
      <c r="J1222" s="97" t="s">
        <v>1776</v>
      </c>
      <c r="K1222" s="98"/>
      <c r="L1222" s="98"/>
    </row>
    <row r="1223">
      <c r="B1223" s="95" t="s">
        <v>526</v>
      </c>
      <c r="C1223" s="95" t="s">
        <v>1777</v>
      </c>
      <c r="D1223" s="95" t="s">
        <v>195</v>
      </c>
      <c r="E1223" s="95" t="s">
        <v>432</v>
      </c>
      <c r="F1223" s="95" t="s">
        <v>650</v>
      </c>
      <c r="G1223" s="9">
        <v>2000000.0</v>
      </c>
      <c r="H1223" s="95" t="s">
        <v>530</v>
      </c>
      <c r="I1223" s="13">
        <f t="shared" si="59"/>
        <v>200000</v>
      </c>
      <c r="J1223" s="97" t="s">
        <v>1778</v>
      </c>
      <c r="K1223" s="98"/>
      <c r="L1223" s="98"/>
    </row>
    <row r="1224">
      <c r="B1224" s="95" t="s">
        <v>526</v>
      </c>
      <c r="C1224" s="95" t="s">
        <v>1683</v>
      </c>
      <c r="D1224" s="95" t="s">
        <v>195</v>
      </c>
      <c r="E1224" s="95" t="s">
        <v>432</v>
      </c>
      <c r="F1224" s="95" t="s">
        <v>650</v>
      </c>
      <c r="G1224" s="9">
        <v>235702.87</v>
      </c>
      <c r="H1224" s="95" t="s">
        <v>635</v>
      </c>
      <c r="I1224" s="13">
        <f>G1224/6</f>
        <v>39283.81167</v>
      </c>
      <c r="J1224" s="97" t="s">
        <v>1779</v>
      </c>
      <c r="K1224" s="98"/>
      <c r="L1224" s="98"/>
    </row>
    <row r="1225">
      <c r="B1225" s="95" t="s">
        <v>526</v>
      </c>
      <c r="C1225" s="95" t="s">
        <v>1780</v>
      </c>
      <c r="D1225" s="95" t="s">
        <v>195</v>
      </c>
      <c r="E1225" s="95" t="s">
        <v>432</v>
      </c>
      <c r="F1225" s="95" t="s">
        <v>650</v>
      </c>
      <c r="G1225" s="9">
        <v>392838.12</v>
      </c>
      <c r="H1225" s="95" t="s">
        <v>610</v>
      </c>
      <c r="I1225" s="13">
        <f>G1225/9</f>
        <v>43648.68</v>
      </c>
      <c r="J1225" s="97" t="s">
        <v>1781</v>
      </c>
      <c r="K1225" s="98"/>
      <c r="L1225" s="98"/>
    </row>
    <row r="1226">
      <c r="B1226" s="95" t="s">
        <v>526</v>
      </c>
      <c r="C1226" s="95" t="s">
        <v>1782</v>
      </c>
      <c r="D1226" s="95" t="s">
        <v>195</v>
      </c>
      <c r="E1226" s="95" t="s">
        <v>432</v>
      </c>
      <c r="F1226" s="95" t="s">
        <v>650</v>
      </c>
      <c r="G1226" s="9">
        <v>600000.0</v>
      </c>
      <c r="H1226" s="95" t="s">
        <v>530</v>
      </c>
      <c r="I1226" s="13">
        <f t="shared" ref="I1226:I1228" si="60">G1226/10</f>
        <v>60000</v>
      </c>
      <c r="J1226" s="97" t="s">
        <v>1783</v>
      </c>
      <c r="K1226" s="98"/>
      <c r="L1226" s="98"/>
    </row>
    <row r="1227">
      <c r="B1227" s="95" t="s">
        <v>526</v>
      </c>
      <c r="C1227" s="95" t="s">
        <v>837</v>
      </c>
      <c r="D1227" s="95" t="s">
        <v>88</v>
      </c>
      <c r="E1227" s="95" t="s">
        <v>425</v>
      </c>
      <c r="F1227" s="95" t="s">
        <v>586</v>
      </c>
      <c r="G1227" s="9">
        <v>600000.0</v>
      </c>
      <c r="H1227" s="95" t="s">
        <v>530</v>
      </c>
      <c r="I1227" s="13">
        <f t="shared" si="60"/>
        <v>60000</v>
      </c>
      <c r="J1227" s="97" t="s">
        <v>1784</v>
      </c>
      <c r="K1227" s="97" t="s">
        <v>1727</v>
      </c>
      <c r="L1227" s="98"/>
    </row>
    <row r="1228">
      <c r="B1228" s="95" t="s">
        <v>526</v>
      </c>
      <c r="C1228" s="95" t="s">
        <v>1785</v>
      </c>
      <c r="D1228" s="95" t="s">
        <v>71</v>
      </c>
      <c r="E1228" s="95" t="s">
        <v>97</v>
      </c>
      <c r="F1228" s="95" t="s">
        <v>650</v>
      </c>
      <c r="G1228" s="9">
        <v>120000.0</v>
      </c>
      <c r="H1228" s="95" t="s">
        <v>530</v>
      </c>
      <c r="I1228" s="13">
        <f t="shared" si="60"/>
        <v>12000</v>
      </c>
      <c r="J1228" s="97" t="s">
        <v>967</v>
      </c>
      <c r="K1228" s="98"/>
      <c r="L1228" s="98"/>
    </row>
    <row r="1229">
      <c r="B1229" s="95" t="s">
        <v>526</v>
      </c>
      <c r="C1229" s="95" t="s">
        <v>1786</v>
      </c>
      <c r="D1229" s="95" t="s">
        <v>1024</v>
      </c>
      <c r="E1229" s="95" t="s">
        <v>1787</v>
      </c>
      <c r="F1229" s="95" t="s">
        <v>543</v>
      </c>
      <c r="G1229" s="9">
        <f>0.87*1800000</f>
        <v>1566000</v>
      </c>
      <c r="H1229" s="95" t="s">
        <v>728</v>
      </c>
      <c r="I1229" s="13">
        <f>G1229/7</f>
        <v>223714.2857</v>
      </c>
      <c r="J1229" s="97" t="s">
        <v>1788</v>
      </c>
      <c r="K1229" s="98"/>
      <c r="L1229" s="98"/>
    </row>
    <row r="1230">
      <c r="B1230" s="95" t="s">
        <v>526</v>
      </c>
      <c r="C1230" s="95" t="s">
        <v>1379</v>
      </c>
      <c r="D1230" s="95" t="s">
        <v>826</v>
      </c>
      <c r="E1230" s="95" t="s">
        <v>841</v>
      </c>
      <c r="F1230" s="95" t="s">
        <v>543</v>
      </c>
      <c r="G1230" s="9">
        <f>0.87*2500000</f>
        <v>2175000</v>
      </c>
      <c r="H1230" s="95" t="s">
        <v>530</v>
      </c>
      <c r="I1230" s="13">
        <f t="shared" ref="I1230:I1234" si="61">G1230/10</f>
        <v>217500</v>
      </c>
      <c r="J1230" s="97" t="s">
        <v>1789</v>
      </c>
      <c r="K1230" s="98"/>
      <c r="L1230" s="98"/>
    </row>
    <row r="1231">
      <c r="B1231" s="95" t="s">
        <v>526</v>
      </c>
      <c r="C1231" s="95" t="s">
        <v>1751</v>
      </c>
      <c r="D1231" s="95" t="s">
        <v>13</v>
      </c>
      <c r="E1231" s="95" t="s">
        <v>1790</v>
      </c>
      <c r="F1231" s="95" t="s">
        <v>537</v>
      </c>
      <c r="G1231" s="9">
        <f>0.85*22000</f>
        <v>18700</v>
      </c>
      <c r="H1231" s="95" t="s">
        <v>530</v>
      </c>
      <c r="I1231" s="13">
        <f t="shared" si="61"/>
        <v>1870</v>
      </c>
      <c r="J1231" s="97" t="s">
        <v>1791</v>
      </c>
      <c r="K1231" s="98"/>
      <c r="L1231" s="98"/>
    </row>
    <row r="1232">
      <c r="B1232" s="95" t="s">
        <v>526</v>
      </c>
      <c r="C1232" s="95" t="s">
        <v>1751</v>
      </c>
      <c r="D1232" s="95" t="s">
        <v>13</v>
      </c>
      <c r="E1232" s="95" t="s">
        <v>1792</v>
      </c>
      <c r="F1232" s="95" t="s">
        <v>529</v>
      </c>
      <c r="G1232" s="9">
        <f>0.9*37000</f>
        <v>33300</v>
      </c>
      <c r="H1232" s="95" t="s">
        <v>530</v>
      </c>
      <c r="I1232" s="13">
        <f t="shared" si="61"/>
        <v>3330</v>
      </c>
      <c r="J1232" s="97" t="s">
        <v>1791</v>
      </c>
      <c r="K1232" s="98"/>
      <c r="L1232" s="98"/>
    </row>
    <row r="1233">
      <c r="B1233" s="95" t="s">
        <v>526</v>
      </c>
      <c r="C1233" s="95" t="s">
        <v>1751</v>
      </c>
      <c r="D1233" s="95" t="s">
        <v>13</v>
      </c>
      <c r="E1233" s="95" t="s">
        <v>1793</v>
      </c>
      <c r="F1233" s="95" t="s">
        <v>543</v>
      </c>
      <c r="G1233" s="9">
        <v>65000.0</v>
      </c>
      <c r="H1233" s="95" t="s">
        <v>530</v>
      </c>
      <c r="I1233" s="13">
        <f t="shared" si="61"/>
        <v>6500</v>
      </c>
      <c r="J1233" s="97" t="s">
        <v>1791</v>
      </c>
      <c r="K1233" s="98"/>
      <c r="L1233" s="98"/>
    </row>
    <row r="1234">
      <c r="B1234" s="95" t="s">
        <v>526</v>
      </c>
      <c r="C1234" s="95" t="s">
        <v>1751</v>
      </c>
      <c r="D1234" s="95" t="s">
        <v>140</v>
      </c>
      <c r="E1234" s="95" t="s">
        <v>203</v>
      </c>
      <c r="F1234" s="95" t="s">
        <v>643</v>
      </c>
      <c r="G1234" s="9">
        <f>0.9*400000</f>
        <v>360000</v>
      </c>
      <c r="H1234" s="95" t="s">
        <v>530</v>
      </c>
      <c r="I1234" s="13">
        <f t="shared" si="61"/>
        <v>36000</v>
      </c>
      <c r="J1234" s="97" t="s">
        <v>1413</v>
      </c>
      <c r="K1234" s="98"/>
      <c r="L1234" s="98"/>
    </row>
    <row r="1235">
      <c r="B1235" s="95" t="s">
        <v>526</v>
      </c>
      <c r="C1235" s="95" t="s">
        <v>1751</v>
      </c>
      <c r="D1235" s="95" t="s">
        <v>13</v>
      </c>
      <c r="E1235" s="95" t="s">
        <v>19</v>
      </c>
      <c r="F1235" s="95" t="s">
        <v>738</v>
      </c>
      <c r="G1235" s="9">
        <v>275000.0</v>
      </c>
      <c r="H1235" s="95" t="s">
        <v>745</v>
      </c>
      <c r="I1235" s="13">
        <f>G1235/5</f>
        <v>55000</v>
      </c>
      <c r="J1235" s="97" t="s">
        <v>1791</v>
      </c>
      <c r="K1235" s="98"/>
      <c r="L1235" s="98"/>
    </row>
    <row r="1236">
      <c r="B1236" s="95" t="s">
        <v>526</v>
      </c>
      <c r="C1236" s="95" t="s">
        <v>1751</v>
      </c>
      <c r="D1236" s="95" t="s">
        <v>140</v>
      </c>
      <c r="E1236" s="95" t="s">
        <v>276</v>
      </c>
      <c r="F1236" s="95" t="s">
        <v>763</v>
      </c>
      <c r="G1236" s="9">
        <v>150000.0</v>
      </c>
      <c r="H1236" s="95" t="s">
        <v>530</v>
      </c>
      <c r="I1236" s="13">
        <f t="shared" ref="I1236:I1313" si="62">G1236/10</f>
        <v>15000</v>
      </c>
      <c r="J1236" s="97" t="s">
        <v>1791</v>
      </c>
      <c r="K1236" s="98"/>
      <c r="L1236" s="98"/>
    </row>
    <row r="1237">
      <c r="B1237" s="95" t="s">
        <v>526</v>
      </c>
      <c r="C1237" s="95" t="s">
        <v>1312</v>
      </c>
      <c r="D1237" s="95" t="s">
        <v>13</v>
      </c>
      <c r="E1237" s="95" t="s">
        <v>1794</v>
      </c>
      <c r="F1237" s="95" t="s">
        <v>543</v>
      </c>
      <c r="G1237" s="9">
        <v>65000.0</v>
      </c>
      <c r="H1237" s="95" t="s">
        <v>530</v>
      </c>
      <c r="I1237" s="13">
        <f t="shared" si="62"/>
        <v>6500</v>
      </c>
      <c r="J1237" s="98" t="s">
        <v>1795</v>
      </c>
      <c r="K1237" s="98"/>
      <c r="L1237" s="98"/>
    </row>
    <row r="1238">
      <c r="B1238" s="95" t="s">
        <v>526</v>
      </c>
      <c r="C1238" s="95" t="s">
        <v>693</v>
      </c>
      <c r="D1238" s="95" t="s">
        <v>114</v>
      </c>
      <c r="E1238" s="95" t="s">
        <v>389</v>
      </c>
      <c r="F1238" s="95" t="s">
        <v>685</v>
      </c>
      <c r="G1238" s="9">
        <f>3200000*0.88</f>
        <v>2816000</v>
      </c>
      <c r="H1238" s="95" t="s">
        <v>530</v>
      </c>
      <c r="I1238" s="13">
        <f t="shared" si="62"/>
        <v>281600</v>
      </c>
      <c r="J1238" s="97" t="s">
        <v>1796</v>
      </c>
      <c r="K1238" s="147"/>
      <c r="L1238" s="98"/>
    </row>
    <row r="1239">
      <c r="B1239" s="95" t="s">
        <v>526</v>
      </c>
      <c r="C1239" s="95" t="s">
        <v>847</v>
      </c>
      <c r="D1239" s="95" t="s">
        <v>69</v>
      </c>
      <c r="E1239" s="95" t="s">
        <v>555</v>
      </c>
      <c r="F1239" s="95" t="s">
        <v>685</v>
      </c>
      <c r="G1239" s="9">
        <v>1300000.0</v>
      </c>
      <c r="H1239" s="95" t="s">
        <v>530</v>
      </c>
      <c r="I1239" s="13">
        <f t="shared" si="62"/>
        <v>130000</v>
      </c>
      <c r="J1239" s="97" t="s">
        <v>1797</v>
      </c>
      <c r="K1239" s="98"/>
      <c r="L1239" s="98"/>
    </row>
    <row r="1240">
      <c r="B1240" s="95" t="s">
        <v>526</v>
      </c>
      <c r="C1240" s="95" t="s">
        <v>1798</v>
      </c>
      <c r="D1240" s="95" t="s">
        <v>195</v>
      </c>
      <c r="E1240" s="95" t="s">
        <v>434</v>
      </c>
      <c r="F1240" s="95" t="s">
        <v>650</v>
      </c>
      <c r="G1240" s="9">
        <v>523784.17</v>
      </c>
      <c r="H1240" s="95" t="s">
        <v>530</v>
      </c>
      <c r="I1240" s="13">
        <f t="shared" si="62"/>
        <v>52378.417</v>
      </c>
      <c r="J1240" s="101" t="s">
        <v>1799</v>
      </c>
      <c r="K1240" s="64"/>
      <c r="L1240" s="98"/>
    </row>
    <row r="1241">
      <c r="B1241" s="95" t="s">
        <v>526</v>
      </c>
      <c r="C1241" s="95" t="s">
        <v>1412</v>
      </c>
      <c r="D1241" s="95" t="s">
        <v>195</v>
      </c>
      <c r="E1241" s="95" t="s">
        <v>434</v>
      </c>
      <c r="F1241" s="95" t="s">
        <v>650</v>
      </c>
      <c r="G1241" s="9">
        <v>1932000.0</v>
      </c>
      <c r="H1241" s="95" t="s">
        <v>530</v>
      </c>
      <c r="I1241" s="13">
        <f t="shared" si="62"/>
        <v>193200</v>
      </c>
      <c r="J1241" s="97" t="s">
        <v>1800</v>
      </c>
      <c r="K1241" s="98"/>
      <c r="L1241" s="98"/>
    </row>
    <row r="1242">
      <c r="B1242" s="95" t="s">
        <v>526</v>
      </c>
      <c r="C1242" s="95" t="s">
        <v>1422</v>
      </c>
      <c r="D1242" s="95" t="s">
        <v>88</v>
      </c>
      <c r="E1242" s="95" t="s">
        <v>425</v>
      </c>
      <c r="F1242" s="95" t="s">
        <v>763</v>
      </c>
      <c r="G1242" s="9">
        <v>1200000.0</v>
      </c>
      <c r="H1242" s="95" t="s">
        <v>530</v>
      </c>
      <c r="I1242" s="13">
        <f t="shared" si="62"/>
        <v>120000</v>
      </c>
      <c r="J1242" s="97" t="s">
        <v>1801</v>
      </c>
      <c r="K1242" s="98"/>
      <c r="L1242" s="98"/>
    </row>
    <row r="1243">
      <c r="B1243" s="95" t="s">
        <v>526</v>
      </c>
      <c r="C1243" s="95" t="s">
        <v>1802</v>
      </c>
      <c r="D1243" s="95" t="s">
        <v>140</v>
      </c>
      <c r="E1243" s="95" t="s">
        <v>793</v>
      </c>
      <c r="F1243" s="95" t="s">
        <v>1173</v>
      </c>
      <c r="G1243" s="9">
        <v>130000.0</v>
      </c>
      <c r="H1243" s="95" t="s">
        <v>530</v>
      </c>
      <c r="I1243" s="13">
        <f t="shared" si="62"/>
        <v>13000</v>
      </c>
      <c r="J1243" s="97" t="s">
        <v>1803</v>
      </c>
      <c r="K1243" s="98"/>
      <c r="L1243" s="98"/>
    </row>
    <row r="1244">
      <c r="B1244" s="95" t="s">
        <v>526</v>
      </c>
      <c r="C1244" s="95" t="s">
        <v>1804</v>
      </c>
      <c r="D1244" s="95" t="s">
        <v>195</v>
      </c>
      <c r="E1244" s="95" t="s">
        <v>402</v>
      </c>
      <c r="F1244" s="95" t="s">
        <v>529</v>
      </c>
      <c r="G1244" s="9">
        <f>0.9*440000</f>
        <v>396000</v>
      </c>
      <c r="H1244" s="95" t="s">
        <v>530</v>
      </c>
      <c r="I1244" s="13">
        <f t="shared" si="62"/>
        <v>39600</v>
      </c>
      <c r="J1244" s="97" t="s">
        <v>1805</v>
      </c>
      <c r="K1244" s="98"/>
      <c r="L1244" s="98"/>
    </row>
    <row r="1245">
      <c r="B1245" s="95" t="s">
        <v>526</v>
      </c>
      <c r="C1245" s="95" t="s">
        <v>1377</v>
      </c>
      <c r="D1245" s="95" t="s">
        <v>140</v>
      </c>
      <c r="E1245" s="95" t="s">
        <v>194</v>
      </c>
      <c r="F1245" s="95" t="s">
        <v>529</v>
      </c>
      <c r="G1245" s="9">
        <f>0.9*5400000</f>
        <v>4860000</v>
      </c>
      <c r="H1245" s="95" t="s">
        <v>530</v>
      </c>
      <c r="I1245" s="13">
        <f t="shared" si="62"/>
        <v>486000</v>
      </c>
      <c r="J1245" s="97" t="s">
        <v>1806</v>
      </c>
      <c r="K1245" s="98"/>
      <c r="L1245" s="98"/>
    </row>
    <row r="1246">
      <c r="B1246" s="95" t="s">
        <v>526</v>
      </c>
      <c r="C1246" s="95" t="s">
        <v>1432</v>
      </c>
      <c r="D1246" s="95" t="s">
        <v>826</v>
      </c>
      <c r="E1246" s="95" t="s">
        <v>1175</v>
      </c>
      <c r="F1246" s="95" t="s">
        <v>529</v>
      </c>
      <c r="G1246" s="9">
        <f>0.9*4000000</f>
        <v>3600000</v>
      </c>
      <c r="H1246" s="95" t="s">
        <v>530</v>
      </c>
      <c r="I1246" s="13">
        <f t="shared" si="62"/>
        <v>360000</v>
      </c>
      <c r="J1246" s="97" t="s">
        <v>1806</v>
      </c>
      <c r="K1246" s="98"/>
      <c r="L1246" s="98"/>
    </row>
    <row r="1247">
      <c r="B1247" s="95" t="s">
        <v>526</v>
      </c>
      <c r="C1247" s="95" t="s">
        <v>1381</v>
      </c>
      <c r="D1247" s="95" t="s">
        <v>140</v>
      </c>
      <c r="E1247" s="95" t="s">
        <v>141</v>
      </c>
      <c r="F1247" s="95" t="s">
        <v>529</v>
      </c>
      <c r="G1247" s="9">
        <f>0.9*2000000</f>
        <v>1800000</v>
      </c>
      <c r="H1247" s="95" t="s">
        <v>530</v>
      </c>
      <c r="I1247" s="13">
        <f t="shared" si="62"/>
        <v>180000</v>
      </c>
      <c r="J1247" s="97" t="s">
        <v>1807</v>
      </c>
      <c r="K1247" s="98"/>
      <c r="L1247" s="98"/>
    </row>
    <row r="1248">
      <c r="B1248" s="95" t="s">
        <v>526</v>
      </c>
      <c r="C1248" s="95" t="s">
        <v>1434</v>
      </c>
      <c r="D1248" s="95" t="s">
        <v>195</v>
      </c>
      <c r="E1248" s="95" t="s">
        <v>432</v>
      </c>
      <c r="F1248" s="95" t="s">
        <v>529</v>
      </c>
      <c r="G1248" s="9">
        <f t="shared" ref="G1248:G1249" si="63">0.9*2600000</f>
        <v>2340000</v>
      </c>
      <c r="H1248" s="95" t="s">
        <v>530</v>
      </c>
      <c r="I1248" s="13">
        <f t="shared" si="62"/>
        <v>234000</v>
      </c>
      <c r="J1248" s="97" t="s">
        <v>1515</v>
      </c>
      <c r="K1248" s="98"/>
      <c r="L1248" s="98"/>
    </row>
    <row r="1249">
      <c r="B1249" s="95" t="s">
        <v>526</v>
      </c>
      <c r="C1249" s="95" t="s">
        <v>1383</v>
      </c>
      <c r="D1249" s="95" t="s">
        <v>195</v>
      </c>
      <c r="E1249" s="95" t="s">
        <v>434</v>
      </c>
      <c r="F1249" s="95" t="s">
        <v>529</v>
      </c>
      <c r="G1249" s="9">
        <f t="shared" si="63"/>
        <v>2340000</v>
      </c>
      <c r="H1249" s="95" t="s">
        <v>530</v>
      </c>
      <c r="I1249" s="13">
        <f t="shared" si="62"/>
        <v>234000</v>
      </c>
      <c r="J1249" s="97" t="s">
        <v>1515</v>
      </c>
      <c r="K1249" s="98"/>
      <c r="L1249" s="98"/>
    </row>
    <row r="1250">
      <c r="B1250" s="95" t="s">
        <v>526</v>
      </c>
      <c r="C1250" s="95" t="s">
        <v>1363</v>
      </c>
      <c r="D1250" s="95" t="s">
        <v>114</v>
      </c>
      <c r="E1250" s="95" t="s">
        <v>396</v>
      </c>
      <c r="F1250" s="95" t="s">
        <v>529</v>
      </c>
      <c r="G1250" s="9">
        <f>0.9*2550000</f>
        <v>2295000</v>
      </c>
      <c r="H1250" s="95" t="s">
        <v>530</v>
      </c>
      <c r="I1250" s="13">
        <f t="shared" si="62"/>
        <v>229500</v>
      </c>
      <c r="J1250" s="97" t="s">
        <v>1515</v>
      </c>
      <c r="K1250" s="98"/>
      <c r="L1250" s="98"/>
    </row>
    <row r="1251">
      <c r="B1251" s="95" t="s">
        <v>526</v>
      </c>
      <c r="C1251" s="95" t="s">
        <v>1808</v>
      </c>
      <c r="D1251" s="95" t="s">
        <v>114</v>
      </c>
      <c r="E1251" s="95" t="s">
        <v>396</v>
      </c>
      <c r="F1251" s="95" t="s">
        <v>529</v>
      </c>
      <c r="G1251" s="9">
        <f>0.9*1650000</f>
        <v>1485000</v>
      </c>
      <c r="H1251" s="95" t="s">
        <v>530</v>
      </c>
      <c r="I1251" s="13">
        <f t="shared" si="62"/>
        <v>148500</v>
      </c>
      <c r="J1251" s="97" t="s">
        <v>1515</v>
      </c>
      <c r="K1251" s="98"/>
      <c r="L1251" s="98"/>
    </row>
    <row r="1252">
      <c r="B1252" s="95" t="s">
        <v>526</v>
      </c>
      <c r="C1252" s="95" t="s">
        <v>1420</v>
      </c>
      <c r="D1252" s="95" t="s">
        <v>195</v>
      </c>
      <c r="E1252" s="95" t="s">
        <v>432</v>
      </c>
      <c r="F1252" s="95" t="s">
        <v>529</v>
      </c>
      <c r="G1252" s="9">
        <f>0.9*2430000</f>
        <v>2187000</v>
      </c>
      <c r="H1252" s="95" t="s">
        <v>530</v>
      </c>
      <c r="I1252" s="13">
        <f t="shared" si="62"/>
        <v>218700</v>
      </c>
      <c r="J1252" s="97" t="s">
        <v>1515</v>
      </c>
      <c r="K1252" s="98"/>
      <c r="L1252" s="98"/>
    </row>
    <row r="1253">
      <c r="B1253" s="95" t="s">
        <v>526</v>
      </c>
      <c r="C1253" s="95" t="s">
        <v>1436</v>
      </c>
      <c r="D1253" s="95" t="s">
        <v>140</v>
      </c>
      <c r="E1253" s="95" t="s">
        <v>141</v>
      </c>
      <c r="F1253" s="95" t="s">
        <v>529</v>
      </c>
      <c r="G1253" s="9">
        <f t="shared" ref="G1253:G1254" si="64">0.9*2000000</f>
        <v>1800000</v>
      </c>
      <c r="H1253" s="95" t="s">
        <v>530</v>
      </c>
      <c r="I1253" s="13">
        <f t="shared" si="62"/>
        <v>180000</v>
      </c>
      <c r="J1253" s="97" t="s">
        <v>1809</v>
      </c>
      <c r="K1253" s="98"/>
      <c r="L1253" s="98"/>
    </row>
    <row r="1254">
      <c r="B1254" s="95" t="s">
        <v>526</v>
      </c>
      <c r="C1254" s="95" t="s">
        <v>1810</v>
      </c>
      <c r="D1254" s="95" t="s">
        <v>826</v>
      </c>
      <c r="E1254" s="95" t="s">
        <v>1175</v>
      </c>
      <c r="F1254" s="95" t="s">
        <v>529</v>
      </c>
      <c r="G1254" s="9">
        <f t="shared" si="64"/>
        <v>1800000</v>
      </c>
      <c r="H1254" s="95" t="s">
        <v>530</v>
      </c>
      <c r="I1254" s="13">
        <f t="shared" si="62"/>
        <v>180000</v>
      </c>
      <c r="J1254" s="97" t="s">
        <v>1515</v>
      </c>
      <c r="K1254" s="98"/>
      <c r="L1254" s="98"/>
    </row>
    <row r="1255">
      <c r="B1255" s="95" t="s">
        <v>526</v>
      </c>
      <c r="C1255" s="95" t="s">
        <v>1435</v>
      </c>
      <c r="D1255" s="95" t="s">
        <v>222</v>
      </c>
      <c r="E1255" s="95" t="s">
        <v>1019</v>
      </c>
      <c r="F1255" s="95" t="s">
        <v>529</v>
      </c>
      <c r="G1255" s="9">
        <v>1800000.0</v>
      </c>
      <c r="H1255" s="95" t="s">
        <v>530</v>
      </c>
      <c r="I1255" s="13">
        <f t="shared" si="62"/>
        <v>180000</v>
      </c>
      <c r="J1255" s="97" t="s">
        <v>1811</v>
      </c>
      <c r="K1255" s="98" t="s">
        <v>1812</v>
      </c>
      <c r="L1255" s="97" t="s">
        <v>1426</v>
      </c>
    </row>
    <row r="1256">
      <c r="B1256" s="95" t="s">
        <v>526</v>
      </c>
      <c r="C1256" s="95" t="s">
        <v>585</v>
      </c>
      <c r="D1256" s="95" t="s">
        <v>195</v>
      </c>
      <c r="E1256" s="95" t="s">
        <v>432</v>
      </c>
      <c r="F1256" s="95" t="s">
        <v>529</v>
      </c>
      <c r="G1256" s="9">
        <f>0.9*2000000</f>
        <v>1800000</v>
      </c>
      <c r="H1256" s="95" t="s">
        <v>530</v>
      </c>
      <c r="I1256" s="13">
        <f t="shared" si="62"/>
        <v>180000</v>
      </c>
      <c r="J1256" s="97" t="s">
        <v>1515</v>
      </c>
      <c r="K1256" s="98"/>
      <c r="L1256" s="98"/>
    </row>
    <row r="1257">
      <c r="B1257" s="95" t="s">
        <v>526</v>
      </c>
      <c r="C1257" s="95" t="s">
        <v>1419</v>
      </c>
      <c r="D1257" s="95" t="s">
        <v>140</v>
      </c>
      <c r="E1257" s="95" t="s">
        <v>194</v>
      </c>
      <c r="F1257" s="95" t="s">
        <v>529</v>
      </c>
      <c r="G1257" s="9">
        <v>2000000.0</v>
      </c>
      <c r="H1257" s="95" t="s">
        <v>530</v>
      </c>
      <c r="I1257" s="13">
        <f t="shared" si="62"/>
        <v>200000</v>
      </c>
      <c r="J1257" s="97" t="s">
        <v>1813</v>
      </c>
      <c r="K1257" s="98"/>
      <c r="L1257" s="98"/>
    </row>
    <row r="1258">
      <c r="B1258" s="95" t="s">
        <v>526</v>
      </c>
      <c r="C1258" s="95" t="s">
        <v>1814</v>
      </c>
      <c r="D1258" s="95" t="s">
        <v>826</v>
      </c>
      <c r="E1258" s="95" t="s">
        <v>841</v>
      </c>
      <c r="F1258" s="95" t="s">
        <v>529</v>
      </c>
      <c r="G1258" s="9">
        <f t="shared" ref="G1258:G1259" si="65">0.9*1900000</f>
        <v>1710000</v>
      </c>
      <c r="H1258" s="95" t="s">
        <v>530</v>
      </c>
      <c r="I1258" s="13">
        <f t="shared" si="62"/>
        <v>171000</v>
      </c>
      <c r="J1258" s="97" t="s">
        <v>1515</v>
      </c>
      <c r="K1258" s="98"/>
      <c r="L1258" s="98"/>
    </row>
    <row r="1259">
      <c r="B1259" s="95" t="s">
        <v>526</v>
      </c>
      <c r="C1259" s="95" t="s">
        <v>1408</v>
      </c>
      <c r="D1259" s="95" t="s">
        <v>826</v>
      </c>
      <c r="E1259" s="95" t="s">
        <v>841</v>
      </c>
      <c r="F1259" s="95" t="s">
        <v>529</v>
      </c>
      <c r="G1259" s="9">
        <f t="shared" si="65"/>
        <v>1710000</v>
      </c>
      <c r="H1259" s="95" t="s">
        <v>530</v>
      </c>
      <c r="I1259" s="13">
        <f t="shared" si="62"/>
        <v>171000</v>
      </c>
      <c r="J1259" s="97" t="s">
        <v>1515</v>
      </c>
      <c r="K1259" s="98"/>
      <c r="L1259" s="98"/>
    </row>
    <row r="1260">
      <c r="B1260" s="95" t="s">
        <v>526</v>
      </c>
      <c r="C1260" s="95" t="s">
        <v>1379</v>
      </c>
      <c r="D1260" s="95" t="s">
        <v>826</v>
      </c>
      <c r="E1260" s="95" t="s">
        <v>841</v>
      </c>
      <c r="F1260" s="95" t="s">
        <v>529</v>
      </c>
      <c r="G1260" s="9">
        <f>0.9*1800000</f>
        <v>1620000</v>
      </c>
      <c r="H1260" s="95" t="s">
        <v>530</v>
      </c>
      <c r="I1260" s="13">
        <f t="shared" si="62"/>
        <v>162000</v>
      </c>
      <c r="J1260" s="97" t="s">
        <v>1515</v>
      </c>
      <c r="K1260" s="98"/>
      <c r="L1260" s="98"/>
    </row>
    <row r="1261">
      <c r="B1261" s="95" t="s">
        <v>526</v>
      </c>
      <c r="C1261" s="95" t="s">
        <v>1442</v>
      </c>
      <c r="D1261" s="95" t="s">
        <v>140</v>
      </c>
      <c r="E1261" s="95" t="s">
        <v>194</v>
      </c>
      <c r="F1261" s="95" t="s">
        <v>529</v>
      </c>
      <c r="G1261" s="9">
        <f>0.9*1850000</f>
        <v>1665000</v>
      </c>
      <c r="H1261" s="95" t="s">
        <v>530</v>
      </c>
      <c r="I1261" s="13">
        <f t="shared" si="62"/>
        <v>166500</v>
      </c>
      <c r="J1261" s="97" t="s">
        <v>1515</v>
      </c>
      <c r="K1261" s="98"/>
      <c r="L1261" s="98"/>
    </row>
    <row r="1262">
      <c r="B1262" s="95" t="s">
        <v>526</v>
      </c>
      <c r="C1262" s="95" t="s">
        <v>1815</v>
      </c>
      <c r="D1262" s="95" t="s">
        <v>71</v>
      </c>
      <c r="E1262" s="95" t="s">
        <v>97</v>
      </c>
      <c r="F1262" s="95" t="s">
        <v>650</v>
      </c>
      <c r="G1262" s="9">
        <v>120000.0</v>
      </c>
      <c r="H1262" s="95" t="s">
        <v>530</v>
      </c>
      <c r="I1262" s="13">
        <f t="shared" si="62"/>
        <v>12000</v>
      </c>
      <c r="J1262" s="97" t="s">
        <v>967</v>
      </c>
      <c r="K1262" s="98"/>
      <c r="L1262" s="98"/>
    </row>
    <row r="1263">
      <c r="B1263" s="95" t="s">
        <v>526</v>
      </c>
      <c r="C1263" s="95" t="s">
        <v>1429</v>
      </c>
      <c r="D1263" s="95" t="s">
        <v>222</v>
      </c>
      <c r="E1263" s="95" t="s">
        <v>1366</v>
      </c>
      <c r="F1263" s="95" t="s">
        <v>529</v>
      </c>
      <c r="G1263" s="9">
        <f>0.9*2000000</f>
        <v>1800000</v>
      </c>
      <c r="H1263" s="95" t="s">
        <v>530</v>
      </c>
      <c r="I1263" s="13">
        <f t="shared" si="62"/>
        <v>180000</v>
      </c>
      <c r="J1263" s="97" t="s">
        <v>1515</v>
      </c>
      <c r="K1263" s="98" t="s">
        <v>1812</v>
      </c>
      <c r="L1263" s="98"/>
    </row>
    <row r="1264">
      <c r="B1264" s="95" t="s">
        <v>526</v>
      </c>
      <c r="C1264" s="95" t="s">
        <v>1377</v>
      </c>
      <c r="D1264" s="95" t="s">
        <v>140</v>
      </c>
      <c r="E1264" s="95" t="s">
        <v>194</v>
      </c>
      <c r="F1264" s="95" t="s">
        <v>543</v>
      </c>
      <c r="G1264" s="9">
        <f>0.87*3800000</f>
        <v>3306000</v>
      </c>
      <c r="H1264" s="95" t="s">
        <v>530</v>
      </c>
      <c r="I1264" s="13">
        <f t="shared" si="62"/>
        <v>330600</v>
      </c>
      <c r="J1264" s="97" t="s">
        <v>1816</v>
      </c>
      <c r="K1264" s="98"/>
      <c r="L1264" s="98"/>
    </row>
    <row r="1265">
      <c r="B1265" s="95" t="s">
        <v>526</v>
      </c>
      <c r="C1265" s="95" t="s">
        <v>910</v>
      </c>
      <c r="D1265" s="95" t="s">
        <v>140</v>
      </c>
      <c r="E1265" s="95" t="s">
        <v>141</v>
      </c>
      <c r="F1265" s="95" t="s">
        <v>529</v>
      </c>
      <c r="G1265" s="9">
        <v>1500000.0</v>
      </c>
      <c r="H1265" s="95" t="s">
        <v>530</v>
      </c>
      <c r="I1265" s="13">
        <f t="shared" si="62"/>
        <v>150000</v>
      </c>
      <c r="J1265" s="97" t="s">
        <v>1817</v>
      </c>
      <c r="K1265" s="98"/>
      <c r="L1265" s="98"/>
    </row>
    <row r="1266">
      <c r="B1266" s="95" t="s">
        <v>526</v>
      </c>
      <c r="C1266" s="95" t="s">
        <v>1528</v>
      </c>
      <c r="D1266" s="95" t="s">
        <v>140</v>
      </c>
      <c r="E1266" s="95" t="s">
        <v>141</v>
      </c>
      <c r="F1266" s="95" t="s">
        <v>529</v>
      </c>
      <c r="G1266" s="9">
        <v>1700000.0</v>
      </c>
      <c r="H1266" s="95" t="s">
        <v>530</v>
      </c>
      <c r="I1266" s="13">
        <f t="shared" si="62"/>
        <v>170000</v>
      </c>
      <c r="J1266" s="97" t="s">
        <v>1817</v>
      </c>
      <c r="K1266" s="98"/>
      <c r="L1266" s="98"/>
    </row>
    <row r="1267">
      <c r="B1267" s="95" t="s">
        <v>526</v>
      </c>
      <c r="C1267" s="95" t="s">
        <v>1818</v>
      </c>
      <c r="D1267" s="95" t="s">
        <v>140</v>
      </c>
      <c r="E1267" s="95" t="s">
        <v>141</v>
      </c>
      <c r="F1267" s="95" t="s">
        <v>529</v>
      </c>
      <c r="G1267" s="9">
        <v>1100000.0</v>
      </c>
      <c r="H1267" s="95" t="s">
        <v>530</v>
      </c>
      <c r="I1267" s="13">
        <f t="shared" si="62"/>
        <v>110000</v>
      </c>
      <c r="J1267" s="97" t="s">
        <v>1817</v>
      </c>
      <c r="K1267" s="98"/>
      <c r="L1267" s="98"/>
    </row>
    <row r="1268">
      <c r="B1268" s="95" t="s">
        <v>526</v>
      </c>
      <c r="C1268" s="95" t="s">
        <v>1818</v>
      </c>
      <c r="D1268" s="95" t="s">
        <v>140</v>
      </c>
      <c r="E1268" s="95" t="s">
        <v>141</v>
      </c>
      <c r="F1268" s="95" t="s">
        <v>543</v>
      </c>
      <c r="G1268" s="9">
        <v>900000.0</v>
      </c>
      <c r="H1268" s="95" t="s">
        <v>530</v>
      </c>
      <c r="I1268" s="13">
        <f t="shared" si="62"/>
        <v>90000</v>
      </c>
      <c r="J1268" s="97" t="s">
        <v>1817</v>
      </c>
      <c r="K1268" s="98"/>
      <c r="L1268" s="98"/>
    </row>
    <row r="1269">
      <c r="B1269" s="95" t="s">
        <v>526</v>
      </c>
      <c r="C1269" s="95" t="s">
        <v>1819</v>
      </c>
      <c r="D1269" s="95" t="s">
        <v>140</v>
      </c>
      <c r="E1269" s="95" t="s">
        <v>141</v>
      </c>
      <c r="F1269" s="95" t="s">
        <v>529</v>
      </c>
      <c r="G1269" s="9">
        <v>1400000.0</v>
      </c>
      <c r="H1269" s="95" t="s">
        <v>530</v>
      </c>
      <c r="I1269" s="13">
        <f t="shared" si="62"/>
        <v>140000</v>
      </c>
      <c r="J1269" s="97" t="s">
        <v>1817</v>
      </c>
      <c r="K1269" s="98"/>
      <c r="L1269" s="98"/>
    </row>
    <row r="1270">
      <c r="B1270" s="95" t="s">
        <v>526</v>
      </c>
      <c r="C1270" s="95" t="s">
        <v>1820</v>
      </c>
      <c r="D1270" s="95" t="s">
        <v>140</v>
      </c>
      <c r="E1270" s="95" t="s">
        <v>141</v>
      </c>
      <c r="F1270" s="95" t="s">
        <v>529</v>
      </c>
      <c r="G1270" s="9">
        <v>900000.0</v>
      </c>
      <c r="H1270" s="95" t="s">
        <v>530</v>
      </c>
      <c r="I1270" s="13">
        <f t="shared" si="62"/>
        <v>90000</v>
      </c>
      <c r="J1270" s="97" t="s">
        <v>1817</v>
      </c>
      <c r="K1270" s="98"/>
      <c r="L1270" s="98"/>
    </row>
    <row r="1271">
      <c r="B1271" s="95" t="s">
        <v>526</v>
      </c>
      <c r="C1271" s="95" t="s">
        <v>1821</v>
      </c>
      <c r="D1271" s="95" t="s">
        <v>140</v>
      </c>
      <c r="E1271" s="95" t="s">
        <v>141</v>
      </c>
      <c r="F1271" s="95" t="s">
        <v>529</v>
      </c>
      <c r="G1271" s="9">
        <v>1600000.0</v>
      </c>
      <c r="H1271" s="95" t="s">
        <v>530</v>
      </c>
      <c r="I1271" s="13">
        <f t="shared" si="62"/>
        <v>160000</v>
      </c>
      <c r="J1271" s="97" t="s">
        <v>1817</v>
      </c>
      <c r="K1271" s="98"/>
      <c r="L1271" s="98"/>
    </row>
    <row r="1272">
      <c r="B1272" s="95" t="s">
        <v>526</v>
      </c>
      <c r="C1272" s="95" t="s">
        <v>1822</v>
      </c>
      <c r="D1272" s="95" t="s">
        <v>140</v>
      </c>
      <c r="E1272" s="95" t="s">
        <v>141</v>
      </c>
      <c r="F1272" s="95" t="s">
        <v>529</v>
      </c>
      <c r="G1272" s="9">
        <v>1000000.0</v>
      </c>
      <c r="H1272" s="95" t="s">
        <v>530</v>
      </c>
      <c r="I1272" s="13">
        <f t="shared" si="62"/>
        <v>100000</v>
      </c>
      <c r="J1272" s="97" t="s">
        <v>1817</v>
      </c>
      <c r="K1272" s="98"/>
      <c r="L1272" s="98"/>
    </row>
    <row r="1273">
      <c r="B1273" s="95" t="s">
        <v>526</v>
      </c>
      <c r="C1273" s="95" t="s">
        <v>1823</v>
      </c>
      <c r="D1273" s="95" t="s">
        <v>140</v>
      </c>
      <c r="E1273" s="95" t="s">
        <v>141</v>
      </c>
      <c r="F1273" s="95" t="s">
        <v>529</v>
      </c>
      <c r="G1273" s="9">
        <v>750000.0</v>
      </c>
      <c r="H1273" s="95" t="s">
        <v>530</v>
      </c>
      <c r="I1273" s="13">
        <f t="shared" si="62"/>
        <v>75000</v>
      </c>
      <c r="J1273" s="97" t="s">
        <v>1817</v>
      </c>
      <c r="K1273" s="98"/>
      <c r="L1273" s="98"/>
    </row>
    <row r="1274">
      <c r="B1274" s="95" t="s">
        <v>526</v>
      </c>
      <c r="C1274" s="95" t="s">
        <v>1634</v>
      </c>
      <c r="D1274" s="95" t="s">
        <v>140</v>
      </c>
      <c r="E1274" s="95" t="s">
        <v>141</v>
      </c>
      <c r="F1274" s="95" t="s">
        <v>529</v>
      </c>
      <c r="G1274" s="9">
        <v>1250000.0</v>
      </c>
      <c r="H1274" s="95" t="s">
        <v>530</v>
      </c>
      <c r="I1274" s="13">
        <f t="shared" si="62"/>
        <v>125000</v>
      </c>
      <c r="J1274" s="97" t="s">
        <v>1817</v>
      </c>
      <c r="K1274" s="98"/>
      <c r="L1274" s="98"/>
    </row>
    <row r="1275">
      <c r="B1275" s="95" t="s">
        <v>526</v>
      </c>
      <c r="C1275" s="95" t="s">
        <v>1824</v>
      </c>
      <c r="D1275" s="95" t="s">
        <v>140</v>
      </c>
      <c r="E1275" s="95" t="s">
        <v>141</v>
      </c>
      <c r="F1275" s="95" t="s">
        <v>529</v>
      </c>
      <c r="G1275" s="9">
        <v>500000.0</v>
      </c>
      <c r="H1275" s="95" t="s">
        <v>530</v>
      </c>
      <c r="I1275" s="13">
        <f t="shared" si="62"/>
        <v>50000</v>
      </c>
      <c r="J1275" s="97" t="s">
        <v>1817</v>
      </c>
      <c r="K1275" s="98"/>
      <c r="L1275" s="98"/>
    </row>
    <row r="1276">
      <c r="B1276" s="95" t="s">
        <v>526</v>
      </c>
      <c r="C1276" s="95" t="s">
        <v>1381</v>
      </c>
      <c r="D1276" s="95" t="s">
        <v>140</v>
      </c>
      <c r="E1276" s="95" t="s">
        <v>141</v>
      </c>
      <c r="F1276" s="95" t="s">
        <v>543</v>
      </c>
      <c r="G1276" s="9">
        <f>0.87*2000000</f>
        <v>1740000</v>
      </c>
      <c r="H1276" s="95" t="s">
        <v>530</v>
      </c>
      <c r="I1276" s="13">
        <f t="shared" si="62"/>
        <v>174000</v>
      </c>
      <c r="J1276" s="97" t="s">
        <v>1807</v>
      </c>
      <c r="K1276" s="98"/>
      <c r="L1276" s="98"/>
    </row>
    <row r="1277">
      <c r="B1277" s="95" t="s">
        <v>526</v>
      </c>
      <c r="C1277" s="95" t="s">
        <v>1434</v>
      </c>
      <c r="D1277" s="95" t="s">
        <v>195</v>
      </c>
      <c r="E1277" s="95" t="s">
        <v>432</v>
      </c>
      <c r="F1277" s="95" t="s">
        <v>543</v>
      </c>
      <c r="G1277" s="9">
        <f>0.87*2400000</f>
        <v>2088000</v>
      </c>
      <c r="H1277" s="95" t="s">
        <v>530</v>
      </c>
      <c r="I1277" s="13">
        <f t="shared" si="62"/>
        <v>208800</v>
      </c>
      <c r="J1277" s="97" t="s">
        <v>1825</v>
      </c>
      <c r="K1277" s="98"/>
      <c r="L1277" s="98"/>
    </row>
    <row r="1278">
      <c r="B1278" s="95" t="s">
        <v>526</v>
      </c>
      <c r="C1278" s="95" t="s">
        <v>1383</v>
      </c>
      <c r="D1278" s="95" t="s">
        <v>195</v>
      </c>
      <c r="E1278" s="95" t="s">
        <v>434</v>
      </c>
      <c r="F1278" s="95" t="s">
        <v>543</v>
      </c>
      <c r="G1278" s="9">
        <f>0.87*3700000</f>
        <v>3219000</v>
      </c>
      <c r="H1278" s="95" t="s">
        <v>530</v>
      </c>
      <c r="I1278" s="13">
        <f t="shared" si="62"/>
        <v>321900</v>
      </c>
      <c r="J1278" s="97" t="s">
        <v>1826</v>
      </c>
      <c r="K1278" s="98"/>
      <c r="L1278" s="98"/>
    </row>
    <row r="1279">
      <c r="B1279" s="95" t="s">
        <v>526</v>
      </c>
      <c r="C1279" s="95" t="s">
        <v>1420</v>
      </c>
      <c r="D1279" s="95" t="s">
        <v>195</v>
      </c>
      <c r="E1279" s="95" t="s">
        <v>432</v>
      </c>
      <c r="F1279" s="95" t="s">
        <v>543</v>
      </c>
      <c r="G1279" s="9">
        <f>0.87*2200000</f>
        <v>1914000</v>
      </c>
      <c r="H1279" s="95" t="s">
        <v>530</v>
      </c>
      <c r="I1279" s="13">
        <f t="shared" si="62"/>
        <v>191400</v>
      </c>
      <c r="J1279" s="97" t="s">
        <v>1825</v>
      </c>
      <c r="K1279" s="98"/>
      <c r="L1279" s="98"/>
    </row>
    <row r="1280">
      <c r="B1280" s="95" t="s">
        <v>526</v>
      </c>
      <c r="C1280" s="95" t="s">
        <v>1436</v>
      </c>
      <c r="D1280" s="95" t="s">
        <v>140</v>
      </c>
      <c r="E1280" s="95" t="s">
        <v>141</v>
      </c>
      <c r="F1280" s="95" t="s">
        <v>543</v>
      </c>
      <c r="G1280" s="9">
        <f>0.87*2000000</f>
        <v>1740000</v>
      </c>
      <c r="H1280" s="95" t="s">
        <v>530</v>
      </c>
      <c r="I1280" s="13">
        <f t="shared" si="62"/>
        <v>174000</v>
      </c>
      <c r="J1280" s="97" t="s">
        <v>1809</v>
      </c>
      <c r="K1280" s="98"/>
      <c r="L1280" s="98"/>
    </row>
    <row r="1281">
      <c r="B1281" s="95" t="s">
        <v>526</v>
      </c>
      <c r="C1281" s="95" t="s">
        <v>1435</v>
      </c>
      <c r="D1281" s="95" t="s">
        <v>222</v>
      </c>
      <c r="E1281" s="95" t="s">
        <v>1019</v>
      </c>
      <c r="F1281" s="95" t="s">
        <v>543</v>
      </c>
      <c r="G1281" s="9">
        <v>1800000.0</v>
      </c>
      <c r="H1281" s="95" t="s">
        <v>530</v>
      </c>
      <c r="I1281" s="13">
        <f t="shared" si="62"/>
        <v>180000</v>
      </c>
      <c r="J1281" s="97" t="s">
        <v>1811</v>
      </c>
      <c r="K1281" s="98"/>
      <c r="L1281" s="97" t="s">
        <v>1426</v>
      </c>
    </row>
    <row r="1282">
      <c r="B1282" s="95" t="s">
        <v>526</v>
      </c>
      <c r="C1282" s="95" t="s">
        <v>1419</v>
      </c>
      <c r="D1282" s="95" t="s">
        <v>140</v>
      </c>
      <c r="E1282" s="95" t="s">
        <v>194</v>
      </c>
      <c r="F1282" s="95" t="s">
        <v>543</v>
      </c>
      <c r="G1282" s="9">
        <f>0.87*2000000</f>
        <v>1740000</v>
      </c>
      <c r="H1282" s="95" t="s">
        <v>530</v>
      </c>
      <c r="I1282" s="13">
        <f t="shared" si="62"/>
        <v>174000</v>
      </c>
      <c r="J1282" s="97" t="s">
        <v>1827</v>
      </c>
      <c r="K1282" s="98"/>
      <c r="L1282" s="98"/>
    </row>
    <row r="1283">
      <c r="B1283" s="95" t="s">
        <v>526</v>
      </c>
      <c r="C1283" s="95" t="s">
        <v>1408</v>
      </c>
      <c r="D1283" s="95" t="s">
        <v>826</v>
      </c>
      <c r="E1283" s="95" t="s">
        <v>841</v>
      </c>
      <c r="F1283" s="95" t="s">
        <v>543</v>
      </c>
      <c r="G1283" s="9">
        <f>0.87*1800000</f>
        <v>1566000</v>
      </c>
      <c r="H1283" s="95" t="s">
        <v>530</v>
      </c>
      <c r="I1283" s="13">
        <f t="shared" si="62"/>
        <v>156600</v>
      </c>
      <c r="J1283" s="97" t="s">
        <v>1811</v>
      </c>
      <c r="K1283" s="98"/>
      <c r="L1283" s="98"/>
    </row>
    <row r="1284">
      <c r="B1284" s="95" t="s">
        <v>526</v>
      </c>
      <c r="C1284" s="95" t="s">
        <v>1429</v>
      </c>
      <c r="D1284" s="95" t="s">
        <v>222</v>
      </c>
      <c r="E1284" s="95" t="s">
        <v>1366</v>
      </c>
      <c r="F1284" s="95" t="s">
        <v>543</v>
      </c>
      <c r="G1284" s="9">
        <f>0.87*2000000</f>
        <v>1740000</v>
      </c>
      <c r="H1284" s="95" t="s">
        <v>530</v>
      </c>
      <c r="I1284" s="13">
        <f t="shared" si="62"/>
        <v>174000</v>
      </c>
      <c r="J1284" s="97" t="s">
        <v>1515</v>
      </c>
      <c r="K1284" s="98"/>
      <c r="L1284" s="98"/>
    </row>
    <row r="1285">
      <c r="B1285" s="95" t="s">
        <v>526</v>
      </c>
      <c r="C1285" s="95" t="s">
        <v>1429</v>
      </c>
      <c r="D1285" s="95" t="s">
        <v>222</v>
      </c>
      <c r="E1285" s="95" t="s">
        <v>1366</v>
      </c>
      <c r="F1285" s="95" t="s">
        <v>763</v>
      </c>
      <c r="G1285" s="9">
        <f>0.85*2000000</f>
        <v>1700000</v>
      </c>
      <c r="H1285" s="95" t="s">
        <v>530</v>
      </c>
      <c r="I1285" s="13">
        <f t="shared" si="62"/>
        <v>170000</v>
      </c>
      <c r="J1285" s="97" t="s">
        <v>1515</v>
      </c>
      <c r="K1285" s="98" t="s">
        <v>1828</v>
      </c>
      <c r="L1285" s="98"/>
    </row>
    <row r="1286">
      <c r="B1286" s="95" t="s">
        <v>526</v>
      </c>
      <c r="C1286" s="95" t="s">
        <v>693</v>
      </c>
      <c r="D1286" s="95" t="s">
        <v>826</v>
      </c>
      <c r="E1286" s="95" t="s">
        <v>841</v>
      </c>
      <c r="F1286" s="95" t="s">
        <v>543</v>
      </c>
      <c r="G1286" s="9">
        <f>0.87*2500000</f>
        <v>2175000</v>
      </c>
      <c r="H1286" s="95" t="s">
        <v>530</v>
      </c>
      <c r="I1286" s="13">
        <f t="shared" si="62"/>
        <v>217500</v>
      </c>
      <c r="J1286" s="97" t="s">
        <v>1829</v>
      </c>
      <c r="K1286" s="98"/>
      <c r="L1286" s="98"/>
    </row>
    <row r="1287">
      <c r="B1287" s="95" t="s">
        <v>526</v>
      </c>
      <c r="C1287" s="95" t="s">
        <v>693</v>
      </c>
      <c r="D1287" s="95" t="s">
        <v>114</v>
      </c>
      <c r="E1287" s="95" t="s">
        <v>389</v>
      </c>
      <c r="F1287" s="95" t="s">
        <v>529</v>
      </c>
      <c r="G1287" s="9">
        <v>1000000.0</v>
      </c>
      <c r="H1287" s="95" t="s">
        <v>530</v>
      </c>
      <c r="I1287" s="13">
        <f t="shared" si="62"/>
        <v>100000</v>
      </c>
      <c r="J1287" s="97" t="s">
        <v>1829</v>
      </c>
      <c r="K1287" s="98"/>
      <c r="L1287" s="98"/>
    </row>
    <row r="1288">
      <c r="B1288" s="95" t="s">
        <v>526</v>
      </c>
      <c r="C1288" s="95" t="s">
        <v>1432</v>
      </c>
      <c r="D1288" s="95" t="s">
        <v>826</v>
      </c>
      <c r="E1288" s="95" t="s">
        <v>1175</v>
      </c>
      <c r="F1288" s="95" t="s">
        <v>543</v>
      </c>
      <c r="G1288" s="9">
        <f>0.87*2500000</f>
        <v>2175000</v>
      </c>
      <c r="H1288" s="95" t="s">
        <v>530</v>
      </c>
      <c r="I1288" s="13">
        <f t="shared" si="62"/>
        <v>217500</v>
      </c>
      <c r="J1288" s="97" t="s">
        <v>1806</v>
      </c>
      <c r="K1288" s="98"/>
      <c r="L1288" s="98"/>
    </row>
    <row r="1289">
      <c r="B1289" s="95" t="s">
        <v>526</v>
      </c>
      <c r="C1289" s="95" t="s">
        <v>1440</v>
      </c>
      <c r="D1289" s="95" t="s">
        <v>222</v>
      </c>
      <c r="E1289" s="95" t="s">
        <v>1019</v>
      </c>
      <c r="F1289" s="95" t="s">
        <v>543</v>
      </c>
      <c r="G1289" s="9">
        <f t="shared" ref="G1289:G1291" si="66">0.87*1800000</f>
        <v>1566000</v>
      </c>
      <c r="H1289" s="95" t="s">
        <v>530</v>
      </c>
      <c r="I1289" s="13">
        <f t="shared" si="62"/>
        <v>156600</v>
      </c>
      <c r="J1289" s="97" t="s">
        <v>1811</v>
      </c>
      <c r="K1289" s="97" t="s">
        <v>1830</v>
      </c>
      <c r="L1289" s="98"/>
    </row>
    <row r="1290">
      <c r="B1290" s="95" t="s">
        <v>526</v>
      </c>
      <c r="C1290" s="95" t="s">
        <v>585</v>
      </c>
      <c r="D1290" s="95" t="s">
        <v>114</v>
      </c>
      <c r="E1290" s="95" t="s">
        <v>389</v>
      </c>
      <c r="F1290" s="95" t="s">
        <v>543</v>
      </c>
      <c r="G1290" s="9">
        <f t="shared" si="66"/>
        <v>1566000</v>
      </c>
      <c r="H1290" s="95" t="s">
        <v>530</v>
      </c>
      <c r="I1290" s="13">
        <f t="shared" si="62"/>
        <v>156600</v>
      </c>
      <c r="J1290" s="97" t="s">
        <v>1811</v>
      </c>
      <c r="K1290" s="98"/>
      <c r="L1290" s="98"/>
    </row>
    <row r="1291">
      <c r="B1291" s="95" t="s">
        <v>526</v>
      </c>
      <c r="C1291" s="95" t="s">
        <v>1363</v>
      </c>
      <c r="D1291" s="95" t="s">
        <v>140</v>
      </c>
      <c r="E1291" s="95" t="s">
        <v>194</v>
      </c>
      <c r="F1291" s="95" t="s">
        <v>543</v>
      </c>
      <c r="G1291" s="9">
        <f t="shared" si="66"/>
        <v>1566000</v>
      </c>
      <c r="H1291" s="95" t="s">
        <v>530</v>
      </c>
      <c r="I1291" s="13">
        <f t="shared" si="62"/>
        <v>156600</v>
      </c>
      <c r="J1291" s="97" t="s">
        <v>1811</v>
      </c>
      <c r="K1291" s="98"/>
      <c r="L1291" s="98"/>
    </row>
    <row r="1292">
      <c r="B1292" s="95" t="s">
        <v>526</v>
      </c>
      <c r="C1292" s="95" t="s">
        <v>1407</v>
      </c>
      <c r="D1292" s="95" t="s">
        <v>826</v>
      </c>
      <c r="E1292" s="95" t="s">
        <v>841</v>
      </c>
      <c r="F1292" s="95" t="s">
        <v>543</v>
      </c>
      <c r="G1292" s="9">
        <f t="shared" ref="G1292:G1294" si="67">0.87*1700000</f>
        <v>1479000</v>
      </c>
      <c r="H1292" s="95" t="s">
        <v>530</v>
      </c>
      <c r="I1292" s="13">
        <f t="shared" si="62"/>
        <v>147900</v>
      </c>
      <c r="J1292" s="97" t="s">
        <v>1811</v>
      </c>
      <c r="K1292" s="98"/>
      <c r="L1292" s="98"/>
    </row>
    <row r="1293">
      <c r="B1293" s="95" t="s">
        <v>526</v>
      </c>
      <c r="C1293" s="95" t="s">
        <v>1528</v>
      </c>
      <c r="D1293" s="95" t="s">
        <v>140</v>
      </c>
      <c r="E1293" s="95" t="s">
        <v>141</v>
      </c>
      <c r="F1293" s="95" t="s">
        <v>543</v>
      </c>
      <c r="G1293" s="9">
        <f t="shared" si="67"/>
        <v>1479000</v>
      </c>
      <c r="H1293" s="95" t="s">
        <v>530</v>
      </c>
      <c r="I1293" s="13">
        <f t="shared" si="62"/>
        <v>147900</v>
      </c>
      <c r="J1293" s="97" t="s">
        <v>1811</v>
      </c>
      <c r="K1293" s="98"/>
      <c r="L1293" s="98"/>
    </row>
    <row r="1294">
      <c r="B1294" s="95" t="s">
        <v>526</v>
      </c>
      <c r="C1294" s="95" t="s">
        <v>1819</v>
      </c>
      <c r="D1294" s="95" t="s">
        <v>140</v>
      </c>
      <c r="E1294" s="95" t="s">
        <v>141</v>
      </c>
      <c r="F1294" s="95" t="s">
        <v>543</v>
      </c>
      <c r="G1294" s="9">
        <f t="shared" si="67"/>
        <v>1479000</v>
      </c>
      <c r="H1294" s="95" t="s">
        <v>530</v>
      </c>
      <c r="I1294" s="13">
        <f t="shared" si="62"/>
        <v>147900</v>
      </c>
      <c r="J1294" s="97" t="s">
        <v>1811</v>
      </c>
      <c r="K1294" s="98"/>
      <c r="L1294" s="98"/>
    </row>
    <row r="1295">
      <c r="B1295" s="95" t="s">
        <v>526</v>
      </c>
      <c r="C1295" s="95" t="s">
        <v>1030</v>
      </c>
      <c r="D1295" s="95" t="s">
        <v>195</v>
      </c>
      <c r="E1295" s="95" t="s">
        <v>434</v>
      </c>
      <c r="F1295" s="95" t="s">
        <v>543</v>
      </c>
      <c r="G1295" s="9">
        <f>0.87*1600000</f>
        <v>1392000</v>
      </c>
      <c r="H1295" s="95" t="s">
        <v>530</v>
      </c>
      <c r="I1295" s="13">
        <f t="shared" si="62"/>
        <v>139200</v>
      </c>
      <c r="J1295" s="97" t="s">
        <v>1811</v>
      </c>
      <c r="K1295" s="98"/>
      <c r="L1295" s="98"/>
    </row>
    <row r="1296">
      <c r="B1296" s="95" t="s">
        <v>526</v>
      </c>
      <c r="C1296" s="95" t="s">
        <v>1146</v>
      </c>
      <c r="D1296" s="95" t="s">
        <v>174</v>
      </c>
      <c r="E1296" s="95" t="s">
        <v>419</v>
      </c>
      <c r="F1296" s="95" t="s">
        <v>543</v>
      </c>
      <c r="G1296" s="9">
        <f>0.87*1500000</f>
        <v>1305000</v>
      </c>
      <c r="H1296" s="95" t="s">
        <v>530</v>
      </c>
      <c r="I1296" s="13">
        <f t="shared" si="62"/>
        <v>130500</v>
      </c>
      <c r="J1296" s="97" t="s">
        <v>1811</v>
      </c>
      <c r="K1296" s="98"/>
      <c r="L1296" s="98"/>
    </row>
    <row r="1297">
      <c r="B1297" s="95" t="s">
        <v>526</v>
      </c>
      <c r="C1297" s="95" t="s">
        <v>1831</v>
      </c>
      <c r="D1297" s="95" t="s">
        <v>195</v>
      </c>
      <c r="E1297" s="95" t="s">
        <v>434</v>
      </c>
      <c r="F1297" s="95" t="s">
        <v>738</v>
      </c>
      <c r="G1297" s="9">
        <f>2000000</f>
        <v>2000000</v>
      </c>
      <c r="H1297" s="95" t="s">
        <v>530</v>
      </c>
      <c r="I1297" s="13">
        <f t="shared" si="62"/>
        <v>200000</v>
      </c>
      <c r="J1297" s="97" t="s">
        <v>1172</v>
      </c>
      <c r="K1297" s="98"/>
      <c r="L1297" s="98"/>
    </row>
    <row r="1298">
      <c r="B1298" s="95" t="s">
        <v>526</v>
      </c>
      <c r="C1298" s="95" t="s">
        <v>1831</v>
      </c>
      <c r="D1298" s="95" t="s">
        <v>174</v>
      </c>
      <c r="E1298" s="95" t="s">
        <v>419</v>
      </c>
      <c r="F1298" s="95" t="s">
        <v>763</v>
      </c>
      <c r="G1298" s="9">
        <f>0.85*1100000</f>
        <v>935000</v>
      </c>
      <c r="H1298" s="95" t="s">
        <v>530</v>
      </c>
      <c r="I1298" s="13">
        <f t="shared" si="62"/>
        <v>93500</v>
      </c>
      <c r="J1298" s="97" t="s">
        <v>1832</v>
      </c>
      <c r="K1298" s="98"/>
      <c r="L1298" s="98"/>
    </row>
    <row r="1299">
      <c r="B1299" s="95" t="s">
        <v>526</v>
      </c>
      <c r="C1299" s="95" t="s">
        <v>1833</v>
      </c>
      <c r="D1299" s="95" t="s">
        <v>174</v>
      </c>
      <c r="E1299" s="95" t="s">
        <v>419</v>
      </c>
      <c r="F1299" s="95" t="s">
        <v>763</v>
      </c>
      <c r="G1299" s="9">
        <f>0.85*800000</f>
        <v>680000</v>
      </c>
      <c r="H1299" s="95" t="s">
        <v>530</v>
      </c>
      <c r="I1299" s="13">
        <f t="shared" si="62"/>
        <v>68000</v>
      </c>
      <c r="J1299" s="97" t="s">
        <v>1832</v>
      </c>
      <c r="K1299" s="98"/>
      <c r="L1299" s="98"/>
    </row>
    <row r="1300">
      <c r="B1300" s="95" t="s">
        <v>526</v>
      </c>
      <c r="C1300" s="95" t="s">
        <v>1834</v>
      </c>
      <c r="D1300" s="95" t="s">
        <v>174</v>
      </c>
      <c r="E1300" s="95" t="s">
        <v>419</v>
      </c>
      <c r="F1300" s="95" t="s">
        <v>763</v>
      </c>
      <c r="G1300" s="9">
        <f>0.85*550000</f>
        <v>467500</v>
      </c>
      <c r="H1300" s="95" t="s">
        <v>530</v>
      </c>
      <c r="I1300" s="13">
        <f t="shared" si="62"/>
        <v>46750</v>
      </c>
      <c r="J1300" s="97" t="s">
        <v>1832</v>
      </c>
      <c r="K1300" s="98"/>
      <c r="L1300" s="98"/>
    </row>
    <row r="1301">
      <c r="B1301" s="95" t="s">
        <v>526</v>
      </c>
      <c r="C1301" s="95" t="s">
        <v>1835</v>
      </c>
      <c r="D1301" s="95" t="s">
        <v>174</v>
      </c>
      <c r="E1301" s="95" t="s">
        <v>419</v>
      </c>
      <c r="F1301" s="95" t="s">
        <v>763</v>
      </c>
      <c r="G1301" s="9">
        <f>0.85*450000</f>
        <v>382500</v>
      </c>
      <c r="H1301" s="95" t="s">
        <v>530</v>
      </c>
      <c r="I1301" s="13">
        <f t="shared" si="62"/>
        <v>38250</v>
      </c>
      <c r="J1301" s="97" t="s">
        <v>1832</v>
      </c>
      <c r="K1301" s="98"/>
      <c r="L1301" s="98"/>
    </row>
    <row r="1302">
      <c r="B1302" s="95" t="s">
        <v>526</v>
      </c>
      <c r="C1302" s="95" t="s">
        <v>1203</v>
      </c>
      <c r="D1302" s="95" t="s">
        <v>174</v>
      </c>
      <c r="E1302" s="95" t="s">
        <v>419</v>
      </c>
      <c r="F1302" s="95" t="s">
        <v>763</v>
      </c>
      <c r="G1302" s="9">
        <f>0.85*330000</f>
        <v>280500</v>
      </c>
      <c r="H1302" s="95" t="s">
        <v>530</v>
      </c>
      <c r="I1302" s="13">
        <f t="shared" si="62"/>
        <v>28050</v>
      </c>
      <c r="J1302" s="97" t="s">
        <v>1832</v>
      </c>
      <c r="K1302" s="98"/>
      <c r="L1302" s="98"/>
    </row>
    <row r="1303">
      <c r="B1303" s="95" t="s">
        <v>526</v>
      </c>
      <c r="C1303" s="95" t="s">
        <v>1836</v>
      </c>
      <c r="D1303" s="95" t="s">
        <v>174</v>
      </c>
      <c r="E1303" s="95" t="s">
        <v>419</v>
      </c>
      <c r="F1303" s="95" t="s">
        <v>763</v>
      </c>
      <c r="G1303" s="9">
        <f>0.85*300000</f>
        <v>255000</v>
      </c>
      <c r="H1303" s="95" t="s">
        <v>530</v>
      </c>
      <c r="I1303" s="13">
        <f t="shared" si="62"/>
        <v>25500</v>
      </c>
      <c r="J1303" s="97" t="s">
        <v>1832</v>
      </c>
      <c r="K1303" s="98"/>
      <c r="L1303" s="98"/>
    </row>
    <row r="1304">
      <c r="B1304" s="95" t="s">
        <v>526</v>
      </c>
      <c r="C1304" s="95" t="s">
        <v>724</v>
      </c>
      <c r="D1304" s="95" t="s">
        <v>174</v>
      </c>
      <c r="E1304" s="95" t="s">
        <v>419</v>
      </c>
      <c r="F1304" s="95" t="s">
        <v>763</v>
      </c>
      <c r="G1304" s="9">
        <f t="shared" ref="G1304:G1305" si="68">0.85*250000</f>
        <v>212500</v>
      </c>
      <c r="H1304" s="95" t="s">
        <v>530</v>
      </c>
      <c r="I1304" s="13">
        <f t="shared" si="62"/>
        <v>21250</v>
      </c>
      <c r="J1304" s="97" t="s">
        <v>1832</v>
      </c>
      <c r="K1304" s="98"/>
      <c r="L1304" s="98"/>
    </row>
    <row r="1305">
      <c r="B1305" s="95" t="s">
        <v>526</v>
      </c>
      <c r="C1305" s="95" t="s">
        <v>1204</v>
      </c>
      <c r="D1305" s="95" t="s">
        <v>174</v>
      </c>
      <c r="E1305" s="95" t="s">
        <v>419</v>
      </c>
      <c r="F1305" s="95" t="s">
        <v>763</v>
      </c>
      <c r="G1305" s="9">
        <f t="shared" si="68"/>
        <v>212500</v>
      </c>
      <c r="H1305" s="95" t="s">
        <v>530</v>
      </c>
      <c r="I1305" s="13">
        <f t="shared" si="62"/>
        <v>21250</v>
      </c>
      <c r="J1305" s="97" t="s">
        <v>1832</v>
      </c>
      <c r="K1305" s="98"/>
      <c r="L1305" s="98"/>
    </row>
    <row r="1306">
      <c r="B1306" s="95" t="s">
        <v>526</v>
      </c>
      <c r="C1306" s="95" t="s">
        <v>1187</v>
      </c>
      <c r="D1306" s="95" t="s">
        <v>174</v>
      </c>
      <c r="E1306" s="95" t="s">
        <v>419</v>
      </c>
      <c r="F1306" s="95" t="s">
        <v>763</v>
      </c>
      <c r="G1306" s="9">
        <f>0.85*180000</f>
        <v>153000</v>
      </c>
      <c r="H1306" s="95" t="s">
        <v>530</v>
      </c>
      <c r="I1306" s="13">
        <f t="shared" si="62"/>
        <v>15300</v>
      </c>
      <c r="J1306" s="97" t="s">
        <v>1832</v>
      </c>
      <c r="K1306" s="98"/>
      <c r="L1306" s="98"/>
    </row>
    <row r="1307">
      <c r="B1307" s="95" t="s">
        <v>526</v>
      </c>
      <c r="C1307" s="95" t="s">
        <v>1234</v>
      </c>
      <c r="D1307" s="95" t="s">
        <v>174</v>
      </c>
      <c r="E1307" s="95" t="s">
        <v>419</v>
      </c>
      <c r="F1307" s="95" t="s">
        <v>763</v>
      </c>
      <c r="G1307" s="9">
        <f>0.85*150000</f>
        <v>127500</v>
      </c>
      <c r="H1307" s="95" t="s">
        <v>530</v>
      </c>
      <c r="I1307" s="13">
        <f t="shared" si="62"/>
        <v>12750</v>
      </c>
      <c r="J1307" s="97" t="s">
        <v>1832</v>
      </c>
      <c r="K1307" s="98"/>
      <c r="L1307" s="98"/>
    </row>
    <row r="1308">
      <c r="B1308" s="95" t="s">
        <v>526</v>
      </c>
      <c r="C1308" s="95" t="s">
        <v>1146</v>
      </c>
      <c r="D1308" s="95" t="s">
        <v>174</v>
      </c>
      <c r="E1308" s="95" t="s">
        <v>419</v>
      </c>
      <c r="F1308" s="95" t="s">
        <v>763</v>
      </c>
      <c r="G1308" s="9">
        <f>0.85*1700000</f>
        <v>1445000</v>
      </c>
      <c r="H1308" s="95" t="s">
        <v>530</v>
      </c>
      <c r="I1308" s="13">
        <f t="shared" si="62"/>
        <v>144500</v>
      </c>
      <c r="J1308" s="97" t="s">
        <v>1837</v>
      </c>
      <c r="K1308" s="97" t="s">
        <v>1832</v>
      </c>
      <c r="L1308" s="98"/>
    </row>
    <row r="1309">
      <c r="B1309" s="95" t="s">
        <v>526</v>
      </c>
      <c r="C1309" s="95" t="s">
        <v>1838</v>
      </c>
      <c r="D1309" s="95" t="s">
        <v>195</v>
      </c>
      <c r="E1309" s="95" t="s">
        <v>432</v>
      </c>
      <c r="F1309" s="95" t="s">
        <v>906</v>
      </c>
      <c r="G1309" s="9">
        <f>0.86*1500000</f>
        <v>1290000</v>
      </c>
      <c r="H1309" s="95" t="s">
        <v>530</v>
      </c>
      <c r="I1309" s="13">
        <f t="shared" si="62"/>
        <v>129000</v>
      </c>
      <c r="J1309" s="97" t="s">
        <v>1839</v>
      </c>
      <c r="K1309" s="98"/>
      <c r="L1309" s="98"/>
    </row>
    <row r="1310">
      <c r="B1310" s="95" t="s">
        <v>641</v>
      </c>
      <c r="C1310" s="95" t="s">
        <v>1840</v>
      </c>
      <c r="D1310" s="95" t="s">
        <v>222</v>
      </c>
      <c r="E1310" s="95" t="s">
        <v>1019</v>
      </c>
      <c r="F1310" s="95" t="s">
        <v>529</v>
      </c>
      <c r="G1310" s="9">
        <v>2000000.0</v>
      </c>
      <c r="H1310" s="95" t="s">
        <v>530</v>
      </c>
      <c r="I1310" s="13">
        <f t="shared" si="62"/>
        <v>200000</v>
      </c>
      <c r="J1310" s="97" t="s">
        <v>1841</v>
      </c>
      <c r="K1310" s="98"/>
      <c r="L1310" s="98"/>
    </row>
    <row r="1311">
      <c r="B1311" s="95" t="s">
        <v>641</v>
      </c>
      <c r="C1311" s="95" t="s">
        <v>1840</v>
      </c>
      <c r="D1311" s="95" t="s">
        <v>222</v>
      </c>
      <c r="E1311" s="95" t="s">
        <v>1019</v>
      </c>
      <c r="F1311" s="95" t="s">
        <v>543</v>
      </c>
      <c r="G1311" s="9">
        <v>2000000.0</v>
      </c>
      <c r="H1311" s="95" t="s">
        <v>530</v>
      </c>
      <c r="I1311" s="13">
        <f t="shared" si="62"/>
        <v>200000</v>
      </c>
      <c r="J1311" s="97" t="s">
        <v>1841</v>
      </c>
      <c r="K1311" s="98"/>
      <c r="L1311" s="98"/>
    </row>
    <row r="1312">
      <c r="B1312" s="95" t="s">
        <v>641</v>
      </c>
      <c r="C1312" s="95" t="s">
        <v>642</v>
      </c>
      <c r="D1312" s="95" t="s">
        <v>195</v>
      </c>
      <c r="E1312" s="95" t="s">
        <v>434</v>
      </c>
      <c r="F1312" s="95" t="s">
        <v>543</v>
      </c>
      <c r="G1312" s="9">
        <v>1000000.0</v>
      </c>
      <c r="H1312" s="95" t="s">
        <v>530</v>
      </c>
      <c r="I1312" s="13">
        <f t="shared" si="62"/>
        <v>100000</v>
      </c>
      <c r="J1312" s="97" t="s">
        <v>1842</v>
      </c>
      <c r="K1312" s="98"/>
      <c r="L1312" s="98"/>
    </row>
    <row r="1313">
      <c r="B1313" s="95" t="s">
        <v>641</v>
      </c>
      <c r="C1313" s="95" t="s">
        <v>1843</v>
      </c>
      <c r="D1313" s="95" t="s">
        <v>195</v>
      </c>
      <c r="E1313" s="95" t="s">
        <v>432</v>
      </c>
      <c r="F1313" s="95" t="s">
        <v>543</v>
      </c>
      <c r="G1313" s="9">
        <v>1500000.0</v>
      </c>
      <c r="H1313" s="95" t="s">
        <v>530</v>
      </c>
      <c r="I1313" s="13">
        <f t="shared" si="62"/>
        <v>150000</v>
      </c>
      <c r="J1313" s="97" t="s">
        <v>1844</v>
      </c>
      <c r="K1313" s="98"/>
      <c r="L1313" s="98"/>
    </row>
    <row r="1314">
      <c r="B1314" s="95" t="s">
        <v>641</v>
      </c>
      <c r="C1314" s="95" t="s">
        <v>1845</v>
      </c>
      <c r="D1314" s="95" t="s">
        <v>88</v>
      </c>
      <c r="E1314" s="95" t="s">
        <v>425</v>
      </c>
      <c r="F1314" s="95" t="s">
        <v>543</v>
      </c>
      <c r="G1314" s="9">
        <f>6*30000</f>
        <v>180000</v>
      </c>
      <c r="H1314" s="95" t="s">
        <v>635</v>
      </c>
      <c r="I1314" s="13">
        <f>G1314/6</f>
        <v>30000</v>
      </c>
      <c r="J1314" s="97" t="s">
        <v>1846</v>
      </c>
      <c r="K1314" s="97" t="s">
        <v>1847</v>
      </c>
      <c r="L1314" s="98"/>
    </row>
    <row r="1315">
      <c r="B1315" s="95" t="s">
        <v>641</v>
      </c>
      <c r="C1315" s="95" t="s">
        <v>1848</v>
      </c>
      <c r="D1315" s="95" t="s">
        <v>69</v>
      </c>
      <c r="E1315" s="95" t="s">
        <v>555</v>
      </c>
      <c r="F1315" s="95" t="s">
        <v>543</v>
      </c>
      <c r="G1315" s="9">
        <v>225000.0</v>
      </c>
      <c r="H1315" s="95" t="s">
        <v>530</v>
      </c>
      <c r="I1315" s="13">
        <f t="shared" ref="I1315:I1329" si="69">G1315/10</f>
        <v>22500</v>
      </c>
      <c r="J1315" s="105" t="s">
        <v>1849</v>
      </c>
      <c r="K1315" s="98"/>
      <c r="L1315" s="98"/>
    </row>
    <row r="1316">
      <c r="B1316" s="95" t="s">
        <v>526</v>
      </c>
      <c r="C1316" s="95" t="s">
        <v>1146</v>
      </c>
      <c r="D1316" s="95" t="s">
        <v>174</v>
      </c>
      <c r="E1316" s="95" t="s">
        <v>419</v>
      </c>
      <c r="F1316" s="95" t="s">
        <v>537</v>
      </c>
      <c r="G1316" s="9">
        <v>1105000.0</v>
      </c>
      <c r="H1316" s="95" t="s">
        <v>530</v>
      </c>
      <c r="I1316" s="13">
        <f t="shared" si="69"/>
        <v>110500</v>
      </c>
      <c r="J1316" s="97" t="s">
        <v>1850</v>
      </c>
      <c r="K1316" s="98"/>
      <c r="L1316" s="98"/>
    </row>
    <row r="1317">
      <c r="B1317" s="95" t="s">
        <v>526</v>
      </c>
      <c r="C1317" s="95" t="s">
        <v>1851</v>
      </c>
      <c r="D1317" s="95" t="s">
        <v>174</v>
      </c>
      <c r="E1317" s="95" t="s">
        <v>419</v>
      </c>
      <c r="F1317" s="95" t="s">
        <v>537</v>
      </c>
      <c r="G1317" s="9">
        <v>680000.0</v>
      </c>
      <c r="H1317" s="95" t="s">
        <v>530</v>
      </c>
      <c r="I1317" s="13">
        <f t="shared" si="69"/>
        <v>68000</v>
      </c>
      <c r="J1317" s="97" t="s">
        <v>1850</v>
      </c>
      <c r="K1317" s="98"/>
      <c r="L1317" s="98"/>
    </row>
    <row r="1318">
      <c r="B1318" s="95" t="s">
        <v>526</v>
      </c>
      <c r="C1318" s="95" t="s">
        <v>1852</v>
      </c>
      <c r="D1318" s="95" t="s">
        <v>174</v>
      </c>
      <c r="E1318" s="95" t="s">
        <v>419</v>
      </c>
      <c r="F1318" s="95" t="s">
        <v>537</v>
      </c>
      <c r="G1318" s="9">
        <v>680000.0</v>
      </c>
      <c r="H1318" s="95" t="s">
        <v>530</v>
      </c>
      <c r="I1318" s="13">
        <f t="shared" si="69"/>
        <v>68000</v>
      </c>
      <c r="J1318" s="97" t="s">
        <v>1850</v>
      </c>
      <c r="K1318" s="98"/>
      <c r="L1318" s="98"/>
    </row>
    <row r="1319">
      <c r="B1319" s="95" t="s">
        <v>526</v>
      </c>
      <c r="C1319" s="95" t="s">
        <v>1835</v>
      </c>
      <c r="D1319" s="95" t="s">
        <v>174</v>
      </c>
      <c r="E1319" s="95" t="s">
        <v>419</v>
      </c>
      <c r="F1319" s="95" t="s">
        <v>537</v>
      </c>
      <c r="G1319" s="9">
        <v>340000.0</v>
      </c>
      <c r="H1319" s="95" t="s">
        <v>530</v>
      </c>
      <c r="I1319" s="13">
        <f t="shared" si="69"/>
        <v>34000</v>
      </c>
      <c r="J1319" s="97" t="s">
        <v>1850</v>
      </c>
      <c r="K1319" s="98"/>
      <c r="L1319" s="98"/>
    </row>
    <row r="1320">
      <c r="B1320" s="95" t="s">
        <v>526</v>
      </c>
      <c r="C1320" s="95" t="s">
        <v>1853</v>
      </c>
      <c r="D1320" s="95" t="s">
        <v>174</v>
      </c>
      <c r="E1320" s="95" t="s">
        <v>419</v>
      </c>
      <c r="F1320" s="95" t="s">
        <v>537</v>
      </c>
      <c r="G1320" s="9">
        <v>637500.0</v>
      </c>
      <c r="H1320" s="95" t="s">
        <v>530</v>
      </c>
      <c r="I1320" s="13">
        <f t="shared" si="69"/>
        <v>63750</v>
      </c>
      <c r="J1320" s="97" t="s">
        <v>1850</v>
      </c>
      <c r="K1320" s="98"/>
      <c r="L1320" s="98"/>
    </row>
    <row r="1321">
      <c r="B1321" s="95" t="s">
        <v>526</v>
      </c>
      <c r="C1321" s="95" t="s">
        <v>1854</v>
      </c>
      <c r="D1321" s="95" t="s">
        <v>174</v>
      </c>
      <c r="E1321" s="95" t="s">
        <v>419</v>
      </c>
      <c r="F1321" s="95" t="s">
        <v>537</v>
      </c>
      <c r="G1321" s="9">
        <v>510000.0</v>
      </c>
      <c r="H1321" s="95" t="s">
        <v>530</v>
      </c>
      <c r="I1321" s="13">
        <f t="shared" si="69"/>
        <v>51000</v>
      </c>
      <c r="J1321" s="97" t="s">
        <v>1850</v>
      </c>
      <c r="K1321" s="98"/>
      <c r="L1321" s="98"/>
    </row>
    <row r="1322">
      <c r="B1322" s="95" t="s">
        <v>526</v>
      </c>
      <c r="C1322" s="95" t="s">
        <v>1855</v>
      </c>
      <c r="D1322" s="95" t="s">
        <v>174</v>
      </c>
      <c r="E1322" s="95" t="s">
        <v>419</v>
      </c>
      <c r="F1322" s="95" t="s">
        <v>537</v>
      </c>
      <c r="G1322" s="9">
        <v>510000.0</v>
      </c>
      <c r="H1322" s="95" t="s">
        <v>530</v>
      </c>
      <c r="I1322" s="13">
        <f t="shared" si="69"/>
        <v>51000</v>
      </c>
      <c r="J1322" s="97" t="s">
        <v>1850</v>
      </c>
      <c r="K1322" s="98"/>
      <c r="L1322" s="98"/>
    </row>
    <row r="1323">
      <c r="B1323" s="95" t="s">
        <v>641</v>
      </c>
      <c r="C1323" s="95" t="s">
        <v>1856</v>
      </c>
      <c r="D1323" s="95" t="s">
        <v>174</v>
      </c>
      <c r="E1323" s="95" t="s">
        <v>419</v>
      </c>
      <c r="F1323" s="95" t="s">
        <v>537</v>
      </c>
      <c r="G1323" s="9">
        <v>637500.0</v>
      </c>
      <c r="H1323" s="95" t="s">
        <v>530</v>
      </c>
      <c r="I1323" s="13">
        <f t="shared" si="69"/>
        <v>63750</v>
      </c>
      <c r="J1323" s="97" t="s">
        <v>1850</v>
      </c>
      <c r="K1323" s="98"/>
      <c r="L1323" s="98"/>
    </row>
    <row r="1324">
      <c r="B1324" s="95" t="s">
        <v>526</v>
      </c>
      <c r="C1324" s="95" t="s">
        <v>1857</v>
      </c>
      <c r="D1324" s="95" t="s">
        <v>174</v>
      </c>
      <c r="E1324" s="95" t="s">
        <v>419</v>
      </c>
      <c r="F1324" s="95" t="s">
        <v>537</v>
      </c>
      <c r="G1324" s="9">
        <v>297500.0</v>
      </c>
      <c r="H1324" s="95" t="s">
        <v>530</v>
      </c>
      <c r="I1324" s="13">
        <f t="shared" si="69"/>
        <v>29750</v>
      </c>
      <c r="J1324" s="97" t="s">
        <v>1850</v>
      </c>
      <c r="K1324" s="98"/>
      <c r="L1324" s="98"/>
    </row>
    <row r="1325">
      <c r="B1325" s="95" t="s">
        <v>526</v>
      </c>
      <c r="C1325" s="95" t="s">
        <v>1203</v>
      </c>
      <c r="D1325" s="95" t="s">
        <v>174</v>
      </c>
      <c r="E1325" s="95" t="s">
        <v>419</v>
      </c>
      <c r="F1325" s="95" t="s">
        <v>537</v>
      </c>
      <c r="G1325" s="9">
        <v>255000.0</v>
      </c>
      <c r="H1325" s="95" t="s">
        <v>530</v>
      </c>
      <c r="I1325" s="13">
        <f t="shared" si="69"/>
        <v>25500</v>
      </c>
      <c r="J1325" s="97" t="s">
        <v>1850</v>
      </c>
      <c r="K1325" s="98"/>
      <c r="L1325" s="98"/>
    </row>
    <row r="1326">
      <c r="B1326" s="95" t="s">
        <v>526</v>
      </c>
      <c r="C1326" s="95" t="s">
        <v>1204</v>
      </c>
      <c r="D1326" s="95" t="s">
        <v>174</v>
      </c>
      <c r="E1326" s="95" t="s">
        <v>419</v>
      </c>
      <c r="F1326" s="95" t="s">
        <v>537</v>
      </c>
      <c r="G1326" s="9">
        <v>255000.0</v>
      </c>
      <c r="H1326" s="95" t="s">
        <v>530</v>
      </c>
      <c r="I1326" s="13">
        <f t="shared" si="69"/>
        <v>25500</v>
      </c>
      <c r="J1326" s="97" t="s">
        <v>1850</v>
      </c>
      <c r="K1326" s="98"/>
      <c r="L1326" s="98"/>
    </row>
    <row r="1327">
      <c r="B1327" s="95" t="s">
        <v>526</v>
      </c>
      <c r="C1327" s="95" t="s">
        <v>1449</v>
      </c>
      <c r="D1327" s="95" t="s">
        <v>174</v>
      </c>
      <c r="E1327" s="95" t="s">
        <v>419</v>
      </c>
      <c r="F1327" s="95" t="s">
        <v>537</v>
      </c>
      <c r="G1327" s="9">
        <v>212500.0</v>
      </c>
      <c r="H1327" s="95" t="s">
        <v>530</v>
      </c>
      <c r="I1327" s="13">
        <f t="shared" si="69"/>
        <v>21250</v>
      </c>
      <c r="J1327" s="97" t="s">
        <v>1850</v>
      </c>
      <c r="K1327" s="98"/>
      <c r="L1327" s="98"/>
    </row>
    <row r="1328">
      <c r="B1328" s="95" t="s">
        <v>526</v>
      </c>
      <c r="C1328" s="95" t="s">
        <v>1226</v>
      </c>
      <c r="D1328" s="95" t="s">
        <v>174</v>
      </c>
      <c r="E1328" s="95" t="s">
        <v>419</v>
      </c>
      <c r="F1328" s="95" t="s">
        <v>537</v>
      </c>
      <c r="G1328" s="9">
        <v>170000.0</v>
      </c>
      <c r="H1328" s="95" t="s">
        <v>530</v>
      </c>
      <c r="I1328" s="13">
        <f t="shared" si="69"/>
        <v>17000</v>
      </c>
      <c r="J1328" s="97" t="s">
        <v>1850</v>
      </c>
      <c r="K1328" s="98"/>
      <c r="L1328" s="98"/>
    </row>
    <row r="1329">
      <c r="B1329" s="95" t="s">
        <v>641</v>
      </c>
      <c r="C1329" s="95" t="s">
        <v>1858</v>
      </c>
      <c r="D1329" s="95" t="s">
        <v>174</v>
      </c>
      <c r="E1329" s="95" t="s">
        <v>419</v>
      </c>
      <c r="F1329" s="95" t="s">
        <v>543</v>
      </c>
      <c r="G1329" s="9">
        <f>0.87*750000</f>
        <v>652500</v>
      </c>
      <c r="H1329" s="95" t="s">
        <v>530</v>
      </c>
      <c r="I1329" s="13">
        <f t="shared" si="69"/>
        <v>65250</v>
      </c>
      <c r="J1329" s="97" t="s">
        <v>1859</v>
      </c>
      <c r="K1329" s="98"/>
      <c r="L1329" s="98"/>
    </row>
    <row r="1330">
      <c r="B1330" s="95" t="s">
        <v>526</v>
      </c>
      <c r="C1330" s="95" t="s">
        <v>1860</v>
      </c>
      <c r="D1330" s="95" t="s">
        <v>1024</v>
      </c>
      <c r="E1330" s="95" t="s">
        <v>1309</v>
      </c>
      <c r="F1330" s="95" t="s">
        <v>537</v>
      </c>
      <c r="G1330" s="9">
        <f>0.85*1200000</f>
        <v>1020000</v>
      </c>
      <c r="H1330" s="95" t="s">
        <v>728</v>
      </c>
      <c r="I1330" s="13">
        <f>G1330/7</f>
        <v>145714.2857</v>
      </c>
      <c r="J1330" s="97" t="s">
        <v>1861</v>
      </c>
      <c r="K1330" s="98"/>
      <c r="L1330" s="98"/>
    </row>
    <row r="1331">
      <c r="B1331" s="95" t="s">
        <v>526</v>
      </c>
      <c r="C1331" s="95" t="s">
        <v>622</v>
      </c>
      <c r="D1331" s="95" t="s">
        <v>114</v>
      </c>
      <c r="E1331" s="95" t="s">
        <v>396</v>
      </c>
      <c r="F1331" s="95" t="s">
        <v>906</v>
      </c>
      <c r="G1331" s="9">
        <v>250000.0</v>
      </c>
      <c r="H1331" s="95" t="s">
        <v>530</v>
      </c>
      <c r="I1331" s="13">
        <f t="shared" ref="I1331:I1355" si="70">G1331/10</f>
        <v>25000</v>
      </c>
      <c r="J1331" s="97" t="s">
        <v>1862</v>
      </c>
      <c r="K1331" s="98" t="s">
        <v>1863</v>
      </c>
      <c r="L1331" s="98"/>
    </row>
    <row r="1332">
      <c r="B1332" s="95" t="s">
        <v>526</v>
      </c>
      <c r="C1332" s="95" t="s">
        <v>1864</v>
      </c>
      <c r="D1332" s="95" t="s">
        <v>114</v>
      </c>
      <c r="E1332" s="95" t="s">
        <v>389</v>
      </c>
      <c r="F1332" s="95" t="s">
        <v>643</v>
      </c>
      <c r="G1332" s="9">
        <f>0.9*800000</f>
        <v>720000</v>
      </c>
      <c r="H1332" s="95" t="s">
        <v>530</v>
      </c>
      <c r="I1332" s="13">
        <f t="shared" si="70"/>
        <v>72000</v>
      </c>
      <c r="J1332" s="97" t="s">
        <v>1865</v>
      </c>
      <c r="K1332" s="98"/>
      <c r="L1332" s="98"/>
    </row>
    <row r="1333">
      <c r="B1333" s="95" t="s">
        <v>526</v>
      </c>
      <c r="C1333" s="95" t="s">
        <v>622</v>
      </c>
      <c r="D1333" s="95" t="s">
        <v>222</v>
      </c>
      <c r="E1333" s="95" t="s">
        <v>1019</v>
      </c>
      <c r="F1333" s="95" t="s">
        <v>763</v>
      </c>
      <c r="G1333" s="9">
        <v>900000.0</v>
      </c>
      <c r="H1333" s="95" t="s">
        <v>530</v>
      </c>
      <c r="I1333" s="13">
        <f t="shared" si="70"/>
        <v>90000</v>
      </c>
      <c r="J1333" s="97" t="s">
        <v>1866</v>
      </c>
      <c r="K1333" s="98"/>
      <c r="L1333" s="98"/>
    </row>
    <row r="1334">
      <c r="B1334" s="95" t="s">
        <v>526</v>
      </c>
      <c r="C1334" s="95" t="s">
        <v>1248</v>
      </c>
      <c r="D1334" s="95" t="s">
        <v>195</v>
      </c>
      <c r="E1334" s="95" t="s">
        <v>1769</v>
      </c>
      <c r="F1334" s="95" t="s">
        <v>763</v>
      </c>
      <c r="G1334" s="9">
        <v>500000.0</v>
      </c>
      <c r="H1334" s="95" t="s">
        <v>530</v>
      </c>
      <c r="I1334" s="13">
        <f t="shared" si="70"/>
        <v>50000</v>
      </c>
      <c r="J1334" s="97" t="s">
        <v>1867</v>
      </c>
      <c r="K1334" s="98"/>
      <c r="L1334" s="98"/>
    </row>
    <row r="1335">
      <c r="B1335" s="95" t="s">
        <v>526</v>
      </c>
      <c r="C1335" s="95" t="s">
        <v>1868</v>
      </c>
      <c r="D1335" s="95" t="s">
        <v>826</v>
      </c>
      <c r="E1335" s="95" t="s">
        <v>833</v>
      </c>
      <c r="F1335" s="95" t="s">
        <v>529</v>
      </c>
      <c r="G1335" s="9">
        <v>1600000.0</v>
      </c>
      <c r="H1335" s="95" t="s">
        <v>530</v>
      </c>
      <c r="I1335" s="13">
        <f t="shared" si="70"/>
        <v>160000</v>
      </c>
      <c r="J1335" s="97" t="s">
        <v>1869</v>
      </c>
      <c r="K1335" s="98"/>
      <c r="L1335" s="98"/>
    </row>
    <row r="1336">
      <c r="B1336" s="95" t="s">
        <v>526</v>
      </c>
      <c r="C1336" s="95" t="s">
        <v>1870</v>
      </c>
      <c r="D1336" s="95" t="s">
        <v>815</v>
      </c>
      <c r="E1336" s="95" t="s">
        <v>1871</v>
      </c>
      <c r="F1336" s="95" t="s">
        <v>685</v>
      </c>
      <c r="G1336" s="9">
        <v>900000.0</v>
      </c>
      <c r="H1336" s="95" t="s">
        <v>530</v>
      </c>
      <c r="I1336" s="13">
        <f t="shared" si="70"/>
        <v>90000</v>
      </c>
      <c r="J1336" s="97" t="s">
        <v>1872</v>
      </c>
      <c r="K1336" s="98"/>
      <c r="L1336" s="98"/>
    </row>
    <row r="1337">
      <c r="B1337" s="95" t="s">
        <v>526</v>
      </c>
      <c r="C1337" s="95" t="s">
        <v>1363</v>
      </c>
      <c r="D1337" s="95" t="s">
        <v>13</v>
      </c>
      <c r="E1337" s="95" t="s">
        <v>19</v>
      </c>
      <c r="F1337" s="95" t="s">
        <v>586</v>
      </c>
      <c r="G1337" s="9">
        <v>1400000.0</v>
      </c>
      <c r="H1337" s="95" t="s">
        <v>530</v>
      </c>
      <c r="I1337" s="13">
        <f t="shared" si="70"/>
        <v>140000</v>
      </c>
      <c r="J1337" s="97" t="s">
        <v>1873</v>
      </c>
      <c r="K1337" s="98"/>
      <c r="L1337" s="98"/>
    </row>
    <row r="1338">
      <c r="B1338" s="95" t="s">
        <v>526</v>
      </c>
      <c r="C1338" s="95" t="s">
        <v>1363</v>
      </c>
      <c r="D1338" s="95" t="s">
        <v>13</v>
      </c>
      <c r="E1338" s="95" t="s">
        <v>19</v>
      </c>
      <c r="F1338" s="95" t="s">
        <v>650</v>
      </c>
      <c r="G1338" s="9">
        <v>1275000.0</v>
      </c>
      <c r="H1338" s="95" t="s">
        <v>530</v>
      </c>
      <c r="I1338" s="13">
        <f t="shared" si="70"/>
        <v>127500</v>
      </c>
      <c r="J1338" s="105" t="s">
        <v>1795</v>
      </c>
      <c r="K1338" s="98"/>
      <c r="L1338" s="98"/>
    </row>
    <row r="1339">
      <c r="B1339" s="95" t="s">
        <v>526</v>
      </c>
      <c r="C1339" s="95" t="s">
        <v>1578</v>
      </c>
      <c r="D1339" s="95" t="s">
        <v>13</v>
      </c>
      <c r="E1339" s="95" t="s">
        <v>19</v>
      </c>
      <c r="F1339" s="95" t="s">
        <v>738</v>
      </c>
      <c r="G1339" s="9">
        <v>700000.0</v>
      </c>
      <c r="H1339" s="95" t="s">
        <v>530</v>
      </c>
      <c r="I1339" s="13">
        <f t="shared" si="70"/>
        <v>70000</v>
      </c>
      <c r="J1339" s="97" t="s">
        <v>1874</v>
      </c>
      <c r="K1339" s="98"/>
      <c r="L1339" s="98"/>
    </row>
    <row r="1340">
      <c r="B1340" s="95" t="s">
        <v>526</v>
      </c>
      <c r="C1340" s="95" t="s">
        <v>1579</v>
      </c>
      <c r="D1340" s="95" t="s">
        <v>13</v>
      </c>
      <c r="E1340" s="95" t="s">
        <v>19</v>
      </c>
      <c r="F1340" s="95" t="s">
        <v>738</v>
      </c>
      <c r="G1340" s="9">
        <v>900000.0</v>
      </c>
      <c r="H1340" s="95" t="s">
        <v>530</v>
      </c>
      <c r="I1340" s="13">
        <f t="shared" si="70"/>
        <v>90000</v>
      </c>
      <c r="J1340" s="97" t="s">
        <v>1875</v>
      </c>
      <c r="K1340" s="98"/>
      <c r="L1340" s="98"/>
    </row>
    <row r="1341">
      <c r="B1341" s="95" t="s">
        <v>526</v>
      </c>
      <c r="C1341" s="95" t="s">
        <v>1579</v>
      </c>
      <c r="D1341" s="95" t="s">
        <v>13</v>
      </c>
      <c r="E1341" s="95" t="s">
        <v>19</v>
      </c>
      <c r="F1341" s="95" t="s">
        <v>643</v>
      </c>
      <c r="G1341" s="9">
        <v>900000.0</v>
      </c>
      <c r="H1341" s="95" t="s">
        <v>530</v>
      </c>
      <c r="I1341" s="13">
        <f t="shared" si="70"/>
        <v>90000</v>
      </c>
      <c r="J1341" s="97" t="s">
        <v>1875</v>
      </c>
      <c r="K1341" s="98"/>
      <c r="L1341" s="98"/>
    </row>
    <row r="1342">
      <c r="B1342" s="95" t="s">
        <v>641</v>
      </c>
      <c r="C1342" s="95" t="s">
        <v>1876</v>
      </c>
      <c r="D1342" s="95" t="s">
        <v>13</v>
      </c>
      <c r="E1342" s="95" t="s">
        <v>48</v>
      </c>
      <c r="F1342" s="95" t="s">
        <v>763</v>
      </c>
      <c r="G1342" s="9">
        <v>80000.0</v>
      </c>
      <c r="H1342" s="95" t="s">
        <v>530</v>
      </c>
      <c r="I1342" s="13">
        <f t="shared" si="70"/>
        <v>8000</v>
      </c>
      <c r="J1342" s="97" t="s">
        <v>1877</v>
      </c>
      <c r="K1342" s="98"/>
      <c r="L1342" s="98"/>
    </row>
    <row r="1343">
      <c r="B1343" s="95" t="s">
        <v>526</v>
      </c>
      <c r="C1343" s="95" t="s">
        <v>1878</v>
      </c>
      <c r="D1343" s="95" t="s">
        <v>195</v>
      </c>
      <c r="E1343" s="95" t="s">
        <v>466</v>
      </c>
      <c r="F1343" s="95" t="s">
        <v>643</v>
      </c>
      <c r="G1343" s="9">
        <f>0.9*450000</f>
        <v>405000</v>
      </c>
      <c r="H1343" s="95" t="s">
        <v>530</v>
      </c>
      <c r="I1343" s="13">
        <f t="shared" si="70"/>
        <v>40500</v>
      </c>
      <c r="J1343" s="97" t="s">
        <v>1879</v>
      </c>
      <c r="K1343" s="98"/>
      <c r="L1343" s="98"/>
    </row>
    <row r="1344">
      <c r="B1344" s="95" t="s">
        <v>526</v>
      </c>
      <c r="C1344" s="95" t="s">
        <v>1880</v>
      </c>
      <c r="D1344" s="95" t="s">
        <v>195</v>
      </c>
      <c r="E1344" s="95" t="s">
        <v>466</v>
      </c>
      <c r="F1344" s="95" t="s">
        <v>586</v>
      </c>
      <c r="G1344" s="9">
        <f>0.92*700000</f>
        <v>644000</v>
      </c>
      <c r="H1344" s="95" t="s">
        <v>530</v>
      </c>
      <c r="I1344" s="13">
        <f t="shared" si="70"/>
        <v>64400</v>
      </c>
      <c r="J1344" s="97" t="s">
        <v>1879</v>
      </c>
      <c r="K1344" s="98"/>
      <c r="L1344" s="98"/>
    </row>
    <row r="1345">
      <c r="B1345" s="95" t="s">
        <v>526</v>
      </c>
      <c r="C1345" s="95" t="s">
        <v>1878</v>
      </c>
      <c r="D1345" s="95" t="s">
        <v>195</v>
      </c>
      <c r="E1345" s="95" t="s">
        <v>466</v>
      </c>
      <c r="F1345" s="95" t="s">
        <v>586</v>
      </c>
      <c r="G1345" s="9">
        <f>0.92*745000</f>
        <v>685400</v>
      </c>
      <c r="H1345" s="95" t="s">
        <v>530</v>
      </c>
      <c r="I1345" s="13">
        <f t="shared" si="70"/>
        <v>68540</v>
      </c>
      <c r="J1345" s="97" t="s">
        <v>1879</v>
      </c>
      <c r="K1345" s="98"/>
      <c r="L1345" s="98"/>
    </row>
    <row r="1346">
      <c r="B1346" s="95" t="s">
        <v>526</v>
      </c>
      <c r="C1346" s="95" t="s">
        <v>1831</v>
      </c>
      <c r="D1346" s="95" t="s">
        <v>195</v>
      </c>
      <c r="E1346" s="95" t="s">
        <v>1881</v>
      </c>
      <c r="F1346" s="95" t="s">
        <v>650</v>
      </c>
      <c r="G1346" s="9">
        <v>1000000.0</v>
      </c>
      <c r="H1346" s="95" t="s">
        <v>530</v>
      </c>
      <c r="I1346" s="13">
        <f t="shared" si="70"/>
        <v>100000</v>
      </c>
      <c r="J1346" s="97" t="s">
        <v>1882</v>
      </c>
      <c r="K1346" s="97" t="s">
        <v>1883</v>
      </c>
      <c r="L1346" s="98"/>
    </row>
    <row r="1347">
      <c r="B1347" s="95" t="s">
        <v>526</v>
      </c>
      <c r="C1347" s="95" t="s">
        <v>1378</v>
      </c>
      <c r="D1347" s="95" t="s">
        <v>88</v>
      </c>
      <c r="E1347" s="95" t="s">
        <v>422</v>
      </c>
      <c r="F1347" s="95" t="s">
        <v>763</v>
      </c>
      <c r="G1347" s="9">
        <f>0.85*1500000</f>
        <v>1275000</v>
      </c>
      <c r="H1347" s="95" t="s">
        <v>530</v>
      </c>
      <c r="I1347" s="13">
        <f t="shared" si="70"/>
        <v>127500</v>
      </c>
      <c r="J1347" s="97" t="s">
        <v>1884</v>
      </c>
      <c r="K1347" s="98"/>
      <c r="L1347" s="98"/>
    </row>
    <row r="1348">
      <c r="B1348" s="95" t="s">
        <v>526</v>
      </c>
      <c r="C1348" s="95" t="s">
        <v>1378</v>
      </c>
      <c r="D1348" s="95" t="s">
        <v>88</v>
      </c>
      <c r="E1348" s="95" t="s">
        <v>422</v>
      </c>
      <c r="F1348" s="95" t="s">
        <v>738</v>
      </c>
      <c r="G1348" s="9">
        <v>1500000.0</v>
      </c>
      <c r="H1348" s="95" t="s">
        <v>530</v>
      </c>
      <c r="I1348" s="13">
        <f t="shared" si="70"/>
        <v>150000</v>
      </c>
      <c r="J1348" s="97" t="s">
        <v>1884</v>
      </c>
      <c r="K1348" s="98"/>
      <c r="L1348" s="98"/>
    </row>
    <row r="1349">
      <c r="B1349" s="95" t="s">
        <v>526</v>
      </c>
      <c r="C1349" s="95" t="s">
        <v>1885</v>
      </c>
      <c r="D1349" s="95" t="s">
        <v>826</v>
      </c>
      <c r="E1349" s="95" t="s">
        <v>950</v>
      </c>
      <c r="F1349" s="95" t="s">
        <v>543</v>
      </c>
      <c r="G1349" s="9">
        <f>0.87*1000000</f>
        <v>870000</v>
      </c>
      <c r="H1349" s="95" t="s">
        <v>530</v>
      </c>
      <c r="I1349" s="13">
        <f t="shared" si="70"/>
        <v>87000</v>
      </c>
      <c r="J1349" s="97" t="s">
        <v>1886</v>
      </c>
      <c r="K1349" s="98"/>
      <c r="L1349" s="98"/>
    </row>
    <row r="1350">
      <c r="B1350" s="95" t="s">
        <v>526</v>
      </c>
      <c r="C1350" s="95" t="s">
        <v>1887</v>
      </c>
      <c r="D1350" s="95" t="s">
        <v>826</v>
      </c>
      <c r="E1350" s="95" t="s">
        <v>841</v>
      </c>
      <c r="F1350" s="95" t="s">
        <v>920</v>
      </c>
      <c r="G1350" s="9">
        <f>0.9*3000000</f>
        <v>2700000</v>
      </c>
      <c r="H1350" s="95" t="s">
        <v>530</v>
      </c>
      <c r="I1350" s="13">
        <f t="shared" si="70"/>
        <v>270000</v>
      </c>
      <c r="J1350" s="97" t="s">
        <v>1888</v>
      </c>
      <c r="K1350" s="98"/>
      <c r="L1350" s="98"/>
    </row>
    <row r="1351">
      <c r="B1351" s="95" t="s">
        <v>526</v>
      </c>
      <c r="C1351" s="95" t="s">
        <v>870</v>
      </c>
      <c r="D1351" s="95" t="s">
        <v>195</v>
      </c>
      <c r="E1351" s="95" t="s">
        <v>434</v>
      </c>
      <c r="F1351" s="95" t="s">
        <v>906</v>
      </c>
      <c r="G1351" s="9">
        <f>0.86*1100000</f>
        <v>946000</v>
      </c>
      <c r="H1351" s="95" t="s">
        <v>530</v>
      </c>
      <c r="I1351" s="13">
        <f t="shared" si="70"/>
        <v>94600</v>
      </c>
      <c r="J1351" s="97" t="s">
        <v>1889</v>
      </c>
      <c r="K1351" s="98"/>
      <c r="L1351" s="98"/>
    </row>
    <row r="1352">
      <c r="B1352" s="95" t="s">
        <v>526</v>
      </c>
      <c r="C1352" s="95" t="s">
        <v>870</v>
      </c>
      <c r="D1352" s="95" t="s">
        <v>195</v>
      </c>
      <c r="E1352" s="95" t="s">
        <v>434</v>
      </c>
      <c r="F1352" s="95" t="s">
        <v>537</v>
      </c>
      <c r="G1352" s="9">
        <f>0.85*1200000</f>
        <v>1020000</v>
      </c>
      <c r="H1352" s="95" t="s">
        <v>530</v>
      </c>
      <c r="I1352" s="13">
        <f t="shared" si="70"/>
        <v>102000</v>
      </c>
      <c r="J1352" s="97" t="s">
        <v>1889</v>
      </c>
      <c r="K1352" s="98"/>
      <c r="L1352" s="98"/>
    </row>
    <row r="1353">
      <c r="B1353" s="95" t="s">
        <v>641</v>
      </c>
      <c r="C1353" s="95" t="s">
        <v>1890</v>
      </c>
      <c r="D1353" s="95" t="s">
        <v>195</v>
      </c>
      <c r="E1353" s="95" t="s">
        <v>1881</v>
      </c>
      <c r="F1353" s="95" t="s">
        <v>586</v>
      </c>
      <c r="G1353" s="9">
        <v>450000.0</v>
      </c>
      <c r="H1353" s="95" t="s">
        <v>530</v>
      </c>
      <c r="I1353" s="13">
        <f t="shared" si="70"/>
        <v>45000</v>
      </c>
      <c r="J1353" s="97" t="s">
        <v>1891</v>
      </c>
      <c r="K1353" s="98"/>
      <c r="L1353" s="98"/>
    </row>
    <row r="1354">
      <c r="B1354" s="95" t="s">
        <v>641</v>
      </c>
      <c r="C1354" s="95" t="s">
        <v>1890</v>
      </c>
      <c r="D1354" s="95" t="s">
        <v>195</v>
      </c>
      <c r="E1354" s="95" t="s">
        <v>1881</v>
      </c>
      <c r="F1354" s="95" t="s">
        <v>650</v>
      </c>
      <c r="G1354" s="9">
        <v>450000.0</v>
      </c>
      <c r="H1354" s="95" t="s">
        <v>530</v>
      </c>
      <c r="I1354" s="13">
        <f t="shared" si="70"/>
        <v>45000</v>
      </c>
      <c r="J1354" s="97" t="s">
        <v>1891</v>
      </c>
      <c r="K1354" s="65"/>
      <c r="L1354" s="98"/>
    </row>
    <row r="1355">
      <c r="B1355" s="95" t="s">
        <v>526</v>
      </c>
      <c r="C1355" s="95" t="s">
        <v>1892</v>
      </c>
      <c r="D1355" s="95" t="s">
        <v>88</v>
      </c>
      <c r="E1355" s="95" t="s">
        <v>425</v>
      </c>
      <c r="F1355" s="95" t="s">
        <v>529</v>
      </c>
      <c r="G1355" s="9">
        <v>500000.0</v>
      </c>
      <c r="H1355" s="95" t="s">
        <v>530</v>
      </c>
      <c r="I1355" s="13">
        <f t="shared" si="70"/>
        <v>50000</v>
      </c>
      <c r="J1355" s="97" t="s">
        <v>1893</v>
      </c>
      <c r="K1355" s="64"/>
      <c r="L1355" s="98"/>
    </row>
    <row r="1356">
      <c r="B1356" s="95" t="s">
        <v>526</v>
      </c>
      <c r="C1356" s="95" t="s">
        <v>1528</v>
      </c>
      <c r="D1356" s="95" t="s">
        <v>88</v>
      </c>
      <c r="E1356" s="95" t="s">
        <v>425</v>
      </c>
      <c r="F1356" s="95" t="s">
        <v>738</v>
      </c>
      <c r="G1356" s="9">
        <v>1800000.0</v>
      </c>
      <c r="H1356" s="95" t="s">
        <v>635</v>
      </c>
      <c r="I1356" s="13">
        <f>G1356/6</f>
        <v>300000</v>
      </c>
      <c r="J1356" s="97" t="s">
        <v>1894</v>
      </c>
      <c r="K1356" s="97" t="s">
        <v>1895</v>
      </c>
      <c r="L1356" s="98"/>
    </row>
    <row r="1357">
      <c r="B1357" s="95" t="s">
        <v>526</v>
      </c>
      <c r="C1357" s="95" t="s">
        <v>619</v>
      </c>
      <c r="D1357" s="95" t="s">
        <v>88</v>
      </c>
      <c r="E1357" s="95" t="s">
        <v>422</v>
      </c>
      <c r="F1357" s="95" t="s">
        <v>738</v>
      </c>
      <c r="G1357" s="9">
        <v>700000.0</v>
      </c>
      <c r="H1357" s="95" t="s">
        <v>530</v>
      </c>
      <c r="I1357" s="13">
        <f t="shared" ref="I1357:I1363" si="71">G1357/10</f>
        <v>70000</v>
      </c>
      <c r="J1357" s="97" t="s">
        <v>1896</v>
      </c>
      <c r="K1357" s="98"/>
      <c r="L1357" s="98"/>
    </row>
    <row r="1358">
      <c r="B1358" s="95" t="s">
        <v>526</v>
      </c>
      <c r="C1358" s="95" t="s">
        <v>1834</v>
      </c>
      <c r="D1358" s="95" t="s">
        <v>88</v>
      </c>
      <c r="E1358" s="95" t="s">
        <v>422</v>
      </c>
      <c r="F1358" s="95" t="s">
        <v>738</v>
      </c>
      <c r="G1358" s="9">
        <v>600000.0</v>
      </c>
      <c r="H1358" s="95" t="s">
        <v>530</v>
      </c>
      <c r="I1358" s="13">
        <f t="shared" si="71"/>
        <v>60000</v>
      </c>
      <c r="J1358" s="97" t="s">
        <v>1897</v>
      </c>
      <c r="K1358" s="98"/>
      <c r="L1358" s="98"/>
    </row>
    <row r="1359">
      <c r="B1359" s="95" t="s">
        <v>526</v>
      </c>
      <c r="C1359" s="95" t="s">
        <v>706</v>
      </c>
      <c r="D1359" s="95" t="s">
        <v>114</v>
      </c>
      <c r="E1359" s="95" t="s">
        <v>389</v>
      </c>
      <c r="F1359" s="95" t="s">
        <v>738</v>
      </c>
      <c r="G1359" s="9">
        <v>800000.0</v>
      </c>
      <c r="H1359" s="95" t="s">
        <v>530</v>
      </c>
      <c r="I1359" s="13">
        <f t="shared" si="71"/>
        <v>80000</v>
      </c>
      <c r="J1359" s="97" t="s">
        <v>1898</v>
      </c>
      <c r="K1359" s="98"/>
      <c r="L1359" s="98"/>
    </row>
    <row r="1360">
      <c r="B1360" s="95" t="s">
        <v>526</v>
      </c>
      <c r="C1360" s="95" t="s">
        <v>706</v>
      </c>
      <c r="D1360" s="95" t="s">
        <v>114</v>
      </c>
      <c r="E1360" s="95" t="s">
        <v>389</v>
      </c>
      <c r="F1360" s="95" t="s">
        <v>643</v>
      </c>
      <c r="G1360" s="9">
        <f>0.9*1000000</f>
        <v>900000</v>
      </c>
      <c r="H1360" s="95" t="s">
        <v>530</v>
      </c>
      <c r="I1360" s="13">
        <f t="shared" si="71"/>
        <v>90000</v>
      </c>
      <c r="J1360" s="97" t="s">
        <v>1898</v>
      </c>
      <c r="K1360" s="98"/>
      <c r="L1360" s="98"/>
    </row>
    <row r="1361">
      <c r="B1361" s="95" t="s">
        <v>526</v>
      </c>
      <c r="C1361" s="95" t="s">
        <v>1899</v>
      </c>
      <c r="D1361" s="95" t="s">
        <v>140</v>
      </c>
      <c r="E1361" s="95" t="s">
        <v>194</v>
      </c>
      <c r="F1361" s="95" t="s">
        <v>763</v>
      </c>
      <c r="G1361" s="9">
        <v>1000000.0</v>
      </c>
      <c r="H1361" s="95" t="s">
        <v>530</v>
      </c>
      <c r="I1361" s="13">
        <f t="shared" si="71"/>
        <v>100000</v>
      </c>
      <c r="J1361" s="97" t="s">
        <v>1900</v>
      </c>
      <c r="K1361" s="98"/>
      <c r="L1361" s="98"/>
    </row>
    <row r="1362">
      <c r="B1362" s="95" t="s">
        <v>526</v>
      </c>
      <c r="C1362" s="95" t="s">
        <v>1899</v>
      </c>
      <c r="D1362" s="95" t="s">
        <v>140</v>
      </c>
      <c r="E1362" s="95" t="s">
        <v>194</v>
      </c>
      <c r="F1362" s="95" t="s">
        <v>738</v>
      </c>
      <c r="G1362" s="9">
        <v>1000000.0</v>
      </c>
      <c r="H1362" s="95" t="s">
        <v>530</v>
      </c>
      <c r="I1362" s="13">
        <f t="shared" si="71"/>
        <v>100000</v>
      </c>
      <c r="J1362" s="97" t="s">
        <v>1900</v>
      </c>
      <c r="K1362" s="98"/>
      <c r="L1362" s="98"/>
    </row>
    <row r="1363">
      <c r="B1363" s="95" t="s">
        <v>526</v>
      </c>
      <c r="C1363" s="95" t="s">
        <v>1901</v>
      </c>
      <c r="D1363" s="95" t="s">
        <v>140</v>
      </c>
      <c r="E1363" s="95" t="s">
        <v>141</v>
      </c>
      <c r="F1363" s="95" t="s">
        <v>650</v>
      </c>
      <c r="G1363" s="9">
        <v>2000000.0</v>
      </c>
      <c r="H1363" s="95" t="s">
        <v>530</v>
      </c>
      <c r="I1363" s="13">
        <f t="shared" si="71"/>
        <v>200000</v>
      </c>
      <c r="J1363" s="97" t="s">
        <v>1521</v>
      </c>
      <c r="K1363" s="98"/>
      <c r="L1363" s="98"/>
    </row>
    <row r="1364">
      <c r="B1364" s="95" t="s">
        <v>526</v>
      </c>
      <c r="C1364" s="95" t="s">
        <v>1265</v>
      </c>
      <c r="D1364" s="95" t="s">
        <v>174</v>
      </c>
      <c r="E1364" s="95" t="s">
        <v>438</v>
      </c>
      <c r="F1364" s="95" t="s">
        <v>586</v>
      </c>
      <c r="G1364" s="9">
        <f>0.92*1000000</f>
        <v>920000</v>
      </c>
      <c r="H1364" s="95" t="s">
        <v>1155</v>
      </c>
      <c r="I1364" s="13">
        <f>G1364/8</f>
        <v>115000</v>
      </c>
      <c r="J1364" s="97" t="s">
        <v>1902</v>
      </c>
      <c r="K1364" s="98"/>
      <c r="L1364" s="98"/>
    </row>
    <row r="1365">
      <c r="B1365" s="95" t="s">
        <v>526</v>
      </c>
      <c r="C1365" s="95" t="s">
        <v>1903</v>
      </c>
      <c r="D1365" s="95" t="s">
        <v>13</v>
      </c>
      <c r="E1365" s="95" t="s">
        <v>1443</v>
      </c>
      <c r="F1365" s="95" t="s">
        <v>650</v>
      </c>
      <c r="G1365" s="9">
        <v>70000.0</v>
      </c>
      <c r="H1365" s="95" t="s">
        <v>530</v>
      </c>
      <c r="I1365" s="13">
        <f t="shared" ref="I1365:I1366" si="72">G1365/10</f>
        <v>7000</v>
      </c>
      <c r="J1365" s="98" t="s">
        <v>1795</v>
      </c>
      <c r="K1365" s="98"/>
      <c r="L1365" s="98"/>
    </row>
    <row r="1366">
      <c r="B1366" s="95" t="s">
        <v>526</v>
      </c>
      <c r="C1366" s="95" t="s">
        <v>1904</v>
      </c>
      <c r="D1366" s="95" t="s">
        <v>187</v>
      </c>
      <c r="E1366" s="95" t="s">
        <v>1905</v>
      </c>
      <c r="F1366" s="95" t="s">
        <v>650</v>
      </c>
      <c r="G1366" s="9">
        <v>65000.0</v>
      </c>
      <c r="H1366" s="95" t="s">
        <v>530</v>
      </c>
      <c r="I1366" s="13">
        <f t="shared" si="72"/>
        <v>6500</v>
      </c>
      <c r="J1366" s="98" t="s">
        <v>1906</v>
      </c>
      <c r="K1366" s="98"/>
      <c r="L1366" s="98"/>
    </row>
    <row r="1367">
      <c r="B1367" s="95" t="s">
        <v>526</v>
      </c>
      <c r="C1367" s="95" t="s">
        <v>1907</v>
      </c>
      <c r="D1367" s="95" t="s">
        <v>77</v>
      </c>
      <c r="E1367" s="95" t="s">
        <v>239</v>
      </c>
      <c r="F1367" s="95" t="s">
        <v>650</v>
      </c>
      <c r="G1367" s="9">
        <v>45000.0</v>
      </c>
      <c r="H1367" s="95" t="s">
        <v>872</v>
      </c>
      <c r="I1367" s="13">
        <f>G1367/3</f>
        <v>15000</v>
      </c>
      <c r="J1367" s="98" t="s">
        <v>1908</v>
      </c>
      <c r="K1367" s="98"/>
      <c r="L1367" s="98"/>
    </row>
    <row r="1368">
      <c r="B1368" s="95" t="s">
        <v>526</v>
      </c>
      <c r="C1368" s="95" t="s">
        <v>1909</v>
      </c>
      <c r="D1368" s="95" t="s">
        <v>77</v>
      </c>
      <c r="E1368" s="95" t="s">
        <v>239</v>
      </c>
      <c r="F1368" s="95" t="s">
        <v>650</v>
      </c>
      <c r="G1368" s="9">
        <v>140000.0</v>
      </c>
      <c r="H1368" s="95" t="s">
        <v>530</v>
      </c>
      <c r="I1368" s="13">
        <f t="shared" ref="I1368:I1375" si="73">G1368/10</f>
        <v>14000</v>
      </c>
      <c r="J1368" s="98" t="s">
        <v>1910</v>
      </c>
      <c r="K1368" s="98"/>
      <c r="L1368" s="98"/>
    </row>
    <row r="1369">
      <c r="B1369" s="95" t="s">
        <v>526</v>
      </c>
      <c r="C1369" s="95" t="s">
        <v>1911</v>
      </c>
      <c r="D1369" s="95" t="s">
        <v>69</v>
      </c>
      <c r="E1369" s="95" t="s">
        <v>123</v>
      </c>
      <c r="F1369" s="95" t="s">
        <v>650</v>
      </c>
      <c r="G1369" s="9">
        <v>300000.0</v>
      </c>
      <c r="H1369" s="95" t="s">
        <v>530</v>
      </c>
      <c r="I1369" s="13">
        <f t="shared" si="73"/>
        <v>30000</v>
      </c>
      <c r="J1369" s="98" t="s">
        <v>1912</v>
      </c>
      <c r="K1369" s="98"/>
      <c r="L1369" s="98"/>
    </row>
    <row r="1370">
      <c r="B1370" s="95" t="s">
        <v>526</v>
      </c>
      <c r="C1370" s="95" t="s">
        <v>1913</v>
      </c>
      <c r="D1370" s="95" t="s">
        <v>222</v>
      </c>
      <c r="E1370" s="95" t="s">
        <v>304</v>
      </c>
      <c r="F1370" s="95" t="s">
        <v>650</v>
      </c>
      <c r="G1370" s="9">
        <v>280000.0</v>
      </c>
      <c r="H1370" s="95" t="s">
        <v>530</v>
      </c>
      <c r="I1370" s="13">
        <f t="shared" si="73"/>
        <v>28000</v>
      </c>
      <c r="J1370" s="98" t="s">
        <v>1604</v>
      </c>
      <c r="K1370" s="98" t="s">
        <v>1914</v>
      </c>
      <c r="L1370" s="98"/>
    </row>
    <row r="1371">
      <c r="B1371" s="95" t="s">
        <v>641</v>
      </c>
      <c r="C1371" s="95" t="s">
        <v>1848</v>
      </c>
      <c r="D1371" s="95" t="s">
        <v>69</v>
      </c>
      <c r="E1371" s="95" t="s">
        <v>555</v>
      </c>
      <c r="F1371" s="95" t="s">
        <v>763</v>
      </c>
      <c r="G1371" s="9">
        <v>255000.0</v>
      </c>
      <c r="H1371" s="95" t="s">
        <v>530</v>
      </c>
      <c r="I1371" s="13">
        <f t="shared" si="73"/>
        <v>25500</v>
      </c>
      <c r="J1371" s="105" t="s">
        <v>1849</v>
      </c>
      <c r="K1371" s="98"/>
      <c r="L1371" s="98"/>
    </row>
    <row r="1372">
      <c r="B1372" s="95" t="s">
        <v>526</v>
      </c>
      <c r="C1372" s="95" t="s">
        <v>856</v>
      </c>
      <c r="D1372" s="95" t="s">
        <v>69</v>
      </c>
      <c r="E1372" s="95" t="s">
        <v>555</v>
      </c>
      <c r="F1372" s="95" t="s">
        <v>685</v>
      </c>
      <c r="G1372" s="9">
        <v>2000000.0</v>
      </c>
      <c r="H1372" s="95" t="s">
        <v>530</v>
      </c>
      <c r="I1372" s="13">
        <f t="shared" si="73"/>
        <v>200000</v>
      </c>
      <c r="J1372" s="105" t="s">
        <v>1915</v>
      </c>
      <c r="K1372" s="98" t="s">
        <v>1916</v>
      </c>
      <c r="L1372" s="98"/>
    </row>
    <row r="1373">
      <c r="B1373" s="95" t="s">
        <v>526</v>
      </c>
      <c r="C1373" s="95" t="s">
        <v>913</v>
      </c>
      <c r="D1373" s="95" t="s">
        <v>69</v>
      </c>
      <c r="E1373" s="95" t="s">
        <v>542</v>
      </c>
      <c r="F1373" s="95" t="s">
        <v>643</v>
      </c>
      <c r="G1373" s="9">
        <v>120000.0</v>
      </c>
      <c r="H1373" s="95" t="s">
        <v>530</v>
      </c>
      <c r="I1373" s="13">
        <f t="shared" si="73"/>
        <v>12000</v>
      </c>
      <c r="J1373" s="105" t="s">
        <v>1722</v>
      </c>
      <c r="K1373" s="98"/>
      <c r="L1373" s="98"/>
    </row>
    <row r="1374">
      <c r="B1374" s="95" t="s">
        <v>641</v>
      </c>
      <c r="C1374" s="95" t="s">
        <v>1917</v>
      </c>
      <c r="D1374" s="95" t="s">
        <v>69</v>
      </c>
      <c r="E1374" s="95" t="s">
        <v>877</v>
      </c>
      <c r="F1374" s="95" t="s">
        <v>586</v>
      </c>
      <c r="G1374" s="9">
        <v>200000.0</v>
      </c>
      <c r="H1374" s="95" t="s">
        <v>530</v>
      </c>
      <c r="I1374" s="13">
        <f t="shared" si="73"/>
        <v>20000</v>
      </c>
      <c r="J1374" s="105" t="s">
        <v>1918</v>
      </c>
      <c r="K1374" s="98"/>
      <c r="L1374" s="98"/>
    </row>
    <row r="1375">
      <c r="B1375" s="95" t="s">
        <v>641</v>
      </c>
      <c r="C1375" s="95" t="s">
        <v>1919</v>
      </c>
      <c r="D1375" s="95" t="s">
        <v>69</v>
      </c>
      <c r="E1375" s="95" t="s">
        <v>1073</v>
      </c>
      <c r="F1375" s="95" t="s">
        <v>650</v>
      </c>
      <c r="G1375" s="9">
        <v>35000.0</v>
      </c>
      <c r="H1375" s="95" t="s">
        <v>530</v>
      </c>
      <c r="I1375" s="13">
        <f t="shared" si="73"/>
        <v>3500</v>
      </c>
      <c r="J1375" s="105" t="s">
        <v>1918</v>
      </c>
      <c r="K1375" s="98"/>
      <c r="L1375" s="98"/>
    </row>
    <row r="1376">
      <c r="B1376" s="95" t="s">
        <v>526</v>
      </c>
      <c r="C1376" s="95" t="s">
        <v>1562</v>
      </c>
      <c r="D1376" s="95" t="s">
        <v>69</v>
      </c>
      <c r="E1376" s="95" t="s">
        <v>561</v>
      </c>
      <c r="F1376" s="95" t="s">
        <v>650</v>
      </c>
      <c r="G1376" s="9">
        <f>4*25000</f>
        <v>100000</v>
      </c>
      <c r="H1376" s="95" t="s">
        <v>680</v>
      </c>
      <c r="I1376" s="13">
        <f>G1376/4</f>
        <v>25000</v>
      </c>
      <c r="J1376" s="98" t="s">
        <v>1920</v>
      </c>
      <c r="K1376" s="98"/>
      <c r="L1376" s="98"/>
    </row>
    <row r="1377">
      <c r="B1377" s="95" t="s">
        <v>526</v>
      </c>
      <c r="C1377" s="95" t="s">
        <v>612</v>
      </c>
      <c r="D1377" s="95" t="s">
        <v>114</v>
      </c>
      <c r="E1377" s="95" t="s">
        <v>396</v>
      </c>
      <c r="F1377" s="95" t="s">
        <v>643</v>
      </c>
      <c r="G1377" s="9">
        <f>800000*0.9</f>
        <v>720000</v>
      </c>
      <c r="H1377" s="95" t="s">
        <v>530</v>
      </c>
      <c r="I1377" s="13">
        <f t="shared" ref="I1377:I1387" si="74">G1377/10</f>
        <v>72000</v>
      </c>
      <c r="J1377" s="97" t="s">
        <v>1921</v>
      </c>
      <c r="K1377" s="98"/>
      <c r="L1377" s="98"/>
    </row>
    <row r="1378">
      <c r="B1378" s="95" t="s">
        <v>526</v>
      </c>
      <c r="C1378" s="95" t="s">
        <v>622</v>
      </c>
      <c r="D1378" s="95" t="s">
        <v>114</v>
      </c>
      <c r="E1378" s="95" t="s">
        <v>396</v>
      </c>
      <c r="F1378" s="95" t="s">
        <v>643</v>
      </c>
      <c r="G1378" s="9">
        <f>0.9*850000</f>
        <v>765000</v>
      </c>
      <c r="H1378" s="95" t="s">
        <v>530</v>
      </c>
      <c r="I1378" s="13">
        <f t="shared" si="74"/>
        <v>76500</v>
      </c>
      <c r="J1378" s="97" t="s">
        <v>1921</v>
      </c>
      <c r="K1378" s="98"/>
      <c r="L1378" s="98"/>
    </row>
    <row r="1379">
      <c r="B1379" s="95" t="s">
        <v>526</v>
      </c>
      <c r="C1379" s="95" t="s">
        <v>606</v>
      </c>
      <c r="D1379" s="95" t="s">
        <v>114</v>
      </c>
      <c r="E1379" s="95" t="s">
        <v>396</v>
      </c>
      <c r="F1379" s="95" t="s">
        <v>643</v>
      </c>
      <c r="G1379" s="9">
        <f>1600000*0.9</f>
        <v>1440000</v>
      </c>
      <c r="H1379" s="95" t="s">
        <v>530</v>
      </c>
      <c r="I1379" s="13">
        <f t="shared" si="74"/>
        <v>144000</v>
      </c>
      <c r="J1379" s="97" t="s">
        <v>1921</v>
      </c>
      <c r="K1379" s="98"/>
      <c r="L1379" s="98"/>
    </row>
    <row r="1380">
      <c r="B1380" s="95" t="s">
        <v>526</v>
      </c>
      <c r="C1380" s="95" t="s">
        <v>1922</v>
      </c>
      <c r="D1380" s="95" t="s">
        <v>114</v>
      </c>
      <c r="E1380" s="95" t="s">
        <v>396</v>
      </c>
      <c r="F1380" s="95" t="s">
        <v>643</v>
      </c>
      <c r="G1380" s="9">
        <v>500000.0</v>
      </c>
      <c r="H1380" s="95" t="s">
        <v>530</v>
      </c>
      <c r="I1380" s="13">
        <f t="shared" si="74"/>
        <v>50000</v>
      </c>
      <c r="J1380" s="97" t="s">
        <v>1923</v>
      </c>
      <c r="K1380" s="118" t="s">
        <v>1924</v>
      </c>
      <c r="L1380" s="118" t="s">
        <v>1925</v>
      </c>
    </row>
    <row r="1381">
      <c r="B1381" s="95" t="s">
        <v>526</v>
      </c>
      <c r="C1381" s="95" t="s">
        <v>1922</v>
      </c>
      <c r="D1381" s="95" t="s">
        <v>114</v>
      </c>
      <c r="E1381" s="95" t="s">
        <v>396</v>
      </c>
      <c r="F1381" s="95" t="s">
        <v>586</v>
      </c>
      <c r="G1381" s="9">
        <v>650000.0</v>
      </c>
      <c r="H1381" s="95" t="s">
        <v>530</v>
      </c>
      <c r="I1381" s="13">
        <f t="shared" si="74"/>
        <v>65000</v>
      </c>
      <c r="J1381" s="97" t="s">
        <v>1923</v>
      </c>
      <c r="K1381" s="97" t="s">
        <v>1926</v>
      </c>
      <c r="L1381" s="98"/>
    </row>
    <row r="1382">
      <c r="B1382" s="95" t="s">
        <v>641</v>
      </c>
      <c r="C1382" s="95" t="s">
        <v>1927</v>
      </c>
      <c r="D1382" s="95" t="s">
        <v>13</v>
      </c>
      <c r="E1382" s="95" t="s">
        <v>30</v>
      </c>
      <c r="F1382" s="95" t="s">
        <v>685</v>
      </c>
      <c r="G1382" s="9">
        <v>200000.0</v>
      </c>
      <c r="H1382" s="95" t="s">
        <v>530</v>
      </c>
      <c r="I1382" s="13">
        <f t="shared" si="74"/>
        <v>20000</v>
      </c>
      <c r="J1382" s="97" t="s">
        <v>1928</v>
      </c>
      <c r="K1382" s="98"/>
      <c r="L1382" s="98"/>
    </row>
    <row r="1383">
      <c r="B1383" s="95" t="s">
        <v>526</v>
      </c>
      <c r="C1383" s="95" t="s">
        <v>683</v>
      </c>
      <c r="D1383" s="95" t="s">
        <v>114</v>
      </c>
      <c r="E1383" s="95" t="s">
        <v>389</v>
      </c>
      <c r="F1383" s="95" t="s">
        <v>763</v>
      </c>
      <c r="G1383" s="9">
        <v>900000.0</v>
      </c>
      <c r="H1383" s="95" t="s">
        <v>530</v>
      </c>
      <c r="I1383" s="13">
        <f t="shared" si="74"/>
        <v>90000</v>
      </c>
      <c r="J1383" s="97" t="s">
        <v>1929</v>
      </c>
      <c r="K1383" s="98"/>
      <c r="L1383" s="98"/>
    </row>
    <row r="1384">
      <c r="B1384" s="95" t="s">
        <v>526</v>
      </c>
      <c r="C1384" s="95" t="s">
        <v>701</v>
      </c>
      <c r="D1384" s="95" t="s">
        <v>195</v>
      </c>
      <c r="E1384" s="95" t="s">
        <v>432</v>
      </c>
      <c r="F1384" s="95" t="s">
        <v>643</v>
      </c>
      <c r="G1384" s="9">
        <f>1650000*0.9</f>
        <v>1485000</v>
      </c>
      <c r="H1384" s="95" t="s">
        <v>530</v>
      </c>
      <c r="I1384" s="13">
        <f t="shared" si="74"/>
        <v>148500</v>
      </c>
      <c r="J1384" s="97" t="s">
        <v>1172</v>
      </c>
      <c r="K1384" s="97" t="s">
        <v>1930</v>
      </c>
      <c r="L1384" s="98"/>
    </row>
    <row r="1385">
      <c r="B1385" s="95" t="s">
        <v>526</v>
      </c>
      <c r="C1385" s="95" t="s">
        <v>701</v>
      </c>
      <c r="D1385" s="95" t="s">
        <v>174</v>
      </c>
      <c r="E1385" s="95" t="s">
        <v>419</v>
      </c>
      <c r="F1385" s="95" t="s">
        <v>543</v>
      </c>
      <c r="G1385" s="9">
        <f>700000*0.87</f>
        <v>609000</v>
      </c>
      <c r="H1385" s="95" t="s">
        <v>530</v>
      </c>
      <c r="I1385" s="13">
        <f t="shared" si="74"/>
        <v>60900</v>
      </c>
      <c r="J1385" s="97" t="s">
        <v>1172</v>
      </c>
      <c r="K1385" s="98"/>
      <c r="L1385" s="98"/>
    </row>
    <row r="1386">
      <c r="B1386" s="95" t="s">
        <v>526</v>
      </c>
      <c r="C1386" s="95" t="s">
        <v>701</v>
      </c>
      <c r="D1386" s="95" t="s">
        <v>114</v>
      </c>
      <c r="E1386" s="95" t="s">
        <v>389</v>
      </c>
      <c r="F1386" s="95" t="s">
        <v>763</v>
      </c>
      <c r="G1386" s="9">
        <f>1000000*0.85</f>
        <v>850000</v>
      </c>
      <c r="H1386" s="95" t="s">
        <v>530</v>
      </c>
      <c r="I1386" s="13">
        <f t="shared" si="74"/>
        <v>85000</v>
      </c>
      <c r="J1386" s="97" t="s">
        <v>1172</v>
      </c>
      <c r="K1386" s="98"/>
      <c r="L1386" s="98"/>
    </row>
    <row r="1387">
      <c r="B1387" s="95" t="s">
        <v>526</v>
      </c>
      <c r="C1387" s="95" t="s">
        <v>1931</v>
      </c>
      <c r="D1387" s="95" t="s">
        <v>195</v>
      </c>
      <c r="E1387" s="95" t="s">
        <v>432</v>
      </c>
      <c r="F1387" s="95" t="s">
        <v>643</v>
      </c>
      <c r="G1387" s="9">
        <v>1700000.0</v>
      </c>
      <c r="H1387" s="95" t="s">
        <v>530</v>
      </c>
      <c r="I1387" s="13">
        <f t="shared" si="74"/>
        <v>170000</v>
      </c>
      <c r="J1387" s="97" t="s">
        <v>1932</v>
      </c>
      <c r="K1387" s="98"/>
      <c r="L1387" s="98"/>
    </row>
    <row r="1388">
      <c r="B1388" s="95" t="s">
        <v>526</v>
      </c>
      <c r="C1388" s="95" t="s">
        <v>1933</v>
      </c>
      <c r="D1388" s="95" t="s">
        <v>195</v>
      </c>
      <c r="E1388" s="95" t="s">
        <v>432</v>
      </c>
      <c r="F1388" s="95" t="s">
        <v>586</v>
      </c>
      <c r="G1388" s="9">
        <f>45000*3</f>
        <v>135000</v>
      </c>
      <c r="H1388" s="95" t="s">
        <v>872</v>
      </c>
      <c r="I1388" s="13">
        <f>G1388/3</f>
        <v>45000</v>
      </c>
      <c r="J1388" s="97" t="s">
        <v>1934</v>
      </c>
      <c r="K1388" s="98"/>
      <c r="L1388" s="98"/>
    </row>
    <row r="1389">
      <c r="B1389" s="95" t="s">
        <v>526</v>
      </c>
      <c r="C1389" s="95" t="s">
        <v>1935</v>
      </c>
      <c r="D1389" s="95" t="s">
        <v>174</v>
      </c>
      <c r="E1389" s="95" t="s">
        <v>373</v>
      </c>
      <c r="F1389" s="95" t="s">
        <v>643</v>
      </c>
      <c r="G1389" s="9">
        <f>245000*0.9</f>
        <v>220500</v>
      </c>
      <c r="H1389" s="95" t="s">
        <v>530</v>
      </c>
      <c r="I1389" s="13">
        <f t="shared" ref="I1389:I1423" si="75">G1389/10</f>
        <v>22050</v>
      </c>
      <c r="J1389" s="97" t="s">
        <v>1936</v>
      </c>
      <c r="K1389" s="98"/>
      <c r="L1389" s="98"/>
    </row>
    <row r="1390">
      <c r="B1390" s="95" t="s">
        <v>526</v>
      </c>
      <c r="C1390" s="95" t="s">
        <v>1937</v>
      </c>
      <c r="D1390" s="95" t="s">
        <v>174</v>
      </c>
      <c r="E1390" s="95" t="s">
        <v>373</v>
      </c>
      <c r="F1390" s="95" t="s">
        <v>643</v>
      </c>
      <c r="G1390" s="9">
        <f>0.9*200000</f>
        <v>180000</v>
      </c>
      <c r="H1390" s="95" t="s">
        <v>530</v>
      </c>
      <c r="I1390" s="13">
        <f t="shared" si="75"/>
        <v>18000</v>
      </c>
      <c r="J1390" s="97" t="s">
        <v>1936</v>
      </c>
      <c r="K1390" s="98"/>
      <c r="L1390" s="98"/>
    </row>
    <row r="1391">
      <c r="B1391" s="95" t="s">
        <v>526</v>
      </c>
      <c r="C1391" s="95" t="s">
        <v>1938</v>
      </c>
      <c r="D1391" s="95" t="s">
        <v>174</v>
      </c>
      <c r="E1391" s="95" t="s">
        <v>373</v>
      </c>
      <c r="F1391" s="95" t="s">
        <v>643</v>
      </c>
      <c r="G1391" s="9">
        <f>0.9*190000</f>
        <v>171000</v>
      </c>
      <c r="H1391" s="95" t="s">
        <v>530</v>
      </c>
      <c r="I1391" s="13">
        <f t="shared" si="75"/>
        <v>17100</v>
      </c>
      <c r="J1391" s="97" t="s">
        <v>1936</v>
      </c>
      <c r="K1391" s="98"/>
      <c r="L1391" s="98"/>
    </row>
    <row r="1392">
      <c r="B1392" s="95" t="s">
        <v>526</v>
      </c>
      <c r="C1392" s="95" t="s">
        <v>1939</v>
      </c>
      <c r="D1392" s="95" t="s">
        <v>174</v>
      </c>
      <c r="E1392" s="95" t="s">
        <v>373</v>
      </c>
      <c r="F1392" s="95" t="s">
        <v>643</v>
      </c>
      <c r="G1392" s="9">
        <f>0.9*180000</f>
        <v>162000</v>
      </c>
      <c r="H1392" s="95" t="s">
        <v>530</v>
      </c>
      <c r="I1392" s="13">
        <f t="shared" si="75"/>
        <v>16200</v>
      </c>
      <c r="J1392" s="97" t="s">
        <v>1936</v>
      </c>
      <c r="K1392" s="98"/>
      <c r="L1392" s="98"/>
    </row>
    <row r="1393">
      <c r="B1393" s="95" t="s">
        <v>526</v>
      </c>
      <c r="C1393" s="95" t="s">
        <v>1238</v>
      </c>
      <c r="D1393" s="95" t="s">
        <v>174</v>
      </c>
      <c r="E1393" s="95" t="s">
        <v>373</v>
      </c>
      <c r="F1393" s="95" t="s">
        <v>643</v>
      </c>
      <c r="G1393" s="9">
        <f>0.9*130000</f>
        <v>117000</v>
      </c>
      <c r="H1393" s="95" t="s">
        <v>530</v>
      </c>
      <c r="I1393" s="13">
        <f t="shared" si="75"/>
        <v>11700</v>
      </c>
      <c r="J1393" s="97" t="s">
        <v>1936</v>
      </c>
      <c r="K1393" s="98"/>
      <c r="L1393" s="98"/>
    </row>
    <row r="1394">
      <c r="B1394" s="95" t="s">
        <v>526</v>
      </c>
      <c r="C1394" s="95" t="s">
        <v>1164</v>
      </c>
      <c r="D1394" s="95" t="s">
        <v>174</v>
      </c>
      <c r="E1394" s="95" t="s">
        <v>373</v>
      </c>
      <c r="F1394" s="95" t="s">
        <v>643</v>
      </c>
      <c r="G1394" s="9">
        <f>0.9*110000</f>
        <v>99000</v>
      </c>
      <c r="H1394" s="95" t="s">
        <v>530</v>
      </c>
      <c r="I1394" s="13">
        <f t="shared" si="75"/>
        <v>9900</v>
      </c>
      <c r="J1394" s="97" t="s">
        <v>1936</v>
      </c>
      <c r="K1394" s="98"/>
      <c r="L1394" s="98"/>
    </row>
    <row r="1395">
      <c r="B1395" s="95" t="s">
        <v>526</v>
      </c>
      <c r="C1395" s="95" t="s">
        <v>1227</v>
      </c>
      <c r="D1395" s="95" t="s">
        <v>174</v>
      </c>
      <c r="E1395" s="95" t="s">
        <v>373</v>
      </c>
      <c r="F1395" s="95" t="s">
        <v>643</v>
      </c>
      <c r="G1395" s="9">
        <f>0.9*90000</f>
        <v>81000</v>
      </c>
      <c r="H1395" s="95" t="s">
        <v>530</v>
      </c>
      <c r="I1395" s="13">
        <f t="shared" si="75"/>
        <v>8100</v>
      </c>
      <c r="J1395" s="97" t="s">
        <v>1936</v>
      </c>
      <c r="K1395" s="98"/>
      <c r="L1395" s="98"/>
    </row>
    <row r="1396">
      <c r="B1396" s="95" t="s">
        <v>526</v>
      </c>
      <c r="C1396" s="95" t="s">
        <v>1240</v>
      </c>
      <c r="D1396" s="95" t="s">
        <v>174</v>
      </c>
      <c r="E1396" s="95" t="s">
        <v>373</v>
      </c>
      <c r="F1396" s="95" t="s">
        <v>643</v>
      </c>
      <c r="G1396" s="9">
        <f>0.9*50000</f>
        <v>45000</v>
      </c>
      <c r="H1396" s="95" t="s">
        <v>530</v>
      </c>
      <c r="I1396" s="13">
        <f t="shared" si="75"/>
        <v>4500</v>
      </c>
      <c r="J1396" s="97" t="s">
        <v>1936</v>
      </c>
      <c r="K1396" s="98"/>
      <c r="L1396" s="98"/>
    </row>
    <row r="1397">
      <c r="B1397" s="95" t="s">
        <v>526</v>
      </c>
      <c r="C1397" s="95" t="s">
        <v>1157</v>
      </c>
      <c r="D1397" s="95" t="s">
        <v>174</v>
      </c>
      <c r="E1397" s="95" t="s">
        <v>373</v>
      </c>
      <c r="F1397" s="95" t="s">
        <v>738</v>
      </c>
      <c r="G1397" s="9">
        <v>220000.0</v>
      </c>
      <c r="H1397" s="95" t="s">
        <v>530</v>
      </c>
      <c r="I1397" s="13">
        <f t="shared" si="75"/>
        <v>22000</v>
      </c>
      <c r="J1397" s="97" t="s">
        <v>1940</v>
      </c>
      <c r="K1397" s="97" t="s">
        <v>1941</v>
      </c>
      <c r="L1397" s="98"/>
    </row>
    <row r="1398">
      <c r="B1398" s="95" t="s">
        <v>526</v>
      </c>
      <c r="C1398" s="95" t="s">
        <v>1939</v>
      </c>
      <c r="D1398" s="95" t="s">
        <v>174</v>
      </c>
      <c r="E1398" s="95" t="s">
        <v>373</v>
      </c>
      <c r="F1398" s="95" t="s">
        <v>738</v>
      </c>
      <c r="G1398" s="9">
        <v>180000.0</v>
      </c>
      <c r="H1398" s="95" t="s">
        <v>530</v>
      </c>
      <c r="I1398" s="13">
        <f t="shared" si="75"/>
        <v>18000</v>
      </c>
      <c r="J1398" s="97" t="s">
        <v>1940</v>
      </c>
      <c r="K1398" s="97" t="s">
        <v>1941</v>
      </c>
      <c r="L1398" s="98"/>
    </row>
    <row r="1399">
      <c r="B1399" s="95" t="s">
        <v>526</v>
      </c>
      <c r="C1399" s="95" t="s">
        <v>1942</v>
      </c>
      <c r="D1399" s="95" t="s">
        <v>174</v>
      </c>
      <c r="E1399" s="95" t="s">
        <v>373</v>
      </c>
      <c r="F1399" s="95" t="s">
        <v>738</v>
      </c>
      <c r="G1399" s="9">
        <v>170000.0</v>
      </c>
      <c r="H1399" s="95" t="s">
        <v>530</v>
      </c>
      <c r="I1399" s="13">
        <f t="shared" si="75"/>
        <v>17000</v>
      </c>
      <c r="J1399" s="97" t="s">
        <v>1940</v>
      </c>
      <c r="K1399" s="97" t="s">
        <v>1941</v>
      </c>
      <c r="L1399" s="98"/>
    </row>
    <row r="1400">
      <c r="B1400" s="95" t="s">
        <v>526</v>
      </c>
      <c r="C1400" s="95" t="s">
        <v>1943</v>
      </c>
      <c r="D1400" s="95" t="s">
        <v>174</v>
      </c>
      <c r="E1400" s="95" t="s">
        <v>373</v>
      </c>
      <c r="F1400" s="95" t="s">
        <v>738</v>
      </c>
      <c r="G1400" s="9">
        <v>150000.0</v>
      </c>
      <c r="H1400" s="95" t="s">
        <v>530</v>
      </c>
      <c r="I1400" s="13">
        <f t="shared" si="75"/>
        <v>15000</v>
      </c>
      <c r="J1400" s="97" t="s">
        <v>1940</v>
      </c>
      <c r="K1400" s="97" t="s">
        <v>1941</v>
      </c>
      <c r="L1400" s="98"/>
    </row>
    <row r="1401">
      <c r="B1401" s="95" t="s">
        <v>526</v>
      </c>
      <c r="C1401" s="95" t="s">
        <v>1944</v>
      </c>
      <c r="D1401" s="95" t="s">
        <v>174</v>
      </c>
      <c r="E1401" s="95" t="s">
        <v>373</v>
      </c>
      <c r="F1401" s="95" t="s">
        <v>738</v>
      </c>
      <c r="G1401" s="9">
        <v>130000.0</v>
      </c>
      <c r="H1401" s="95" t="s">
        <v>530</v>
      </c>
      <c r="I1401" s="13">
        <f t="shared" si="75"/>
        <v>13000</v>
      </c>
      <c r="J1401" s="97" t="s">
        <v>1940</v>
      </c>
      <c r="K1401" s="97" t="s">
        <v>1941</v>
      </c>
      <c r="L1401" s="98"/>
    </row>
    <row r="1402">
      <c r="B1402" s="95" t="s">
        <v>526</v>
      </c>
      <c r="C1402" s="95" t="s">
        <v>1161</v>
      </c>
      <c r="D1402" s="95" t="s">
        <v>174</v>
      </c>
      <c r="E1402" s="95" t="s">
        <v>373</v>
      </c>
      <c r="F1402" s="95" t="s">
        <v>738</v>
      </c>
      <c r="G1402" s="9">
        <v>105000.0</v>
      </c>
      <c r="H1402" s="95" t="s">
        <v>530</v>
      </c>
      <c r="I1402" s="13">
        <f t="shared" si="75"/>
        <v>10500</v>
      </c>
      <c r="J1402" s="97" t="s">
        <v>1940</v>
      </c>
      <c r="K1402" s="97" t="s">
        <v>1941</v>
      </c>
      <c r="L1402" s="98"/>
    </row>
    <row r="1403">
      <c r="B1403" s="95" t="s">
        <v>526</v>
      </c>
      <c r="C1403" s="95" t="s">
        <v>1938</v>
      </c>
      <c r="D1403" s="95" t="s">
        <v>174</v>
      </c>
      <c r="E1403" s="95" t="s">
        <v>373</v>
      </c>
      <c r="F1403" s="95" t="s">
        <v>738</v>
      </c>
      <c r="G1403" s="9">
        <v>100000.0</v>
      </c>
      <c r="H1403" s="95" t="s">
        <v>530</v>
      </c>
      <c r="I1403" s="13">
        <f t="shared" si="75"/>
        <v>10000</v>
      </c>
      <c r="J1403" s="97" t="s">
        <v>1940</v>
      </c>
      <c r="K1403" s="97" t="s">
        <v>1941</v>
      </c>
      <c r="L1403" s="98"/>
    </row>
    <row r="1404">
      <c r="B1404" s="95" t="s">
        <v>526</v>
      </c>
      <c r="C1404" s="95" t="s">
        <v>1164</v>
      </c>
      <c r="D1404" s="95" t="s">
        <v>174</v>
      </c>
      <c r="E1404" s="95" t="s">
        <v>373</v>
      </c>
      <c r="F1404" s="95" t="s">
        <v>738</v>
      </c>
      <c r="G1404" s="9">
        <v>100000.0</v>
      </c>
      <c r="H1404" s="95" t="s">
        <v>530</v>
      </c>
      <c r="I1404" s="13">
        <f t="shared" si="75"/>
        <v>10000</v>
      </c>
      <c r="J1404" s="97" t="s">
        <v>1940</v>
      </c>
      <c r="K1404" s="97" t="s">
        <v>1941</v>
      </c>
      <c r="L1404" s="98"/>
    </row>
    <row r="1405">
      <c r="B1405" s="95" t="s">
        <v>526</v>
      </c>
      <c r="C1405" s="95" t="s">
        <v>1945</v>
      </c>
      <c r="D1405" s="95" t="s">
        <v>174</v>
      </c>
      <c r="E1405" s="95" t="s">
        <v>419</v>
      </c>
      <c r="F1405" s="95" t="s">
        <v>920</v>
      </c>
      <c r="G1405" s="9">
        <v>1170000.0</v>
      </c>
      <c r="H1405" s="95" t="s">
        <v>530</v>
      </c>
      <c r="I1405" s="13">
        <f t="shared" si="75"/>
        <v>117000</v>
      </c>
      <c r="J1405" s="97" t="s">
        <v>1946</v>
      </c>
      <c r="K1405" s="97" t="s">
        <v>1947</v>
      </c>
      <c r="L1405" s="98"/>
    </row>
    <row r="1406">
      <c r="B1406" s="95" t="s">
        <v>526</v>
      </c>
      <c r="C1406" s="95" t="s">
        <v>1043</v>
      </c>
      <c r="D1406" s="95" t="s">
        <v>174</v>
      </c>
      <c r="E1406" s="95" t="s">
        <v>419</v>
      </c>
      <c r="F1406" s="95" t="s">
        <v>920</v>
      </c>
      <c r="G1406" s="9">
        <v>900000.0</v>
      </c>
      <c r="H1406" s="95" t="s">
        <v>530</v>
      </c>
      <c r="I1406" s="13">
        <f t="shared" si="75"/>
        <v>90000</v>
      </c>
      <c r="J1406" s="97" t="s">
        <v>1946</v>
      </c>
      <c r="K1406" s="98"/>
      <c r="L1406" s="98"/>
    </row>
    <row r="1407">
      <c r="B1407" s="95" t="s">
        <v>526</v>
      </c>
      <c r="C1407" s="95" t="s">
        <v>1948</v>
      </c>
      <c r="D1407" s="95" t="s">
        <v>174</v>
      </c>
      <c r="E1407" s="95" t="s">
        <v>419</v>
      </c>
      <c r="F1407" s="95" t="s">
        <v>920</v>
      </c>
      <c r="G1407" s="9">
        <v>810000.0</v>
      </c>
      <c r="H1407" s="95" t="s">
        <v>530</v>
      </c>
      <c r="I1407" s="13">
        <f t="shared" si="75"/>
        <v>81000</v>
      </c>
      <c r="J1407" s="97" t="s">
        <v>1946</v>
      </c>
      <c r="K1407" s="98"/>
      <c r="L1407" s="98"/>
    </row>
    <row r="1408">
      <c r="B1408" s="95" t="s">
        <v>526</v>
      </c>
      <c r="C1408" s="95" t="s">
        <v>1949</v>
      </c>
      <c r="D1408" s="95" t="s">
        <v>174</v>
      </c>
      <c r="E1408" s="95" t="s">
        <v>419</v>
      </c>
      <c r="F1408" s="95" t="s">
        <v>920</v>
      </c>
      <c r="G1408" s="9">
        <v>720000.0</v>
      </c>
      <c r="H1408" s="95" t="s">
        <v>530</v>
      </c>
      <c r="I1408" s="13">
        <f t="shared" si="75"/>
        <v>72000</v>
      </c>
      <c r="J1408" s="97" t="s">
        <v>1946</v>
      </c>
      <c r="K1408" s="98"/>
      <c r="L1408" s="98"/>
    </row>
    <row r="1409">
      <c r="B1409" s="95" t="s">
        <v>526</v>
      </c>
      <c r="C1409" s="95" t="s">
        <v>1124</v>
      </c>
      <c r="D1409" s="95" t="s">
        <v>174</v>
      </c>
      <c r="E1409" s="95" t="s">
        <v>411</v>
      </c>
      <c r="F1409" s="95" t="s">
        <v>920</v>
      </c>
      <c r="G1409" s="9">
        <v>630000.0</v>
      </c>
      <c r="H1409" s="95" t="s">
        <v>530</v>
      </c>
      <c r="I1409" s="13">
        <f t="shared" si="75"/>
        <v>63000</v>
      </c>
      <c r="J1409" s="97" t="s">
        <v>1946</v>
      </c>
      <c r="K1409" s="98"/>
      <c r="L1409" s="98"/>
    </row>
    <row r="1410">
      <c r="B1410" s="95" t="s">
        <v>526</v>
      </c>
      <c r="C1410" s="95" t="s">
        <v>1950</v>
      </c>
      <c r="D1410" s="95" t="s">
        <v>174</v>
      </c>
      <c r="E1410" s="95" t="s">
        <v>419</v>
      </c>
      <c r="F1410" s="95" t="s">
        <v>920</v>
      </c>
      <c r="G1410" s="9">
        <v>405000.0</v>
      </c>
      <c r="H1410" s="95" t="s">
        <v>530</v>
      </c>
      <c r="I1410" s="13">
        <f t="shared" si="75"/>
        <v>40500</v>
      </c>
      <c r="J1410" s="97" t="s">
        <v>1946</v>
      </c>
      <c r="K1410" s="98"/>
      <c r="L1410" s="98"/>
    </row>
    <row r="1411">
      <c r="B1411" s="95" t="s">
        <v>526</v>
      </c>
      <c r="C1411" s="95" t="s">
        <v>1951</v>
      </c>
      <c r="D1411" s="95" t="s">
        <v>174</v>
      </c>
      <c r="E1411" s="95" t="s">
        <v>419</v>
      </c>
      <c r="F1411" s="95" t="s">
        <v>920</v>
      </c>
      <c r="G1411" s="9">
        <v>360000.0</v>
      </c>
      <c r="H1411" s="95" t="s">
        <v>530</v>
      </c>
      <c r="I1411" s="13">
        <f t="shared" si="75"/>
        <v>36000</v>
      </c>
      <c r="J1411" s="97" t="s">
        <v>1946</v>
      </c>
      <c r="K1411" s="98"/>
      <c r="L1411" s="98"/>
    </row>
    <row r="1412">
      <c r="B1412" s="95" t="s">
        <v>526</v>
      </c>
      <c r="C1412" s="95" t="s">
        <v>1952</v>
      </c>
      <c r="D1412" s="95" t="s">
        <v>174</v>
      </c>
      <c r="E1412" s="95" t="s">
        <v>419</v>
      </c>
      <c r="F1412" s="95" t="s">
        <v>920</v>
      </c>
      <c r="G1412" s="9">
        <v>360000.0</v>
      </c>
      <c r="H1412" s="95" t="s">
        <v>530</v>
      </c>
      <c r="I1412" s="13">
        <f t="shared" si="75"/>
        <v>36000</v>
      </c>
      <c r="J1412" s="97" t="s">
        <v>1946</v>
      </c>
      <c r="K1412" s="98"/>
      <c r="L1412" s="98"/>
    </row>
    <row r="1413">
      <c r="B1413" s="95" t="s">
        <v>526</v>
      </c>
      <c r="C1413" s="95" t="s">
        <v>1953</v>
      </c>
      <c r="D1413" s="95" t="s">
        <v>174</v>
      </c>
      <c r="E1413" s="95" t="s">
        <v>411</v>
      </c>
      <c r="F1413" s="95" t="s">
        <v>920</v>
      </c>
      <c r="G1413" s="9">
        <v>315000.0</v>
      </c>
      <c r="H1413" s="95" t="s">
        <v>530</v>
      </c>
      <c r="I1413" s="13">
        <f t="shared" si="75"/>
        <v>31500</v>
      </c>
      <c r="J1413" s="97" t="s">
        <v>1946</v>
      </c>
      <c r="K1413" s="98"/>
      <c r="L1413" s="98"/>
    </row>
    <row r="1414">
      <c r="B1414" s="95" t="s">
        <v>526</v>
      </c>
      <c r="C1414" s="95" t="s">
        <v>1954</v>
      </c>
      <c r="D1414" s="95" t="s">
        <v>174</v>
      </c>
      <c r="E1414" s="95" t="s">
        <v>411</v>
      </c>
      <c r="F1414" s="95" t="s">
        <v>920</v>
      </c>
      <c r="G1414" s="9">
        <v>315000.0</v>
      </c>
      <c r="H1414" s="95" t="s">
        <v>530</v>
      </c>
      <c r="I1414" s="13">
        <f t="shared" si="75"/>
        <v>31500</v>
      </c>
      <c r="J1414" s="97" t="s">
        <v>1946</v>
      </c>
      <c r="K1414" s="98"/>
      <c r="L1414" s="98"/>
    </row>
    <row r="1415">
      <c r="B1415" s="95" t="s">
        <v>526</v>
      </c>
      <c r="C1415" s="95" t="s">
        <v>1955</v>
      </c>
      <c r="D1415" s="95" t="s">
        <v>174</v>
      </c>
      <c r="E1415" s="5" t="s">
        <v>248</v>
      </c>
      <c r="F1415" s="95" t="s">
        <v>920</v>
      </c>
      <c r="G1415" s="9">
        <v>135000.0</v>
      </c>
      <c r="H1415" s="95" t="s">
        <v>530</v>
      </c>
      <c r="I1415" s="13">
        <f t="shared" si="75"/>
        <v>13500</v>
      </c>
      <c r="J1415" s="97" t="s">
        <v>1946</v>
      </c>
      <c r="K1415" s="98"/>
      <c r="L1415" s="98"/>
    </row>
    <row r="1416">
      <c r="B1416" s="95" t="s">
        <v>526</v>
      </c>
      <c r="C1416" s="95" t="s">
        <v>1956</v>
      </c>
      <c r="D1416" s="95" t="s">
        <v>174</v>
      </c>
      <c r="E1416" s="95" t="s">
        <v>438</v>
      </c>
      <c r="F1416" s="95" t="s">
        <v>920</v>
      </c>
      <c r="G1416" s="9">
        <v>126000.0</v>
      </c>
      <c r="H1416" s="95" t="s">
        <v>530</v>
      </c>
      <c r="I1416" s="13">
        <f t="shared" si="75"/>
        <v>12600</v>
      </c>
      <c r="J1416" s="97" t="s">
        <v>1946</v>
      </c>
      <c r="K1416" s="98"/>
      <c r="L1416" s="98"/>
    </row>
    <row r="1417">
      <c r="B1417" s="95" t="s">
        <v>526</v>
      </c>
      <c r="C1417" s="95" t="s">
        <v>1957</v>
      </c>
      <c r="D1417" s="95" t="s">
        <v>174</v>
      </c>
      <c r="E1417" s="95" t="s">
        <v>419</v>
      </c>
      <c r="F1417" s="95" t="s">
        <v>920</v>
      </c>
      <c r="G1417" s="9">
        <f>600000*0.9</f>
        <v>540000</v>
      </c>
      <c r="H1417" s="95" t="s">
        <v>530</v>
      </c>
      <c r="I1417" s="13">
        <f t="shared" si="75"/>
        <v>54000</v>
      </c>
      <c r="J1417" s="97" t="s">
        <v>1958</v>
      </c>
      <c r="K1417" s="98"/>
      <c r="L1417" s="98"/>
    </row>
    <row r="1418">
      <c r="B1418" s="95" t="s">
        <v>526</v>
      </c>
      <c r="C1418" s="95" t="s">
        <v>1959</v>
      </c>
      <c r="D1418" s="95" t="s">
        <v>174</v>
      </c>
      <c r="E1418" s="95" t="s">
        <v>419</v>
      </c>
      <c r="F1418" s="95" t="s">
        <v>920</v>
      </c>
      <c r="G1418" s="9">
        <v>585000.0</v>
      </c>
      <c r="H1418" s="95" t="s">
        <v>530</v>
      </c>
      <c r="I1418" s="13">
        <f t="shared" si="75"/>
        <v>58500</v>
      </c>
      <c r="J1418" s="97" t="s">
        <v>1946</v>
      </c>
      <c r="K1418" s="98"/>
      <c r="L1418" s="98"/>
    </row>
    <row r="1419">
      <c r="B1419" s="95" t="s">
        <v>526</v>
      </c>
      <c r="C1419" s="95" t="s">
        <v>1126</v>
      </c>
      <c r="D1419" s="95" t="s">
        <v>174</v>
      </c>
      <c r="E1419" s="95" t="s">
        <v>419</v>
      </c>
      <c r="F1419" s="95" t="s">
        <v>920</v>
      </c>
      <c r="G1419" s="9">
        <v>450000.0</v>
      </c>
      <c r="H1419" s="95" t="s">
        <v>530</v>
      </c>
      <c r="I1419" s="13">
        <f t="shared" si="75"/>
        <v>45000</v>
      </c>
      <c r="J1419" s="97" t="s">
        <v>1946</v>
      </c>
      <c r="K1419" s="98"/>
      <c r="L1419" s="98"/>
    </row>
    <row r="1420">
      <c r="B1420" s="95" t="s">
        <v>526</v>
      </c>
      <c r="C1420" s="95" t="s">
        <v>536</v>
      </c>
      <c r="D1420" s="95" t="s">
        <v>174</v>
      </c>
      <c r="E1420" s="95" t="s">
        <v>411</v>
      </c>
      <c r="F1420" s="95" t="s">
        <v>920</v>
      </c>
      <c r="G1420" s="9">
        <v>396000.0</v>
      </c>
      <c r="H1420" s="95" t="s">
        <v>530</v>
      </c>
      <c r="I1420" s="13">
        <f t="shared" si="75"/>
        <v>39600</v>
      </c>
      <c r="J1420" s="97" t="s">
        <v>1946</v>
      </c>
      <c r="K1420" s="98"/>
      <c r="L1420" s="98"/>
    </row>
    <row r="1421">
      <c r="B1421" s="95" t="s">
        <v>526</v>
      </c>
      <c r="C1421" s="95" t="s">
        <v>1960</v>
      </c>
      <c r="D1421" s="95" t="s">
        <v>174</v>
      </c>
      <c r="E1421" s="95" t="s">
        <v>419</v>
      </c>
      <c r="F1421" s="95" t="s">
        <v>920</v>
      </c>
      <c r="G1421" s="9">
        <v>342000.0</v>
      </c>
      <c r="H1421" s="95" t="s">
        <v>530</v>
      </c>
      <c r="I1421" s="13">
        <f t="shared" si="75"/>
        <v>34200</v>
      </c>
      <c r="J1421" s="97" t="s">
        <v>1946</v>
      </c>
      <c r="K1421" s="98"/>
      <c r="L1421" s="98"/>
    </row>
    <row r="1422">
      <c r="B1422" s="95" t="s">
        <v>526</v>
      </c>
      <c r="C1422" s="95" t="s">
        <v>1162</v>
      </c>
      <c r="D1422" s="95" t="s">
        <v>174</v>
      </c>
      <c r="E1422" s="95" t="s">
        <v>419</v>
      </c>
      <c r="F1422" s="95" t="s">
        <v>920</v>
      </c>
      <c r="G1422" s="9">
        <v>270000.0</v>
      </c>
      <c r="H1422" s="95" t="s">
        <v>530</v>
      </c>
      <c r="I1422" s="13">
        <f t="shared" si="75"/>
        <v>27000</v>
      </c>
      <c r="J1422" s="97" t="s">
        <v>1946</v>
      </c>
      <c r="K1422" s="98"/>
      <c r="L1422" s="98"/>
    </row>
    <row r="1423">
      <c r="B1423" s="95" t="s">
        <v>526</v>
      </c>
      <c r="C1423" s="95" t="s">
        <v>1961</v>
      </c>
      <c r="D1423" s="95" t="s">
        <v>174</v>
      </c>
      <c r="E1423" s="95" t="s">
        <v>419</v>
      </c>
      <c r="F1423" s="95" t="s">
        <v>920</v>
      </c>
      <c r="G1423" s="9">
        <v>270000.0</v>
      </c>
      <c r="H1423" s="95" t="s">
        <v>530</v>
      </c>
      <c r="I1423" s="13">
        <f t="shared" si="75"/>
        <v>27000</v>
      </c>
      <c r="J1423" s="97" t="s">
        <v>1946</v>
      </c>
      <c r="K1423" s="98"/>
      <c r="L1423" s="98"/>
    </row>
    <row r="1424">
      <c r="B1424" s="95" t="s">
        <v>526</v>
      </c>
      <c r="C1424" s="95" t="s">
        <v>1962</v>
      </c>
      <c r="D1424" s="95" t="s">
        <v>174</v>
      </c>
      <c r="E1424" s="95" t="s">
        <v>419</v>
      </c>
      <c r="F1424" s="95" t="s">
        <v>920</v>
      </c>
      <c r="G1424" s="9">
        <f>25000*0.9</f>
        <v>22500</v>
      </c>
      <c r="H1424" s="95" t="s">
        <v>1082</v>
      </c>
      <c r="I1424" s="13">
        <f>G1424/1</f>
        <v>22500</v>
      </c>
      <c r="J1424" s="97" t="s">
        <v>1958</v>
      </c>
      <c r="K1424" s="98"/>
      <c r="L1424" s="98"/>
    </row>
    <row r="1425">
      <c r="B1425" s="95" t="s">
        <v>526</v>
      </c>
      <c r="C1425" s="95" t="s">
        <v>1851</v>
      </c>
      <c r="D1425" s="95" t="s">
        <v>174</v>
      </c>
      <c r="E1425" s="95" t="s">
        <v>419</v>
      </c>
      <c r="F1425" s="95" t="s">
        <v>906</v>
      </c>
      <c r="G1425" s="9">
        <f>0.86*800000</f>
        <v>688000</v>
      </c>
      <c r="H1425" s="95" t="s">
        <v>530</v>
      </c>
      <c r="I1425" s="13">
        <f t="shared" ref="I1425:I1462" si="76">G1425/10</f>
        <v>68800</v>
      </c>
      <c r="J1425" s="97" t="s">
        <v>1958</v>
      </c>
      <c r="K1425" s="98"/>
      <c r="L1425" s="98"/>
    </row>
    <row r="1426">
      <c r="B1426" s="95" t="s">
        <v>526</v>
      </c>
      <c r="C1426" s="95" t="s">
        <v>1963</v>
      </c>
      <c r="D1426" s="95" t="s">
        <v>174</v>
      </c>
      <c r="E1426" s="95" t="s">
        <v>419</v>
      </c>
      <c r="F1426" s="95" t="s">
        <v>906</v>
      </c>
      <c r="G1426" s="9">
        <f>0.86*750000</f>
        <v>645000</v>
      </c>
      <c r="H1426" s="95" t="s">
        <v>530</v>
      </c>
      <c r="I1426" s="13">
        <f t="shared" si="76"/>
        <v>64500</v>
      </c>
      <c r="J1426" s="97" t="s">
        <v>1958</v>
      </c>
      <c r="K1426" s="98"/>
      <c r="L1426" s="98"/>
    </row>
    <row r="1427">
      <c r="B1427" s="95" t="s">
        <v>526</v>
      </c>
      <c r="C1427" s="95" t="s">
        <v>1964</v>
      </c>
      <c r="D1427" s="95" t="s">
        <v>174</v>
      </c>
      <c r="E1427" s="95" t="s">
        <v>419</v>
      </c>
      <c r="F1427" s="95" t="s">
        <v>906</v>
      </c>
      <c r="G1427" s="9">
        <f>0.86*700000</f>
        <v>602000</v>
      </c>
      <c r="H1427" s="95" t="s">
        <v>530</v>
      </c>
      <c r="I1427" s="13">
        <f t="shared" si="76"/>
        <v>60200</v>
      </c>
      <c r="J1427" s="97" t="s">
        <v>1958</v>
      </c>
      <c r="K1427" s="98"/>
      <c r="L1427" s="98"/>
    </row>
    <row r="1428">
      <c r="B1428" s="95" t="s">
        <v>526</v>
      </c>
      <c r="C1428" s="95" t="s">
        <v>1965</v>
      </c>
      <c r="D1428" s="95" t="s">
        <v>174</v>
      </c>
      <c r="E1428" s="95" t="s">
        <v>419</v>
      </c>
      <c r="F1428" s="95" t="s">
        <v>906</v>
      </c>
      <c r="G1428" s="9">
        <f t="shared" ref="G1428:G1429" si="77">0.86*600000</f>
        <v>516000</v>
      </c>
      <c r="H1428" s="95" t="s">
        <v>530</v>
      </c>
      <c r="I1428" s="13">
        <f t="shared" si="76"/>
        <v>51600</v>
      </c>
      <c r="J1428" s="97" t="s">
        <v>1958</v>
      </c>
      <c r="K1428" s="98"/>
      <c r="L1428" s="98"/>
    </row>
    <row r="1429">
      <c r="B1429" s="95" t="s">
        <v>526</v>
      </c>
      <c r="C1429" s="95" t="s">
        <v>1966</v>
      </c>
      <c r="D1429" s="95" t="s">
        <v>174</v>
      </c>
      <c r="E1429" s="95" t="s">
        <v>419</v>
      </c>
      <c r="F1429" s="95" t="s">
        <v>906</v>
      </c>
      <c r="G1429" s="9">
        <f t="shared" si="77"/>
        <v>516000</v>
      </c>
      <c r="H1429" s="95" t="s">
        <v>530</v>
      </c>
      <c r="I1429" s="13">
        <f t="shared" si="76"/>
        <v>51600</v>
      </c>
      <c r="J1429" s="97" t="s">
        <v>1958</v>
      </c>
      <c r="K1429" s="98"/>
      <c r="L1429" s="98"/>
    </row>
    <row r="1430">
      <c r="B1430" s="95" t="s">
        <v>526</v>
      </c>
      <c r="C1430" s="95" t="s">
        <v>1855</v>
      </c>
      <c r="D1430" s="95" t="s">
        <v>174</v>
      </c>
      <c r="E1430" s="95" t="s">
        <v>419</v>
      </c>
      <c r="F1430" s="95" t="s">
        <v>906</v>
      </c>
      <c r="G1430" s="9">
        <f>0.86*500000</f>
        <v>430000</v>
      </c>
      <c r="H1430" s="95" t="s">
        <v>530</v>
      </c>
      <c r="I1430" s="13">
        <f t="shared" si="76"/>
        <v>43000</v>
      </c>
      <c r="J1430" s="97" t="s">
        <v>1958</v>
      </c>
      <c r="K1430" s="98"/>
      <c r="L1430" s="98"/>
    </row>
    <row r="1431">
      <c r="B1431" s="95" t="s">
        <v>526</v>
      </c>
      <c r="C1431" s="95" t="s">
        <v>1203</v>
      </c>
      <c r="D1431" s="95" t="s">
        <v>174</v>
      </c>
      <c r="E1431" s="95" t="s">
        <v>419</v>
      </c>
      <c r="F1431" s="95" t="s">
        <v>906</v>
      </c>
      <c r="G1431" s="9">
        <f>0.86*350000</f>
        <v>301000</v>
      </c>
      <c r="H1431" s="95" t="s">
        <v>530</v>
      </c>
      <c r="I1431" s="13">
        <f t="shared" si="76"/>
        <v>30100</v>
      </c>
      <c r="J1431" s="97" t="s">
        <v>1958</v>
      </c>
      <c r="K1431" s="98"/>
      <c r="L1431" s="98"/>
    </row>
    <row r="1432">
      <c r="B1432" s="95" t="s">
        <v>526</v>
      </c>
      <c r="C1432" s="95" t="s">
        <v>1967</v>
      </c>
      <c r="D1432" s="95" t="s">
        <v>174</v>
      </c>
      <c r="E1432" s="95" t="s">
        <v>419</v>
      </c>
      <c r="F1432" s="95" t="s">
        <v>906</v>
      </c>
      <c r="G1432" s="9">
        <f t="shared" ref="G1432:G1433" si="78">0.86*300000</f>
        <v>258000</v>
      </c>
      <c r="H1432" s="95" t="s">
        <v>530</v>
      </c>
      <c r="I1432" s="13">
        <f t="shared" si="76"/>
        <v>25800</v>
      </c>
      <c r="J1432" s="97" t="s">
        <v>1958</v>
      </c>
      <c r="K1432" s="98"/>
      <c r="L1432" s="98"/>
    </row>
    <row r="1433">
      <c r="B1433" s="95" t="s">
        <v>526</v>
      </c>
      <c r="C1433" s="95" t="s">
        <v>1968</v>
      </c>
      <c r="D1433" s="95" t="s">
        <v>174</v>
      </c>
      <c r="E1433" s="95" t="s">
        <v>419</v>
      </c>
      <c r="F1433" s="95" t="s">
        <v>906</v>
      </c>
      <c r="G1433" s="9">
        <f t="shared" si="78"/>
        <v>258000</v>
      </c>
      <c r="H1433" s="95" t="s">
        <v>530</v>
      </c>
      <c r="I1433" s="13">
        <f t="shared" si="76"/>
        <v>25800</v>
      </c>
      <c r="J1433" s="97" t="s">
        <v>1958</v>
      </c>
      <c r="K1433" s="98"/>
      <c r="L1433" s="98"/>
    </row>
    <row r="1434">
      <c r="B1434" s="95" t="s">
        <v>526</v>
      </c>
      <c r="C1434" s="95" t="s">
        <v>1204</v>
      </c>
      <c r="D1434" s="95" t="s">
        <v>174</v>
      </c>
      <c r="E1434" s="95" t="s">
        <v>419</v>
      </c>
      <c r="F1434" s="95" t="s">
        <v>906</v>
      </c>
      <c r="G1434" s="9">
        <f>0.86*250000</f>
        <v>215000</v>
      </c>
      <c r="H1434" s="95" t="s">
        <v>530</v>
      </c>
      <c r="I1434" s="13">
        <f t="shared" si="76"/>
        <v>21500</v>
      </c>
      <c r="J1434" s="97" t="s">
        <v>1958</v>
      </c>
      <c r="K1434" s="98"/>
      <c r="L1434" s="98"/>
    </row>
    <row r="1435">
      <c r="B1435" s="95" t="s">
        <v>526</v>
      </c>
      <c r="C1435" s="95" t="s">
        <v>1969</v>
      </c>
      <c r="D1435" s="95" t="s">
        <v>174</v>
      </c>
      <c r="E1435" s="95" t="s">
        <v>419</v>
      </c>
      <c r="F1435" s="95" t="s">
        <v>906</v>
      </c>
      <c r="G1435" s="9">
        <f>0.86*220000</f>
        <v>189200</v>
      </c>
      <c r="H1435" s="95" t="s">
        <v>530</v>
      </c>
      <c r="I1435" s="13">
        <f t="shared" si="76"/>
        <v>18920</v>
      </c>
      <c r="J1435" s="97" t="s">
        <v>1958</v>
      </c>
      <c r="K1435" s="98"/>
      <c r="L1435" s="98"/>
    </row>
    <row r="1436">
      <c r="B1436" s="95" t="s">
        <v>526</v>
      </c>
      <c r="C1436" s="95" t="s">
        <v>1970</v>
      </c>
      <c r="D1436" s="95" t="s">
        <v>174</v>
      </c>
      <c r="E1436" s="95" t="s">
        <v>419</v>
      </c>
      <c r="F1436" s="95" t="s">
        <v>920</v>
      </c>
      <c r="G1436" s="9">
        <v>198000.0</v>
      </c>
      <c r="H1436" s="95" t="s">
        <v>530</v>
      </c>
      <c r="I1436" s="13">
        <f t="shared" si="76"/>
        <v>19800</v>
      </c>
      <c r="J1436" s="97" t="s">
        <v>1946</v>
      </c>
      <c r="K1436" s="98"/>
      <c r="L1436" s="98"/>
    </row>
    <row r="1437">
      <c r="B1437" s="95" t="s">
        <v>526</v>
      </c>
      <c r="C1437" s="95" t="s">
        <v>1971</v>
      </c>
      <c r="D1437" s="95" t="s">
        <v>174</v>
      </c>
      <c r="E1437" s="95" t="s">
        <v>411</v>
      </c>
      <c r="F1437" s="95" t="s">
        <v>920</v>
      </c>
      <c r="G1437" s="9">
        <v>157500.0</v>
      </c>
      <c r="H1437" s="95" t="s">
        <v>530</v>
      </c>
      <c r="I1437" s="13">
        <f t="shared" si="76"/>
        <v>15750</v>
      </c>
      <c r="J1437" s="97" t="s">
        <v>1946</v>
      </c>
      <c r="K1437" s="98"/>
      <c r="L1437" s="98"/>
    </row>
    <row r="1438">
      <c r="B1438" s="95" t="s">
        <v>526</v>
      </c>
      <c r="C1438" s="95" t="s">
        <v>1972</v>
      </c>
      <c r="D1438" s="95" t="s">
        <v>174</v>
      </c>
      <c r="E1438" s="95" t="s">
        <v>438</v>
      </c>
      <c r="F1438" s="95" t="s">
        <v>920</v>
      </c>
      <c r="G1438" s="9">
        <v>130500.0</v>
      </c>
      <c r="H1438" s="95" t="s">
        <v>530</v>
      </c>
      <c r="I1438" s="13">
        <f t="shared" si="76"/>
        <v>13050</v>
      </c>
      <c r="J1438" s="97" t="s">
        <v>1946</v>
      </c>
      <c r="K1438" s="98"/>
      <c r="L1438" s="98"/>
    </row>
    <row r="1439">
      <c r="B1439" s="95" t="s">
        <v>526</v>
      </c>
      <c r="C1439" s="95" t="s">
        <v>1973</v>
      </c>
      <c r="D1439" s="95" t="s">
        <v>174</v>
      </c>
      <c r="E1439" s="95" t="s">
        <v>1137</v>
      </c>
      <c r="F1439" s="95" t="s">
        <v>920</v>
      </c>
      <c r="G1439" s="9">
        <v>130500.0</v>
      </c>
      <c r="H1439" s="95" t="s">
        <v>530</v>
      </c>
      <c r="I1439" s="13">
        <f t="shared" si="76"/>
        <v>13050</v>
      </c>
      <c r="J1439" s="97" t="s">
        <v>1946</v>
      </c>
      <c r="K1439" s="98"/>
      <c r="L1439" s="98"/>
    </row>
    <row r="1440">
      <c r="B1440" s="95" t="s">
        <v>526</v>
      </c>
      <c r="C1440" s="95" t="s">
        <v>1128</v>
      </c>
      <c r="D1440" s="95" t="s">
        <v>174</v>
      </c>
      <c r="E1440" s="95" t="s">
        <v>411</v>
      </c>
      <c r="F1440" s="95" t="s">
        <v>920</v>
      </c>
      <c r="G1440" s="9">
        <v>126000.0</v>
      </c>
      <c r="H1440" s="95" t="s">
        <v>530</v>
      </c>
      <c r="I1440" s="13">
        <f t="shared" si="76"/>
        <v>12600</v>
      </c>
      <c r="J1440" s="97" t="s">
        <v>1946</v>
      </c>
      <c r="K1440" s="98"/>
      <c r="L1440" s="98"/>
    </row>
    <row r="1441">
      <c r="B1441" s="95" t="s">
        <v>526</v>
      </c>
      <c r="C1441" s="95" t="s">
        <v>1974</v>
      </c>
      <c r="D1441" s="95" t="s">
        <v>174</v>
      </c>
      <c r="E1441" s="95" t="s">
        <v>1693</v>
      </c>
      <c r="F1441" s="95" t="s">
        <v>920</v>
      </c>
      <c r="G1441" s="9">
        <v>108000.0</v>
      </c>
      <c r="H1441" s="95" t="s">
        <v>530</v>
      </c>
      <c r="I1441" s="13">
        <f t="shared" si="76"/>
        <v>10800</v>
      </c>
      <c r="J1441" s="97" t="s">
        <v>1946</v>
      </c>
      <c r="K1441" s="98"/>
      <c r="L1441" s="98"/>
    </row>
    <row r="1442">
      <c r="B1442" s="95" t="s">
        <v>526</v>
      </c>
      <c r="C1442" s="95" t="s">
        <v>1975</v>
      </c>
      <c r="D1442" s="95" t="s">
        <v>174</v>
      </c>
      <c r="E1442" s="95" t="s">
        <v>411</v>
      </c>
      <c r="F1442" s="95" t="s">
        <v>920</v>
      </c>
      <c r="G1442" s="9">
        <v>103500.0</v>
      </c>
      <c r="H1442" s="95" t="s">
        <v>530</v>
      </c>
      <c r="I1442" s="13">
        <f t="shared" si="76"/>
        <v>10350</v>
      </c>
      <c r="J1442" s="97" t="s">
        <v>1946</v>
      </c>
      <c r="K1442" s="98"/>
      <c r="L1442" s="98"/>
    </row>
    <row r="1443">
      <c r="B1443" s="95" t="s">
        <v>526</v>
      </c>
      <c r="C1443" s="95" t="s">
        <v>1976</v>
      </c>
      <c r="D1443" s="95" t="s">
        <v>174</v>
      </c>
      <c r="E1443" s="95" t="s">
        <v>1137</v>
      </c>
      <c r="F1443" s="95" t="s">
        <v>920</v>
      </c>
      <c r="G1443" s="9">
        <v>103500.0</v>
      </c>
      <c r="H1443" s="95" t="s">
        <v>530</v>
      </c>
      <c r="I1443" s="13">
        <f t="shared" si="76"/>
        <v>10350</v>
      </c>
      <c r="J1443" s="97" t="s">
        <v>1946</v>
      </c>
      <c r="K1443" s="98"/>
      <c r="L1443" s="98"/>
    </row>
    <row r="1444">
      <c r="B1444" s="95" t="s">
        <v>526</v>
      </c>
      <c r="C1444" s="95" t="s">
        <v>954</v>
      </c>
      <c r="D1444" s="95" t="s">
        <v>174</v>
      </c>
      <c r="E1444" s="95" t="s">
        <v>411</v>
      </c>
      <c r="F1444" s="95" t="s">
        <v>920</v>
      </c>
      <c r="G1444" s="9">
        <f>220000*0.9</f>
        <v>198000</v>
      </c>
      <c r="H1444" s="95" t="s">
        <v>530</v>
      </c>
      <c r="I1444" s="13">
        <f t="shared" si="76"/>
        <v>19800</v>
      </c>
      <c r="J1444" s="97" t="s">
        <v>1946</v>
      </c>
      <c r="K1444" s="98"/>
      <c r="L1444" s="98"/>
    </row>
    <row r="1445">
      <c r="B1445" s="95" t="s">
        <v>526</v>
      </c>
      <c r="C1445" s="95" t="s">
        <v>1977</v>
      </c>
      <c r="D1445" s="95" t="s">
        <v>174</v>
      </c>
      <c r="E1445" s="95" t="s">
        <v>411</v>
      </c>
      <c r="F1445" s="95" t="s">
        <v>920</v>
      </c>
      <c r="G1445" s="9">
        <f>275000*0.9</f>
        <v>247500</v>
      </c>
      <c r="H1445" s="95" t="s">
        <v>530</v>
      </c>
      <c r="I1445" s="13">
        <f t="shared" si="76"/>
        <v>24750</v>
      </c>
      <c r="J1445" s="97" t="s">
        <v>1946</v>
      </c>
      <c r="K1445" s="98"/>
      <c r="L1445" s="98"/>
    </row>
    <row r="1446">
      <c r="B1446" s="95" t="s">
        <v>526</v>
      </c>
      <c r="C1446" s="95" t="s">
        <v>1978</v>
      </c>
      <c r="D1446" s="95" t="s">
        <v>174</v>
      </c>
      <c r="E1446" s="95" t="s">
        <v>411</v>
      </c>
      <c r="F1446" s="95" t="s">
        <v>920</v>
      </c>
      <c r="G1446" s="9">
        <f>200000*0.9</f>
        <v>180000</v>
      </c>
      <c r="H1446" s="95" t="s">
        <v>530</v>
      </c>
      <c r="I1446" s="13">
        <f t="shared" si="76"/>
        <v>18000</v>
      </c>
      <c r="J1446" s="97" t="s">
        <v>1946</v>
      </c>
      <c r="K1446" s="98"/>
      <c r="L1446" s="98"/>
    </row>
    <row r="1447">
      <c r="B1447" s="95" t="s">
        <v>526</v>
      </c>
      <c r="C1447" s="95" t="s">
        <v>1211</v>
      </c>
      <c r="D1447" s="95" t="s">
        <v>174</v>
      </c>
      <c r="E1447" s="95" t="s">
        <v>438</v>
      </c>
      <c r="F1447" s="95" t="s">
        <v>738</v>
      </c>
      <c r="G1447" s="9">
        <v>220000.0</v>
      </c>
      <c r="H1447" s="95" t="s">
        <v>530</v>
      </c>
      <c r="I1447" s="13">
        <f t="shared" si="76"/>
        <v>22000</v>
      </c>
      <c r="J1447" s="97" t="s">
        <v>1940</v>
      </c>
      <c r="K1447" s="97" t="s">
        <v>1941</v>
      </c>
      <c r="L1447" s="98"/>
    </row>
    <row r="1448">
      <c r="B1448" s="95" t="s">
        <v>526</v>
      </c>
      <c r="C1448" s="95" t="s">
        <v>1131</v>
      </c>
      <c r="D1448" s="95" t="s">
        <v>174</v>
      </c>
      <c r="E1448" s="95" t="s">
        <v>438</v>
      </c>
      <c r="F1448" s="95" t="s">
        <v>738</v>
      </c>
      <c r="G1448" s="9">
        <v>190000.0</v>
      </c>
      <c r="H1448" s="95" t="s">
        <v>530</v>
      </c>
      <c r="I1448" s="13">
        <f t="shared" si="76"/>
        <v>19000</v>
      </c>
      <c r="J1448" s="97" t="s">
        <v>1940</v>
      </c>
      <c r="K1448" s="97" t="s">
        <v>1941</v>
      </c>
      <c r="L1448" s="98"/>
    </row>
    <row r="1449">
      <c r="B1449" s="95" t="s">
        <v>526</v>
      </c>
      <c r="C1449" s="95" t="s">
        <v>1979</v>
      </c>
      <c r="D1449" s="95" t="s">
        <v>174</v>
      </c>
      <c r="E1449" s="95" t="s">
        <v>438</v>
      </c>
      <c r="F1449" s="95" t="s">
        <v>738</v>
      </c>
      <c r="G1449" s="9">
        <v>170000.0</v>
      </c>
      <c r="H1449" s="95" t="s">
        <v>530</v>
      </c>
      <c r="I1449" s="13">
        <f t="shared" si="76"/>
        <v>17000</v>
      </c>
      <c r="J1449" s="97" t="s">
        <v>1940</v>
      </c>
      <c r="K1449" s="97" t="s">
        <v>1941</v>
      </c>
      <c r="L1449" s="98"/>
    </row>
    <row r="1450">
      <c r="B1450" s="95" t="s">
        <v>526</v>
      </c>
      <c r="C1450" s="95" t="s">
        <v>1210</v>
      </c>
      <c r="D1450" s="95" t="s">
        <v>174</v>
      </c>
      <c r="E1450" s="95" t="s">
        <v>438</v>
      </c>
      <c r="F1450" s="95" t="s">
        <v>738</v>
      </c>
      <c r="G1450" s="9">
        <v>155000.0</v>
      </c>
      <c r="H1450" s="95" t="s">
        <v>530</v>
      </c>
      <c r="I1450" s="13">
        <f t="shared" si="76"/>
        <v>15500</v>
      </c>
      <c r="J1450" s="97" t="s">
        <v>1940</v>
      </c>
      <c r="K1450" s="97" t="s">
        <v>1941</v>
      </c>
      <c r="L1450" s="98"/>
    </row>
    <row r="1451">
      <c r="B1451" s="95" t="s">
        <v>526</v>
      </c>
      <c r="C1451" s="95" t="s">
        <v>1150</v>
      </c>
      <c r="D1451" s="95" t="s">
        <v>174</v>
      </c>
      <c r="E1451" s="95" t="s">
        <v>438</v>
      </c>
      <c r="F1451" s="95" t="s">
        <v>738</v>
      </c>
      <c r="G1451" s="9">
        <v>140000.0</v>
      </c>
      <c r="H1451" s="95" t="s">
        <v>530</v>
      </c>
      <c r="I1451" s="13">
        <f t="shared" si="76"/>
        <v>14000</v>
      </c>
      <c r="J1451" s="97" t="s">
        <v>1940</v>
      </c>
      <c r="K1451" s="97" t="s">
        <v>1941</v>
      </c>
      <c r="L1451" s="98"/>
    </row>
    <row r="1452">
      <c r="B1452" s="95" t="s">
        <v>526</v>
      </c>
      <c r="C1452" s="95" t="s">
        <v>1148</v>
      </c>
      <c r="D1452" s="95" t="s">
        <v>174</v>
      </c>
      <c r="E1452" s="95" t="s">
        <v>438</v>
      </c>
      <c r="F1452" s="95" t="s">
        <v>738</v>
      </c>
      <c r="G1452" s="9">
        <v>140000.0</v>
      </c>
      <c r="H1452" s="95" t="s">
        <v>530</v>
      </c>
      <c r="I1452" s="13">
        <f t="shared" si="76"/>
        <v>14000</v>
      </c>
      <c r="J1452" s="97" t="s">
        <v>1940</v>
      </c>
      <c r="K1452" s="97" t="s">
        <v>1941</v>
      </c>
      <c r="L1452" s="98"/>
    </row>
    <row r="1453">
      <c r="B1453" s="95" t="s">
        <v>526</v>
      </c>
      <c r="C1453" s="95" t="s">
        <v>1149</v>
      </c>
      <c r="D1453" s="95" t="s">
        <v>174</v>
      </c>
      <c r="E1453" s="95" t="s">
        <v>438</v>
      </c>
      <c r="F1453" s="95" t="s">
        <v>738</v>
      </c>
      <c r="G1453" s="9">
        <v>135000.0</v>
      </c>
      <c r="H1453" s="95" t="s">
        <v>530</v>
      </c>
      <c r="I1453" s="13">
        <f t="shared" si="76"/>
        <v>13500</v>
      </c>
      <c r="J1453" s="97" t="s">
        <v>1940</v>
      </c>
      <c r="K1453" s="97" t="s">
        <v>1941</v>
      </c>
    </row>
    <row r="1454">
      <c r="B1454" s="95" t="s">
        <v>526</v>
      </c>
      <c r="C1454" s="95" t="s">
        <v>1128</v>
      </c>
      <c r="D1454" s="95" t="s">
        <v>174</v>
      </c>
      <c r="E1454" s="95" t="s">
        <v>438</v>
      </c>
      <c r="F1454" s="95" t="s">
        <v>738</v>
      </c>
      <c r="G1454" s="9">
        <v>130000.0</v>
      </c>
      <c r="H1454" s="95" t="s">
        <v>530</v>
      </c>
      <c r="I1454" s="13">
        <f t="shared" si="76"/>
        <v>13000</v>
      </c>
      <c r="J1454" s="97" t="s">
        <v>1940</v>
      </c>
      <c r="K1454" s="97" t="s">
        <v>1941</v>
      </c>
    </row>
    <row r="1455">
      <c r="B1455" s="95" t="s">
        <v>526</v>
      </c>
      <c r="C1455" s="95" t="s">
        <v>1980</v>
      </c>
      <c r="D1455" s="95" t="s">
        <v>174</v>
      </c>
      <c r="E1455" s="95" t="s">
        <v>438</v>
      </c>
      <c r="F1455" s="95" t="s">
        <v>738</v>
      </c>
      <c r="G1455" s="9">
        <v>80000.0</v>
      </c>
      <c r="H1455" s="95" t="s">
        <v>530</v>
      </c>
      <c r="I1455" s="13">
        <f t="shared" si="76"/>
        <v>8000</v>
      </c>
      <c r="J1455" s="97" t="s">
        <v>1940</v>
      </c>
      <c r="K1455" s="97" t="s">
        <v>1941</v>
      </c>
    </row>
    <row r="1456">
      <c r="B1456" s="95" t="s">
        <v>526</v>
      </c>
      <c r="C1456" s="95" t="s">
        <v>1153</v>
      </c>
      <c r="D1456" s="95" t="s">
        <v>174</v>
      </c>
      <c r="E1456" s="95" t="s">
        <v>438</v>
      </c>
      <c r="F1456" s="95" t="s">
        <v>738</v>
      </c>
      <c r="G1456" s="9">
        <v>70000.0</v>
      </c>
      <c r="H1456" s="95" t="s">
        <v>530</v>
      </c>
      <c r="I1456" s="13">
        <f t="shared" si="76"/>
        <v>7000</v>
      </c>
      <c r="J1456" s="97" t="s">
        <v>1940</v>
      </c>
      <c r="K1456" s="97" t="s">
        <v>1941</v>
      </c>
    </row>
    <row r="1457">
      <c r="B1457" s="95" t="s">
        <v>526</v>
      </c>
      <c r="C1457" s="95" t="s">
        <v>1164</v>
      </c>
      <c r="D1457" s="95" t="s">
        <v>174</v>
      </c>
      <c r="E1457" s="95" t="s">
        <v>349</v>
      </c>
      <c r="F1457" s="95" t="s">
        <v>650</v>
      </c>
      <c r="G1457" s="9">
        <f>0.85*180000</f>
        <v>153000</v>
      </c>
      <c r="H1457" s="95" t="s">
        <v>530</v>
      </c>
      <c r="I1457" s="13">
        <f t="shared" si="76"/>
        <v>15300</v>
      </c>
      <c r="J1457" s="97" t="s">
        <v>1981</v>
      </c>
      <c r="K1457" s="98"/>
      <c r="L1457" s="64"/>
    </row>
    <row r="1458">
      <c r="B1458" s="95" t="s">
        <v>526</v>
      </c>
      <c r="C1458" s="95" t="s">
        <v>1982</v>
      </c>
      <c r="D1458" s="95" t="s">
        <v>174</v>
      </c>
      <c r="E1458" s="95" t="s">
        <v>349</v>
      </c>
      <c r="F1458" s="95" t="s">
        <v>650</v>
      </c>
      <c r="G1458" s="9">
        <f t="shared" ref="G1458:G1459" si="79">0.85*170000</f>
        <v>144500</v>
      </c>
      <c r="H1458" s="95" t="s">
        <v>530</v>
      </c>
      <c r="I1458" s="13">
        <f t="shared" si="76"/>
        <v>14450</v>
      </c>
      <c r="J1458" s="97" t="s">
        <v>1981</v>
      </c>
      <c r="K1458" s="98"/>
      <c r="L1458" s="64"/>
    </row>
    <row r="1459">
      <c r="B1459" s="95" t="s">
        <v>526</v>
      </c>
      <c r="C1459" s="95" t="s">
        <v>1983</v>
      </c>
      <c r="D1459" s="95" t="s">
        <v>174</v>
      </c>
      <c r="E1459" s="95" t="s">
        <v>349</v>
      </c>
      <c r="F1459" s="95" t="s">
        <v>650</v>
      </c>
      <c r="G1459" s="9">
        <f t="shared" si="79"/>
        <v>144500</v>
      </c>
      <c r="H1459" s="95" t="s">
        <v>530</v>
      </c>
      <c r="I1459" s="13">
        <f t="shared" si="76"/>
        <v>14450</v>
      </c>
      <c r="J1459" s="97" t="s">
        <v>1981</v>
      </c>
      <c r="K1459" s="98"/>
      <c r="L1459" s="64"/>
    </row>
    <row r="1460">
      <c r="B1460" s="95" t="s">
        <v>526</v>
      </c>
      <c r="C1460" s="95" t="s">
        <v>1162</v>
      </c>
      <c r="D1460" s="95" t="s">
        <v>174</v>
      </c>
      <c r="E1460" s="95" t="s">
        <v>419</v>
      </c>
      <c r="F1460" s="95" t="s">
        <v>562</v>
      </c>
      <c r="G1460" s="9">
        <f t="shared" ref="G1460:G1461" si="80">0.75*400000</f>
        <v>300000</v>
      </c>
      <c r="H1460" s="95" t="s">
        <v>530</v>
      </c>
      <c r="I1460" s="13">
        <f t="shared" si="76"/>
        <v>30000</v>
      </c>
      <c r="J1460" s="97" t="s">
        <v>1984</v>
      </c>
      <c r="K1460" s="98"/>
      <c r="L1460" s="64"/>
    </row>
    <row r="1461">
      <c r="B1461" s="95" t="s">
        <v>526</v>
      </c>
      <c r="C1461" s="95" t="s">
        <v>1126</v>
      </c>
      <c r="D1461" s="95" t="s">
        <v>174</v>
      </c>
      <c r="E1461" s="95" t="s">
        <v>419</v>
      </c>
      <c r="F1461" s="95" t="s">
        <v>562</v>
      </c>
      <c r="G1461" s="9">
        <f t="shared" si="80"/>
        <v>300000</v>
      </c>
      <c r="H1461" s="95" t="s">
        <v>530</v>
      </c>
      <c r="I1461" s="13">
        <f t="shared" si="76"/>
        <v>30000</v>
      </c>
      <c r="J1461" s="97" t="s">
        <v>1984</v>
      </c>
      <c r="K1461" s="98"/>
      <c r="L1461" s="64"/>
    </row>
    <row r="1462">
      <c r="B1462" s="95" t="s">
        <v>526</v>
      </c>
      <c r="C1462" s="95" t="s">
        <v>1972</v>
      </c>
      <c r="D1462" s="95" t="s">
        <v>174</v>
      </c>
      <c r="E1462" s="95" t="s">
        <v>438</v>
      </c>
      <c r="F1462" s="95" t="s">
        <v>562</v>
      </c>
      <c r="G1462" s="9">
        <f>0.75*120000</f>
        <v>90000</v>
      </c>
      <c r="H1462" s="95" t="s">
        <v>530</v>
      </c>
      <c r="I1462" s="13">
        <f t="shared" si="76"/>
        <v>9000</v>
      </c>
      <c r="J1462" s="97" t="s">
        <v>1984</v>
      </c>
      <c r="K1462" s="98"/>
      <c r="L1462" s="98"/>
    </row>
    <row r="1463">
      <c r="B1463" s="95" t="s">
        <v>526</v>
      </c>
      <c r="C1463" s="95" t="s">
        <v>1284</v>
      </c>
      <c r="D1463" s="95" t="s">
        <v>174</v>
      </c>
      <c r="E1463" s="95" t="s">
        <v>411</v>
      </c>
      <c r="F1463" s="95" t="s">
        <v>586</v>
      </c>
      <c r="G1463" s="9">
        <f>0.9*50000</f>
        <v>45000</v>
      </c>
      <c r="H1463" s="95" t="s">
        <v>677</v>
      </c>
      <c r="I1463" s="13">
        <f>G1463/2</f>
        <v>22500</v>
      </c>
      <c r="J1463" s="97" t="s">
        <v>1985</v>
      </c>
      <c r="K1463" s="98"/>
      <c r="L1463" s="98"/>
    </row>
    <row r="1464">
      <c r="B1464" s="95" t="s">
        <v>526</v>
      </c>
      <c r="C1464" s="95" t="s">
        <v>1159</v>
      </c>
      <c r="D1464" s="95" t="s">
        <v>174</v>
      </c>
      <c r="E1464" s="95" t="s">
        <v>349</v>
      </c>
      <c r="F1464" s="95" t="s">
        <v>650</v>
      </c>
      <c r="G1464" s="9">
        <f>0.85*230000</f>
        <v>195500</v>
      </c>
      <c r="H1464" s="95" t="s">
        <v>530</v>
      </c>
      <c r="I1464" s="13">
        <f t="shared" ref="I1464:I1467" si="81">G1464/10</f>
        <v>19550</v>
      </c>
      <c r="J1464" s="97" t="s">
        <v>1981</v>
      </c>
      <c r="K1464" s="98"/>
      <c r="L1464" s="64"/>
    </row>
    <row r="1465">
      <c r="B1465" s="95" t="s">
        <v>641</v>
      </c>
      <c r="C1465" s="95" t="s">
        <v>1986</v>
      </c>
      <c r="D1465" s="95" t="s">
        <v>174</v>
      </c>
      <c r="E1465" s="95" t="s">
        <v>411</v>
      </c>
      <c r="F1465" s="95" t="s">
        <v>685</v>
      </c>
      <c r="G1465" s="9">
        <f t="shared" ref="G1465:G1466" si="82">0.88*750000</f>
        <v>660000</v>
      </c>
      <c r="H1465" s="95" t="s">
        <v>530</v>
      </c>
      <c r="I1465" s="13">
        <f t="shared" si="81"/>
        <v>66000</v>
      </c>
      <c r="J1465" s="97" t="s">
        <v>1987</v>
      </c>
      <c r="K1465" s="98" t="s">
        <v>1753</v>
      </c>
      <c r="L1465" s="98"/>
    </row>
    <row r="1466">
      <c r="B1466" s="95" t="s">
        <v>526</v>
      </c>
      <c r="C1466" s="95" t="s">
        <v>1235</v>
      </c>
      <c r="D1466" s="95" t="s">
        <v>195</v>
      </c>
      <c r="E1466" s="95" t="s">
        <v>432</v>
      </c>
      <c r="F1466" s="95" t="s">
        <v>685</v>
      </c>
      <c r="G1466" s="9">
        <f t="shared" si="82"/>
        <v>660000</v>
      </c>
      <c r="H1466" s="95" t="s">
        <v>530</v>
      </c>
      <c r="I1466" s="13">
        <f t="shared" si="81"/>
        <v>66000</v>
      </c>
      <c r="J1466" s="97" t="s">
        <v>1988</v>
      </c>
      <c r="K1466" s="98" t="s">
        <v>1753</v>
      </c>
      <c r="L1466" s="98"/>
    </row>
    <row r="1467">
      <c r="B1467" s="95" t="s">
        <v>526</v>
      </c>
      <c r="C1467" s="95" t="s">
        <v>1235</v>
      </c>
      <c r="D1467" s="95" t="s">
        <v>195</v>
      </c>
      <c r="E1467" s="95" t="s">
        <v>432</v>
      </c>
      <c r="F1467" s="95" t="s">
        <v>1545</v>
      </c>
      <c r="G1467" s="9">
        <f>0.88*800000</f>
        <v>704000</v>
      </c>
      <c r="H1467" s="95" t="s">
        <v>530</v>
      </c>
      <c r="I1467" s="13">
        <f t="shared" si="81"/>
        <v>70400</v>
      </c>
      <c r="J1467" s="97" t="s">
        <v>1988</v>
      </c>
      <c r="K1467" s="98"/>
      <c r="L1467" s="98"/>
    </row>
    <row r="1468">
      <c r="B1468" s="95" t="s">
        <v>526</v>
      </c>
      <c r="C1468" s="95" t="s">
        <v>1364</v>
      </c>
      <c r="D1468" s="95" t="s">
        <v>140</v>
      </c>
      <c r="E1468" s="95" t="s">
        <v>1989</v>
      </c>
      <c r="F1468" s="95" t="s">
        <v>650</v>
      </c>
      <c r="G1468" s="9">
        <f>0.85*230000</f>
        <v>195500</v>
      </c>
      <c r="H1468" s="95" t="s">
        <v>680</v>
      </c>
      <c r="I1468" s="13">
        <f>G1468/4</f>
        <v>48875</v>
      </c>
      <c r="J1468" s="97" t="s">
        <v>1353</v>
      </c>
      <c r="K1468" s="98"/>
      <c r="L1468" s="98"/>
    </row>
    <row r="1469">
      <c r="B1469" s="95" t="s">
        <v>526</v>
      </c>
      <c r="C1469" s="95" t="s">
        <v>904</v>
      </c>
      <c r="D1469" s="95" t="s">
        <v>69</v>
      </c>
      <c r="E1469" s="95" t="s">
        <v>561</v>
      </c>
      <c r="F1469" s="95" t="s">
        <v>685</v>
      </c>
      <c r="G1469" s="9">
        <v>400000.0</v>
      </c>
      <c r="H1469" s="95" t="s">
        <v>530</v>
      </c>
      <c r="I1469" s="13">
        <f t="shared" ref="I1469:I1482" si="83">G1469/10</f>
        <v>40000</v>
      </c>
      <c r="J1469" s="98" t="s">
        <v>1990</v>
      </c>
      <c r="K1469" s="98"/>
      <c r="L1469" s="98"/>
    </row>
    <row r="1470">
      <c r="B1470" s="95" t="s">
        <v>526</v>
      </c>
      <c r="C1470" s="95" t="s">
        <v>1562</v>
      </c>
      <c r="D1470" s="95" t="s">
        <v>69</v>
      </c>
      <c r="E1470" s="95" t="s">
        <v>561</v>
      </c>
      <c r="F1470" s="95" t="s">
        <v>685</v>
      </c>
      <c r="G1470" s="9">
        <v>300000.0</v>
      </c>
      <c r="H1470" s="95" t="s">
        <v>530</v>
      </c>
      <c r="I1470" s="13">
        <f t="shared" si="83"/>
        <v>30000</v>
      </c>
      <c r="J1470" s="98" t="s">
        <v>1468</v>
      </c>
      <c r="K1470" s="98"/>
      <c r="L1470" s="98"/>
    </row>
    <row r="1471">
      <c r="B1471" s="95" t="s">
        <v>641</v>
      </c>
      <c r="C1471" s="95" t="s">
        <v>1845</v>
      </c>
      <c r="D1471" s="95" t="s">
        <v>88</v>
      </c>
      <c r="E1471" s="95" t="s">
        <v>425</v>
      </c>
      <c r="F1471" s="95" t="s">
        <v>763</v>
      </c>
      <c r="G1471" s="9">
        <v>400000.0</v>
      </c>
      <c r="H1471" s="95" t="s">
        <v>530</v>
      </c>
      <c r="I1471" s="13">
        <f t="shared" si="83"/>
        <v>40000</v>
      </c>
      <c r="J1471" s="97" t="s">
        <v>1893</v>
      </c>
      <c r="K1471" s="98"/>
      <c r="L1471" s="98"/>
    </row>
    <row r="1472">
      <c r="B1472" s="95" t="s">
        <v>526</v>
      </c>
      <c r="C1472" s="95" t="s">
        <v>1381</v>
      </c>
      <c r="D1472" s="95" t="s">
        <v>140</v>
      </c>
      <c r="E1472" s="95" t="s">
        <v>141</v>
      </c>
      <c r="F1472" s="95" t="s">
        <v>643</v>
      </c>
      <c r="G1472" s="9">
        <f>0.9*1900000</f>
        <v>1710000</v>
      </c>
      <c r="H1472" s="95" t="s">
        <v>530</v>
      </c>
      <c r="I1472" s="13">
        <f t="shared" si="83"/>
        <v>171000</v>
      </c>
      <c r="J1472" s="97" t="s">
        <v>1991</v>
      </c>
      <c r="K1472" s="98"/>
      <c r="L1472" s="98"/>
    </row>
    <row r="1473">
      <c r="B1473" s="95" t="s">
        <v>526</v>
      </c>
      <c r="C1473" s="95" t="s">
        <v>1032</v>
      </c>
      <c r="D1473" s="95" t="s">
        <v>140</v>
      </c>
      <c r="E1473" s="95" t="s">
        <v>194</v>
      </c>
      <c r="F1473" s="95" t="s">
        <v>529</v>
      </c>
      <c r="G1473" s="9">
        <v>1600000.0</v>
      </c>
      <c r="H1473" s="95" t="s">
        <v>530</v>
      </c>
      <c r="I1473" s="13">
        <f t="shared" si="83"/>
        <v>160000</v>
      </c>
      <c r="J1473" s="97" t="s">
        <v>1813</v>
      </c>
      <c r="K1473" s="98"/>
      <c r="L1473" s="98"/>
    </row>
    <row r="1474">
      <c r="B1474" s="95" t="s">
        <v>526</v>
      </c>
      <c r="C1474" s="95" t="s">
        <v>1992</v>
      </c>
      <c r="D1474" s="95" t="s">
        <v>140</v>
      </c>
      <c r="E1474" s="95" t="s">
        <v>194</v>
      </c>
      <c r="F1474" s="95" t="s">
        <v>529</v>
      </c>
      <c r="G1474" s="9">
        <v>1200000.0</v>
      </c>
      <c r="H1474" s="95" t="s">
        <v>530</v>
      </c>
      <c r="I1474" s="13">
        <f t="shared" si="83"/>
        <v>120000</v>
      </c>
      <c r="J1474" s="97" t="s">
        <v>1813</v>
      </c>
      <c r="K1474" s="98"/>
      <c r="L1474" s="98"/>
    </row>
    <row r="1475">
      <c r="B1475" s="95" t="s">
        <v>526</v>
      </c>
      <c r="C1475" s="95" t="s">
        <v>1993</v>
      </c>
      <c r="D1475" s="95" t="s">
        <v>140</v>
      </c>
      <c r="E1475" s="95" t="s">
        <v>194</v>
      </c>
      <c r="F1475" s="95" t="s">
        <v>529</v>
      </c>
      <c r="G1475" s="9">
        <v>1150000.0</v>
      </c>
      <c r="H1475" s="95" t="s">
        <v>530</v>
      </c>
      <c r="I1475" s="13">
        <f t="shared" si="83"/>
        <v>115000</v>
      </c>
      <c r="J1475" s="97" t="s">
        <v>1813</v>
      </c>
      <c r="K1475" s="98"/>
      <c r="L1475" s="98"/>
    </row>
    <row r="1476">
      <c r="B1476" s="95" t="s">
        <v>526</v>
      </c>
      <c r="C1476" s="95" t="s">
        <v>962</v>
      </c>
      <c r="D1476" s="95" t="s">
        <v>140</v>
      </c>
      <c r="E1476" s="95" t="s">
        <v>194</v>
      </c>
      <c r="F1476" s="95" t="s">
        <v>529</v>
      </c>
      <c r="G1476" s="9">
        <v>830000.0</v>
      </c>
      <c r="H1476" s="95" t="s">
        <v>530</v>
      </c>
      <c r="I1476" s="13">
        <f t="shared" si="83"/>
        <v>83000</v>
      </c>
      <c r="J1476" s="97" t="s">
        <v>1813</v>
      </c>
      <c r="K1476" s="98"/>
      <c r="L1476" s="98"/>
    </row>
    <row r="1477">
      <c r="B1477" s="95" t="s">
        <v>526</v>
      </c>
      <c r="C1477" s="95" t="s">
        <v>1549</v>
      </c>
      <c r="D1477" s="95" t="s">
        <v>140</v>
      </c>
      <c r="E1477" s="95" t="s">
        <v>194</v>
      </c>
      <c r="F1477" s="95" t="s">
        <v>529</v>
      </c>
      <c r="G1477" s="9">
        <v>830000.0</v>
      </c>
      <c r="H1477" s="95" t="s">
        <v>530</v>
      </c>
      <c r="I1477" s="13">
        <f t="shared" si="83"/>
        <v>83000</v>
      </c>
      <c r="J1477" s="97" t="s">
        <v>1813</v>
      </c>
      <c r="K1477" s="98"/>
      <c r="L1477" s="98"/>
    </row>
    <row r="1478">
      <c r="B1478" s="95" t="s">
        <v>526</v>
      </c>
      <c r="C1478" s="95" t="s">
        <v>1994</v>
      </c>
      <c r="D1478" s="95" t="s">
        <v>140</v>
      </c>
      <c r="E1478" s="95" t="s">
        <v>194</v>
      </c>
      <c r="F1478" s="95" t="s">
        <v>529</v>
      </c>
      <c r="G1478" s="9">
        <v>780000.0</v>
      </c>
      <c r="H1478" s="95" t="s">
        <v>530</v>
      </c>
      <c r="I1478" s="13">
        <f t="shared" si="83"/>
        <v>78000</v>
      </c>
      <c r="J1478" s="97" t="s">
        <v>1813</v>
      </c>
      <c r="K1478" s="98"/>
      <c r="L1478" s="98"/>
    </row>
    <row r="1479">
      <c r="B1479" s="95" t="s">
        <v>526</v>
      </c>
      <c r="C1479" s="95" t="s">
        <v>1995</v>
      </c>
      <c r="D1479" s="95" t="s">
        <v>140</v>
      </c>
      <c r="E1479" s="95" t="s">
        <v>194</v>
      </c>
      <c r="F1479" s="95" t="s">
        <v>529</v>
      </c>
      <c r="G1479" s="9">
        <v>640000.0</v>
      </c>
      <c r="H1479" s="95" t="s">
        <v>530</v>
      </c>
      <c r="I1479" s="13">
        <f t="shared" si="83"/>
        <v>64000</v>
      </c>
      <c r="J1479" s="97" t="s">
        <v>1813</v>
      </c>
      <c r="K1479" s="98"/>
      <c r="L1479" s="98"/>
    </row>
    <row r="1480">
      <c r="B1480" s="95" t="s">
        <v>526</v>
      </c>
      <c r="C1480" s="95" t="s">
        <v>1996</v>
      </c>
      <c r="D1480" s="95" t="s">
        <v>140</v>
      </c>
      <c r="E1480" s="95" t="s">
        <v>194</v>
      </c>
      <c r="F1480" s="95" t="s">
        <v>529</v>
      </c>
      <c r="G1480" s="9">
        <v>600000.0</v>
      </c>
      <c r="H1480" s="95" t="s">
        <v>530</v>
      </c>
      <c r="I1480" s="13">
        <f t="shared" si="83"/>
        <v>60000</v>
      </c>
      <c r="J1480" s="97" t="s">
        <v>1813</v>
      </c>
      <c r="K1480" s="98"/>
      <c r="L1480" s="98"/>
    </row>
    <row r="1481">
      <c r="B1481" s="95" t="s">
        <v>526</v>
      </c>
      <c r="C1481" s="95" t="s">
        <v>883</v>
      </c>
      <c r="D1481" s="95" t="s">
        <v>140</v>
      </c>
      <c r="E1481" s="95" t="s">
        <v>194</v>
      </c>
      <c r="F1481" s="95" t="s">
        <v>529</v>
      </c>
      <c r="G1481" s="9">
        <v>270000.0</v>
      </c>
      <c r="H1481" s="95" t="s">
        <v>530</v>
      </c>
      <c r="I1481" s="13">
        <f t="shared" si="83"/>
        <v>27000</v>
      </c>
      <c r="J1481" s="97" t="s">
        <v>1813</v>
      </c>
      <c r="K1481" s="98"/>
      <c r="L1481" s="98"/>
    </row>
    <row r="1482">
      <c r="B1482" s="95" t="s">
        <v>526</v>
      </c>
      <c r="C1482" s="95" t="s">
        <v>1997</v>
      </c>
      <c r="D1482" s="95" t="s">
        <v>140</v>
      </c>
      <c r="E1482" s="95" t="s">
        <v>194</v>
      </c>
      <c r="F1482" s="95" t="s">
        <v>529</v>
      </c>
      <c r="G1482" s="9">
        <v>225000.0</v>
      </c>
      <c r="H1482" s="95" t="s">
        <v>530</v>
      </c>
      <c r="I1482" s="13">
        <f t="shared" si="83"/>
        <v>22500</v>
      </c>
      <c r="J1482" s="97" t="s">
        <v>1813</v>
      </c>
      <c r="K1482" s="98"/>
      <c r="L1482" s="98"/>
    </row>
    <row r="1483">
      <c r="B1483" s="95" t="s">
        <v>526</v>
      </c>
      <c r="C1483" s="95" t="s">
        <v>1959</v>
      </c>
      <c r="D1483" s="95" t="s">
        <v>174</v>
      </c>
      <c r="E1483" s="95" t="s">
        <v>419</v>
      </c>
      <c r="F1483" s="95" t="s">
        <v>799</v>
      </c>
      <c r="G1483" s="9">
        <f>115000*0.9</f>
        <v>103500</v>
      </c>
      <c r="H1483" s="95" t="s">
        <v>680</v>
      </c>
      <c r="I1483" s="13">
        <f>G1483/4</f>
        <v>25875</v>
      </c>
      <c r="J1483" s="97" t="s">
        <v>1998</v>
      </c>
      <c r="K1483" s="98"/>
      <c r="L1483" s="98"/>
    </row>
    <row r="1484">
      <c r="B1484" s="95" t="s">
        <v>526</v>
      </c>
      <c r="C1484" s="95" t="s">
        <v>1819</v>
      </c>
      <c r="D1484" s="95" t="s">
        <v>140</v>
      </c>
      <c r="E1484" s="95" t="s">
        <v>141</v>
      </c>
      <c r="F1484" s="95" t="s">
        <v>643</v>
      </c>
      <c r="G1484" s="9">
        <v>1000000.0</v>
      </c>
      <c r="H1484" s="95" t="s">
        <v>530</v>
      </c>
      <c r="I1484" s="13">
        <f t="shared" ref="I1484:I1502" si="84">G1484/10</f>
        <v>100000</v>
      </c>
      <c r="J1484" s="97" t="s">
        <v>1999</v>
      </c>
      <c r="K1484" s="98"/>
      <c r="L1484" s="98"/>
    </row>
    <row r="1485">
      <c r="B1485" s="95" t="s">
        <v>526</v>
      </c>
      <c r="C1485" s="95" t="s">
        <v>1819</v>
      </c>
      <c r="D1485" s="95" t="s">
        <v>140</v>
      </c>
      <c r="E1485" s="95" t="s">
        <v>141</v>
      </c>
      <c r="F1485" s="95" t="s">
        <v>562</v>
      </c>
      <c r="G1485" s="9">
        <v>2500000.0</v>
      </c>
      <c r="H1485" s="95" t="s">
        <v>530</v>
      </c>
      <c r="I1485" s="13">
        <f t="shared" si="84"/>
        <v>250000</v>
      </c>
      <c r="J1485" s="97" t="s">
        <v>1999</v>
      </c>
      <c r="K1485" s="98" t="s">
        <v>2000</v>
      </c>
      <c r="L1485" s="98"/>
    </row>
    <row r="1486">
      <c r="B1486" s="95" t="s">
        <v>526</v>
      </c>
      <c r="C1486" s="95" t="s">
        <v>1819</v>
      </c>
      <c r="D1486" s="95" t="s">
        <v>140</v>
      </c>
      <c r="E1486" s="95" t="s">
        <v>141</v>
      </c>
      <c r="F1486" s="95" t="s">
        <v>799</v>
      </c>
      <c r="G1486" s="9">
        <v>2500000.0</v>
      </c>
      <c r="H1486" s="95" t="s">
        <v>530</v>
      </c>
      <c r="I1486" s="13">
        <f t="shared" si="84"/>
        <v>250000</v>
      </c>
      <c r="J1486" s="97" t="s">
        <v>1999</v>
      </c>
      <c r="K1486" s="98"/>
      <c r="L1486" s="98"/>
    </row>
    <row r="1487">
      <c r="B1487" s="95" t="s">
        <v>526</v>
      </c>
      <c r="C1487" s="95" t="s">
        <v>1819</v>
      </c>
      <c r="D1487" s="95" t="s">
        <v>140</v>
      </c>
      <c r="E1487" s="95" t="s">
        <v>141</v>
      </c>
      <c r="F1487" s="95" t="s">
        <v>920</v>
      </c>
      <c r="G1487" s="9">
        <v>2500000.0</v>
      </c>
      <c r="H1487" s="95" t="s">
        <v>530</v>
      </c>
      <c r="I1487" s="13">
        <f t="shared" si="84"/>
        <v>250000</v>
      </c>
      <c r="J1487" s="97" t="s">
        <v>1999</v>
      </c>
      <c r="K1487" s="98"/>
      <c r="L1487" s="98"/>
    </row>
    <row r="1488">
      <c r="B1488" s="95" t="s">
        <v>526</v>
      </c>
      <c r="C1488" s="95" t="s">
        <v>1819</v>
      </c>
      <c r="D1488" s="95" t="s">
        <v>140</v>
      </c>
      <c r="E1488" s="95" t="s">
        <v>141</v>
      </c>
      <c r="F1488" s="95" t="s">
        <v>906</v>
      </c>
      <c r="G1488" s="9">
        <v>2500000.0</v>
      </c>
      <c r="H1488" s="95" t="s">
        <v>530</v>
      </c>
      <c r="I1488" s="13">
        <f t="shared" si="84"/>
        <v>250000</v>
      </c>
      <c r="J1488" s="97" t="s">
        <v>1999</v>
      </c>
      <c r="K1488" s="98"/>
      <c r="L1488" s="98"/>
    </row>
    <row r="1489">
      <c r="B1489" s="95" t="s">
        <v>526</v>
      </c>
      <c r="C1489" s="95" t="s">
        <v>1819</v>
      </c>
      <c r="D1489" s="95" t="s">
        <v>140</v>
      </c>
      <c r="E1489" s="95" t="s">
        <v>141</v>
      </c>
      <c r="F1489" s="148" t="s">
        <v>2001</v>
      </c>
      <c r="G1489" s="9">
        <v>2500000.0</v>
      </c>
      <c r="H1489" s="95" t="s">
        <v>530</v>
      </c>
      <c r="I1489" s="13">
        <f t="shared" si="84"/>
        <v>250000</v>
      </c>
      <c r="J1489" s="97" t="s">
        <v>1999</v>
      </c>
      <c r="K1489" s="98" t="s">
        <v>2002</v>
      </c>
      <c r="L1489" s="98"/>
    </row>
    <row r="1490">
      <c r="B1490" s="95" t="s">
        <v>526</v>
      </c>
      <c r="C1490" s="95" t="s">
        <v>1819</v>
      </c>
      <c r="D1490" s="95" t="s">
        <v>140</v>
      </c>
      <c r="E1490" s="95" t="s">
        <v>141</v>
      </c>
      <c r="F1490" s="95" t="s">
        <v>1173</v>
      </c>
      <c r="G1490" s="9">
        <v>3000000.0</v>
      </c>
      <c r="H1490" s="95" t="s">
        <v>530</v>
      </c>
      <c r="I1490" s="13">
        <f t="shared" si="84"/>
        <v>300000</v>
      </c>
      <c r="J1490" s="97" t="s">
        <v>1999</v>
      </c>
      <c r="K1490" s="98"/>
      <c r="L1490" s="98"/>
    </row>
    <row r="1491">
      <c r="B1491" s="95" t="s">
        <v>526</v>
      </c>
      <c r="C1491" s="95" t="s">
        <v>1593</v>
      </c>
      <c r="D1491" s="95" t="s">
        <v>114</v>
      </c>
      <c r="E1491" s="95" t="s">
        <v>389</v>
      </c>
      <c r="F1491" s="135">
        <v>46243.0</v>
      </c>
      <c r="G1491" s="9">
        <v>4500000.0</v>
      </c>
      <c r="H1491" s="95" t="s">
        <v>530</v>
      </c>
      <c r="I1491" s="13">
        <f t="shared" si="84"/>
        <v>450000</v>
      </c>
      <c r="J1491" s="97" t="s">
        <v>2003</v>
      </c>
      <c r="K1491" s="98"/>
      <c r="L1491" s="98"/>
    </row>
    <row r="1492">
      <c r="B1492" s="95" t="s">
        <v>526</v>
      </c>
      <c r="C1492" s="95" t="s">
        <v>2004</v>
      </c>
      <c r="D1492" s="95" t="s">
        <v>195</v>
      </c>
      <c r="E1492" s="95" t="s">
        <v>2005</v>
      </c>
      <c r="F1492" s="134">
        <v>46338.0</v>
      </c>
      <c r="G1492" s="9">
        <v>3500000.0</v>
      </c>
      <c r="H1492" s="95" t="s">
        <v>530</v>
      </c>
      <c r="I1492" s="13">
        <f t="shared" si="84"/>
        <v>350000</v>
      </c>
      <c r="J1492" s="97" t="s">
        <v>2006</v>
      </c>
      <c r="K1492" s="98"/>
      <c r="L1492" s="98"/>
    </row>
    <row r="1493">
      <c r="B1493" s="95" t="s">
        <v>526</v>
      </c>
      <c r="C1493" s="95" t="s">
        <v>2007</v>
      </c>
      <c r="D1493" s="95" t="s">
        <v>195</v>
      </c>
      <c r="E1493" s="95" t="s">
        <v>1881</v>
      </c>
      <c r="F1493" s="134">
        <v>46338.0</v>
      </c>
      <c r="G1493" s="9">
        <v>3500000.0</v>
      </c>
      <c r="H1493" s="95" t="s">
        <v>530</v>
      </c>
      <c r="I1493" s="13">
        <f t="shared" si="84"/>
        <v>350000</v>
      </c>
      <c r="J1493" s="97" t="s">
        <v>2006</v>
      </c>
      <c r="K1493" s="98"/>
      <c r="L1493" s="98"/>
    </row>
    <row r="1494">
      <c r="B1494" s="95" t="s">
        <v>526</v>
      </c>
      <c r="C1494" s="95" t="s">
        <v>2008</v>
      </c>
      <c r="D1494" s="95" t="s">
        <v>826</v>
      </c>
      <c r="E1494" s="95" t="s">
        <v>841</v>
      </c>
      <c r="F1494" s="134">
        <v>46338.0</v>
      </c>
      <c r="G1494" s="9">
        <v>3000000.0</v>
      </c>
      <c r="H1494" s="95" t="s">
        <v>530</v>
      </c>
      <c r="I1494" s="13">
        <f t="shared" si="84"/>
        <v>300000</v>
      </c>
      <c r="J1494" s="97" t="s">
        <v>2006</v>
      </c>
      <c r="K1494" s="98"/>
      <c r="L1494" s="98"/>
    </row>
    <row r="1495">
      <c r="B1495" s="95" t="s">
        <v>526</v>
      </c>
      <c r="C1495" s="95" t="s">
        <v>1819</v>
      </c>
      <c r="D1495" s="95" t="s">
        <v>140</v>
      </c>
      <c r="E1495" s="95" t="s">
        <v>141</v>
      </c>
      <c r="F1495" s="134">
        <v>46338.0</v>
      </c>
      <c r="G1495" s="9">
        <v>3000000.0</v>
      </c>
      <c r="H1495" s="95" t="s">
        <v>530</v>
      </c>
      <c r="I1495" s="13">
        <f t="shared" si="84"/>
        <v>300000</v>
      </c>
      <c r="J1495" s="97" t="s">
        <v>2006</v>
      </c>
      <c r="K1495" s="98"/>
      <c r="L1495" s="98"/>
    </row>
    <row r="1496">
      <c r="B1496" s="95" t="s">
        <v>526</v>
      </c>
      <c r="C1496" s="95" t="s">
        <v>2009</v>
      </c>
      <c r="D1496" s="95" t="s">
        <v>195</v>
      </c>
      <c r="E1496" s="95" t="s">
        <v>434</v>
      </c>
      <c r="F1496" s="134">
        <v>46338.0</v>
      </c>
      <c r="G1496" s="9">
        <v>2700000.0</v>
      </c>
      <c r="H1496" s="95" t="s">
        <v>530</v>
      </c>
      <c r="I1496" s="13">
        <f t="shared" si="84"/>
        <v>270000</v>
      </c>
      <c r="J1496" s="97" t="s">
        <v>2006</v>
      </c>
      <c r="K1496" s="98"/>
      <c r="L1496" s="98"/>
    </row>
    <row r="1497">
      <c r="B1497" s="95" t="s">
        <v>526</v>
      </c>
      <c r="C1497" s="95" t="s">
        <v>2010</v>
      </c>
      <c r="D1497" s="95" t="s">
        <v>140</v>
      </c>
      <c r="E1497" s="95" t="s">
        <v>194</v>
      </c>
      <c r="F1497" s="134">
        <v>46338.0</v>
      </c>
      <c r="G1497" s="9">
        <v>2500000.0</v>
      </c>
      <c r="H1497" s="95" t="s">
        <v>530</v>
      </c>
      <c r="I1497" s="13">
        <f t="shared" si="84"/>
        <v>250000</v>
      </c>
      <c r="J1497" s="97" t="s">
        <v>2006</v>
      </c>
      <c r="K1497" s="98"/>
      <c r="L1497" s="98"/>
    </row>
    <row r="1498">
      <c r="B1498" s="95" t="s">
        <v>526</v>
      </c>
      <c r="C1498" s="95" t="s">
        <v>1647</v>
      </c>
      <c r="D1498" s="95" t="s">
        <v>114</v>
      </c>
      <c r="E1498" s="95" t="s">
        <v>389</v>
      </c>
      <c r="F1498" s="134">
        <v>46338.0</v>
      </c>
      <c r="G1498" s="9">
        <v>2400000.0</v>
      </c>
      <c r="H1498" s="95" t="s">
        <v>530</v>
      </c>
      <c r="I1498" s="13">
        <f t="shared" si="84"/>
        <v>240000</v>
      </c>
      <c r="J1498" s="97" t="s">
        <v>2006</v>
      </c>
      <c r="K1498" s="98"/>
      <c r="L1498" s="98"/>
    </row>
    <row r="1499">
      <c r="B1499" s="95" t="s">
        <v>526</v>
      </c>
      <c r="C1499" s="95" t="s">
        <v>2011</v>
      </c>
      <c r="D1499" s="95" t="s">
        <v>114</v>
      </c>
      <c r="E1499" s="95" t="s">
        <v>396</v>
      </c>
      <c r="F1499" s="134">
        <v>46338.0</v>
      </c>
      <c r="G1499" s="9">
        <v>2000000.0</v>
      </c>
      <c r="H1499" s="95" t="s">
        <v>530</v>
      </c>
      <c r="I1499" s="13">
        <f t="shared" si="84"/>
        <v>200000</v>
      </c>
      <c r="J1499" s="97" t="s">
        <v>2006</v>
      </c>
      <c r="K1499" s="98"/>
      <c r="L1499" s="98"/>
    </row>
    <row r="1500">
      <c r="B1500" s="95" t="s">
        <v>526</v>
      </c>
      <c r="C1500" s="95" t="s">
        <v>2012</v>
      </c>
      <c r="D1500" s="95" t="s">
        <v>114</v>
      </c>
      <c r="E1500" s="95" t="s">
        <v>396</v>
      </c>
      <c r="F1500" s="134">
        <v>46338.0</v>
      </c>
      <c r="G1500" s="9">
        <v>1900000.0</v>
      </c>
      <c r="H1500" s="95" t="s">
        <v>530</v>
      </c>
      <c r="I1500" s="13">
        <f t="shared" si="84"/>
        <v>190000</v>
      </c>
      <c r="J1500" s="97" t="s">
        <v>2006</v>
      </c>
      <c r="K1500" s="98"/>
      <c r="L1500" s="98"/>
    </row>
    <row r="1501">
      <c r="B1501" s="95" t="s">
        <v>526</v>
      </c>
      <c r="C1501" s="95" t="s">
        <v>1429</v>
      </c>
      <c r="D1501" s="95" t="s">
        <v>826</v>
      </c>
      <c r="E1501" s="95" t="s">
        <v>841</v>
      </c>
      <c r="F1501" s="134">
        <v>46338.0</v>
      </c>
      <c r="G1501" s="9">
        <v>1900000.0</v>
      </c>
      <c r="H1501" s="95" t="s">
        <v>530</v>
      </c>
      <c r="I1501" s="13">
        <f t="shared" si="84"/>
        <v>190000</v>
      </c>
      <c r="J1501" s="97" t="s">
        <v>2006</v>
      </c>
      <c r="K1501" s="98"/>
      <c r="L1501" s="98"/>
    </row>
    <row r="1502">
      <c r="B1502" s="95" t="s">
        <v>526</v>
      </c>
      <c r="C1502" s="95" t="s">
        <v>2013</v>
      </c>
      <c r="D1502" s="95" t="s">
        <v>195</v>
      </c>
      <c r="E1502" s="95" t="s">
        <v>434</v>
      </c>
      <c r="F1502" s="134">
        <v>46338.0</v>
      </c>
      <c r="G1502" s="9">
        <v>1900000.0</v>
      </c>
      <c r="H1502" s="95" t="s">
        <v>530</v>
      </c>
      <c r="I1502" s="13">
        <f t="shared" si="84"/>
        <v>190000</v>
      </c>
      <c r="J1502" s="97" t="s">
        <v>2006</v>
      </c>
      <c r="K1502" s="98"/>
      <c r="L1502" s="98"/>
    </row>
    <row r="1503">
      <c r="B1503" s="95" t="s">
        <v>526</v>
      </c>
      <c r="C1503" s="95" t="s">
        <v>1945</v>
      </c>
      <c r="D1503" s="95" t="s">
        <v>1024</v>
      </c>
      <c r="E1503" s="95" t="s">
        <v>2014</v>
      </c>
      <c r="F1503" s="95" t="s">
        <v>529</v>
      </c>
      <c r="G1503" s="9">
        <f>2100000*0.9</f>
        <v>1890000</v>
      </c>
      <c r="H1503" s="95" t="s">
        <v>728</v>
      </c>
      <c r="I1503" s="13">
        <f>G1503/7</f>
        <v>270000</v>
      </c>
      <c r="J1503" s="97" t="s">
        <v>2015</v>
      </c>
      <c r="K1503" s="98"/>
      <c r="L1503" s="98"/>
    </row>
    <row r="1504">
      <c r="B1504" s="95" t="s">
        <v>641</v>
      </c>
      <c r="C1504" s="95" t="s">
        <v>1858</v>
      </c>
      <c r="D1504" s="95" t="s">
        <v>88</v>
      </c>
      <c r="E1504" s="95" t="s">
        <v>425</v>
      </c>
      <c r="F1504" s="95" t="s">
        <v>643</v>
      </c>
      <c r="G1504" s="9">
        <v>320000.0</v>
      </c>
      <c r="H1504" s="95" t="s">
        <v>1155</v>
      </c>
      <c r="I1504" s="13">
        <f>G1504/8</f>
        <v>40000</v>
      </c>
      <c r="J1504" s="97" t="s">
        <v>2016</v>
      </c>
      <c r="K1504" s="98"/>
      <c r="L1504" s="98"/>
    </row>
    <row r="1505">
      <c r="B1505" s="95" t="s">
        <v>641</v>
      </c>
      <c r="C1505" s="95" t="s">
        <v>2017</v>
      </c>
      <c r="D1505" s="95" t="s">
        <v>88</v>
      </c>
      <c r="E1505" s="95" t="s">
        <v>425</v>
      </c>
      <c r="F1505" s="95" t="s">
        <v>738</v>
      </c>
      <c r="G1505" s="9">
        <v>875000.0</v>
      </c>
      <c r="H1505" s="95" t="s">
        <v>530</v>
      </c>
      <c r="I1505" s="13">
        <f t="shared" ref="I1505:I1515" si="85">G1505/10</f>
        <v>87500</v>
      </c>
      <c r="J1505" s="97" t="s">
        <v>2016</v>
      </c>
      <c r="K1505" s="98"/>
      <c r="L1505" s="98"/>
    </row>
    <row r="1506">
      <c r="B1506" s="95" t="s">
        <v>526</v>
      </c>
      <c r="C1506" s="95" t="s">
        <v>548</v>
      </c>
      <c r="D1506" s="95" t="s">
        <v>69</v>
      </c>
      <c r="E1506" s="95" t="s">
        <v>550</v>
      </c>
      <c r="F1506" s="95" t="s">
        <v>906</v>
      </c>
      <c r="G1506" s="9">
        <v>40000.0</v>
      </c>
      <c r="H1506" s="95" t="s">
        <v>530</v>
      </c>
      <c r="I1506" s="13">
        <f t="shared" si="85"/>
        <v>4000</v>
      </c>
      <c r="J1506" s="97" t="s">
        <v>2018</v>
      </c>
      <c r="K1506" s="98"/>
      <c r="L1506" s="98"/>
    </row>
    <row r="1507">
      <c r="B1507" s="95" t="s">
        <v>641</v>
      </c>
      <c r="C1507" s="95" t="s">
        <v>1104</v>
      </c>
      <c r="D1507" s="95" t="s">
        <v>69</v>
      </c>
      <c r="E1507" s="95" t="s">
        <v>555</v>
      </c>
      <c r="F1507" s="95" t="s">
        <v>906</v>
      </c>
      <c r="G1507" s="9">
        <v>550000.0</v>
      </c>
      <c r="H1507" s="95" t="s">
        <v>530</v>
      </c>
      <c r="I1507" s="13">
        <f t="shared" si="85"/>
        <v>55000</v>
      </c>
      <c r="J1507" s="97" t="s">
        <v>2019</v>
      </c>
      <c r="K1507" s="98"/>
      <c r="L1507" s="98"/>
    </row>
    <row r="1508">
      <c r="B1508" s="95" t="s">
        <v>641</v>
      </c>
      <c r="C1508" s="95" t="s">
        <v>1104</v>
      </c>
      <c r="D1508" s="95" t="s">
        <v>69</v>
      </c>
      <c r="E1508" s="95" t="s">
        <v>555</v>
      </c>
      <c r="F1508" s="95" t="s">
        <v>537</v>
      </c>
      <c r="G1508" s="9">
        <v>850000.0</v>
      </c>
      <c r="H1508" s="95" t="s">
        <v>530</v>
      </c>
      <c r="I1508" s="13">
        <f t="shared" si="85"/>
        <v>85000</v>
      </c>
      <c r="J1508" s="97" t="s">
        <v>2019</v>
      </c>
      <c r="K1508" s="98"/>
      <c r="L1508" s="98"/>
    </row>
    <row r="1509">
      <c r="B1509" s="95" t="s">
        <v>526</v>
      </c>
      <c r="C1509" s="95" t="s">
        <v>973</v>
      </c>
      <c r="D1509" s="95" t="s">
        <v>69</v>
      </c>
      <c r="E1509" s="95" t="s">
        <v>131</v>
      </c>
      <c r="F1509" s="95" t="s">
        <v>537</v>
      </c>
      <c r="G1509" s="9">
        <v>30000.0</v>
      </c>
      <c r="H1509" s="95" t="s">
        <v>530</v>
      </c>
      <c r="I1509" s="13">
        <f t="shared" si="85"/>
        <v>3000</v>
      </c>
      <c r="J1509" s="97" t="s">
        <v>2020</v>
      </c>
      <c r="K1509" s="98"/>
      <c r="L1509" s="98"/>
    </row>
    <row r="1510">
      <c r="B1510" s="95" t="s">
        <v>526</v>
      </c>
      <c r="C1510" s="95" t="s">
        <v>1596</v>
      </c>
      <c r="D1510" s="95" t="s">
        <v>195</v>
      </c>
      <c r="E1510" s="95" t="s">
        <v>432</v>
      </c>
      <c r="F1510" s="95" t="s">
        <v>1173</v>
      </c>
      <c r="G1510" s="9">
        <v>3500000.0</v>
      </c>
      <c r="H1510" s="95" t="s">
        <v>530</v>
      </c>
      <c r="I1510" s="13">
        <f t="shared" si="85"/>
        <v>350000</v>
      </c>
      <c r="J1510" s="97" t="s">
        <v>2021</v>
      </c>
      <c r="K1510" s="98"/>
      <c r="L1510" s="98"/>
    </row>
    <row r="1511">
      <c r="B1511" s="95" t="s">
        <v>526</v>
      </c>
      <c r="C1511" s="95" t="s">
        <v>1596</v>
      </c>
      <c r="D1511" s="95" t="s">
        <v>222</v>
      </c>
      <c r="E1511" s="95" t="s">
        <v>1019</v>
      </c>
      <c r="F1511" s="95" t="s">
        <v>562</v>
      </c>
      <c r="G1511" s="9">
        <v>700000.0</v>
      </c>
      <c r="H1511" s="95" t="s">
        <v>530</v>
      </c>
      <c r="I1511" s="13">
        <f t="shared" si="85"/>
        <v>70000</v>
      </c>
      <c r="J1511" s="97" t="s">
        <v>2021</v>
      </c>
      <c r="K1511" s="98"/>
      <c r="L1511" s="98"/>
    </row>
    <row r="1512">
      <c r="B1512" s="95" t="s">
        <v>641</v>
      </c>
      <c r="C1512" s="95" t="s">
        <v>1564</v>
      </c>
      <c r="D1512" s="95" t="s">
        <v>69</v>
      </c>
      <c r="E1512" s="95" t="s">
        <v>561</v>
      </c>
      <c r="F1512" s="95" t="s">
        <v>543</v>
      </c>
      <c r="G1512" s="9">
        <v>25000.0</v>
      </c>
      <c r="H1512" s="95" t="s">
        <v>530</v>
      </c>
      <c r="I1512" s="13">
        <f t="shared" si="85"/>
        <v>2500</v>
      </c>
      <c r="J1512" s="97" t="s">
        <v>2022</v>
      </c>
      <c r="K1512" s="98"/>
      <c r="L1512" s="98"/>
    </row>
    <row r="1513">
      <c r="B1513" s="95" t="s">
        <v>641</v>
      </c>
      <c r="C1513" s="95" t="s">
        <v>1856</v>
      </c>
      <c r="D1513" s="95" t="s">
        <v>69</v>
      </c>
      <c r="E1513" s="95" t="s">
        <v>561</v>
      </c>
      <c r="F1513" s="135">
        <v>46148.0</v>
      </c>
      <c r="G1513" s="9">
        <v>300000.0</v>
      </c>
      <c r="H1513" s="95" t="s">
        <v>530</v>
      </c>
      <c r="I1513" s="13">
        <f t="shared" si="85"/>
        <v>30000</v>
      </c>
      <c r="J1513" s="97" t="s">
        <v>2022</v>
      </c>
      <c r="K1513" s="98"/>
      <c r="L1513" s="98"/>
    </row>
    <row r="1514">
      <c r="B1514" s="95" t="s">
        <v>526</v>
      </c>
      <c r="C1514" s="95" t="s">
        <v>823</v>
      </c>
      <c r="D1514" s="95" t="s">
        <v>140</v>
      </c>
      <c r="E1514" s="95" t="s">
        <v>203</v>
      </c>
      <c r="F1514" s="95" t="s">
        <v>586</v>
      </c>
      <c r="G1514" s="9">
        <v>800000.0</v>
      </c>
      <c r="H1514" s="95" t="s">
        <v>530</v>
      </c>
      <c r="I1514" s="13">
        <f t="shared" si="85"/>
        <v>80000</v>
      </c>
      <c r="J1514" s="97" t="s">
        <v>1511</v>
      </c>
      <c r="K1514" s="98" t="s">
        <v>2023</v>
      </c>
      <c r="L1514" s="98"/>
    </row>
    <row r="1515">
      <c r="B1515" s="95" t="s">
        <v>526</v>
      </c>
      <c r="C1515" s="95" t="s">
        <v>823</v>
      </c>
      <c r="D1515" s="95" t="s">
        <v>140</v>
      </c>
      <c r="E1515" s="95" t="s">
        <v>203</v>
      </c>
      <c r="F1515" s="95" t="s">
        <v>650</v>
      </c>
      <c r="G1515" s="9">
        <v>800000.0</v>
      </c>
      <c r="H1515" s="95" t="s">
        <v>530</v>
      </c>
      <c r="I1515" s="13">
        <f t="shared" si="85"/>
        <v>80000</v>
      </c>
      <c r="J1515" s="97" t="s">
        <v>1511</v>
      </c>
      <c r="K1515" s="98"/>
      <c r="L1515" s="98"/>
    </row>
    <row r="1516">
      <c r="B1516" s="95" t="s">
        <v>526</v>
      </c>
      <c r="C1516" s="95" t="s">
        <v>1834</v>
      </c>
      <c r="D1516" s="95" t="s">
        <v>114</v>
      </c>
      <c r="E1516" s="95" t="s">
        <v>370</v>
      </c>
      <c r="F1516" s="95" t="s">
        <v>650</v>
      </c>
      <c r="G1516" s="9">
        <f>5*40000</f>
        <v>200000</v>
      </c>
      <c r="H1516" s="95" t="s">
        <v>745</v>
      </c>
      <c r="I1516" s="13">
        <f>G1516/5</f>
        <v>40000</v>
      </c>
      <c r="J1516" s="97" t="s">
        <v>2024</v>
      </c>
      <c r="K1516" s="98"/>
      <c r="L1516" s="98"/>
    </row>
    <row r="1517">
      <c r="B1517" s="95" t="s">
        <v>526</v>
      </c>
      <c r="C1517" s="95" t="s">
        <v>2025</v>
      </c>
      <c r="D1517" s="95" t="s">
        <v>195</v>
      </c>
      <c r="E1517" s="95" t="s">
        <v>434</v>
      </c>
      <c r="F1517" s="135">
        <v>46211.0</v>
      </c>
      <c r="G1517" s="9">
        <v>1900000.0</v>
      </c>
      <c r="H1517" s="95" t="s">
        <v>530</v>
      </c>
      <c r="I1517" s="13">
        <f>G1517/10</f>
        <v>190000</v>
      </c>
      <c r="J1517" s="97" t="s">
        <v>2026</v>
      </c>
      <c r="K1517" s="98"/>
      <c r="L1517" s="98"/>
    </row>
    <row r="1518">
      <c r="B1518" s="95" t="s">
        <v>526</v>
      </c>
      <c r="C1518" s="95" t="s">
        <v>2025</v>
      </c>
      <c r="D1518" s="95" t="s">
        <v>69</v>
      </c>
      <c r="E1518" s="95" t="s">
        <v>555</v>
      </c>
      <c r="F1518" s="135">
        <v>46180.0</v>
      </c>
      <c r="G1518" s="9">
        <v>315000.0</v>
      </c>
      <c r="H1518" s="95" t="s">
        <v>872</v>
      </c>
      <c r="I1518" s="13">
        <f>G1518/3</f>
        <v>105000</v>
      </c>
      <c r="J1518" s="97" t="s">
        <v>2026</v>
      </c>
      <c r="K1518" s="98"/>
      <c r="L1518" s="98"/>
    </row>
    <row r="1519">
      <c r="B1519" s="95" t="s">
        <v>526</v>
      </c>
      <c r="C1519" s="95" t="s">
        <v>1945</v>
      </c>
      <c r="D1519" s="95" t="s">
        <v>69</v>
      </c>
      <c r="E1519" s="95" t="s">
        <v>555</v>
      </c>
      <c r="F1519" s="134">
        <v>46338.0</v>
      </c>
      <c r="G1519" s="9">
        <v>1000000.0</v>
      </c>
      <c r="H1519" s="95" t="s">
        <v>530</v>
      </c>
      <c r="I1519" s="13">
        <f t="shared" ref="I1519:I1552" si="86">G1519/10</f>
        <v>100000</v>
      </c>
      <c r="J1519" s="97" t="s">
        <v>2027</v>
      </c>
      <c r="K1519" s="98"/>
      <c r="L1519" s="98"/>
    </row>
    <row r="1520">
      <c r="B1520" s="95" t="s">
        <v>526</v>
      </c>
      <c r="C1520" s="95" t="s">
        <v>1880</v>
      </c>
      <c r="D1520" s="95" t="s">
        <v>195</v>
      </c>
      <c r="E1520" s="95" t="s">
        <v>402</v>
      </c>
      <c r="F1520" s="95" t="s">
        <v>650</v>
      </c>
      <c r="G1520" s="9">
        <v>850000.0</v>
      </c>
      <c r="H1520" s="95" t="s">
        <v>530</v>
      </c>
      <c r="I1520" s="13">
        <f t="shared" si="86"/>
        <v>85000</v>
      </c>
      <c r="J1520" s="97" t="s">
        <v>2028</v>
      </c>
      <c r="K1520" s="98"/>
      <c r="L1520" s="98"/>
    </row>
    <row r="1521">
      <c r="B1521" s="95" t="s">
        <v>526</v>
      </c>
      <c r="C1521" s="95" t="s">
        <v>2029</v>
      </c>
      <c r="D1521" s="95" t="s">
        <v>222</v>
      </c>
      <c r="E1521" s="95" t="s">
        <v>805</v>
      </c>
      <c r="F1521" s="95" t="s">
        <v>562</v>
      </c>
      <c r="G1521" s="9">
        <v>250000.0</v>
      </c>
      <c r="H1521" s="95" t="s">
        <v>530</v>
      </c>
      <c r="I1521" s="13">
        <f t="shared" si="86"/>
        <v>25000</v>
      </c>
      <c r="J1521" s="97" t="s">
        <v>1572</v>
      </c>
      <c r="K1521" s="98"/>
      <c r="L1521" s="98"/>
    </row>
    <row r="1522">
      <c r="B1522" s="95" t="s">
        <v>526</v>
      </c>
      <c r="C1522" s="95" t="s">
        <v>968</v>
      </c>
      <c r="D1522" s="95" t="s">
        <v>222</v>
      </c>
      <c r="E1522" s="95" t="s">
        <v>805</v>
      </c>
      <c r="F1522" s="95" t="s">
        <v>562</v>
      </c>
      <c r="G1522" s="9">
        <v>280000.0</v>
      </c>
      <c r="H1522" s="95" t="s">
        <v>530</v>
      </c>
      <c r="I1522" s="13">
        <f t="shared" si="86"/>
        <v>28000</v>
      </c>
      <c r="J1522" s="97" t="s">
        <v>1572</v>
      </c>
      <c r="K1522" s="98"/>
      <c r="L1522" s="98"/>
    </row>
    <row r="1523">
      <c r="B1523" s="95" t="s">
        <v>526</v>
      </c>
      <c r="C1523" s="95" t="s">
        <v>832</v>
      </c>
      <c r="D1523" s="95" t="s">
        <v>140</v>
      </c>
      <c r="E1523" s="95" t="s">
        <v>224</v>
      </c>
      <c r="F1523" s="95" t="s">
        <v>562</v>
      </c>
      <c r="G1523" s="9">
        <v>350000.0</v>
      </c>
      <c r="H1523" s="95" t="s">
        <v>530</v>
      </c>
      <c r="I1523" s="13">
        <f t="shared" si="86"/>
        <v>35000</v>
      </c>
      <c r="J1523" s="97" t="s">
        <v>1572</v>
      </c>
      <c r="K1523" s="98"/>
      <c r="L1523" s="98"/>
    </row>
    <row r="1524">
      <c r="B1524" s="95" t="s">
        <v>526</v>
      </c>
      <c r="C1524" s="95" t="s">
        <v>952</v>
      </c>
      <c r="D1524" s="95" t="s">
        <v>195</v>
      </c>
      <c r="E1524" s="95" t="s">
        <v>2030</v>
      </c>
      <c r="F1524" s="95" t="s">
        <v>562</v>
      </c>
      <c r="G1524" s="9">
        <v>400000.0</v>
      </c>
      <c r="H1524" s="95" t="s">
        <v>530</v>
      </c>
      <c r="I1524" s="13">
        <f t="shared" si="86"/>
        <v>40000</v>
      </c>
      <c r="J1524" s="97" t="s">
        <v>1572</v>
      </c>
      <c r="K1524" s="98"/>
      <c r="L1524" s="98"/>
    </row>
    <row r="1525">
      <c r="B1525" s="95" t="s">
        <v>526</v>
      </c>
      <c r="C1525" s="95" t="s">
        <v>828</v>
      </c>
      <c r="D1525" s="95" t="s">
        <v>826</v>
      </c>
      <c r="E1525" s="95" t="s">
        <v>834</v>
      </c>
      <c r="F1525" s="95" t="s">
        <v>562</v>
      </c>
      <c r="G1525" s="9">
        <v>750000.0</v>
      </c>
      <c r="H1525" s="95" t="s">
        <v>530</v>
      </c>
      <c r="I1525" s="13">
        <f t="shared" si="86"/>
        <v>75000</v>
      </c>
      <c r="J1525" s="97" t="s">
        <v>1572</v>
      </c>
      <c r="K1525" s="98"/>
      <c r="L1525" s="98"/>
    </row>
    <row r="1526">
      <c r="B1526" s="95" t="s">
        <v>526</v>
      </c>
      <c r="C1526" s="95" t="s">
        <v>528</v>
      </c>
      <c r="D1526" s="95" t="s">
        <v>140</v>
      </c>
      <c r="E1526" s="95" t="s">
        <v>141</v>
      </c>
      <c r="F1526" s="95" t="s">
        <v>562</v>
      </c>
      <c r="G1526" s="9">
        <v>800000.0</v>
      </c>
      <c r="H1526" s="95" t="s">
        <v>530</v>
      </c>
      <c r="I1526" s="13">
        <f t="shared" si="86"/>
        <v>80000</v>
      </c>
      <c r="J1526" s="97" t="s">
        <v>1572</v>
      </c>
      <c r="K1526" s="98"/>
      <c r="L1526" s="98"/>
    </row>
    <row r="1527">
      <c r="B1527" s="95" t="s">
        <v>526</v>
      </c>
      <c r="C1527" s="95" t="s">
        <v>2031</v>
      </c>
      <c r="D1527" s="95" t="s">
        <v>195</v>
      </c>
      <c r="E1527" s="95" t="s">
        <v>402</v>
      </c>
      <c r="F1527" s="95" t="s">
        <v>685</v>
      </c>
      <c r="G1527" s="9">
        <v>440000.0</v>
      </c>
      <c r="H1527" s="95" t="s">
        <v>530</v>
      </c>
      <c r="I1527" s="13">
        <f t="shared" si="86"/>
        <v>44000</v>
      </c>
      <c r="J1527" s="97" t="s">
        <v>2032</v>
      </c>
      <c r="K1527" s="98"/>
      <c r="L1527" s="98"/>
    </row>
    <row r="1528">
      <c r="B1528" s="95" t="s">
        <v>526</v>
      </c>
      <c r="C1528" s="95" t="s">
        <v>2033</v>
      </c>
      <c r="D1528" s="95" t="s">
        <v>195</v>
      </c>
      <c r="E1528" s="5" t="s">
        <v>2034</v>
      </c>
      <c r="F1528" s="95" t="s">
        <v>799</v>
      </c>
      <c r="G1528" s="9">
        <v>130000.0</v>
      </c>
      <c r="H1528" s="95" t="s">
        <v>530</v>
      </c>
      <c r="I1528" s="13">
        <f t="shared" si="86"/>
        <v>13000</v>
      </c>
      <c r="J1528" s="97" t="s">
        <v>2035</v>
      </c>
      <c r="K1528" s="98"/>
      <c r="L1528" s="98"/>
    </row>
    <row r="1529">
      <c r="B1529" s="95" t="s">
        <v>526</v>
      </c>
      <c r="C1529" s="139" t="s">
        <v>2029</v>
      </c>
      <c r="D1529" s="139" t="s">
        <v>222</v>
      </c>
      <c r="E1529" s="139" t="s">
        <v>805</v>
      </c>
      <c r="F1529" s="139" t="s">
        <v>799</v>
      </c>
      <c r="G1529" s="124">
        <v>230000.0</v>
      </c>
      <c r="H1529" s="139" t="s">
        <v>530</v>
      </c>
      <c r="I1529" s="13">
        <f t="shared" si="86"/>
        <v>23000</v>
      </c>
      <c r="J1529" s="149" t="s">
        <v>2035</v>
      </c>
      <c r="K1529" s="142"/>
      <c r="L1529" s="142"/>
    </row>
    <row r="1530">
      <c r="B1530" s="95" t="s">
        <v>526</v>
      </c>
      <c r="C1530" s="139" t="s">
        <v>768</v>
      </c>
      <c r="D1530" s="139" t="s">
        <v>195</v>
      </c>
      <c r="E1530" s="139" t="s">
        <v>2036</v>
      </c>
      <c r="F1530" s="139" t="s">
        <v>799</v>
      </c>
      <c r="G1530" s="124">
        <v>250000.0</v>
      </c>
      <c r="H1530" s="139" t="s">
        <v>530</v>
      </c>
      <c r="I1530" s="13">
        <f t="shared" si="86"/>
        <v>25000</v>
      </c>
      <c r="J1530" s="149" t="s">
        <v>2035</v>
      </c>
      <c r="K1530" s="142"/>
      <c r="L1530" s="142"/>
    </row>
    <row r="1531">
      <c r="B1531" s="95" t="s">
        <v>526</v>
      </c>
      <c r="C1531" s="95" t="s">
        <v>968</v>
      </c>
      <c r="D1531" s="95" t="s">
        <v>222</v>
      </c>
      <c r="E1531" s="95" t="s">
        <v>805</v>
      </c>
      <c r="F1531" s="95" t="s">
        <v>799</v>
      </c>
      <c r="G1531" s="9">
        <v>270000.0</v>
      </c>
      <c r="H1531" s="95" t="s">
        <v>530</v>
      </c>
      <c r="I1531" s="13">
        <f t="shared" si="86"/>
        <v>27000</v>
      </c>
      <c r="J1531" s="97" t="s">
        <v>2035</v>
      </c>
      <c r="K1531" s="98"/>
      <c r="L1531" s="98"/>
    </row>
    <row r="1532">
      <c r="B1532" s="95" t="s">
        <v>526</v>
      </c>
      <c r="C1532" s="95" t="s">
        <v>832</v>
      </c>
      <c r="D1532" s="95" t="s">
        <v>140</v>
      </c>
      <c r="E1532" s="5" t="s">
        <v>224</v>
      </c>
      <c r="F1532" s="95" t="s">
        <v>799</v>
      </c>
      <c r="G1532" s="9">
        <v>400000.0</v>
      </c>
      <c r="H1532" s="95" t="s">
        <v>530</v>
      </c>
      <c r="I1532" s="13">
        <f t="shared" si="86"/>
        <v>40000</v>
      </c>
      <c r="J1532" s="97" t="s">
        <v>2035</v>
      </c>
      <c r="K1532" s="98"/>
      <c r="L1532" s="98"/>
    </row>
    <row r="1533">
      <c r="B1533" s="95" t="s">
        <v>526</v>
      </c>
      <c r="C1533" s="95" t="s">
        <v>528</v>
      </c>
      <c r="D1533" s="95" t="s">
        <v>140</v>
      </c>
      <c r="E1533" s="95" t="s">
        <v>141</v>
      </c>
      <c r="F1533" s="95" t="s">
        <v>799</v>
      </c>
      <c r="G1533" s="9">
        <v>830000.0</v>
      </c>
      <c r="H1533" s="95" t="s">
        <v>530</v>
      </c>
      <c r="I1533" s="13">
        <f t="shared" si="86"/>
        <v>83000</v>
      </c>
      <c r="J1533" s="97" t="s">
        <v>2035</v>
      </c>
      <c r="K1533" s="98"/>
      <c r="L1533" s="98"/>
    </row>
    <row r="1534">
      <c r="B1534" s="95" t="s">
        <v>526</v>
      </c>
      <c r="C1534" s="95" t="s">
        <v>2010</v>
      </c>
      <c r="D1534" s="95" t="s">
        <v>140</v>
      </c>
      <c r="E1534" s="5" t="s">
        <v>194</v>
      </c>
      <c r="F1534" s="135">
        <v>46275.0</v>
      </c>
      <c r="G1534" s="9">
        <v>2800000.0</v>
      </c>
      <c r="H1534" s="95" t="s">
        <v>530</v>
      </c>
      <c r="I1534" s="13">
        <f t="shared" si="86"/>
        <v>280000</v>
      </c>
      <c r="J1534" s="97" t="s">
        <v>1594</v>
      </c>
      <c r="K1534" s="98"/>
      <c r="L1534" s="98"/>
    </row>
    <row r="1535">
      <c r="B1535" s="95" t="s">
        <v>526</v>
      </c>
      <c r="C1535" s="95" t="s">
        <v>2037</v>
      </c>
      <c r="D1535" s="95" t="s">
        <v>826</v>
      </c>
      <c r="E1535" s="95" t="s">
        <v>841</v>
      </c>
      <c r="F1535" s="135">
        <v>46275.0</v>
      </c>
      <c r="G1535" s="9">
        <v>2500000.0</v>
      </c>
      <c r="H1535" s="95" t="s">
        <v>530</v>
      </c>
      <c r="I1535" s="13">
        <f t="shared" si="86"/>
        <v>250000</v>
      </c>
      <c r="J1535" s="97" t="s">
        <v>1594</v>
      </c>
      <c r="K1535" s="98"/>
      <c r="L1535" s="98"/>
    </row>
    <row r="1536">
      <c r="B1536" s="95" t="s">
        <v>526</v>
      </c>
      <c r="C1536" s="95" t="s">
        <v>1104</v>
      </c>
      <c r="D1536" s="95" t="s">
        <v>114</v>
      </c>
      <c r="E1536" s="95" t="s">
        <v>396</v>
      </c>
      <c r="F1536" s="135">
        <v>46275.0</v>
      </c>
      <c r="G1536" s="9">
        <v>1700000.0</v>
      </c>
      <c r="H1536" s="95" t="s">
        <v>530</v>
      </c>
      <c r="I1536" s="13">
        <f t="shared" si="86"/>
        <v>170000</v>
      </c>
      <c r="J1536" s="97" t="s">
        <v>1594</v>
      </c>
      <c r="K1536" s="98"/>
      <c r="L1536" s="98"/>
    </row>
    <row r="1537">
      <c r="B1537" s="95" t="s">
        <v>526</v>
      </c>
      <c r="C1537" s="95" t="s">
        <v>968</v>
      </c>
      <c r="D1537" s="95" t="s">
        <v>140</v>
      </c>
      <c r="E1537" s="95" t="s">
        <v>141</v>
      </c>
      <c r="F1537" s="135">
        <v>46275.0</v>
      </c>
      <c r="G1537" s="9">
        <v>1300000.0</v>
      </c>
      <c r="H1537" s="95" t="s">
        <v>530</v>
      </c>
      <c r="I1537" s="13">
        <f t="shared" si="86"/>
        <v>130000</v>
      </c>
      <c r="J1537" s="97" t="s">
        <v>1594</v>
      </c>
      <c r="K1537" s="98"/>
      <c r="L1537" s="98"/>
    </row>
    <row r="1538">
      <c r="B1538" s="95" t="s">
        <v>526</v>
      </c>
      <c r="C1538" s="95" t="s">
        <v>821</v>
      </c>
      <c r="D1538" s="95" t="s">
        <v>222</v>
      </c>
      <c r="E1538" s="95" t="s">
        <v>2038</v>
      </c>
      <c r="F1538" s="135">
        <v>46275.0</v>
      </c>
      <c r="G1538" s="9">
        <v>1000000.0</v>
      </c>
      <c r="H1538" s="95" t="s">
        <v>530</v>
      </c>
      <c r="I1538" s="13">
        <f t="shared" si="86"/>
        <v>100000</v>
      </c>
      <c r="J1538" s="97" t="s">
        <v>1594</v>
      </c>
      <c r="K1538" s="98"/>
      <c r="L1538" s="98"/>
    </row>
    <row r="1539">
      <c r="B1539" s="95" t="s">
        <v>526</v>
      </c>
      <c r="C1539" s="95" t="s">
        <v>560</v>
      </c>
      <c r="D1539" s="95" t="s">
        <v>13</v>
      </c>
      <c r="E1539" s="95" t="s">
        <v>30</v>
      </c>
      <c r="F1539" s="135">
        <v>46275.0</v>
      </c>
      <c r="G1539" s="9">
        <v>220000.0</v>
      </c>
      <c r="H1539" s="95" t="s">
        <v>530</v>
      </c>
      <c r="I1539" s="13">
        <f t="shared" si="86"/>
        <v>22000</v>
      </c>
      <c r="J1539" s="97" t="s">
        <v>1594</v>
      </c>
      <c r="K1539" s="98"/>
      <c r="L1539" s="98"/>
    </row>
    <row r="1540">
      <c r="B1540" s="95" t="s">
        <v>526</v>
      </c>
      <c r="C1540" s="95" t="s">
        <v>2039</v>
      </c>
      <c r="D1540" s="95" t="s">
        <v>826</v>
      </c>
      <c r="E1540" s="95" t="s">
        <v>834</v>
      </c>
      <c r="F1540" s="95" t="s">
        <v>1173</v>
      </c>
      <c r="G1540" s="9">
        <f>2600000*0.75</f>
        <v>1950000</v>
      </c>
      <c r="H1540" s="95" t="s">
        <v>530</v>
      </c>
      <c r="I1540" s="13">
        <f t="shared" si="86"/>
        <v>195000</v>
      </c>
      <c r="J1540" s="97" t="s">
        <v>2040</v>
      </c>
      <c r="K1540" s="98"/>
      <c r="L1540" s="98"/>
    </row>
    <row r="1541">
      <c r="B1541" s="95" t="s">
        <v>526</v>
      </c>
      <c r="C1541" s="95" t="s">
        <v>1432</v>
      </c>
      <c r="D1541" s="95" t="s">
        <v>826</v>
      </c>
      <c r="E1541" s="95" t="s">
        <v>841</v>
      </c>
      <c r="F1541" s="95" t="s">
        <v>763</v>
      </c>
      <c r="G1541" s="9">
        <v>2200000.0</v>
      </c>
      <c r="H1541" s="95" t="s">
        <v>530</v>
      </c>
      <c r="I1541" s="13">
        <f t="shared" si="86"/>
        <v>220000</v>
      </c>
      <c r="J1541" s="97" t="s">
        <v>2041</v>
      </c>
      <c r="K1541" s="98"/>
      <c r="L1541" s="98"/>
    </row>
    <row r="1542">
      <c r="B1542" s="95" t="s">
        <v>526</v>
      </c>
      <c r="C1542" s="95" t="s">
        <v>2039</v>
      </c>
      <c r="D1542" s="95" t="s">
        <v>826</v>
      </c>
      <c r="E1542" s="95" t="s">
        <v>834</v>
      </c>
      <c r="F1542" s="95" t="s">
        <v>562</v>
      </c>
      <c r="G1542" s="9">
        <f>2600000*0.75</f>
        <v>1950000</v>
      </c>
      <c r="H1542" s="95" t="s">
        <v>530</v>
      </c>
      <c r="I1542" s="13">
        <f t="shared" si="86"/>
        <v>195000</v>
      </c>
      <c r="J1542" s="97" t="s">
        <v>2040</v>
      </c>
      <c r="K1542" s="98"/>
      <c r="L1542" s="98"/>
    </row>
    <row r="1543">
      <c r="B1543" s="95" t="s">
        <v>526</v>
      </c>
      <c r="C1543" s="95" t="s">
        <v>783</v>
      </c>
      <c r="D1543" s="95" t="s">
        <v>69</v>
      </c>
      <c r="E1543" s="95" t="s">
        <v>131</v>
      </c>
      <c r="F1543" s="95" t="s">
        <v>906</v>
      </c>
      <c r="G1543" s="9">
        <v>35000.0</v>
      </c>
      <c r="H1543" s="95" t="s">
        <v>530</v>
      </c>
      <c r="I1543" s="13">
        <f t="shared" si="86"/>
        <v>3500</v>
      </c>
      <c r="J1543" s="97" t="s">
        <v>2042</v>
      </c>
      <c r="K1543" s="98"/>
      <c r="L1543" s="98"/>
    </row>
    <row r="1544">
      <c r="B1544" s="95" t="s">
        <v>526</v>
      </c>
      <c r="C1544" s="95" t="s">
        <v>783</v>
      </c>
      <c r="D1544" s="95" t="s">
        <v>13</v>
      </c>
      <c r="E1544" s="95" t="s">
        <v>2043</v>
      </c>
      <c r="F1544" s="95" t="s">
        <v>537</v>
      </c>
      <c r="G1544" s="9">
        <v>55000.0</v>
      </c>
      <c r="H1544" s="95" t="s">
        <v>530</v>
      </c>
      <c r="I1544" s="13">
        <f t="shared" si="86"/>
        <v>5500</v>
      </c>
      <c r="J1544" s="97" t="s">
        <v>2042</v>
      </c>
      <c r="K1544" s="98"/>
      <c r="L1544" s="98"/>
    </row>
    <row r="1545">
      <c r="B1545" s="95" t="s">
        <v>526</v>
      </c>
      <c r="C1545" s="95" t="s">
        <v>909</v>
      </c>
      <c r="D1545" s="95" t="s">
        <v>114</v>
      </c>
      <c r="E1545" s="95" t="s">
        <v>2044</v>
      </c>
      <c r="F1545" s="95" t="s">
        <v>799</v>
      </c>
      <c r="G1545" s="9">
        <v>40000.0</v>
      </c>
      <c r="H1545" s="95" t="s">
        <v>530</v>
      </c>
      <c r="I1545" s="13">
        <f t="shared" si="86"/>
        <v>4000</v>
      </c>
      <c r="J1545" s="97" t="s">
        <v>2045</v>
      </c>
      <c r="K1545" s="98"/>
      <c r="L1545" s="98"/>
    </row>
    <row r="1546">
      <c r="B1546" s="95" t="s">
        <v>526</v>
      </c>
      <c r="C1546" s="95" t="s">
        <v>612</v>
      </c>
      <c r="D1546" s="95" t="s">
        <v>140</v>
      </c>
      <c r="E1546" s="95" t="s">
        <v>221</v>
      </c>
      <c r="F1546" s="95" t="s">
        <v>920</v>
      </c>
      <c r="G1546" s="9">
        <v>100000.0</v>
      </c>
      <c r="H1546" s="95" t="s">
        <v>530</v>
      </c>
      <c r="I1546" s="13">
        <f t="shared" si="86"/>
        <v>10000</v>
      </c>
      <c r="J1546" s="97" t="s">
        <v>2045</v>
      </c>
      <c r="K1546" s="98"/>
      <c r="L1546" s="98"/>
    </row>
    <row r="1547">
      <c r="B1547" s="95" t="s">
        <v>526</v>
      </c>
      <c r="C1547" s="95" t="s">
        <v>528</v>
      </c>
      <c r="D1547" s="95" t="s">
        <v>140</v>
      </c>
      <c r="E1547" s="95" t="s">
        <v>141</v>
      </c>
      <c r="F1547" s="95" t="s">
        <v>920</v>
      </c>
      <c r="G1547" s="9">
        <v>750000.0</v>
      </c>
      <c r="H1547" s="95" t="s">
        <v>530</v>
      </c>
      <c r="I1547" s="13">
        <f t="shared" si="86"/>
        <v>75000</v>
      </c>
      <c r="J1547" s="97" t="s">
        <v>2045</v>
      </c>
      <c r="K1547" s="98"/>
      <c r="L1547" s="98"/>
    </row>
    <row r="1548">
      <c r="B1548" s="95" t="s">
        <v>526</v>
      </c>
      <c r="C1548" s="95" t="s">
        <v>828</v>
      </c>
      <c r="D1548" s="95" t="s">
        <v>826</v>
      </c>
      <c r="E1548" s="95" t="s">
        <v>834</v>
      </c>
      <c r="F1548" s="95" t="s">
        <v>543</v>
      </c>
      <c r="G1548" s="9">
        <v>300000.0</v>
      </c>
      <c r="H1548" s="95" t="s">
        <v>530</v>
      </c>
      <c r="I1548" s="13">
        <f t="shared" si="86"/>
        <v>30000</v>
      </c>
      <c r="J1548" s="97" t="s">
        <v>836</v>
      </c>
      <c r="K1548" s="98"/>
      <c r="L1548" s="98"/>
    </row>
    <row r="1549">
      <c r="B1549" s="95" t="s">
        <v>526</v>
      </c>
      <c r="C1549" s="95" t="s">
        <v>939</v>
      </c>
      <c r="D1549" s="95" t="s">
        <v>69</v>
      </c>
      <c r="E1549" s="95" t="s">
        <v>555</v>
      </c>
      <c r="F1549" s="95" t="s">
        <v>1173</v>
      </c>
      <c r="G1549" s="9">
        <v>220000.0</v>
      </c>
      <c r="H1549" s="95" t="s">
        <v>530</v>
      </c>
      <c r="I1549" s="13">
        <f t="shared" si="86"/>
        <v>22000</v>
      </c>
      <c r="J1549" s="97" t="s">
        <v>2046</v>
      </c>
      <c r="K1549" s="98"/>
      <c r="L1549" s="98"/>
    </row>
    <row r="1550">
      <c r="B1550" s="95" t="s">
        <v>526</v>
      </c>
      <c r="C1550" s="95" t="s">
        <v>939</v>
      </c>
      <c r="D1550" s="95" t="s">
        <v>140</v>
      </c>
      <c r="E1550" s="95" t="s">
        <v>141</v>
      </c>
      <c r="F1550" s="134">
        <v>46338.0</v>
      </c>
      <c r="G1550" s="9">
        <v>411000.0</v>
      </c>
      <c r="H1550" s="95" t="s">
        <v>530</v>
      </c>
      <c r="I1550" s="13">
        <f t="shared" si="86"/>
        <v>41100</v>
      </c>
      <c r="J1550" s="97" t="s">
        <v>2046</v>
      </c>
      <c r="K1550" s="98"/>
      <c r="L1550" s="98"/>
    </row>
    <row r="1551">
      <c r="B1551" s="95" t="s">
        <v>526</v>
      </c>
      <c r="C1551" s="95" t="s">
        <v>939</v>
      </c>
      <c r="D1551" s="95" t="s">
        <v>140</v>
      </c>
      <c r="E1551" s="95" t="s">
        <v>141</v>
      </c>
      <c r="F1551" s="134">
        <v>46369.0</v>
      </c>
      <c r="G1551" s="9">
        <v>536000.0</v>
      </c>
      <c r="H1551" s="95" t="s">
        <v>530</v>
      </c>
      <c r="I1551" s="13">
        <f t="shared" si="86"/>
        <v>53600</v>
      </c>
      <c r="J1551" s="97" t="s">
        <v>2046</v>
      </c>
      <c r="K1551" s="98"/>
      <c r="L1551" s="98"/>
    </row>
    <row r="1552">
      <c r="B1552" s="95" t="s">
        <v>526</v>
      </c>
      <c r="C1552" s="95" t="s">
        <v>2047</v>
      </c>
      <c r="D1552" s="95" t="s">
        <v>13</v>
      </c>
      <c r="E1552" s="95" t="s">
        <v>2048</v>
      </c>
      <c r="F1552" s="95" t="s">
        <v>763</v>
      </c>
      <c r="G1552" s="9">
        <v>40000.0</v>
      </c>
      <c r="H1552" s="95" t="s">
        <v>530</v>
      </c>
      <c r="I1552" s="13">
        <f t="shared" si="86"/>
        <v>4000</v>
      </c>
      <c r="J1552" s="97" t="s">
        <v>2049</v>
      </c>
      <c r="K1552" s="98"/>
      <c r="L1552" s="98"/>
    </row>
    <row r="1553">
      <c r="B1553" s="95" t="s">
        <v>526</v>
      </c>
      <c r="C1553" s="95" t="s">
        <v>2050</v>
      </c>
      <c r="D1553" s="95" t="s">
        <v>13</v>
      </c>
      <c r="E1553" s="95" t="s">
        <v>46</v>
      </c>
      <c r="F1553" s="95" t="s">
        <v>763</v>
      </c>
      <c r="G1553" s="9">
        <v>35000.0</v>
      </c>
      <c r="H1553" s="95" t="s">
        <v>635</v>
      </c>
      <c r="I1553" s="13">
        <f>G1553/6</f>
        <v>5833.333333</v>
      </c>
      <c r="J1553" s="97" t="s">
        <v>2049</v>
      </c>
      <c r="K1553" s="98"/>
      <c r="L1553" s="98"/>
    </row>
    <row r="1554">
      <c r="B1554" s="95" t="s">
        <v>526</v>
      </c>
      <c r="C1554" s="95" t="s">
        <v>2051</v>
      </c>
      <c r="D1554" s="95" t="s">
        <v>13</v>
      </c>
      <c r="E1554" s="95" t="s">
        <v>2052</v>
      </c>
      <c r="F1554" s="95" t="s">
        <v>763</v>
      </c>
      <c r="G1554" s="9">
        <v>20000.0</v>
      </c>
      <c r="H1554" s="95" t="s">
        <v>680</v>
      </c>
      <c r="I1554" s="13">
        <f>G1554/4</f>
        <v>5000</v>
      </c>
      <c r="J1554" s="97" t="s">
        <v>2049</v>
      </c>
      <c r="K1554" s="98"/>
      <c r="L1554" s="98"/>
    </row>
    <row r="1555">
      <c r="B1555" s="95" t="s">
        <v>526</v>
      </c>
      <c r="C1555" s="95" t="s">
        <v>1104</v>
      </c>
      <c r="D1555" s="95" t="s">
        <v>114</v>
      </c>
      <c r="E1555" s="95" t="s">
        <v>396</v>
      </c>
      <c r="F1555" s="135">
        <v>46243.0</v>
      </c>
      <c r="G1555" s="9">
        <v>3500000.0</v>
      </c>
      <c r="H1555" s="95" t="s">
        <v>530</v>
      </c>
      <c r="I1555" s="13">
        <f t="shared" ref="I1555:I1623" si="87">G1555/10</f>
        <v>350000</v>
      </c>
      <c r="J1555" s="97" t="s">
        <v>2003</v>
      </c>
      <c r="K1555" s="97" t="s">
        <v>2053</v>
      </c>
      <c r="L1555" s="98"/>
    </row>
    <row r="1556">
      <c r="B1556" s="95" t="s">
        <v>526</v>
      </c>
      <c r="C1556" s="95" t="s">
        <v>1005</v>
      </c>
      <c r="D1556" s="95" t="s">
        <v>815</v>
      </c>
      <c r="E1556" s="95" t="s">
        <v>2054</v>
      </c>
      <c r="F1556" s="135">
        <v>46243.0</v>
      </c>
      <c r="G1556" s="9">
        <f>2200000*0.65</f>
        <v>1430000</v>
      </c>
      <c r="H1556" s="95" t="s">
        <v>530</v>
      </c>
      <c r="I1556" s="13">
        <f t="shared" si="87"/>
        <v>143000</v>
      </c>
      <c r="J1556" s="97" t="s">
        <v>2003</v>
      </c>
      <c r="K1556" s="98"/>
      <c r="L1556" s="98"/>
    </row>
    <row r="1557">
      <c r="B1557" s="95" t="s">
        <v>526</v>
      </c>
      <c r="C1557" s="95" t="s">
        <v>2055</v>
      </c>
      <c r="D1557" s="95" t="s">
        <v>114</v>
      </c>
      <c r="E1557" s="95" t="s">
        <v>389</v>
      </c>
      <c r="F1557" s="135">
        <v>46243.0</v>
      </c>
      <c r="G1557" s="9">
        <v>2250000.0</v>
      </c>
      <c r="H1557" s="95" t="s">
        <v>530</v>
      </c>
      <c r="I1557" s="13">
        <f t="shared" si="87"/>
        <v>225000</v>
      </c>
      <c r="J1557" s="97" t="s">
        <v>2003</v>
      </c>
      <c r="K1557" s="98"/>
      <c r="L1557" s="98"/>
    </row>
    <row r="1558">
      <c r="B1558" s="95" t="s">
        <v>526</v>
      </c>
      <c r="C1558" s="95" t="s">
        <v>2037</v>
      </c>
      <c r="D1558" s="95" t="s">
        <v>826</v>
      </c>
      <c r="E1558" s="95" t="s">
        <v>841</v>
      </c>
      <c r="F1558" s="135">
        <v>46243.0</v>
      </c>
      <c r="G1558" s="9">
        <v>2000000.0</v>
      </c>
      <c r="H1558" s="95" t="s">
        <v>530</v>
      </c>
      <c r="I1558" s="13">
        <f t="shared" si="87"/>
        <v>200000</v>
      </c>
      <c r="J1558" s="97" t="s">
        <v>2003</v>
      </c>
      <c r="K1558" s="98"/>
      <c r="L1558" s="98"/>
    </row>
    <row r="1559">
      <c r="B1559" s="95" t="s">
        <v>526</v>
      </c>
      <c r="C1559" s="95" t="s">
        <v>968</v>
      </c>
      <c r="D1559" s="95" t="s">
        <v>826</v>
      </c>
      <c r="E1559" s="95" t="s">
        <v>2056</v>
      </c>
      <c r="F1559" s="135">
        <v>46243.0</v>
      </c>
      <c r="G1559" s="9">
        <v>2000000.0</v>
      </c>
      <c r="H1559" s="95" t="s">
        <v>530</v>
      </c>
      <c r="I1559" s="13">
        <f t="shared" si="87"/>
        <v>200000</v>
      </c>
      <c r="J1559" s="97" t="s">
        <v>2003</v>
      </c>
      <c r="K1559" s="98"/>
      <c r="L1559" s="98"/>
    </row>
    <row r="1560">
      <c r="B1560" s="95" t="s">
        <v>526</v>
      </c>
      <c r="C1560" s="95" t="s">
        <v>959</v>
      </c>
      <c r="D1560" s="95" t="s">
        <v>826</v>
      </c>
      <c r="E1560" s="95" t="s">
        <v>2056</v>
      </c>
      <c r="F1560" s="135">
        <v>46243.0</v>
      </c>
      <c r="G1560" s="9">
        <v>1500000.0</v>
      </c>
      <c r="H1560" s="95" t="s">
        <v>530</v>
      </c>
      <c r="I1560" s="13">
        <f t="shared" si="87"/>
        <v>150000</v>
      </c>
      <c r="J1560" s="97" t="s">
        <v>2003</v>
      </c>
      <c r="K1560" s="98"/>
      <c r="L1560" s="98"/>
    </row>
    <row r="1561">
      <c r="B1561" s="95" t="s">
        <v>526</v>
      </c>
      <c r="C1561" s="95" t="s">
        <v>821</v>
      </c>
      <c r="D1561" s="95" t="s">
        <v>222</v>
      </c>
      <c r="E1561" s="95" t="s">
        <v>2038</v>
      </c>
      <c r="F1561" s="135">
        <v>46243.0</v>
      </c>
      <c r="G1561" s="9">
        <v>1000000.0</v>
      </c>
      <c r="H1561" s="95" t="s">
        <v>530</v>
      </c>
      <c r="I1561" s="13">
        <f t="shared" si="87"/>
        <v>100000</v>
      </c>
      <c r="J1561" s="97" t="s">
        <v>2003</v>
      </c>
      <c r="K1561" s="98"/>
      <c r="L1561" s="98"/>
    </row>
    <row r="1562">
      <c r="B1562" s="95" t="s">
        <v>526</v>
      </c>
      <c r="C1562" s="95" t="s">
        <v>2029</v>
      </c>
      <c r="D1562" s="95" t="s">
        <v>222</v>
      </c>
      <c r="E1562" s="95" t="s">
        <v>2038</v>
      </c>
      <c r="F1562" s="135">
        <v>46243.0</v>
      </c>
      <c r="G1562" s="9">
        <v>800000.0</v>
      </c>
      <c r="H1562" s="95" t="s">
        <v>530</v>
      </c>
      <c r="I1562" s="13">
        <f t="shared" si="87"/>
        <v>80000</v>
      </c>
      <c r="J1562" s="97" t="s">
        <v>2003</v>
      </c>
      <c r="K1562" s="98"/>
      <c r="L1562" s="98"/>
    </row>
    <row r="1563">
      <c r="B1563" s="95" t="s">
        <v>526</v>
      </c>
      <c r="C1563" s="95" t="s">
        <v>528</v>
      </c>
      <c r="D1563" s="95" t="s">
        <v>69</v>
      </c>
      <c r="E1563" s="95" t="s">
        <v>555</v>
      </c>
      <c r="F1563" s="135">
        <v>46243.0</v>
      </c>
      <c r="G1563" s="9">
        <v>800000.0</v>
      </c>
      <c r="H1563" s="95" t="s">
        <v>530</v>
      </c>
      <c r="I1563" s="13">
        <f t="shared" si="87"/>
        <v>80000</v>
      </c>
      <c r="J1563" s="97" t="s">
        <v>2003</v>
      </c>
      <c r="K1563" s="98"/>
      <c r="L1563" s="98"/>
    </row>
    <row r="1564">
      <c r="B1564" s="95" t="s">
        <v>526</v>
      </c>
      <c r="C1564" s="95" t="s">
        <v>1596</v>
      </c>
      <c r="D1564" s="95" t="s">
        <v>815</v>
      </c>
      <c r="E1564" s="95" t="s">
        <v>2057</v>
      </c>
      <c r="F1564" s="135">
        <v>46243.0</v>
      </c>
      <c r="G1564" s="9">
        <f>950000*0.65</f>
        <v>617500</v>
      </c>
      <c r="H1564" s="95" t="s">
        <v>530</v>
      </c>
      <c r="I1564" s="13">
        <f t="shared" si="87"/>
        <v>61750</v>
      </c>
      <c r="J1564" s="97" t="s">
        <v>2003</v>
      </c>
      <c r="K1564" s="98"/>
      <c r="L1564" s="98"/>
    </row>
    <row r="1565">
      <c r="B1565" s="95" t="s">
        <v>526</v>
      </c>
      <c r="C1565" s="95" t="s">
        <v>2058</v>
      </c>
      <c r="D1565" s="95" t="s">
        <v>114</v>
      </c>
      <c r="E1565" s="95" t="s">
        <v>389</v>
      </c>
      <c r="F1565" s="135">
        <v>46243.0</v>
      </c>
      <c r="G1565" s="9">
        <v>3500000.0</v>
      </c>
      <c r="H1565" s="95" t="s">
        <v>530</v>
      </c>
      <c r="I1565" s="13">
        <f t="shared" si="87"/>
        <v>350000</v>
      </c>
      <c r="J1565" s="97" t="s">
        <v>2003</v>
      </c>
      <c r="K1565" s="98"/>
      <c r="L1565" s="98"/>
    </row>
    <row r="1566">
      <c r="B1566" s="95" t="s">
        <v>526</v>
      </c>
      <c r="C1566" s="95" t="s">
        <v>2059</v>
      </c>
      <c r="D1566" s="95" t="s">
        <v>826</v>
      </c>
      <c r="E1566" s="95" t="s">
        <v>2056</v>
      </c>
      <c r="F1566" s="135">
        <v>46243.0</v>
      </c>
      <c r="G1566" s="9">
        <v>3000000.0</v>
      </c>
      <c r="H1566" s="95" t="s">
        <v>530</v>
      </c>
      <c r="I1566" s="13">
        <f t="shared" si="87"/>
        <v>300000</v>
      </c>
      <c r="J1566" s="97" t="s">
        <v>2003</v>
      </c>
      <c r="K1566" s="98"/>
      <c r="L1566" s="98"/>
    </row>
    <row r="1567">
      <c r="B1567" s="95" t="s">
        <v>526</v>
      </c>
      <c r="C1567" s="95" t="s">
        <v>2060</v>
      </c>
      <c r="D1567" s="95" t="s">
        <v>826</v>
      </c>
      <c r="E1567" s="95" t="s">
        <v>1175</v>
      </c>
      <c r="F1567" s="135">
        <v>46243.0</v>
      </c>
      <c r="G1567" s="9">
        <v>3000000.0</v>
      </c>
      <c r="H1567" s="95" t="s">
        <v>530</v>
      </c>
      <c r="I1567" s="13">
        <f t="shared" si="87"/>
        <v>300000</v>
      </c>
      <c r="J1567" s="97" t="s">
        <v>2003</v>
      </c>
      <c r="K1567" s="98"/>
      <c r="L1567" s="98"/>
    </row>
    <row r="1568">
      <c r="B1568" s="95" t="s">
        <v>526</v>
      </c>
      <c r="C1568" s="95" t="s">
        <v>2008</v>
      </c>
      <c r="D1568" s="95" t="s">
        <v>826</v>
      </c>
      <c r="E1568" s="95" t="s">
        <v>2061</v>
      </c>
      <c r="F1568" s="135">
        <v>46243.0</v>
      </c>
      <c r="G1568" s="9">
        <v>3000000.0</v>
      </c>
      <c r="H1568" s="95" t="s">
        <v>530</v>
      </c>
      <c r="I1568" s="13">
        <f t="shared" si="87"/>
        <v>300000</v>
      </c>
      <c r="J1568" s="97" t="s">
        <v>2003</v>
      </c>
      <c r="K1568" s="98"/>
      <c r="L1568" s="98"/>
    </row>
    <row r="1569">
      <c r="B1569" s="95" t="s">
        <v>526</v>
      </c>
      <c r="C1569" s="95" t="s">
        <v>2010</v>
      </c>
      <c r="D1569" s="95" t="s">
        <v>140</v>
      </c>
      <c r="E1569" s="95" t="s">
        <v>194</v>
      </c>
      <c r="F1569" s="135">
        <v>46243.0</v>
      </c>
      <c r="G1569" s="9">
        <v>3000000.0</v>
      </c>
      <c r="H1569" s="95" t="s">
        <v>530</v>
      </c>
      <c r="I1569" s="13">
        <f t="shared" si="87"/>
        <v>300000</v>
      </c>
      <c r="J1569" s="97" t="s">
        <v>2003</v>
      </c>
      <c r="K1569" s="98"/>
      <c r="L1569" s="98"/>
    </row>
    <row r="1570">
      <c r="B1570" s="95" t="s">
        <v>526</v>
      </c>
      <c r="C1570" s="95" t="s">
        <v>2062</v>
      </c>
      <c r="D1570" s="95" t="s">
        <v>826</v>
      </c>
      <c r="E1570" s="95" t="s">
        <v>1175</v>
      </c>
      <c r="F1570" s="135">
        <v>46243.0</v>
      </c>
      <c r="G1570" s="9">
        <v>2830000.0</v>
      </c>
      <c r="H1570" s="95" t="s">
        <v>530</v>
      </c>
      <c r="I1570" s="13">
        <f t="shared" si="87"/>
        <v>283000</v>
      </c>
      <c r="J1570" s="97" t="s">
        <v>2003</v>
      </c>
      <c r="K1570" s="98"/>
      <c r="L1570" s="98"/>
    </row>
    <row r="1571">
      <c r="B1571" s="95" t="s">
        <v>526</v>
      </c>
      <c r="C1571" s="95" t="s">
        <v>2063</v>
      </c>
      <c r="D1571" s="95" t="s">
        <v>826</v>
      </c>
      <c r="E1571" s="95" t="s">
        <v>841</v>
      </c>
      <c r="F1571" s="135">
        <v>46243.0</v>
      </c>
      <c r="G1571" s="9">
        <v>2500000.0</v>
      </c>
      <c r="H1571" s="95" t="s">
        <v>530</v>
      </c>
      <c r="I1571" s="13">
        <f t="shared" si="87"/>
        <v>250000</v>
      </c>
      <c r="J1571" s="97" t="s">
        <v>2003</v>
      </c>
      <c r="K1571" s="98"/>
      <c r="L1571" s="98"/>
    </row>
    <row r="1572">
      <c r="B1572" s="95" t="s">
        <v>526</v>
      </c>
      <c r="C1572" s="95" t="s">
        <v>2064</v>
      </c>
      <c r="D1572" s="95" t="s">
        <v>140</v>
      </c>
      <c r="E1572" s="95" t="s">
        <v>194</v>
      </c>
      <c r="F1572" s="135">
        <v>46243.0</v>
      </c>
      <c r="G1572" s="9">
        <v>2300000.0</v>
      </c>
      <c r="H1572" s="95" t="s">
        <v>530</v>
      </c>
      <c r="I1572" s="13">
        <f t="shared" si="87"/>
        <v>230000</v>
      </c>
      <c r="J1572" s="97" t="s">
        <v>2003</v>
      </c>
      <c r="K1572" s="98"/>
      <c r="L1572" s="98"/>
    </row>
    <row r="1573">
      <c r="B1573" s="95" t="s">
        <v>526</v>
      </c>
      <c r="C1573" s="95" t="s">
        <v>1887</v>
      </c>
      <c r="D1573" s="95" t="s">
        <v>826</v>
      </c>
      <c r="E1573" s="5" t="s">
        <v>841</v>
      </c>
      <c r="F1573" s="95" t="s">
        <v>799</v>
      </c>
      <c r="G1573" s="9">
        <v>2700000.0</v>
      </c>
      <c r="H1573" s="95" t="s">
        <v>530</v>
      </c>
      <c r="I1573" s="13">
        <f t="shared" si="87"/>
        <v>270000</v>
      </c>
      <c r="J1573" s="97" t="s">
        <v>800</v>
      </c>
      <c r="K1573" s="98"/>
      <c r="L1573" s="98"/>
    </row>
    <row r="1574">
      <c r="B1574" s="95" t="s">
        <v>526</v>
      </c>
      <c r="C1574" s="95" t="s">
        <v>1647</v>
      </c>
      <c r="D1574" s="95" t="s">
        <v>114</v>
      </c>
      <c r="E1574" s="5" t="s">
        <v>389</v>
      </c>
      <c r="F1574" s="95" t="s">
        <v>799</v>
      </c>
      <c r="G1574" s="9">
        <v>2600000.0</v>
      </c>
      <c r="H1574" s="95" t="s">
        <v>530</v>
      </c>
      <c r="I1574" s="13">
        <f t="shared" si="87"/>
        <v>260000</v>
      </c>
      <c r="J1574" s="97" t="s">
        <v>800</v>
      </c>
      <c r="K1574" s="98"/>
      <c r="L1574" s="98"/>
    </row>
    <row r="1575">
      <c r="B1575" s="95" t="s">
        <v>526</v>
      </c>
      <c r="C1575" s="95" t="s">
        <v>2008</v>
      </c>
      <c r="D1575" s="95" t="s">
        <v>195</v>
      </c>
      <c r="E1575" s="5" t="s">
        <v>434</v>
      </c>
      <c r="F1575" s="95" t="s">
        <v>799</v>
      </c>
      <c r="G1575" s="9">
        <v>2500000.0</v>
      </c>
      <c r="H1575" s="95" t="s">
        <v>530</v>
      </c>
      <c r="I1575" s="13">
        <f t="shared" si="87"/>
        <v>250000</v>
      </c>
      <c r="J1575" s="97" t="s">
        <v>800</v>
      </c>
      <c r="K1575" s="98"/>
      <c r="L1575" s="98"/>
    </row>
    <row r="1576">
      <c r="B1576" s="95" t="s">
        <v>526</v>
      </c>
      <c r="C1576" s="95" t="s">
        <v>1429</v>
      </c>
      <c r="D1576" s="95" t="s">
        <v>826</v>
      </c>
      <c r="E1576" s="5" t="s">
        <v>841</v>
      </c>
      <c r="F1576" s="95" t="s">
        <v>799</v>
      </c>
      <c r="G1576" s="9">
        <v>2500000.0</v>
      </c>
      <c r="H1576" s="95" t="s">
        <v>530</v>
      </c>
      <c r="I1576" s="13">
        <f t="shared" si="87"/>
        <v>250000</v>
      </c>
      <c r="J1576" s="97" t="s">
        <v>800</v>
      </c>
      <c r="K1576" s="98"/>
      <c r="L1576" s="98"/>
    </row>
    <row r="1577">
      <c r="B1577" s="95" t="s">
        <v>526</v>
      </c>
      <c r="C1577" s="95" t="s">
        <v>2010</v>
      </c>
      <c r="D1577" s="95" t="s">
        <v>140</v>
      </c>
      <c r="E1577" s="5" t="s">
        <v>194</v>
      </c>
      <c r="F1577" s="95" t="s">
        <v>799</v>
      </c>
      <c r="G1577" s="9">
        <v>2500000.0</v>
      </c>
      <c r="H1577" s="95" t="s">
        <v>530</v>
      </c>
      <c r="I1577" s="13">
        <f t="shared" si="87"/>
        <v>250000</v>
      </c>
      <c r="J1577" s="97" t="s">
        <v>800</v>
      </c>
      <c r="K1577" s="98"/>
      <c r="L1577" s="98"/>
    </row>
    <row r="1578">
      <c r="B1578" s="95" t="s">
        <v>526</v>
      </c>
      <c r="C1578" s="95" t="s">
        <v>1436</v>
      </c>
      <c r="D1578" s="95" t="s">
        <v>140</v>
      </c>
      <c r="E1578" s="5" t="s">
        <v>141</v>
      </c>
      <c r="F1578" s="95" t="s">
        <v>799</v>
      </c>
      <c r="G1578" s="9">
        <v>2500000.0</v>
      </c>
      <c r="H1578" s="95" t="s">
        <v>530</v>
      </c>
      <c r="I1578" s="13">
        <f t="shared" si="87"/>
        <v>250000</v>
      </c>
      <c r="J1578" s="97" t="s">
        <v>800</v>
      </c>
      <c r="K1578" s="98"/>
      <c r="L1578" s="98"/>
    </row>
    <row r="1579">
      <c r="B1579" s="95" t="s">
        <v>526</v>
      </c>
      <c r="C1579" s="95" t="s">
        <v>1174</v>
      </c>
      <c r="D1579" s="95" t="s">
        <v>826</v>
      </c>
      <c r="E1579" s="5" t="s">
        <v>1175</v>
      </c>
      <c r="F1579" s="95" t="s">
        <v>799</v>
      </c>
      <c r="G1579" s="9">
        <v>2300000.0</v>
      </c>
      <c r="H1579" s="95" t="s">
        <v>530</v>
      </c>
      <c r="I1579" s="13">
        <f t="shared" si="87"/>
        <v>230000</v>
      </c>
      <c r="J1579" s="97" t="s">
        <v>800</v>
      </c>
      <c r="K1579" s="98"/>
      <c r="L1579" s="98"/>
    </row>
    <row r="1580">
      <c r="B1580" s="95" t="s">
        <v>526</v>
      </c>
      <c r="C1580" s="95" t="s">
        <v>1420</v>
      </c>
      <c r="D1580" s="95" t="s">
        <v>195</v>
      </c>
      <c r="E1580" s="5" t="s">
        <v>434</v>
      </c>
      <c r="F1580" s="95" t="s">
        <v>799</v>
      </c>
      <c r="G1580" s="9">
        <v>2200000.0</v>
      </c>
      <c r="H1580" s="95" t="s">
        <v>530</v>
      </c>
      <c r="I1580" s="13">
        <f t="shared" si="87"/>
        <v>220000</v>
      </c>
      <c r="J1580" s="97" t="s">
        <v>800</v>
      </c>
      <c r="K1580" s="98"/>
      <c r="L1580" s="98"/>
    </row>
    <row r="1581">
      <c r="B1581" s="95" t="s">
        <v>526</v>
      </c>
      <c r="C1581" s="95" t="s">
        <v>1363</v>
      </c>
      <c r="D1581" s="95" t="s">
        <v>114</v>
      </c>
      <c r="E1581" s="5" t="s">
        <v>396</v>
      </c>
      <c r="F1581" s="95" t="s">
        <v>799</v>
      </c>
      <c r="G1581" s="9">
        <v>2100000.0</v>
      </c>
      <c r="H1581" s="95" t="s">
        <v>530</v>
      </c>
      <c r="I1581" s="13">
        <f t="shared" si="87"/>
        <v>210000</v>
      </c>
      <c r="J1581" s="97" t="s">
        <v>800</v>
      </c>
      <c r="K1581" s="98"/>
      <c r="L1581" s="98"/>
    </row>
    <row r="1582">
      <c r="B1582" s="95" t="s">
        <v>526</v>
      </c>
      <c r="C1582" s="95" t="s">
        <v>1992</v>
      </c>
      <c r="D1582" s="95" t="s">
        <v>140</v>
      </c>
      <c r="E1582" s="5" t="s">
        <v>194</v>
      </c>
      <c r="F1582" s="95" t="s">
        <v>799</v>
      </c>
      <c r="G1582" s="9">
        <v>2000000.0</v>
      </c>
      <c r="H1582" s="95" t="s">
        <v>530</v>
      </c>
      <c r="I1582" s="13">
        <f t="shared" si="87"/>
        <v>200000</v>
      </c>
      <c r="J1582" s="97" t="s">
        <v>800</v>
      </c>
      <c r="K1582" s="98"/>
      <c r="L1582" s="98"/>
    </row>
    <row r="1583">
      <c r="B1583" s="95" t="s">
        <v>526</v>
      </c>
      <c r="C1583" s="95" t="s">
        <v>1435</v>
      </c>
      <c r="D1583" s="95" t="s">
        <v>140</v>
      </c>
      <c r="E1583" s="5" t="s">
        <v>141</v>
      </c>
      <c r="F1583" s="95" t="s">
        <v>799</v>
      </c>
      <c r="G1583" s="9">
        <v>2000000.0</v>
      </c>
      <c r="H1583" s="95" t="s">
        <v>530</v>
      </c>
      <c r="I1583" s="13">
        <f t="shared" si="87"/>
        <v>200000</v>
      </c>
      <c r="J1583" s="97" t="s">
        <v>800</v>
      </c>
      <c r="K1583" s="98"/>
      <c r="L1583" s="98"/>
    </row>
    <row r="1584">
      <c r="B1584" s="95" t="s">
        <v>526</v>
      </c>
      <c r="C1584" s="95" t="s">
        <v>2065</v>
      </c>
      <c r="D1584" s="95" t="s">
        <v>826</v>
      </c>
      <c r="E1584" s="5" t="s">
        <v>841</v>
      </c>
      <c r="F1584" s="95" t="s">
        <v>799</v>
      </c>
      <c r="G1584" s="9">
        <v>1700000.0</v>
      </c>
      <c r="H1584" s="95" t="s">
        <v>530</v>
      </c>
      <c r="I1584" s="13">
        <f t="shared" si="87"/>
        <v>170000</v>
      </c>
      <c r="J1584" s="97" t="s">
        <v>800</v>
      </c>
      <c r="K1584" s="98"/>
      <c r="L1584" s="98"/>
    </row>
    <row r="1585">
      <c r="B1585" s="95" t="s">
        <v>526</v>
      </c>
      <c r="C1585" s="95" t="s">
        <v>1868</v>
      </c>
      <c r="D1585" s="95" t="s">
        <v>140</v>
      </c>
      <c r="E1585" s="5" t="s">
        <v>141</v>
      </c>
      <c r="F1585" s="95" t="s">
        <v>799</v>
      </c>
      <c r="G1585" s="9">
        <v>1800000.0</v>
      </c>
      <c r="H1585" s="95" t="s">
        <v>530</v>
      </c>
      <c r="I1585" s="13">
        <f t="shared" si="87"/>
        <v>180000</v>
      </c>
      <c r="J1585" s="97" t="s">
        <v>800</v>
      </c>
      <c r="K1585" s="98"/>
      <c r="L1585" s="98"/>
    </row>
    <row r="1586">
      <c r="B1586" s="95" t="s">
        <v>526</v>
      </c>
      <c r="C1586" s="95" t="s">
        <v>2066</v>
      </c>
      <c r="D1586" s="95" t="s">
        <v>140</v>
      </c>
      <c r="E1586" s="5" t="s">
        <v>194</v>
      </c>
      <c r="F1586" s="95" t="s">
        <v>799</v>
      </c>
      <c r="G1586" s="9">
        <v>1800000.0</v>
      </c>
      <c r="H1586" s="95" t="s">
        <v>530</v>
      </c>
      <c r="I1586" s="13">
        <f t="shared" si="87"/>
        <v>180000</v>
      </c>
      <c r="J1586" s="97" t="s">
        <v>800</v>
      </c>
      <c r="K1586" s="98"/>
      <c r="L1586" s="98"/>
    </row>
    <row r="1587">
      <c r="B1587" s="95" t="s">
        <v>526</v>
      </c>
      <c r="C1587" s="95" t="s">
        <v>2011</v>
      </c>
      <c r="D1587" s="95" t="s">
        <v>114</v>
      </c>
      <c r="E1587" s="5" t="s">
        <v>396</v>
      </c>
      <c r="F1587" s="95" t="s">
        <v>799</v>
      </c>
      <c r="G1587" s="9">
        <v>1800000.0</v>
      </c>
      <c r="H1587" s="95" t="s">
        <v>530</v>
      </c>
      <c r="I1587" s="13">
        <f t="shared" si="87"/>
        <v>180000</v>
      </c>
      <c r="J1587" s="97" t="s">
        <v>800</v>
      </c>
      <c r="K1587" s="98"/>
      <c r="L1587" s="98"/>
    </row>
    <row r="1588">
      <c r="B1588" s="95" t="s">
        <v>526</v>
      </c>
      <c r="C1588" s="95" t="s">
        <v>2067</v>
      </c>
      <c r="D1588" s="95" t="s">
        <v>195</v>
      </c>
      <c r="E1588" s="5" t="s">
        <v>432</v>
      </c>
      <c r="F1588" s="95" t="s">
        <v>799</v>
      </c>
      <c r="G1588" s="9">
        <v>1700000.0</v>
      </c>
      <c r="H1588" s="95" t="s">
        <v>530</v>
      </c>
      <c r="I1588" s="13">
        <f t="shared" si="87"/>
        <v>170000</v>
      </c>
      <c r="J1588" s="97" t="s">
        <v>800</v>
      </c>
      <c r="K1588" s="98"/>
      <c r="L1588" s="98"/>
    </row>
    <row r="1589">
      <c r="B1589" s="95" t="s">
        <v>526</v>
      </c>
      <c r="C1589" s="95" t="s">
        <v>2068</v>
      </c>
      <c r="D1589" s="95" t="s">
        <v>195</v>
      </c>
      <c r="E1589" s="5" t="s">
        <v>434</v>
      </c>
      <c r="F1589" s="95" t="s">
        <v>799</v>
      </c>
      <c r="G1589" s="9">
        <v>1700000.0</v>
      </c>
      <c r="H1589" s="95" t="s">
        <v>530</v>
      </c>
      <c r="I1589" s="13">
        <f t="shared" si="87"/>
        <v>170000</v>
      </c>
      <c r="J1589" s="97" t="s">
        <v>800</v>
      </c>
      <c r="K1589" s="98"/>
      <c r="L1589" s="98"/>
    </row>
    <row r="1590">
      <c r="B1590" s="95" t="s">
        <v>526</v>
      </c>
      <c r="C1590" s="95" t="s">
        <v>2069</v>
      </c>
      <c r="D1590" s="95" t="s">
        <v>140</v>
      </c>
      <c r="E1590" s="5" t="s">
        <v>141</v>
      </c>
      <c r="F1590" s="95" t="s">
        <v>799</v>
      </c>
      <c r="G1590" s="9">
        <v>1600000.0</v>
      </c>
      <c r="H1590" s="95" t="s">
        <v>530</v>
      </c>
      <c r="I1590" s="13">
        <f t="shared" si="87"/>
        <v>160000</v>
      </c>
      <c r="J1590" s="97" t="s">
        <v>800</v>
      </c>
      <c r="K1590" s="98"/>
      <c r="L1590" s="98"/>
    </row>
    <row r="1591">
      <c r="B1591" s="95" t="s">
        <v>526</v>
      </c>
      <c r="C1591" s="95" t="s">
        <v>2070</v>
      </c>
      <c r="D1591" s="95" t="s">
        <v>826</v>
      </c>
      <c r="E1591" s="5" t="s">
        <v>1175</v>
      </c>
      <c r="F1591" s="95" t="s">
        <v>799</v>
      </c>
      <c r="G1591" s="9">
        <v>1500000.0</v>
      </c>
      <c r="H1591" s="95" t="s">
        <v>530</v>
      </c>
      <c r="I1591" s="13">
        <f t="shared" si="87"/>
        <v>150000</v>
      </c>
      <c r="J1591" s="97" t="s">
        <v>800</v>
      </c>
      <c r="K1591" s="98"/>
      <c r="L1591" s="98"/>
    </row>
    <row r="1592">
      <c r="B1592" s="95" t="s">
        <v>526</v>
      </c>
      <c r="C1592" s="95" t="s">
        <v>2071</v>
      </c>
      <c r="D1592" s="95" t="s">
        <v>826</v>
      </c>
      <c r="E1592" s="5" t="s">
        <v>1175</v>
      </c>
      <c r="F1592" s="95" t="s">
        <v>799</v>
      </c>
      <c r="G1592" s="9">
        <v>1500000.0</v>
      </c>
      <c r="H1592" s="95" t="s">
        <v>530</v>
      </c>
      <c r="I1592" s="13">
        <f t="shared" si="87"/>
        <v>150000</v>
      </c>
      <c r="J1592" s="97" t="s">
        <v>800</v>
      </c>
      <c r="K1592" s="98"/>
      <c r="L1592" s="98"/>
    </row>
    <row r="1593">
      <c r="B1593" s="95" t="s">
        <v>526</v>
      </c>
      <c r="C1593" s="95" t="s">
        <v>1434</v>
      </c>
      <c r="D1593" s="95" t="s">
        <v>826</v>
      </c>
      <c r="E1593" s="5" t="s">
        <v>841</v>
      </c>
      <c r="F1593" s="95" t="s">
        <v>799</v>
      </c>
      <c r="G1593" s="9">
        <v>1500000.0</v>
      </c>
      <c r="H1593" s="95" t="s">
        <v>530</v>
      </c>
      <c r="I1593" s="13">
        <f t="shared" si="87"/>
        <v>150000</v>
      </c>
      <c r="J1593" s="97" t="s">
        <v>800</v>
      </c>
      <c r="K1593" s="98"/>
      <c r="L1593" s="98"/>
    </row>
    <row r="1594">
      <c r="B1594" s="95" t="s">
        <v>526</v>
      </c>
      <c r="C1594" s="95" t="s">
        <v>1171</v>
      </c>
      <c r="D1594" s="95" t="s">
        <v>195</v>
      </c>
      <c r="E1594" s="5" t="s">
        <v>432</v>
      </c>
      <c r="F1594" s="95" t="s">
        <v>799</v>
      </c>
      <c r="G1594" s="9">
        <v>1500000.0</v>
      </c>
      <c r="H1594" s="95" t="s">
        <v>530</v>
      </c>
      <c r="I1594" s="13">
        <f t="shared" si="87"/>
        <v>150000</v>
      </c>
      <c r="J1594" s="97" t="s">
        <v>800</v>
      </c>
      <c r="K1594" s="98"/>
      <c r="L1594" s="98"/>
    </row>
    <row r="1595">
      <c r="B1595" s="95" t="s">
        <v>526</v>
      </c>
      <c r="C1595" s="95" t="s">
        <v>2072</v>
      </c>
      <c r="D1595" s="95" t="s">
        <v>195</v>
      </c>
      <c r="E1595" s="5" t="s">
        <v>2030</v>
      </c>
      <c r="F1595" s="95" t="s">
        <v>799</v>
      </c>
      <c r="G1595" s="9">
        <v>1350000.0</v>
      </c>
      <c r="H1595" s="95" t="s">
        <v>530</v>
      </c>
      <c r="I1595" s="13">
        <f t="shared" si="87"/>
        <v>135000</v>
      </c>
      <c r="J1595" s="97" t="s">
        <v>800</v>
      </c>
      <c r="K1595" s="98"/>
      <c r="L1595" s="98"/>
    </row>
    <row r="1596">
      <c r="B1596" s="95" t="s">
        <v>526</v>
      </c>
      <c r="C1596" s="95" t="s">
        <v>2073</v>
      </c>
      <c r="D1596" s="95" t="s">
        <v>174</v>
      </c>
      <c r="E1596" s="5" t="s">
        <v>419</v>
      </c>
      <c r="F1596" s="95" t="s">
        <v>799</v>
      </c>
      <c r="G1596" s="9">
        <v>1350000.0</v>
      </c>
      <c r="H1596" s="95" t="s">
        <v>530</v>
      </c>
      <c r="I1596" s="13">
        <f t="shared" si="87"/>
        <v>135000</v>
      </c>
      <c r="J1596" s="97" t="s">
        <v>800</v>
      </c>
      <c r="K1596" s="98"/>
      <c r="L1596" s="98"/>
    </row>
    <row r="1597">
      <c r="B1597" s="95" t="s">
        <v>526</v>
      </c>
      <c r="C1597" s="95" t="s">
        <v>2073</v>
      </c>
      <c r="D1597" s="95" t="s">
        <v>174</v>
      </c>
      <c r="E1597" s="5" t="s">
        <v>419</v>
      </c>
      <c r="F1597" s="134">
        <v>46338.0</v>
      </c>
      <c r="G1597" s="9">
        <f>10*25000*0.7</f>
        <v>175000</v>
      </c>
      <c r="H1597" s="95" t="s">
        <v>530</v>
      </c>
      <c r="I1597" s="13">
        <f t="shared" si="87"/>
        <v>17500</v>
      </c>
      <c r="J1597" s="97" t="s">
        <v>2074</v>
      </c>
      <c r="K1597" s="98"/>
      <c r="L1597" s="98"/>
    </row>
    <row r="1598">
      <c r="B1598" s="95" t="s">
        <v>526</v>
      </c>
      <c r="C1598" s="95" t="s">
        <v>2075</v>
      </c>
      <c r="D1598" s="95" t="s">
        <v>71</v>
      </c>
      <c r="E1598" s="95" t="s">
        <v>1638</v>
      </c>
      <c r="F1598" s="95" t="s">
        <v>650</v>
      </c>
      <c r="G1598" s="9">
        <v>110000.0</v>
      </c>
      <c r="H1598" s="95" t="s">
        <v>530</v>
      </c>
      <c r="I1598" s="13">
        <f t="shared" si="87"/>
        <v>11000</v>
      </c>
      <c r="J1598" s="97" t="s">
        <v>1662</v>
      </c>
      <c r="K1598" s="98"/>
      <c r="L1598" s="98"/>
    </row>
    <row r="1599">
      <c r="B1599" s="95" t="s">
        <v>526</v>
      </c>
      <c r="C1599" s="95" t="s">
        <v>2076</v>
      </c>
      <c r="D1599" s="95" t="s">
        <v>114</v>
      </c>
      <c r="E1599" s="5" t="s">
        <v>389</v>
      </c>
      <c r="F1599" s="95" t="s">
        <v>799</v>
      </c>
      <c r="G1599" s="9">
        <v>1300000.0</v>
      </c>
      <c r="H1599" s="95" t="s">
        <v>530</v>
      </c>
      <c r="I1599" s="13">
        <f t="shared" si="87"/>
        <v>130000</v>
      </c>
      <c r="J1599" s="97" t="s">
        <v>800</v>
      </c>
      <c r="K1599" s="98"/>
      <c r="L1599" s="98"/>
    </row>
    <row r="1600">
      <c r="B1600" s="95" t="s">
        <v>526</v>
      </c>
      <c r="C1600" s="95" t="s">
        <v>2077</v>
      </c>
      <c r="D1600" s="95" t="s">
        <v>140</v>
      </c>
      <c r="E1600" s="5" t="s">
        <v>194</v>
      </c>
      <c r="F1600" s="95" t="s">
        <v>799</v>
      </c>
      <c r="G1600" s="9">
        <v>1300000.0</v>
      </c>
      <c r="H1600" s="95" t="s">
        <v>530</v>
      </c>
      <c r="I1600" s="13">
        <f t="shared" si="87"/>
        <v>130000</v>
      </c>
      <c r="J1600" s="97" t="s">
        <v>800</v>
      </c>
      <c r="K1600" s="98"/>
      <c r="L1600" s="98"/>
    </row>
    <row r="1601">
      <c r="B1601" s="95" t="s">
        <v>526</v>
      </c>
      <c r="C1601" s="95" t="s">
        <v>2078</v>
      </c>
      <c r="D1601" s="95" t="s">
        <v>195</v>
      </c>
      <c r="E1601" s="5" t="s">
        <v>432</v>
      </c>
      <c r="F1601" s="95" t="s">
        <v>799</v>
      </c>
      <c r="G1601" s="9">
        <v>1300000.0</v>
      </c>
      <c r="H1601" s="95" t="s">
        <v>530</v>
      </c>
      <c r="I1601" s="13">
        <f t="shared" si="87"/>
        <v>130000</v>
      </c>
      <c r="J1601" s="97" t="s">
        <v>800</v>
      </c>
      <c r="K1601" s="98"/>
      <c r="L1601" s="98"/>
    </row>
    <row r="1602">
      <c r="B1602" s="95" t="s">
        <v>526</v>
      </c>
      <c r="C1602" s="95" t="s">
        <v>2079</v>
      </c>
      <c r="D1602" s="95" t="s">
        <v>195</v>
      </c>
      <c r="E1602" s="5" t="s">
        <v>432</v>
      </c>
      <c r="F1602" s="95" t="s">
        <v>799</v>
      </c>
      <c r="G1602" s="9">
        <v>1200000.0</v>
      </c>
      <c r="H1602" s="95" t="s">
        <v>530</v>
      </c>
      <c r="I1602" s="13">
        <f t="shared" si="87"/>
        <v>120000</v>
      </c>
      <c r="J1602" s="97" t="s">
        <v>800</v>
      </c>
      <c r="K1602" s="98"/>
      <c r="L1602" s="98"/>
    </row>
    <row r="1603">
      <c r="B1603" s="95" t="s">
        <v>526</v>
      </c>
      <c r="C1603" s="95" t="s">
        <v>2080</v>
      </c>
      <c r="D1603" s="95" t="s">
        <v>826</v>
      </c>
      <c r="E1603" s="5" t="s">
        <v>1175</v>
      </c>
      <c r="F1603" s="95" t="s">
        <v>799</v>
      </c>
      <c r="G1603" s="9">
        <v>1200000.0</v>
      </c>
      <c r="H1603" s="95" t="s">
        <v>530</v>
      </c>
      <c r="I1603" s="13">
        <f t="shared" si="87"/>
        <v>120000</v>
      </c>
      <c r="J1603" s="97" t="s">
        <v>800</v>
      </c>
      <c r="K1603" s="98"/>
      <c r="L1603" s="98"/>
    </row>
    <row r="1604">
      <c r="B1604" s="95" t="s">
        <v>526</v>
      </c>
      <c r="C1604" s="95" t="s">
        <v>2081</v>
      </c>
      <c r="D1604" s="95" t="s">
        <v>826</v>
      </c>
      <c r="E1604" s="5" t="s">
        <v>841</v>
      </c>
      <c r="F1604" s="95" t="s">
        <v>799</v>
      </c>
      <c r="G1604" s="9">
        <v>1200000.0</v>
      </c>
      <c r="H1604" s="95" t="s">
        <v>530</v>
      </c>
      <c r="I1604" s="13">
        <f t="shared" si="87"/>
        <v>120000</v>
      </c>
      <c r="J1604" s="97" t="s">
        <v>800</v>
      </c>
      <c r="K1604" s="98"/>
      <c r="L1604" s="98"/>
    </row>
    <row r="1605">
      <c r="B1605" s="95" t="s">
        <v>526</v>
      </c>
      <c r="C1605" s="95" t="s">
        <v>1609</v>
      </c>
      <c r="D1605" s="95" t="s">
        <v>826</v>
      </c>
      <c r="E1605" s="5" t="s">
        <v>841</v>
      </c>
      <c r="F1605" s="95" t="s">
        <v>799</v>
      </c>
      <c r="G1605" s="9">
        <v>1150000.0</v>
      </c>
      <c r="H1605" s="95" t="s">
        <v>530</v>
      </c>
      <c r="I1605" s="13">
        <f t="shared" si="87"/>
        <v>115000</v>
      </c>
      <c r="J1605" s="97" t="s">
        <v>800</v>
      </c>
      <c r="K1605" s="98"/>
      <c r="L1605" s="98"/>
    </row>
    <row r="1606">
      <c r="B1606" s="95" t="s">
        <v>526</v>
      </c>
      <c r="C1606" s="95" t="s">
        <v>1948</v>
      </c>
      <c r="D1606" s="95" t="s">
        <v>174</v>
      </c>
      <c r="E1606" s="5" t="s">
        <v>419</v>
      </c>
      <c r="F1606" s="95" t="s">
        <v>799</v>
      </c>
      <c r="G1606" s="9">
        <v>1150000.0</v>
      </c>
      <c r="H1606" s="95" t="s">
        <v>530</v>
      </c>
      <c r="I1606" s="13">
        <f t="shared" si="87"/>
        <v>115000</v>
      </c>
      <c r="J1606" s="97" t="s">
        <v>800</v>
      </c>
      <c r="K1606" s="98"/>
      <c r="L1606" s="98"/>
    </row>
    <row r="1607">
      <c r="B1607" s="95" t="s">
        <v>526</v>
      </c>
      <c r="C1607" s="95" t="s">
        <v>1440</v>
      </c>
      <c r="D1607" s="95" t="s">
        <v>826</v>
      </c>
      <c r="E1607" s="5" t="s">
        <v>834</v>
      </c>
      <c r="F1607" s="95" t="s">
        <v>799</v>
      </c>
      <c r="G1607" s="9">
        <v>1150000.0</v>
      </c>
      <c r="H1607" s="95" t="s">
        <v>530</v>
      </c>
      <c r="I1607" s="13">
        <f t="shared" si="87"/>
        <v>115000</v>
      </c>
      <c r="J1607" s="97" t="s">
        <v>800</v>
      </c>
      <c r="K1607" s="98"/>
      <c r="L1607" s="98"/>
    </row>
    <row r="1608">
      <c r="B1608" s="95" t="s">
        <v>526</v>
      </c>
      <c r="C1608" s="95" t="s">
        <v>2082</v>
      </c>
      <c r="D1608" s="95" t="s">
        <v>114</v>
      </c>
      <c r="E1608" s="5" t="s">
        <v>396</v>
      </c>
      <c r="F1608" s="95" t="s">
        <v>799</v>
      </c>
      <c r="G1608" s="9">
        <v>1000000.0</v>
      </c>
      <c r="H1608" s="95" t="s">
        <v>530</v>
      </c>
      <c r="I1608" s="13">
        <f t="shared" si="87"/>
        <v>100000</v>
      </c>
      <c r="J1608" s="97" t="s">
        <v>800</v>
      </c>
      <c r="K1608" s="98"/>
      <c r="L1608" s="98"/>
    </row>
    <row r="1609">
      <c r="B1609" s="95" t="s">
        <v>526</v>
      </c>
      <c r="C1609" s="95" t="s">
        <v>2083</v>
      </c>
      <c r="D1609" s="95" t="s">
        <v>114</v>
      </c>
      <c r="E1609" s="5" t="s">
        <v>396</v>
      </c>
      <c r="F1609" s="95" t="s">
        <v>799</v>
      </c>
      <c r="G1609" s="9">
        <v>1000000.0</v>
      </c>
      <c r="H1609" s="95" t="s">
        <v>530</v>
      </c>
      <c r="I1609" s="13">
        <f t="shared" si="87"/>
        <v>100000</v>
      </c>
      <c r="J1609" s="97" t="s">
        <v>800</v>
      </c>
      <c r="K1609" s="98"/>
      <c r="L1609" s="98"/>
    </row>
    <row r="1610">
      <c r="B1610" s="95" t="s">
        <v>526</v>
      </c>
      <c r="C1610" s="95" t="s">
        <v>1823</v>
      </c>
      <c r="D1610" s="95" t="s">
        <v>140</v>
      </c>
      <c r="E1610" s="5" t="s">
        <v>141</v>
      </c>
      <c r="F1610" s="95" t="s">
        <v>799</v>
      </c>
      <c r="G1610" s="9">
        <v>1000000.0</v>
      </c>
      <c r="H1610" s="95" t="s">
        <v>530</v>
      </c>
      <c r="I1610" s="13">
        <f t="shared" si="87"/>
        <v>100000</v>
      </c>
      <c r="J1610" s="97" t="s">
        <v>800</v>
      </c>
      <c r="K1610" s="98"/>
      <c r="L1610" s="98"/>
    </row>
    <row r="1611">
      <c r="B1611" s="95" t="s">
        <v>526</v>
      </c>
      <c r="C1611" s="95" t="s">
        <v>585</v>
      </c>
      <c r="D1611" s="95" t="s">
        <v>195</v>
      </c>
      <c r="E1611" s="5" t="s">
        <v>432</v>
      </c>
      <c r="F1611" s="95" t="s">
        <v>799</v>
      </c>
      <c r="G1611" s="9">
        <v>1000000.0</v>
      </c>
      <c r="H1611" s="95" t="s">
        <v>530</v>
      </c>
      <c r="I1611" s="13">
        <f t="shared" si="87"/>
        <v>100000</v>
      </c>
      <c r="J1611" s="97" t="s">
        <v>800</v>
      </c>
      <c r="K1611" s="98"/>
      <c r="L1611" s="98"/>
    </row>
    <row r="1612">
      <c r="B1612" s="95" t="s">
        <v>526</v>
      </c>
      <c r="C1612" s="95" t="s">
        <v>2084</v>
      </c>
      <c r="D1612" s="95" t="s">
        <v>195</v>
      </c>
      <c r="E1612" s="5" t="s">
        <v>2030</v>
      </c>
      <c r="F1612" s="95" t="s">
        <v>799</v>
      </c>
      <c r="G1612" s="9">
        <v>1000000.0</v>
      </c>
      <c r="H1612" s="95" t="s">
        <v>530</v>
      </c>
      <c r="I1612" s="13">
        <f t="shared" si="87"/>
        <v>100000</v>
      </c>
      <c r="J1612" s="97" t="s">
        <v>800</v>
      </c>
      <c r="K1612" s="98"/>
      <c r="L1612" s="98"/>
    </row>
    <row r="1613">
      <c r="B1613" s="95" t="s">
        <v>526</v>
      </c>
      <c r="C1613" s="95" t="s">
        <v>1447</v>
      </c>
      <c r="D1613" s="95" t="s">
        <v>195</v>
      </c>
      <c r="E1613" s="5" t="s">
        <v>2030</v>
      </c>
      <c r="F1613" s="95" t="s">
        <v>799</v>
      </c>
      <c r="G1613" s="9">
        <v>1000000.0</v>
      </c>
      <c r="H1613" s="95" t="s">
        <v>530</v>
      </c>
      <c r="I1613" s="13">
        <f t="shared" si="87"/>
        <v>100000</v>
      </c>
      <c r="J1613" s="97" t="s">
        <v>800</v>
      </c>
      <c r="K1613" s="98"/>
      <c r="L1613" s="98"/>
    </row>
    <row r="1614">
      <c r="B1614" s="95" t="s">
        <v>526</v>
      </c>
      <c r="C1614" s="95" t="s">
        <v>2085</v>
      </c>
      <c r="D1614" s="95" t="s">
        <v>195</v>
      </c>
      <c r="E1614" s="5" t="s">
        <v>434</v>
      </c>
      <c r="F1614" s="95" t="s">
        <v>799</v>
      </c>
      <c r="G1614" s="9">
        <v>1000000.0</v>
      </c>
      <c r="H1614" s="95" t="s">
        <v>530</v>
      </c>
      <c r="I1614" s="13">
        <f t="shared" si="87"/>
        <v>100000</v>
      </c>
      <c r="J1614" s="97" t="s">
        <v>800</v>
      </c>
      <c r="K1614" s="98"/>
      <c r="L1614" s="98"/>
    </row>
    <row r="1615">
      <c r="B1615" s="95" t="s">
        <v>526</v>
      </c>
      <c r="C1615" s="95" t="s">
        <v>2086</v>
      </c>
      <c r="D1615" s="95" t="s">
        <v>195</v>
      </c>
      <c r="E1615" s="5" t="s">
        <v>432</v>
      </c>
      <c r="F1615" s="95" t="s">
        <v>799</v>
      </c>
      <c r="G1615" s="9">
        <v>1000000.0</v>
      </c>
      <c r="H1615" s="95" t="s">
        <v>530</v>
      </c>
      <c r="I1615" s="13">
        <f t="shared" si="87"/>
        <v>100000</v>
      </c>
      <c r="J1615" s="97" t="s">
        <v>800</v>
      </c>
      <c r="K1615" s="98"/>
      <c r="L1615" s="98"/>
    </row>
    <row r="1616">
      <c r="B1616" s="95" t="s">
        <v>526</v>
      </c>
      <c r="C1616" s="95" t="s">
        <v>1442</v>
      </c>
      <c r="D1616" s="95" t="s">
        <v>195</v>
      </c>
      <c r="E1616" s="5" t="s">
        <v>434</v>
      </c>
      <c r="F1616" s="95" t="s">
        <v>799</v>
      </c>
      <c r="G1616" s="9">
        <v>925000.0</v>
      </c>
      <c r="H1616" s="95" t="s">
        <v>530</v>
      </c>
      <c r="I1616" s="13">
        <f t="shared" si="87"/>
        <v>92500</v>
      </c>
      <c r="J1616" s="97" t="s">
        <v>800</v>
      </c>
      <c r="K1616" s="98"/>
      <c r="L1616" s="98"/>
    </row>
    <row r="1617">
      <c r="B1617" s="95" t="s">
        <v>526</v>
      </c>
      <c r="C1617" s="95" t="s">
        <v>2087</v>
      </c>
      <c r="D1617" s="95" t="s">
        <v>140</v>
      </c>
      <c r="E1617" s="5" t="s">
        <v>194</v>
      </c>
      <c r="F1617" s="95" t="s">
        <v>799</v>
      </c>
      <c r="G1617" s="9">
        <v>910000.0</v>
      </c>
      <c r="H1617" s="95" t="s">
        <v>530</v>
      </c>
      <c r="I1617" s="13">
        <f t="shared" si="87"/>
        <v>91000</v>
      </c>
      <c r="J1617" s="97" t="s">
        <v>800</v>
      </c>
      <c r="K1617" s="98"/>
      <c r="L1617" s="98"/>
    </row>
    <row r="1618">
      <c r="B1618" s="95" t="s">
        <v>526</v>
      </c>
      <c r="C1618" s="95" t="s">
        <v>2088</v>
      </c>
      <c r="D1618" s="95" t="s">
        <v>195</v>
      </c>
      <c r="E1618" s="5" t="s">
        <v>432</v>
      </c>
      <c r="F1618" s="95" t="s">
        <v>799</v>
      </c>
      <c r="G1618" s="9">
        <v>910000.0</v>
      </c>
      <c r="H1618" s="95" t="s">
        <v>530</v>
      </c>
      <c r="I1618" s="13">
        <f t="shared" si="87"/>
        <v>91000</v>
      </c>
      <c r="J1618" s="97" t="s">
        <v>800</v>
      </c>
      <c r="K1618" s="98"/>
      <c r="L1618" s="98"/>
    </row>
    <row r="1619">
      <c r="B1619" s="95" t="s">
        <v>526</v>
      </c>
      <c r="C1619" s="95" t="s">
        <v>1419</v>
      </c>
      <c r="D1619" s="95" t="s">
        <v>826</v>
      </c>
      <c r="E1619" s="5" t="s">
        <v>841</v>
      </c>
      <c r="F1619" s="95" t="s">
        <v>799</v>
      </c>
      <c r="G1619" s="9">
        <v>910000.0</v>
      </c>
      <c r="H1619" s="95" t="s">
        <v>530</v>
      </c>
      <c r="I1619" s="13">
        <f t="shared" si="87"/>
        <v>91000</v>
      </c>
      <c r="J1619" s="97" t="s">
        <v>800</v>
      </c>
      <c r="K1619" s="98"/>
      <c r="L1619" s="98"/>
    </row>
    <row r="1620">
      <c r="B1620" s="95" t="s">
        <v>526</v>
      </c>
      <c r="C1620" s="95" t="s">
        <v>2089</v>
      </c>
      <c r="D1620" s="95" t="s">
        <v>174</v>
      </c>
      <c r="E1620" s="5" t="s">
        <v>419</v>
      </c>
      <c r="F1620" s="95" t="s">
        <v>799</v>
      </c>
      <c r="G1620" s="9">
        <v>910000.0</v>
      </c>
      <c r="H1620" s="95" t="s">
        <v>530</v>
      </c>
      <c r="I1620" s="13">
        <f t="shared" si="87"/>
        <v>91000</v>
      </c>
      <c r="J1620" s="97" t="s">
        <v>800</v>
      </c>
      <c r="K1620" s="98"/>
      <c r="L1620" s="98"/>
    </row>
    <row r="1621">
      <c r="B1621" s="95" t="s">
        <v>641</v>
      </c>
      <c r="C1621" s="95" t="s">
        <v>2090</v>
      </c>
      <c r="D1621" s="95" t="s">
        <v>69</v>
      </c>
      <c r="E1621" s="5" t="s">
        <v>561</v>
      </c>
      <c r="F1621" s="95" t="s">
        <v>685</v>
      </c>
      <c r="G1621" s="9">
        <v>60000.0</v>
      </c>
      <c r="H1621" s="95" t="s">
        <v>530</v>
      </c>
      <c r="I1621" s="13">
        <f t="shared" si="87"/>
        <v>6000</v>
      </c>
      <c r="J1621" s="98" t="s">
        <v>1459</v>
      </c>
      <c r="K1621" s="98"/>
      <c r="L1621" s="98"/>
    </row>
    <row r="1622">
      <c r="B1622" s="139" t="s">
        <v>526</v>
      </c>
      <c r="C1622" s="95" t="s">
        <v>2091</v>
      </c>
      <c r="D1622" s="95" t="s">
        <v>114</v>
      </c>
      <c r="E1622" s="5" t="s">
        <v>396</v>
      </c>
      <c r="F1622" s="95" t="s">
        <v>685</v>
      </c>
      <c r="G1622" s="9">
        <f>5000000*0.88</f>
        <v>4400000</v>
      </c>
      <c r="H1622" s="139" t="s">
        <v>530</v>
      </c>
      <c r="I1622" s="124">
        <f t="shared" si="87"/>
        <v>440000</v>
      </c>
      <c r="J1622" s="118" t="s">
        <v>2092</v>
      </c>
      <c r="K1622" s="97" t="s">
        <v>2093</v>
      </c>
      <c r="L1622" s="98" t="s">
        <v>2094</v>
      </c>
    </row>
    <row r="1623">
      <c r="B1623" s="95" t="s">
        <v>526</v>
      </c>
      <c r="C1623" s="95" t="s">
        <v>2095</v>
      </c>
      <c r="D1623" s="95" t="s">
        <v>174</v>
      </c>
      <c r="E1623" s="95" t="s">
        <v>2096</v>
      </c>
      <c r="F1623" s="95" t="s">
        <v>685</v>
      </c>
      <c r="G1623" s="9">
        <f>0.88*220000</f>
        <v>193600</v>
      </c>
      <c r="H1623" s="95" t="s">
        <v>530</v>
      </c>
      <c r="I1623" s="13">
        <f t="shared" si="87"/>
        <v>19360</v>
      </c>
      <c r="J1623" s="97" t="s">
        <v>2097</v>
      </c>
      <c r="K1623" s="98"/>
      <c r="L1623" s="98"/>
    </row>
    <row r="1624">
      <c r="B1624" s="95" t="s">
        <v>526</v>
      </c>
      <c r="C1624" s="95" t="s">
        <v>1135</v>
      </c>
      <c r="D1624" s="95" t="s">
        <v>152</v>
      </c>
      <c r="E1624" s="95" t="s">
        <v>315</v>
      </c>
      <c r="F1624" s="95" t="s">
        <v>650</v>
      </c>
      <c r="G1624" s="9">
        <f>0.56*1150000</f>
        <v>644000</v>
      </c>
      <c r="H1624" s="95" t="s">
        <v>728</v>
      </c>
      <c r="I1624" s="13">
        <f t="shared" ref="I1624:I1627" si="88">G1624/7</f>
        <v>92000</v>
      </c>
      <c r="J1624" s="97" t="s">
        <v>803</v>
      </c>
      <c r="K1624" s="98"/>
      <c r="L1624" s="98"/>
    </row>
    <row r="1625">
      <c r="B1625" s="95" t="s">
        <v>526</v>
      </c>
      <c r="C1625" s="95" t="s">
        <v>2098</v>
      </c>
      <c r="D1625" s="95" t="s">
        <v>152</v>
      </c>
      <c r="E1625" s="95" t="s">
        <v>284</v>
      </c>
      <c r="F1625" s="95" t="s">
        <v>650</v>
      </c>
      <c r="G1625" s="9">
        <f>0.56*1000000</f>
        <v>560000</v>
      </c>
      <c r="H1625" s="95" t="s">
        <v>728</v>
      </c>
      <c r="I1625" s="13">
        <f t="shared" si="88"/>
        <v>80000</v>
      </c>
      <c r="J1625" s="97" t="s">
        <v>803</v>
      </c>
      <c r="K1625" s="98"/>
      <c r="L1625" s="98"/>
    </row>
    <row r="1626">
      <c r="B1626" s="95" t="s">
        <v>526</v>
      </c>
      <c r="C1626" s="95" t="s">
        <v>2099</v>
      </c>
      <c r="D1626" s="95" t="s">
        <v>152</v>
      </c>
      <c r="E1626" s="95" t="s">
        <v>284</v>
      </c>
      <c r="F1626" s="95" t="s">
        <v>650</v>
      </c>
      <c r="G1626" s="9">
        <f>0.56*965000</f>
        <v>540400</v>
      </c>
      <c r="H1626" s="95" t="s">
        <v>728</v>
      </c>
      <c r="I1626" s="13">
        <f t="shared" si="88"/>
        <v>77200</v>
      </c>
      <c r="J1626" s="97" t="s">
        <v>803</v>
      </c>
      <c r="K1626" s="98"/>
      <c r="L1626" s="98"/>
    </row>
    <row r="1627">
      <c r="B1627" s="95" t="s">
        <v>526</v>
      </c>
      <c r="C1627" s="95" t="s">
        <v>2100</v>
      </c>
      <c r="D1627" s="95" t="s">
        <v>152</v>
      </c>
      <c r="E1627" s="95" t="s">
        <v>315</v>
      </c>
      <c r="F1627" s="95" t="s">
        <v>650</v>
      </c>
      <c r="G1627" s="9">
        <f>400000*0.85</f>
        <v>340000</v>
      </c>
      <c r="H1627" s="95" t="s">
        <v>728</v>
      </c>
      <c r="I1627" s="13">
        <f t="shared" si="88"/>
        <v>48571.42857</v>
      </c>
      <c r="J1627" s="97" t="s">
        <v>2101</v>
      </c>
      <c r="K1627" s="98"/>
      <c r="L1627" s="98"/>
    </row>
    <row r="1628">
      <c r="B1628" s="95" t="s">
        <v>526</v>
      </c>
      <c r="C1628" s="95" t="s">
        <v>1037</v>
      </c>
      <c r="D1628" s="95" t="s">
        <v>2102</v>
      </c>
      <c r="E1628" s="95" t="s">
        <v>2103</v>
      </c>
      <c r="F1628" s="95" t="s">
        <v>650</v>
      </c>
      <c r="G1628" s="9">
        <f>0.56*756000</f>
        <v>423360</v>
      </c>
      <c r="H1628" s="95" t="s">
        <v>1155</v>
      </c>
      <c r="I1628" s="13">
        <f>G1628/8</f>
        <v>52920</v>
      </c>
      <c r="J1628" s="97" t="s">
        <v>2104</v>
      </c>
      <c r="K1628" s="98"/>
      <c r="L1628" s="98"/>
    </row>
    <row r="1629">
      <c r="B1629" s="95" t="s">
        <v>641</v>
      </c>
      <c r="C1629" s="95" t="s">
        <v>2105</v>
      </c>
      <c r="D1629" s="95" t="s">
        <v>222</v>
      </c>
      <c r="E1629" s="95" t="s">
        <v>1366</v>
      </c>
      <c r="F1629" s="95" t="s">
        <v>685</v>
      </c>
      <c r="G1629" s="9">
        <v>400000.0</v>
      </c>
      <c r="H1629" s="95" t="s">
        <v>530</v>
      </c>
      <c r="I1629" s="13">
        <f t="shared" ref="I1629:I1642" si="89">G1629/10</f>
        <v>40000</v>
      </c>
      <c r="J1629" s="97" t="s">
        <v>2106</v>
      </c>
      <c r="K1629" s="98" t="s">
        <v>2107</v>
      </c>
      <c r="L1629" s="97" t="s">
        <v>2108</v>
      </c>
    </row>
    <row r="1630">
      <c r="B1630" s="95" t="s">
        <v>641</v>
      </c>
      <c r="C1630" s="95" t="s">
        <v>1647</v>
      </c>
      <c r="D1630" s="95" t="s">
        <v>114</v>
      </c>
      <c r="E1630" s="5" t="s">
        <v>380</v>
      </c>
      <c r="F1630" s="95" t="s">
        <v>685</v>
      </c>
      <c r="G1630" s="9">
        <v>1000000.0</v>
      </c>
      <c r="H1630" s="95" t="s">
        <v>530</v>
      </c>
      <c r="I1630" s="13">
        <f t="shared" si="89"/>
        <v>100000</v>
      </c>
      <c r="J1630" s="97" t="s">
        <v>703</v>
      </c>
      <c r="K1630" s="98"/>
      <c r="L1630" s="98"/>
    </row>
    <row r="1631">
      <c r="B1631" s="95" t="s">
        <v>641</v>
      </c>
      <c r="C1631" s="95" t="s">
        <v>2109</v>
      </c>
      <c r="D1631" s="95" t="s">
        <v>114</v>
      </c>
      <c r="E1631" s="5" t="s">
        <v>396</v>
      </c>
      <c r="F1631" s="95" t="s">
        <v>799</v>
      </c>
      <c r="G1631" s="9">
        <v>500000.0</v>
      </c>
      <c r="H1631" s="95" t="s">
        <v>530</v>
      </c>
      <c r="I1631" s="13">
        <f t="shared" si="89"/>
        <v>50000</v>
      </c>
      <c r="J1631" s="97" t="s">
        <v>808</v>
      </c>
      <c r="K1631" s="98"/>
      <c r="L1631" s="98"/>
    </row>
    <row r="1632">
      <c r="B1632" s="95" t="s">
        <v>526</v>
      </c>
      <c r="C1632" s="95" t="s">
        <v>2110</v>
      </c>
      <c r="D1632" s="95" t="s">
        <v>71</v>
      </c>
      <c r="E1632" s="95" t="s">
        <v>1638</v>
      </c>
      <c r="F1632" s="95" t="s">
        <v>650</v>
      </c>
      <c r="G1632" s="9">
        <v>60000.0</v>
      </c>
      <c r="H1632" s="95" t="s">
        <v>530</v>
      </c>
      <c r="I1632" s="13">
        <f t="shared" si="89"/>
        <v>6000</v>
      </c>
      <c r="J1632" s="97" t="s">
        <v>1662</v>
      </c>
      <c r="K1632" s="98"/>
      <c r="L1632" s="98"/>
    </row>
    <row r="1633">
      <c r="B1633" s="95" t="s">
        <v>641</v>
      </c>
      <c r="C1633" s="95" t="s">
        <v>2111</v>
      </c>
      <c r="D1633" s="95" t="s">
        <v>222</v>
      </c>
      <c r="E1633" s="5" t="s">
        <v>1019</v>
      </c>
      <c r="F1633" s="95" t="s">
        <v>799</v>
      </c>
      <c r="G1633" s="9">
        <v>500000.0</v>
      </c>
      <c r="H1633" s="95" t="s">
        <v>530</v>
      </c>
      <c r="I1633" s="13">
        <f t="shared" si="89"/>
        <v>50000</v>
      </c>
      <c r="J1633" s="97" t="s">
        <v>808</v>
      </c>
      <c r="K1633" s="98"/>
      <c r="L1633" s="98"/>
    </row>
    <row r="1634">
      <c r="B1634" s="95" t="s">
        <v>641</v>
      </c>
      <c r="C1634" s="95" t="s">
        <v>2112</v>
      </c>
      <c r="D1634" s="95" t="s">
        <v>140</v>
      </c>
      <c r="E1634" s="5" t="s">
        <v>224</v>
      </c>
      <c r="F1634" s="95" t="s">
        <v>799</v>
      </c>
      <c r="G1634" s="9">
        <v>520000.0</v>
      </c>
      <c r="H1634" s="95" t="s">
        <v>530</v>
      </c>
      <c r="I1634" s="13">
        <f t="shared" si="89"/>
        <v>52000</v>
      </c>
      <c r="J1634" s="97" t="s">
        <v>808</v>
      </c>
      <c r="K1634" s="98"/>
      <c r="L1634" s="98"/>
    </row>
    <row r="1635">
      <c r="B1635" s="95" t="s">
        <v>641</v>
      </c>
      <c r="C1635" s="95" t="s">
        <v>1646</v>
      </c>
      <c r="D1635" s="95" t="s">
        <v>826</v>
      </c>
      <c r="E1635" s="5" t="s">
        <v>834</v>
      </c>
      <c r="F1635" s="95" t="s">
        <v>799</v>
      </c>
      <c r="G1635" s="9">
        <v>550000.0</v>
      </c>
      <c r="H1635" s="95" t="s">
        <v>530</v>
      </c>
      <c r="I1635" s="13">
        <f t="shared" si="89"/>
        <v>55000</v>
      </c>
      <c r="J1635" s="97" t="s">
        <v>808</v>
      </c>
      <c r="K1635" s="98"/>
      <c r="L1635" s="98"/>
    </row>
    <row r="1636">
      <c r="B1636" s="95" t="s">
        <v>641</v>
      </c>
      <c r="C1636" s="95" t="s">
        <v>2113</v>
      </c>
      <c r="D1636" s="95" t="s">
        <v>826</v>
      </c>
      <c r="E1636" s="5" t="s">
        <v>841</v>
      </c>
      <c r="F1636" s="95" t="s">
        <v>799</v>
      </c>
      <c r="G1636" s="9">
        <v>750000.0</v>
      </c>
      <c r="H1636" s="95" t="s">
        <v>530</v>
      </c>
      <c r="I1636" s="13">
        <f t="shared" si="89"/>
        <v>75000</v>
      </c>
      <c r="J1636" s="97" t="s">
        <v>808</v>
      </c>
      <c r="K1636" s="98"/>
      <c r="L1636" s="98"/>
    </row>
    <row r="1637">
      <c r="B1637" s="95" t="s">
        <v>641</v>
      </c>
      <c r="C1637" s="95" t="s">
        <v>2114</v>
      </c>
      <c r="D1637" s="95" t="s">
        <v>140</v>
      </c>
      <c r="E1637" s="5" t="s">
        <v>194</v>
      </c>
      <c r="F1637" s="95" t="s">
        <v>799</v>
      </c>
      <c r="G1637" s="9">
        <v>920000.0</v>
      </c>
      <c r="H1637" s="95" t="s">
        <v>530</v>
      </c>
      <c r="I1637" s="13">
        <f t="shared" si="89"/>
        <v>92000</v>
      </c>
      <c r="J1637" s="97" t="s">
        <v>808</v>
      </c>
      <c r="K1637" s="98"/>
      <c r="L1637" s="98"/>
    </row>
    <row r="1638">
      <c r="B1638" s="95" t="s">
        <v>641</v>
      </c>
      <c r="C1638" s="95" t="s">
        <v>2115</v>
      </c>
      <c r="D1638" s="95" t="s">
        <v>140</v>
      </c>
      <c r="E1638" s="5" t="s">
        <v>141</v>
      </c>
      <c r="F1638" s="95" t="s">
        <v>799</v>
      </c>
      <c r="G1638" s="9">
        <v>930000.0</v>
      </c>
      <c r="H1638" s="95" t="s">
        <v>530</v>
      </c>
      <c r="I1638" s="13">
        <f t="shared" si="89"/>
        <v>93000</v>
      </c>
      <c r="J1638" s="97" t="s">
        <v>808</v>
      </c>
      <c r="K1638" s="98"/>
      <c r="L1638" s="98"/>
    </row>
    <row r="1639">
      <c r="B1639" s="95" t="s">
        <v>641</v>
      </c>
      <c r="C1639" s="95" t="s">
        <v>2116</v>
      </c>
      <c r="D1639" s="95" t="s">
        <v>195</v>
      </c>
      <c r="E1639" s="5" t="s">
        <v>434</v>
      </c>
      <c r="F1639" s="95" t="s">
        <v>799</v>
      </c>
      <c r="G1639" s="9">
        <v>1200000.0</v>
      </c>
      <c r="H1639" s="95" t="s">
        <v>530</v>
      </c>
      <c r="I1639" s="13">
        <f t="shared" si="89"/>
        <v>120000</v>
      </c>
      <c r="J1639" s="97" t="s">
        <v>808</v>
      </c>
      <c r="K1639" s="98"/>
      <c r="L1639" s="98"/>
    </row>
    <row r="1640">
      <c r="B1640" s="95" t="s">
        <v>641</v>
      </c>
      <c r="C1640" s="95" t="s">
        <v>2117</v>
      </c>
      <c r="D1640" s="95" t="s">
        <v>195</v>
      </c>
      <c r="E1640" s="5" t="s">
        <v>432</v>
      </c>
      <c r="F1640" s="95" t="s">
        <v>799</v>
      </c>
      <c r="G1640" s="9">
        <v>2200000.0</v>
      </c>
      <c r="H1640" s="95" t="s">
        <v>530</v>
      </c>
      <c r="I1640" s="13">
        <f t="shared" si="89"/>
        <v>220000</v>
      </c>
      <c r="J1640" s="97" t="s">
        <v>808</v>
      </c>
      <c r="K1640" s="98"/>
      <c r="L1640" s="98"/>
    </row>
    <row r="1641">
      <c r="B1641" s="95" t="s">
        <v>526</v>
      </c>
      <c r="C1641" s="95" t="s">
        <v>2118</v>
      </c>
      <c r="D1641" s="95" t="s">
        <v>195</v>
      </c>
      <c r="E1641" s="5" t="s">
        <v>432</v>
      </c>
      <c r="F1641" s="95" t="s">
        <v>685</v>
      </c>
      <c r="G1641" s="9">
        <f>1100000*0.88</f>
        <v>968000</v>
      </c>
      <c r="H1641" s="95" t="s">
        <v>530</v>
      </c>
      <c r="I1641" s="13">
        <f t="shared" si="89"/>
        <v>96800</v>
      </c>
      <c r="J1641" s="97" t="s">
        <v>2119</v>
      </c>
      <c r="K1641" s="98"/>
      <c r="L1641" s="98"/>
    </row>
    <row r="1642">
      <c r="B1642" s="95" t="s">
        <v>526</v>
      </c>
      <c r="C1642" s="95" t="s">
        <v>1610</v>
      </c>
      <c r="D1642" s="95" t="s">
        <v>195</v>
      </c>
      <c r="E1642" s="5" t="s">
        <v>432</v>
      </c>
      <c r="F1642" s="95" t="s">
        <v>685</v>
      </c>
      <c r="G1642" s="9">
        <f>1600000*0.88</f>
        <v>1408000</v>
      </c>
      <c r="H1642" s="95" t="s">
        <v>530</v>
      </c>
      <c r="I1642" s="13">
        <f t="shared" si="89"/>
        <v>140800</v>
      </c>
      <c r="J1642" s="97" t="s">
        <v>2120</v>
      </c>
      <c r="K1642" s="98"/>
      <c r="L1642" s="98"/>
    </row>
    <row r="1643">
      <c r="B1643" s="95" t="s">
        <v>526</v>
      </c>
      <c r="C1643" s="95" t="s">
        <v>1362</v>
      </c>
      <c r="D1643" s="95" t="s">
        <v>174</v>
      </c>
      <c r="E1643" s="95" t="s">
        <v>419</v>
      </c>
      <c r="F1643" s="95" t="s">
        <v>650</v>
      </c>
      <c r="G1643" s="9">
        <v>800000.0</v>
      </c>
      <c r="H1643" s="95" t="s">
        <v>728</v>
      </c>
      <c r="I1643" s="13">
        <f>G1643/7</f>
        <v>114285.7143</v>
      </c>
      <c r="J1643" s="97" t="s">
        <v>1353</v>
      </c>
      <c r="K1643" s="98"/>
      <c r="L1643" s="98"/>
    </row>
    <row r="1644">
      <c r="B1644" s="95" t="s">
        <v>526</v>
      </c>
      <c r="C1644" s="95" t="s">
        <v>1186</v>
      </c>
      <c r="D1644" s="95" t="s">
        <v>174</v>
      </c>
      <c r="E1644" s="95" t="s">
        <v>438</v>
      </c>
      <c r="F1644" s="95" t="s">
        <v>650</v>
      </c>
      <c r="G1644" s="9">
        <f>0.85*500000</f>
        <v>425000</v>
      </c>
      <c r="H1644" s="95" t="s">
        <v>680</v>
      </c>
      <c r="I1644" s="13">
        <f>G1644/4</f>
        <v>106250</v>
      </c>
      <c r="J1644" s="97" t="s">
        <v>2121</v>
      </c>
      <c r="K1644" s="97" t="s">
        <v>2122</v>
      </c>
      <c r="L1644" s="97" t="s">
        <v>2123</v>
      </c>
    </row>
    <row r="1645">
      <c r="B1645" s="95" t="s">
        <v>641</v>
      </c>
      <c r="C1645" s="95" t="s">
        <v>1222</v>
      </c>
      <c r="D1645" s="95" t="s">
        <v>174</v>
      </c>
      <c r="E1645" s="95" t="s">
        <v>438</v>
      </c>
      <c r="F1645" s="95" t="s">
        <v>650</v>
      </c>
      <c r="G1645" s="9">
        <f>400000*0.85</f>
        <v>340000</v>
      </c>
      <c r="H1645" s="95" t="s">
        <v>530</v>
      </c>
      <c r="I1645" s="13">
        <f>G1645/10</f>
        <v>34000</v>
      </c>
      <c r="J1645" s="97" t="s">
        <v>2121</v>
      </c>
      <c r="K1645" s="98"/>
      <c r="L1645" s="98"/>
    </row>
    <row r="1646">
      <c r="B1646" s="95" t="s">
        <v>526</v>
      </c>
      <c r="C1646" s="95" t="s">
        <v>2124</v>
      </c>
      <c r="D1646" s="95" t="s">
        <v>174</v>
      </c>
      <c r="E1646" s="95" t="s">
        <v>419</v>
      </c>
      <c r="F1646" s="95" t="s">
        <v>586</v>
      </c>
      <c r="G1646" s="9">
        <f>0.9*150000</f>
        <v>135000</v>
      </c>
      <c r="H1646" s="95" t="s">
        <v>728</v>
      </c>
      <c r="I1646" s="13">
        <f>G1646/7</f>
        <v>19285.71429</v>
      </c>
      <c r="J1646" s="97" t="s">
        <v>2125</v>
      </c>
      <c r="K1646" s="97" t="s">
        <v>2126</v>
      </c>
      <c r="L1646" s="98"/>
    </row>
    <row r="1647">
      <c r="B1647" s="95" t="s">
        <v>526</v>
      </c>
      <c r="C1647" s="95" t="s">
        <v>1088</v>
      </c>
      <c r="D1647" s="95" t="s">
        <v>114</v>
      </c>
      <c r="E1647" s="95" t="s">
        <v>377</v>
      </c>
      <c r="F1647" s="95" t="s">
        <v>685</v>
      </c>
      <c r="G1647" s="9">
        <v>1100000.0</v>
      </c>
      <c r="H1647" s="95" t="s">
        <v>530</v>
      </c>
      <c r="I1647" s="13">
        <f t="shared" ref="I1647:I1649" si="90">G1647/10</f>
        <v>110000</v>
      </c>
      <c r="J1647" s="97" t="s">
        <v>2127</v>
      </c>
      <c r="K1647" s="97" t="s">
        <v>2128</v>
      </c>
      <c r="L1647" s="98" t="s">
        <v>2129</v>
      </c>
    </row>
    <row r="1648">
      <c r="B1648" s="95" t="s">
        <v>526</v>
      </c>
      <c r="C1648" s="95" t="s">
        <v>2130</v>
      </c>
      <c r="D1648" s="95" t="s">
        <v>174</v>
      </c>
      <c r="E1648" s="95" t="s">
        <v>419</v>
      </c>
      <c r="F1648" s="95" t="s">
        <v>543</v>
      </c>
      <c r="G1648" s="9">
        <f>50000*0.87</f>
        <v>43500</v>
      </c>
      <c r="H1648" s="95" t="s">
        <v>530</v>
      </c>
      <c r="I1648" s="13">
        <f t="shared" si="90"/>
        <v>4350</v>
      </c>
      <c r="J1648" s="97" t="s">
        <v>2131</v>
      </c>
      <c r="K1648" s="98"/>
      <c r="L1648" s="98"/>
    </row>
    <row r="1649">
      <c r="B1649" s="95" t="s">
        <v>526</v>
      </c>
      <c r="C1649" s="95" t="s">
        <v>2132</v>
      </c>
      <c r="D1649" s="95" t="s">
        <v>174</v>
      </c>
      <c r="E1649" s="95" t="s">
        <v>373</v>
      </c>
      <c r="F1649" s="95" t="s">
        <v>685</v>
      </c>
      <c r="G1649" s="9">
        <f>400000*0.88</f>
        <v>352000</v>
      </c>
      <c r="H1649" s="95" t="s">
        <v>530</v>
      </c>
      <c r="I1649" s="13">
        <f t="shared" si="90"/>
        <v>35200</v>
      </c>
      <c r="J1649" s="97" t="s">
        <v>2133</v>
      </c>
      <c r="K1649" s="97" t="s">
        <v>2134</v>
      </c>
      <c r="L1649" s="97" t="s">
        <v>2135</v>
      </c>
    </row>
    <row r="1650">
      <c r="B1650" s="95" t="s">
        <v>526</v>
      </c>
      <c r="C1650" s="95" t="s">
        <v>2136</v>
      </c>
      <c r="D1650" s="95" t="s">
        <v>174</v>
      </c>
      <c r="E1650" s="95" t="s">
        <v>438</v>
      </c>
      <c r="F1650" s="95" t="s">
        <v>738</v>
      </c>
      <c r="G1650" s="9">
        <v>200000.0</v>
      </c>
      <c r="H1650" s="95" t="s">
        <v>728</v>
      </c>
      <c r="I1650" s="13">
        <f>G1650/7</f>
        <v>28571.42857</v>
      </c>
      <c r="J1650" s="97" t="s">
        <v>2137</v>
      </c>
      <c r="K1650" s="98"/>
      <c r="L1650" s="98"/>
    </row>
    <row r="1651">
      <c r="B1651" s="95" t="s">
        <v>526</v>
      </c>
      <c r="C1651" s="95" t="s">
        <v>1620</v>
      </c>
      <c r="D1651" s="95" t="s">
        <v>222</v>
      </c>
      <c r="E1651" s="95" t="s">
        <v>2138</v>
      </c>
      <c r="F1651" s="95" t="s">
        <v>685</v>
      </c>
      <c r="G1651" s="9">
        <v>1500000.0</v>
      </c>
      <c r="H1651" s="95" t="s">
        <v>530</v>
      </c>
      <c r="I1651" s="13">
        <f t="shared" ref="I1651:I1663" si="91">G1651/10</f>
        <v>150000</v>
      </c>
      <c r="J1651" s="97" t="s">
        <v>2139</v>
      </c>
      <c r="K1651" s="98" t="s">
        <v>2140</v>
      </c>
      <c r="L1651" s="98"/>
    </row>
    <row r="1652">
      <c r="B1652" s="95" t="s">
        <v>526</v>
      </c>
      <c r="C1652" s="95" t="s">
        <v>2141</v>
      </c>
      <c r="D1652" s="95" t="s">
        <v>114</v>
      </c>
      <c r="E1652" s="95" t="s">
        <v>377</v>
      </c>
      <c r="F1652" s="95" t="s">
        <v>685</v>
      </c>
      <c r="G1652" s="9">
        <v>175000.0</v>
      </c>
      <c r="H1652" s="95" t="s">
        <v>530</v>
      </c>
      <c r="I1652" s="13">
        <f t="shared" si="91"/>
        <v>17500</v>
      </c>
      <c r="J1652" s="97" t="s">
        <v>2142</v>
      </c>
      <c r="K1652" s="98" t="s">
        <v>2143</v>
      </c>
      <c r="L1652" s="98"/>
    </row>
    <row r="1653">
      <c r="B1653" s="95" t="s">
        <v>526</v>
      </c>
      <c r="C1653" s="95" t="s">
        <v>2144</v>
      </c>
      <c r="D1653" s="95" t="s">
        <v>114</v>
      </c>
      <c r="E1653" s="95" t="s">
        <v>214</v>
      </c>
      <c r="F1653" s="95" t="s">
        <v>643</v>
      </c>
      <c r="G1653" s="9">
        <v>15000.0</v>
      </c>
      <c r="H1653" s="95" t="s">
        <v>530</v>
      </c>
      <c r="I1653" s="13">
        <f t="shared" si="91"/>
        <v>1500</v>
      </c>
      <c r="J1653" s="97" t="s">
        <v>2145</v>
      </c>
      <c r="K1653" s="98"/>
      <c r="L1653" s="98"/>
    </row>
    <row r="1654">
      <c r="B1654" s="95" t="s">
        <v>526</v>
      </c>
      <c r="C1654" s="95" t="s">
        <v>2144</v>
      </c>
      <c r="D1654" s="95" t="s">
        <v>114</v>
      </c>
      <c r="E1654" s="95" t="s">
        <v>214</v>
      </c>
      <c r="F1654" s="95" t="s">
        <v>586</v>
      </c>
      <c r="G1654" s="9">
        <v>20000.0</v>
      </c>
      <c r="H1654" s="95" t="s">
        <v>530</v>
      </c>
      <c r="I1654" s="13">
        <f t="shared" si="91"/>
        <v>2000</v>
      </c>
      <c r="J1654" s="97" t="s">
        <v>2145</v>
      </c>
      <c r="K1654" s="98"/>
      <c r="L1654" s="98"/>
    </row>
    <row r="1655">
      <c r="B1655" s="139" t="s">
        <v>526</v>
      </c>
      <c r="C1655" s="139" t="s">
        <v>2144</v>
      </c>
      <c r="D1655" s="139" t="s">
        <v>114</v>
      </c>
      <c r="E1655" s="139" t="s">
        <v>214</v>
      </c>
      <c r="F1655" s="138" t="s">
        <v>650</v>
      </c>
      <c r="G1655" s="140">
        <v>200000.0</v>
      </c>
      <c r="H1655" s="139" t="s">
        <v>530</v>
      </c>
      <c r="I1655" s="124">
        <f t="shared" si="91"/>
        <v>20000</v>
      </c>
      <c r="J1655" s="149" t="s">
        <v>2145</v>
      </c>
      <c r="K1655" s="150" t="s">
        <v>2146</v>
      </c>
      <c r="L1655" s="150" t="s">
        <v>2147</v>
      </c>
    </row>
    <row r="1656">
      <c r="B1656" s="95" t="s">
        <v>526</v>
      </c>
      <c r="C1656" s="95" t="s">
        <v>2148</v>
      </c>
      <c r="D1656" s="95" t="s">
        <v>71</v>
      </c>
      <c r="E1656" s="5" t="s">
        <v>1027</v>
      </c>
      <c r="F1656" s="95" t="s">
        <v>650</v>
      </c>
      <c r="G1656" s="9">
        <v>250000.0</v>
      </c>
      <c r="H1656" s="95" t="s">
        <v>530</v>
      </c>
      <c r="I1656" s="13">
        <f t="shared" si="91"/>
        <v>25000</v>
      </c>
      <c r="J1656" s="97" t="s">
        <v>1662</v>
      </c>
      <c r="K1656" s="98"/>
      <c r="L1656" s="98"/>
    </row>
    <row r="1657">
      <c r="B1657" s="95" t="s">
        <v>526</v>
      </c>
      <c r="C1657" s="95" t="s">
        <v>2075</v>
      </c>
      <c r="D1657" s="95" t="s">
        <v>71</v>
      </c>
      <c r="E1657" s="95" t="s">
        <v>100</v>
      </c>
      <c r="F1657" s="95" t="s">
        <v>685</v>
      </c>
      <c r="G1657" s="9">
        <v>160000.0</v>
      </c>
      <c r="H1657" s="95" t="s">
        <v>530</v>
      </c>
      <c r="I1657" s="13">
        <f t="shared" si="91"/>
        <v>16000</v>
      </c>
      <c r="J1657" s="97" t="s">
        <v>1662</v>
      </c>
      <c r="K1657" s="98" t="s">
        <v>2149</v>
      </c>
      <c r="L1657" s="98"/>
    </row>
    <row r="1658">
      <c r="B1658" s="95" t="s">
        <v>526</v>
      </c>
      <c r="C1658" s="95" t="s">
        <v>2110</v>
      </c>
      <c r="D1658" s="95" t="s">
        <v>71</v>
      </c>
      <c r="E1658" s="12" t="s">
        <v>109</v>
      </c>
      <c r="F1658" s="95" t="s">
        <v>685</v>
      </c>
      <c r="G1658" s="9">
        <v>110000.0</v>
      </c>
      <c r="H1658" s="95" t="s">
        <v>530</v>
      </c>
      <c r="I1658" s="13">
        <f t="shared" si="91"/>
        <v>11000</v>
      </c>
      <c r="J1658" s="97" t="s">
        <v>1662</v>
      </c>
      <c r="K1658" s="98"/>
      <c r="L1658" s="98"/>
    </row>
    <row r="1659">
      <c r="B1659" s="95" t="s">
        <v>526</v>
      </c>
      <c r="C1659" s="95" t="s">
        <v>2150</v>
      </c>
      <c r="D1659" s="95" t="s">
        <v>71</v>
      </c>
      <c r="E1659" s="12" t="s">
        <v>103</v>
      </c>
      <c r="F1659" s="95" t="s">
        <v>685</v>
      </c>
      <c r="G1659" s="9">
        <v>100000.0</v>
      </c>
      <c r="H1659" s="95" t="s">
        <v>530</v>
      </c>
      <c r="I1659" s="13">
        <f t="shared" si="91"/>
        <v>10000</v>
      </c>
      <c r="J1659" s="97" t="s">
        <v>1662</v>
      </c>
      <c r="K1659" s="98" t="s">
        <v>2151</v>
      </c>
      <c r="L1659" s="98"/>
    </row>
    <row r="1660">
      <c r="B1660" s="95" t="s">
        <v>526</v>
      </c>
      <c r="C1660" s="95" t="s">
        <v>2152</v>
      </c>
      <c r="D1660" s="95" t="s">
        <v>71</v>
      </c>
      <c r="E1660" s="95" t="s">
        <v>798</v>
      </c>
      <c r="F1660" s="95" t="s">
        <v>685</v>
      </c>
      <c r="G1660" s="9">
        <v>1500000.0</v>
      </c>
      <c r="H1660" s="95" t="s">
        <v>530</v>
      </c>
      <c r="I1660" s="13">
        <f t="shared" si="91"/>
        <v>150000</v>
      </c>
      <c r="J1660" s="97" t="s">
        <v>2153</v>
      </c>
      <c r="K1660" s="98" t="s">
        <v>1812</v>
      </c>
      <c r="L1660" s="98"/>
    </row>
    <row r="1661">
      <c r="B1661" s="95" t="s">
        <v>526</v>
      </c>
      <c r="C1661" s="95" t="s">
        <v>2154</v>
      </c>
      <c r="D1661" s="95" t="s">
        <v>13</v>
      </c>
      <c r="E1661" s="95" t="s">
        <v>1350</v>
      </c>
      <c r="F1661" s="95" t="s">
        <v>738</v>
      </c>
      <c r="G1661" s="9">
        <v>200000.0</v>
      </c>
      <c r="H1661" s="95" t="s">
        <v>530</v>
      </c>
      <c r="I1661" s="13">
        <f t="shared" si="91"/>
        <v>20000</v>
      </c>
      <c r="J1661" s="105" t="s">
        <v>1380</v>
      </c>
      <c r="K1661" s="98"/>
      <c r="L1661" s="98"/>
    </row>
    <row r="1662">
      <c r="B1662" s="95" t="s">
        <v>526</v>
      </c>
      <c r="C1662" s="95" t="s">
        <v>2154</v>
      </c>
      <c r="D1662" s="95" t="s">
        <v>13</v>
      </c>
      <c r="E1662" s="95" t="s">
        <v>1350</v>
      </c>
      <c r="F1662" s="95" t="s">
        <v>763</v>
      </c>
      <c r="G1662" s="9">
        <v>140000.0</v>
      </c>
      <c r="H1662" s="95" t="s">
        <v>530</v>
      </c>
      <c r="I1662" s="13">
        <f t="shared" si="91"/>
        <v>14000</v>
      </c>
      <c r="J1662" s="105" t="s">
        <v>1351</v>
      </c>
      <c r="K1662" s="98"/>
      <c r="L1662" s="98"/>
    </row>
    <row r="1663">
      <c r="B1663" s="95" t="s">
        <v>641</v>
      </c>
      <c r="C1663" s="95" t="s">
        <v>2155</v>
      </c>
      <c r="D1663" s="95" t="s">
        <v>13</v>
      </c>
      <c r="E1663" s="95" t="s">
        <v>19</v>
      </c>
      <c r="F1663" s="95" t="s">
        <v>763</v>
      </c>
      <c r="G1663" s="9">
        <v>250000.0</v>
      </c>
      <c r="H1663" s="95" t="s">
        <v>530</v>
      </c>
      <c r="I1663" s="13">
        <f t="shared" si="91"/>
        <v>25000</v>
      </c>
      <c r="J1663" s="97" t="s">
        <v>620</v>
      </c>
      <c r="K1663" s="98"/>
      <c r="L1663" s="98"/>
    </row>
    <row r="1664">
      <c r="B1664" s="95" t="s">
        <v>641</v>
      </c>
      <c r="C1664" s="95" t="s">
        <v>1986</v>
      </c>
      <c r="D1664" s="95" t="s">
        <v>13</v>
      </c>
      <c r="E1664" s="95" t="s">
        <v>19</v>
      </c>
      <c r="F1664" s="95" t="s">
        <v>763</v>
      </c>
      <c r="G1664" s="9">
        <v>200000.0</v>
      </c>
      <c r="H1664" s="95" t="s">
        <v>728</v>
      </c>
      <c r="I1664" s="13">
        <f>G1664/7</f>
        <v>28571.42857</v>
      </c>
      <c r="J1664" s="97" t="s">
        <v>620</v>
      </c>
      <c r="K1664" s="98"/>
      <c r="L1664" s="98"/>
    </row>
    <row r="1665">
      <c r="B1665" s="95" t="s">
        <v>641</v>
      </c>
      <c r="C1665" s="95" t="s">
        <v>2156</v>
      </c>
      <c r="D1665" s="95" t="s">
        <v>13</v>
      </c>
      <c r="E1665" s="95" t="s">
        <v>30</v>
      </c>
      <c r="F1665" s="95" t="s">
        <v>763</v>
      </c>
      <c r="G1665" s="9">
        <v>150000.0</v>
      </c>
      <c r="H1665" s="95" t="s">
        <v>530</v>
      </c>
      <c r="I1665" s="13">
        <f t="shared" ref="I1665:I1677" si="92">G1665/10</f>
        <v>15000</v>
      </c>
      <c r="J1665" s="97" t="s">
        <v>620</v>
      </c>
      <c r="K1665" s="98"/>
      <c r="L1665" s="98"/>
    </row>
    <row r="1666">
      <c r="B1666" s="139" t="s">
        <v>526</v>
      </c>
      <c r="C1666" s="138" t="s">
        <v>2157</v>
      </c>
      <c r="D1666" s="138" t="s">
        <v>13</v>
      </c>
      <c r="E1666" s="138" t="s">
        <v>30</v>
      </c>
      <c r="F1666" s="138" t="s">
        <v>650</v>
      </c>
      <c r="G1666" s="140">
        <v>350000.0</v>
      </c>
      <c r="H1666" s="139" t="s">
        <v>530</v>
      </c>
      <c r="I1666" s="124">
        <f t="shared" si="92"/>
        <v>35000</v>
      </c>
      <c r="J1666" s="150" t="s">
        <v>1351</v>
      </c>
      <c r="K1666" s="150"/>
      <c r="L1666" s="150"/>
    </row>
    <row r="1667">
      <c r="B1667" s="139" t="s">
        <v>526</v>
      </c>
      <c r="C1667" s="138" t="s">
        <v>2158</v>
      </c>
      <c r="D1667" s="138" t="s">
        <v>13</v>
      </c>
      <c r="E1667" s="138" t="s">
        <v>30</v>
      </c>
      <c r="F1667" s="138" t="s">
        <v>650</v>
      </c>
      <c r="G1667" s="140">
        <v>250000.0</v>
      </c>
      <c r="H1667" s="139" t="s">
        <v>530</v>
      </c>
      <c r="I1667" s="124">
        <f t="shared" si="92"/>
        <v>25000</v>
      </c>
      <c r="J1667" s="150" t="s">
        <v>1351</v>
      </c>
      <c r="K1667" s="150"/>
      <c r="L1667" s="150"/>
    </row>
    <row r="1668">
      <c r="B1668" s="139" t="s">
        <v>526</v>
      </c>
      <c r="C1668" s="138" t="s">
        <v>2159</v>
      </c>
      <c r="D1668" s="138" t="s">
        <v>13</v>
      </c>
      <c r="E1668" s="138" t="s">
        <v>30</v>
      </c>
      <c r="F1668" s="138" t="s">
        <v>650</v>
      </c>
      <c r="G1668" s="140">
        <v>250000.0</v>
      </c>
      <c r="H1668" s="139" t="s">
        <v>530</v>
      </c>
      <c r="I1668" s="124">
        <f t="shared" si="92"/>
        <v>25000</v>
      </c>
      <c r="J1668" s="150" t="s">
        <v>1351</v>
      </c>
      <c r="K1668" s="150"/>
      <c r="L1668" s="150"/>
    </row>
    <row r="1669">
      <c r="B1669" s="139" t="s">
        <v>526</v>
      </c>
      <c r="C1669" s="138" t="s">
        <v>2160</v>
      </c>
      <c r="D1669" s="138" t="s">
        <v>13</v>
      </c>
      <c r="E1669" s="138" t="s">
        <v>30</v>
      </c>
      <c r="F1669" s="138" t="s">
        <v>650</v>
      </c>
      <c r="G1669" s="140">
        <v>200000.0</v>
      </c>
      <c r="H1669" s="139" t="s">
        <v>530</v>
      </c>
      <c r="I1669" s="124">
        <f t="shared" si="92"/>
        <v>20000</v>
      </c>
      <c r="J1669" s="150" t="s">
        <v>1351</v>
      </c>
      <c r="K1669" s="150"/>
      <c r="L1669" s="150"/>
    </row>
    <row r="1670">
      <c r="B1670" s="139" t="s">
        <v>526</v>
      </c>
      <c r="C1670" s="138" t="s">
        <v>2161</v>
      </c>
      <c r="D1670" s="138" t="s">
        <v>13</v>
      </c>
      <c r="E1670" s="138" t="s">
        <v>30</v>
      </c>
      <c r="F1670" s="138" t="s">
        <v>650</v>
      </c>
      <c r="G1670" s="140">
        <v>1000000.0</v>
      </c>
      <c r="H1670" s="139" t="s">
        <v>530</v>
      </c>
      <c r="I1670" s="124">
        <f t="shared" si="92"/>
        <v>100000</v>
      </c>
      <c r="J1670" s="150" t="s">
        <v>1351</v>
      </c>
      <c r="K1670" s="150"/>
      <c r="L1670" s="150"/>
    </row>
    <row r="1671">
      <c r="B1671" s="139" t="s">
        <v>526</v>
      </c>
      <c r="C1671" s="138" t="s">
        <v>2162</v>
      </c>
      <c r="D1671" s="138" t="s">
        <v>13</v>
      </c>
      <c r="E1671" s="138" t="s">
        <v>30</v>
      </c>
      <c r="F1671" s="138" t="s">
        <v>650</v>
      </c>
      <c r="G1671" s="140">
        <v>170000.0</v>
      </c>
      <c r="H1671" s="139" t="s">
        <v>530</v>
      </c>
      <c r="I1671" s="124">
        <f t="shared" si="92"/>
        <v>17000</v>
      </c>
      <c r="J1671" s="150" t="s">
        <v>1351</v>
      </c>
      <c r="K1671" s="150"/>
      <c r="L1671" s="150"/>
    </row>
    <row r="1672">
      <c r="B1672" s="139" t="s">
        <v>526</v>
      </c>
      <c r="C1672" s="138" t="s">
        <v>2163</v>
      </c>
      <c r="D1672" s="138" t="s">
        <v>13</v>
      </c>
      <c r="E1672" s="138" t="s">
        <v>30</v>
      </c>
      <c r="F1672" s="138" t="s">
        <v>650</v>
      </c>
      <c r="G1672" s="140">
        <v>150000.0</v>
      </c>
      <c r="H1672" s="139" t="s">
        <v>530</v>
      </c>
      <c r="I1672" s="124">
        <f t="shared" si="92"/>
        <v>15000</v>
      </c>
      <c r="J1672" s="150" t="s">
        <v>1351</v>
      </c>
      <c r="K1672" s="150"/>
      <c r="L1672" s="150"/>
    </row>
    <row r="1673">
      <c r="B1673" s="139" t="s">
        <v>526</v>
      </c>
      <c r="C1673" s="138" t="s">
        <v>1653</v>
      </c>
      <c r="D1673" s="138" t="s">
        <v>13</v>
      </c>
      <c r="E1673" s="138" t="s">
        <v>30</v>
      </c>
      <c r="F1673" s="138" t="s">
        <v>650</v>
      </c>
      <c r="G1673" s="140">
        <v>250000.0</v>
      </c>
      <c r="H1673" s="139" t="s">
        <v>530</v>
      </c>
      <c r="I1673" s="124">
        <f t="shared" si="92"/>
        <v>25000</v>
      </c>
      <c r="J1673" s="150" t="s">
        <v>1351</v>
      </c>
      <c r="K1673" s="150"/>
      <c r="L1673" s="150"/>
    </row>
    <row r="1674">
      <c r="B1674" s="139" t="s">
        <v>526</v>
      </c>
      <c r="C1674" s="138" t="s">
        <v>2164</v>
      </c>
      <c r="D1674" s="138" t="s">
        <v>13</v>
      </c>
      <c r="E1674" s="138" t="s">
        <v>30</v>
      </c>
      <c r="F1674" s="138" t="s">
        <v>650</v>
      </c>
      <c r="G1674" s="140">
        <v>40000.0</v>
      </c>
      <c r="H1674" s="139" t="s">
        <v>530</v>
      </c>
      <c r="I1674" s="124">
        <f t="shared" si="92"/>
        <v>4000</v>
      </c>
      <c r="J1674" s="150" t="s">
        <v>1351</v>
      </c>
      <c r="K1674" s="150"/>
      <c r="L1674" s="150"/>
    </row>
    <row r="1675">
      <c r="B1675" s="139" t="s">
        <v>526</v>
      </c>
      <c r="C1675" s="138" t="s">
        <v>2165</v>
      </c>
      <c r="D1675" s="138" t="s">
        <v>13</v>
      </c>
      <c r="E1675" s="138" t="s">
        <v>30</v>
      </c>
      <c r="F1675" s="138" t="s">
        <v>650</v>
      </c>
      <c r="G1675" s="140">
        <v>180000.0</v>
      </c>
      <c r="H1675" s="139" t="s">
        <v>530</v>
      </c>
      <c r="I1675" s="124">
        <f t="shared" si="92"/>
        <v>18000</v>
      </c>
      <c r="J1675" s="150" t="s">
        <v>1351</v>
      </c>
      <c r="K1675" s="150"/>
      <c r="L1675" s="150"/>
    </row>
    <row r="1676">
      <c r="B1676" s="139" t="s">
        <v>526</v>
      </c>
      <c r="C1676" s="138" t="s">
        <v>2165</v>
      </c>
      <c r="D1676" s="138" t="s">
        <v>13</v>
      </c>
      <c r="E1676" s="138" t="s">
        <v>2166</v>
      </c>
      <c r="F1676" s="138" t="s">
        <v>643</v>
      </c>
      <c r="G1676" s="140">
        <v>80000.0</v>
      </c>
      <c r="H1676" s="139" t="s">
        <v>530</v>
      </c>
      <c r="I1676" s="124">
        <f t="shared" si="92"/>
        <v>8000</v>
      </c>
      <c r="J1676" s="150" t="s">
        <v>1351</v>
      </c>
      <c r="K1676" s="150"/>
      <c r="L1676" s="150"/>
    </row>
    <row r="1677">
      <c r="B1677" s="139" t="s">
        <v>526</v>
      </c>
      <c r="C1677" s="138" t="s">
        <v>2165</v>
      </c>
      <c r="D1677" s="138" t="s">
        <v>13</v>
      </c>
      <c r="E1677" s="138" t="s">
        <v>2167</v>
      </c>
      <c r="F1677" s="138" t="s">
        <v>738</v>
      </c>
      <c r="G1677" s="140">
        <v>50000.0</v>
      </c>
      <c r="H1677" s="139" t="s">
        <v>530</v>
      </c>
      <c r="I1677" s="124">
        <f t="shared" si="92"/>
        <v>5000</v>
      </c>
      <c r="J1677" s="150" t="s">
        <v>1351</v>
      </c>
      <c r="K1677" s="150"/>
      <c r="L1677" s="150"/>
    </row>
    <row r="1678">
      <c r="B1678" s="139" t="s">
        <v>526</v>
      </c>
      <c r="C1678" s="138" t="s">
        <v>2165</v>
      </c>
      <c r="D1678" s="138" t="s">
        <v>13</v>
      </c>
      <c r="E1678" s="138" t="s">
        <v>2048</v>
      </c>
      <c r="F1678" s="138" t="s">
        <v>763</v>
      </c>
      <c r="G1678" s="140">
        <v>8000.0</v>
      </c>
      <c r="H1678" s="138" t="s">
        <v>680</v>
      </c>
      <c r="I1678" s="124">
        <f>G1678/4</f>
        <v>2000</v>
      </c>
      <c r="J1678" s="150" t="s">
        <v>1351</v>
      </c>
      <c r="K1678" s="150"/>
      <c r="L1678" s="150"/>
    </row>
    <row r="1679">
      <c r="B1679" s="139" t="s">
        <v>526</v>
      </c>
      <c r="C1679" s="138" t="s">
        <v>2168</v>
      </c>
      <c r="D1679" s="138" t="s">
        <v>13</v>
      </c>
      <c r="E1679" s="138" t="s">
        <v>30</v>
      </c>
      <c r="F1679" s="138" t="s">
        <v>650</v>
      </c>
      <c r="G1679" s="140">
        <v>200000.0</v>
      </c>
      <c r="H1679" s="139" t="s">
        <v>530</v>
      </c>
      <c r="I1679" s="124">
        <f t="shared" ref="I1679:I1681" si="93">G1679/10</f>
        <v>20000</v>
      </c>
      <c r="J1679" s="150" t="s">
        <v>1351</v>
      </c>
      <c r="K1679" s="150"/>
      <c r="L1679" s="150"/>
    </row>
    <row r="1680">
      <c r="B1680" s="139" t="s">
        <v>526</v>
      </c>
      <c r="C1680" s="138" t="s">
        <v>2169</v>
      </c>
      <c r="D1680" s="138" t="s">
        <v>13</v>
      </c>
      <c r="E1680" s="138" t="s">
        <v>30</v>
      </c>
      <c r="F1680" s="138" t="s">
        <v>650</v>
      </c>
      <c r="G1680" s="140">
        <v>240000.0</v>
      </c>
      <c r="H1680" s="139" t="s">
        <v>530</v>
      </c>
      <c r="I1680" s="124">
        <f t="shared" si="93"/>
        <v>24000</v>
      </c>
      <c r="J1680" s="150" t="s">
        <v>1351</v>
      </c>
      <c r="K1680" s="150"/>
      <c r="L1680" s="150"/>
    </row>
    <row r="1681">
      <c r="B1681" s="139" t="s">
        <v>526</v>
      </c>
      <c r="C1681" s="138" t="s">
        <v>1442</v>
      </c>
      <c r="D1681" s="138" t="s">
        <v>13</v>
      </c>
      <c r="E1681" s="138" t="s">
        <v>30</v>
      </c>
      <c r="F1681" s="138" t="s">
        <v>650</v>
      </c>
      <c r="G1681" s="140">
        <v>300000.0</v>
      </c>
      <c r="H1681" s="139" t="s">
        <v>530</v>
      </c>
      <c r="I1681" s="124">
        <f t="shared" si="93"/>
        <v>30000</v>
      </c>
      <c r="J1681" s="150" t="s">
        <v>1351</v>
      </c>
      <c r="K1681" s="150"/>
      <c r="L1681" s="150"/>
    </row>
    <row r="1682">
      <c r="B1682" s="139" t="s">
        <v>526</v>
      </c>
      <c r="C1682" s="138" t="s">
        <v>2170</v>
      </c>
      <c r="D1682" s="138" t="s">
        <v>13</v>
      </c>
      <c r="E1682" s="138" t="s">
        <v>30</v>
      </c>
      <c r="F1682" s="138" t="s">
        <v>650</v>
      </c>
      <c r="G1682" s="140">
        <v>28000.0</v>
      </c>
      <c r="H1682" s="138" t="s">
        <v>677</v>
      </c>
      <c r="I1682" s="124">
        <f>G1682/2</f>
        <v>14000</v>
      </c>
      <c r="J1682" s="150" t="s">
        <v>1351</v>
      </c>
      <c r="K1682" s="150"/>
      <c r="L1682" s="150"/>
    </row>
    <row r="1683">
      <c r="B1683" s="139" t="s">
        <v>526</v>
      </c>
      <c r="C1683" s="138" t="s">
        <v>2171</v>
      </c>
      <c r="D1683" s="138" t="s">
        <v>13</v>
      </c>
      <c r="E1683" s="138" t="s">
        <v>46</v>
      </c>
      <c r="F1683" s="138" t="s">
        <v>650</v>
      </c>
      <c r="G1683" s="140">
        <v>80000.0</v>
      </c>
      <c r="H1683" s="139" t="s">
        <v>530</v>
      </c>
      <c r="I1683" s="124">
        <f t="shared" ref="I1683:I1694" si="94">G1683/10</f>
        <v>8000</v>
      </c>
      <c r="J1683" s="150" t="s">
        <v>1351</v>
      </c>
      <c r="K1683" s="150"/>
      <c r="L1683" s="150"/>
    </row>
    <row r="1684">
      <c r="B1684" s="139" t="s">
        <v>526</v>
      </c>
      <c r="C1684" s="138" t="s">
        <v>2172</v>
      </c>
      <c r="D1684" s="138" t="s">
        <v>13</v>
      </c>
      <c r="E1684" s="138" t="s">
        <v>46</v>
      </c>
      <c r="F1684" s="138" t="s">
        <v>650</v>
      </c>
      <c r="G1684" s="140">
        <v>85000.0</v>
      </c>
      <c r="H1684" s="139" t="s">
        <v>530</v>
      </c>
      <c r="I1684" s="124">
        <f t="shared" si="94"/>
        <v>8500</v>
      </c>
      <c r="J1684" s="150" t="s">
        <v>1351</v>
      </c>
      <c r="K1684" s="150"/>
      <c r="L1684" s="150"/>
    </row>
    <row r="1685">
      <c r="B1685" s="139" t="s">
        <v>526</v>
      </c>
      <c r="C1685" s="138" t="s">
        <v>1117</v>
      </c>
      <c r="D1685" s="138" t="s">
        <v>13</v>
      </c>
      <c r="E1685" s="138" t="s">
        <v>46</v>
      </c>
      <c r="F1685" s="138" t="s">
        <v>650</v>
      </c>
      <c r="G1685" s="140">
        <v>85000.0</v>
      </c>
      <c r="H1685" s="139" t="s">
        <v>530</v>
      </c>
      <c r="I1685" s="124">
        <f t="shared" si="94"/>
        <v>8500</v>
      </c>
      <c r="J1685" s="150" t="s">
        <v>1351</v>
      </c>
      <c r="K1685" s="150"/>
      <c r="L1685" s="150"/>
    </row>
    <row r="1686">
      <c r="B1686" s="139" t="s">
        <v>526</v>
      </c>
      <c r="C1686" s="138" t="s">
        <v>2173</v>
      </c>
      <c r="D1686" s="138" t="s">
        <v>13</v>
      </c>
      <c r="E1686" s="138" t="s">
        <v>46</v>
      </c>
      <c r="F1686" s="138" t="s">
        <v>650</v>
      </c>
      <c r="G1686" s="140">
        <v>50000.0</v>
      </c>
      <c r="H1686" s="139" t="s">
        <v>530</v>
      </c>
      <c r="I1686" s="124">
        <f t="shared" si="94"/>
        <v>5000</v>
      </c>
      <c r="J1686" s="150" t="s">
        <v>1351</v>
      </c>
      <c r="K1686" s="150"/>
      <c r="L1686" s="150"/>
    </row>
    <row r="1687">
      <c r="B1687" s="139" t="s">
        <v>526</v>
      </c>
      <c r="C1687" s="138" t="s">
        <v>2174</v>
      </c>
      <c r="D1687" s="138" t="s">
        <v>13</v>
      </c>
      <c r="E1687" s="138" t="s">
        <v>46</v>
      </c>
      <c r="F1687" s="138" t="s">
        <v>650</v>
      </c>
      <c r="G1687" s="140">
        <v>95000.0</v>
      </c>
      <c r="H1687" s="139" t="s">
        <v>530</v>
      </c>
      <c r="I1687" s="124">
        <f t="shared" si="94"/>
        <v>9500</v>
      </c>
      <c r="J1687" s="150" t="s">
        <v>1351</v>
      </c>
      <c r="K1687" s="150"/>
      <c r="L1687" s="150"/>
    </row>
    <row r="1688">
      <c r="B1688" s="139" t="s">
        <v>526</v>
      </c>
      <c r="C1688" s="138" t="s">
        <v>2175</v>
      </c>
      <c r="D1688" s="138" t="s">
        <v>13</v>
      </c>
      <c r="E1688" s="138" t="s">
        <v>46</v>
      </c>
      <c r="F1688" s="138" t="s">
        <v>650</v>
      </c>
      <c r="G1688" s="140">
        <v>90000.0</v>
      </c>
      <c r="H1688" s="139" t="s">
        <v>530</v>
      </c>
      <c r="I1688" s="124">
        <f t="shared" si="94"/>
        <v>9000</v>
      </c>
      <c r="J1688" s="150" t="s">
        <v>1351</v>
      </c>
      <c r="K1688" s="150"/>
      <c r="L1688" s="150"/>
    </row>
    <row r="1689">
      <c r="B1689" s="139" t="s">
        <v>526</v>
      </c>
      <c r="C1689" s="138" t="s">
        <v>2176</v>
      </c>
      <c r="D1689" s="138" t="s">
        <v>13</v>
      </c>
      <c r="E1689" s="138" t="s">
        <v>46</v>
      </c>
      <c r="F1689" s="138" t="s">
        <v>650</v>
      </c>
      <c r="G1689" s="140">
        <v>80000.0</v>
      </c>
      <c r="H1689" s="139" t="s">
        <v>530</v>
      </c>
      <c r="I1689" s="124">
        <f t="shared" si="94"/>
        <v>8000</v>
      </c>
      <c r="J1689" s="150" t="s">
        <v>1351</v>
      </c>
      <c r="K1689" s="150"/>
      <c r="L1689" s="150"/>
    </row>
    <row r="1690">
      <c r="B1690" s="139" t="s">
        <v>526</v>
      </c>
      <c r="C1690" s="138" t="s">
        <v>2177</v>
      </c>
      <c r="D1690" s="138" t="s">
        <v>13</v>
      </c>
      <c r="E1690" s="138" t="s">
        <v>46</v>
      </c>
      <c r="F1690" s="138" t="s">
        <v>650</v>
      </c>
      <c r="G1690" s="140">
        <v>65000.0</v>
      </c>
      <c r="H1690" s="139" t="s">
        <v>530</v>
      </c>
      <c r="I1690" s="124">
        <f t="shared" si="94"/>
        <v>6500</v>
      </c>
      <c r="J1690" s="150" t="s">
        <v>1351</v>
      </c>
      <c r="K1690" s="150"/>
      <c r="L1690" s="150"/>
    </row>
    <row r="1691">
      <c r="B1691" s="139" t="s">
        <v>526</v>
      </c>
      <c r="C1691" s="138" t="s">
        <v>2177</v>
      </c>
      <c r="D1691" s="138" t="s">
        <v>13</v>
      </c>
      <c r="E1691" s="138" t="s">
        <v>1790</v>
      </c>
      <c r="F1691" s="138" t="s">
        <v>586</v>
      </c>
      <c r="G1691" s="140">
        <v>50000.0</v>
      </c>
      <c r="H1691" s="139" t="s">
        <v>530</v>
      </c>
      <c r="I1691" s="124">
        <f t="shared" si="94"/>
        <v>5000</v>
      </c>
      <c r="J1691" s="150" t="s">
        <v>1351</v>
      </c>
      <c r="K1691" s="150"/>
      <c r="L1691" s="150"/>
    </row>
    <row r="1692">
      <c r="B1692" s="139" t="s">
        <v>526</v>
      </c>
      <c r="C1692" s="138" t="s">
        <v>2177</v>
      </c>
      <c r="D1692" s="138" t="s">
        <v>13</v>
      </c>
      <c r="E1692" s="138" t="s">
        <v>1790</v>
      </c>
      <c r="F1692" s="138" t="s">
        <v>643</v>
      </c>
      <c r="G1692" s="140">
        <v>38000.0</v>
      </c>
      <c r="H1692" s="139" t="s">
        <v>530</v>
      </c>
      <c r="I1692" s="124">
        <f t="shared" si="94"/>
        <v>3800</v>
      </c>
      <c r="J1692" s="150" t="s">
        <v>1351</v>
      </c>
      <c r="K1692" s="150"/>
      <c r="L1692" s="150"/>
    </row>
    <row r="1693">
      <c r="B1693" s="139" t="s">
        <v>526</v>
      </c>
      <c r="C1693" s="138" t="s">
        <v>2177</v>
      </c>
      <c r="D1693" s="138" t="s">
        <v>13</v>
      </c>
      <c r="E1693" s="138" t="s">
        <v>2178</v>
      </c>
      <c r="F1693" s="138" t="s">
        <v>738</v>
      </c>
      <c r="G1693" s="140">
        <v>24000.0</v>
      </c>
      <c r="H1693" s="139" t="s">
        <v>530</v>
      </c>
      <c r="I1693" s="124">
        <f t="shared" si="94"/>
        <v>2400</v>
      </c>
      <c r="J1693" s="150" t="s">
        <v>1351</v>
      </c>
      <c r="K1693" s="150"/>
      <c r="L1693" s="150"/>
    </row>
    <row r="1694">
      <c r="B1694" s="139" t="s">
        <v>526</v>
      </c>
      <c r="C1694" s="138" t="s">
        <v>2177</v>
      </c>
      <c r="D1694" s="138" t="s">
        <v>13</v>
      </c>
      <c r="E1694" s="138" t="s">
        <v>2178</v>
      </c>
      <c r="F1694" s="138" t="s">
        <v>763</v>
      </c>
      <c r="G1694" s="140">
        <v>20000.0</v>
      </c>
      <c r="H1694" s="139" t="s">
        <v>530</v>
      </c>
      <c r="I1694" s="124">
        <f t="shared" si="94"/>
        <v>2000</v>
      </c>
      <c r="J1694" s="150" t="s">
        <v>1351</v>
      </c>
      <c r="K1694" s="150"/>
      <c r="L1694" s="150"/>
    </row>
    <row r="1695">
      <c r="B1695" s="139" t="s">
        <v>526</v>
      </c>
      <c r="C1695" s="138" t="s">
        <v>2179</v>
      </c>
      <c r="D1695" s="138" t="s">
        <v>13</v>
      </c>
      <c r="E1695" s="138" t="s">
        <v>46</v>
      </c>
      <c r="F1695" s="138" t="s">
        <v>650</v>
      </c>
      <c r="G1695" s="140">
        <v>80000.0</v>
      </c>
      <c r="H1695" s="138" t="s">
        <v>1155</v>
      </c>
      <c r="I1695" s="124">
        <f>G1695/8</f>
        <v>10000</v>
      </c>
      <c r="J1695" s="150" t="s">
        <v>1351</v>
      </c>
      <c r="K1695" s="150"/>
      <c r="L1695" s="150"/>
    </row>
    <row r="1696">
      <c r="B1696" s="139" t="s">
        <v>526</v>
      </c>
      <c r="C1696" s="138" t="s">
        <v>2179</v>
      </c>
      <c r="D1696" s="138" t="s">
        <v>13</v>
      </c>
      <c r="E1696" s="138" t="s">
        <v>2180</v>
      </c>
      <c r="F1696" s="138" t="s">
        <v>650</v>
      </c>
      <c r="G1696" s="140">
        <v>40000.0</v>
      </c>
      <c r="H1696" s="138" t="s">
        <v>680</v>
      </c>
      <c r="I1696" s="124">
        <f>G1696/4</f>
        <v>10000</v>
      </c>
      <c r="J1696" s="150" t="s">
        <v>1351</v>
      </c>
      <c r="K1696" s="150"/>
      <c r="L1696" s="150"/>
    </row>
    <row r="1697">
      <c r="B1697" s="139" t="s">
        <v>526</v>
      </c>
      <c r="C1697" s="138" t="s">
        <v>2179</v>
      </c>
      <c r="D1697" s="138" t="s">
        <v>13</v>
      </c>
      <c r="E1697" s="138" t="s">
        <v>2180</v>
      </c>
      <c r="F1697" s="138" t="s">
        <v>586</v>
      </c>
      <c r="G1697" s="140">
        <v>90000.0</v>
      </c>
      <c r="H1697" s="139" t="s">
        <v>530</v>
      </c>
      <c r="I1697" s="124">
        <f t="shared" ref="I1697:I1711" si="95">G1697/10</f>
        <v>9000</v>
      </c>
      <c r="J1697" s="150" t="s">
        <v>1351</v>
      </c>
      <c r="K1697" s="150"/>
      <c r="L1697" s="150"/>
    </row>
    <row r="1698">
      <c r="B1698" s="139" t="s">
        <v>526</v>
      </c>
      <c r="C1698" s="138" t="s">
        <v>2181</v>
      </c>
      <c r="D1698" s="138" t="s">
        <v>13</v>
      </c>
      <c r="E1698" s="138" t="s">
        <v>46</v>
      </c>
      <c r="F1698" s="138" t="s">
        <v>650</v>
      </c>
      <c r="G1698" s="140">
        <v>50000.0</v>
      </c>
      <c r="H1698" s="139" t="s">
        <v>530</v>
      </c>
      <c r="I1698" s="124">
        <f t="shared" si="95"/>
        <v>5000</v>
      </c>
      <c r="J1698" s="150" t="s">
        <v>1351</v>
      </c>
      <c r="K1698" s="150"/>
      <c r="L1698" s="150"/>
    </row>
    <row r="1699">
      <c r="B1699" s="139" t="s">
        <v>526</v>
      </c>
      <c r="C1699" s="138" t="s">
        <v>2182</v>
      </c>
      <c r="D1699" s="138" t="s">
        <v>13</v>
      </c>
      <c r="E1699" s="138" t="s">
        <v>46</v>
      </c>
      <c r="F1699" s="138" t="s">
        <v>650</v>
      </c>
      <c r="G1699" s="140">
        <v>60000.0</v>
      </c>
      <c r="H1699" s="139" t="s">
        <v>530</v>
      </c>
      <c r="I1699" s="124">
        <f t="shared" si="95"/>
        <v>6000</v>
      </c>
      <c r="J1699" s="150" t="s">
        <v>1351</v>
      </c>
      <c r="K1699" s="150"/>
      <c r="L1699" s="150"/>
    </row>
    <row r="1700">
      <c r="B1700" s="139" t="s">
        <v>526</v>
      </c>
      <c r="C1700" s="138" t="s">
        <v>2183</v>
      </c>
      <c r="D1700" s="138" t="s">
        <v>13</v>
      </c>
      <c r="E1700" s="138" t="s">
        <v>2184</v>
      </c>
      <c r="F1700" s="138" t="s">
        <v>650</v>
      </c>
      <c r="G1700" s="140">
        <v>150000.0</v>
      </c>
      <c r="H1700" s="139" t="s">
        <v>530</v>
      </c>
      <c r="I1700" s="124">
        <f t="shared" si="95"/>
        <v>15000</v>
      </c>
      <c r="J1700" s="150" t="s">
        <v>1351</v>
      </c>
      <c r="K1700" s="150"/>
      <c r="L1700" s="150"/>
    </row>
    <row r="1701">
      <c r="B1701" s="139" t="s">
        <v>526</v>
      </c>
      <c r="C1701" s="138" t="s">
        <v>2185</v>
      </c>
      <c r="D1701" s="138" t="s">
        <v>13</v>
      </c>
      <c r="E1701" s="138" t="s">
        <v>2184</v>
      </c>
      <c r="F1701" s="138" t="s">
        <v>650</v>
      </c>
      <c r="G1701" s="140">
        <v>200000.0</v>
      </c>
      <c r="H1701" s="139" t="s">
        <v>530</v>
      </c>
      <c r="I1701" s="124">
        <f t="shared" si="95"/>
        <v>20000</v>
      </c>
      <c r="J1701" s="150" t="s">
        <v>1351</v>
      </c>
      <c r="K1701" s="150"/>
      <c r="L1701" s="150"/>
    </row>
    <row r="1702">
      <c r="B1702" s="139" t="s">
        <v>526</v>
      </c>
      <c r="C1702" s="138" t="s">
        <v>2186</v>
      </c>
      <c r="D1702" s="138" t="s">
        <v>13</v>
      </c>
      <c r="E1702" s="138" t="s">
        <v>2184</v>
      </c>
      <c r="F1702" s="138" t="s">
        <v>650</v>
      </c>
      <c r="G1702" s="140">
        <v>60000.0</v>
      </c>
      <c r="H1702" s="139" t="s">
        <v>530</v>
      </c>
      <c r="I1702" s="124">
        <f t="shared" si="95"/>
        <v>6000</v>
      </c>
      <c r="J1702" s="150" t="s">
        <v>1351</v>
      </c>
      <c r="K1702" s="150"/>
      <c r="L1702" s="150"/>
    </row>
    <row r="1703">
      <c r="B1703" s="139" t="s">
        <v>526</v>
      </c>
      <c r="C1703" s="138" t="s">
        <v>2186</v>
      </c>
      <c r="D1703" s="138" t="s">
        <v>13</v>
      </c>
      <c r="E1703" s="138" t="s">
        <v>2187</v>
      </c>
      <c r="F1703" s="138" t="s">
        <v>586</v>
      </c>
      <c r="G1703" s="140">
        <v>45000.0</v>
      </c>
      <c r="H1703" s="139" t="s">
        <v>530</v>
      </c>
      <c r="I1703" s="124">
        <f t="shared" si="95"/>
        <v>4500</v>
      </c>
      <c r="J1703" s="150" t="s">
        <v>1351</v>
      </c>
      <c r="K1703" s="150"/>
      <c r="L1703" s="150"/>
    </row>
    <row r="1704">
      <c r="B1704" s="139" t="s">
        <v>526</v>
      </c>
      <c r="C1704" s="138" t="s">
        <v>2186</v>
      </c>
      <c r="D1704" s="138" t="s">
        <v>13</v>
      </c>
      <c r="E1704" s="138" t="s">
        <v>2187</v>
      </c>
      <c r="F1704" s="138" t="s">
        <v>643</v>
      </c>
      <c r="G1704" s="140">
        <v>27000.0</v>
      </c>
      <c r="H1704" s="139" t="s">
        <v>530</v>
      </c>
      <c r="I1704" s="124">
        <f t="shared" si="95"/>
        <v>2700</v>
      </c>
      <c r="J1704" s="150" t="s">
        <v>1351</v>
      </c>
      <c r="K1704" s="150"/>
      <c r="L1704" s="150"/>
    </row>
    <row r="1705">
      <c r="B1705" s="139" t="s">
        <v>526</v>
      </c>
      <c r="C1705" s="138" t="s">
        <v>2186</v>
      </c>
      <c r="D1705" s="138" t="s">
        <v>13</v>
      </c>
      <c r="E1705" s="138" t="s">
        <v>2188</v>
      </c>
      <c r="F1705" s="138" t="s">
        <v>738</v>
      </c>
      <c r="G1705" s="140">
        <v>20000.0</v>
      </c>
      <c r="H1705" s="139" t="s">
        <v>530</v>
      </c>
      <c r="I1705" s="124">
        <f t="shared" si="95"/>
        <v>2000</v>
      </c>
      <c r="J1705" s="150" t="s">
        <v>1351</v>
      </c>
      <c r="K1705" s="150"/>
      <c r="L1705" s="150"/>
    </row>
    <row r="1706">
      <c r="B1706" s="139" t="s">
        <v>526</v>
      </c>
      <c r="C1706" s="138" t="s">
        <v>2189</v>
      </c>
      <c r="D1706" s="138" t="s">
        <v>13</v>
      </c>
      <c r="E1706" s="138" t="s">
        <v>2184</v>
      </c>
      <c r="F1706" s="138" t="s">
        <v>650</v>
      </c>
      <c r="G1706" s="140">
        <v>175000.0</v>
      </c>
      <c r="H1706" s="139" t="s">
        <v>530</v>
      </c>
      <c r="I1706" s="124">
        <f t="shared" si="95"/>
        <v>17500</v>
      </c>
      <c r="J1706" s="150" t="s">
        <v>1351</v>
      </c>
      <c r="K1706" s="150"/>
      <c r="L1706" s="150"/>
    </row>
    <row r="1707">
      <c r="B1707" s="139" t="s">
        <v>526</v>
      </c>
      <c r="C1707" s="138" t="s">
        <v>2190</v>
      </c>
      <c r="D1707" s="138" t="s">
        <v>13</v>
      </c>
      <c r="E1707" s="138" t="s">
        <v>2184</v>
      </c>
      <c r="F1707" s="138" t="s">
        <v>650</v>
      </c>
      <c r="G1707" s="140">
        <v>120000.0</v>
      </c>
      <c r="H1707" s="139" t="s">
        <v>530</v>
      </c>
      <c r="I1707" s="124">
        <f t="shared" si="95"/>
        <v>12000</v>
      </c>
      <c r="J1707" s="150" t="s">
        <v>1351</v>
      </c>
      <c r="K1707" s="150"/>
      <c r="L1707" s="150"/>
    </row>
    <row r="1708">
      <c r="B1708" s="139" t="s">
        <v>526</v>
      </c>
      <c r="C1708" s="138" t="s">
        <v>2191</v>
      </c>
      <c r="D1708" s="138" t="s">
        <v>13</v>
      </c>
      <c r="E1708" s="138" t="s">
        <v>2184</v>
      </c>
      <c r="F1708" s="138" t="s">
        <v>650</v>
      </c>
      <c r="G1708" s="140">
        <v>150000.0</v>
      </c>
      <c r="H1708" s="139" t="s">
        <v>530</v>
      </c>
      <c r="I1708" s="124">
        <f t="shared" si="95"/>
        <v>15000</v>
      </c>
      <c r="J1708" s="150" t="s">
        <v>1351</v>
      </c>
      <c r="K1708" s="150"/>
      <c r="L1708" s="150"/>
    </row>
    <row r="1709">
      <c r="B1709" s="139" t="s">
        <v>526</v>
      </c>
      <c r="C1709" s="138" t="s">
        <v>2192</v>
      </c>
      <c r="D1709" s="138" t="s">
        <v>13</v>
      </c>
      <c r="E1709" s="138" t="s">
        <v>2184</v>
      </c>
      <c r="F1709" s="138" t="s">
        <v>650</v>
      </c>
      <c r="G1709" s="140">
        <v>175000.0</v>
      </c>
      <c r="H1709" s="139" t="s">
        <v>530</v>
      </c>
      <c r="I1709" s="124">
        <f t="shared" si="95"/>
        <v>17500</v>
      </c>
      <c r="J1709" s="150" t="s">
        <v>1351</v>
      </c>
      <c r="K1709" s="150"/>
      <c r="L1709" s="150"/>
    </row>
    <row r="1710">
      <c r="B1710" s="139" t="s">
        <v>526</v>
      </c>
      <c r="C1710" s="138" t="s">
        <v>2193</v>
      </c>
      <c r="D1710" s="138" t="s">
        <v>13</v>
      </c>
      <c r="E1710" s="138" t="s">
        <v>2184</v>
      </c>
      <c r="F1710" s="138" t="s">
        <v>650</v>
      </c>
      <c r="G1710" s="140">
        <v>85000.0</v>
      </c>
      <c r="H1710" s="139" t="s">
        <v>530</v>
      </c>
      <c r="I1710" s="124">
        <f t="shared" si="95"/>
        <v>8500</v>
      </c>
      <c r="J1710" s="150" t="s">
        <v>1351</v>
      </c>
      <c r="K1710" s="150"/>
      <c r="L1710" s="150"/>
    </row>
    <row r="1711">
      <c r="B1711" s="139" t="s">
        <v>526</v>
      </c>
      <c r="C1711" s="138" t="s">
        <v>2194</v>
      </c>
      <c r="D1711" s="138" t="s">
        <v>13</v>
      </c>
      <c r="E1711" s="138" t="s">
        <v>2184</v>
      </c>
      <c r="F1711" s="138" t="s">
        <v>650</v>
      </c>
      <c r="G1711" s="140">
        <v>175000.0</v>
      </c>
      <c r="H1711" s="139" t="s">
        <v>530</v>
      </c>
      <c r="I1711" s="124">
        <f t="shared" si="95"/>
        <v>17500</v>
      </c>
      <c r="J1711" s="150" t="s">
        <v>1351</v>
      </c>
      <c r="K1711" s="150"/>
      <c r="L1711" s="150"/>
    </row>
    <row r="1712">
      <c r="B1712" s="139" t="s">
        <v>526</v>
      </c>
      <c r="C1712" s="138" t="s">
        <v>2195</v>
      </c>
      <c r="D1712" s="138" t="s">
        <v>13</v>
      </c>
      <c r="E1712" s="138" t="s">
        <v>2184</v>
      </c>
      <c r="F1712" s="138" t="s">
        <v>650</v>
      </c>
      <c r="G1712" s="140">
        <v>100000.0</v>
      </c>
      <c r="H1712" s="138" t="s">
        <v>728</v>
      </c>
      <c r="I1712" s="124">
        <f>G1712/7</f>
        <v>14285.71429</v>
      </c>
      <c r="J1712" s="150" t="s">
        <v>1351</v>
      </c>
      <c r="K1712" s="150"/>
      <c r="L1712" s="150"/>
    </row>
    <row r="1713">
      <c r="B1713" s="139" t="s">
        <v>526</v>
      </c>
      <c r="C1713" s="138" t="s">
        <v>2196</v>
      </c>
      <c r="D1713" s="138" t="s">
        <v>13</v>
      </c>
      <c r="E1713" s="138" t="s">
        <v>2184</v>
      </c>
      <c r="F1713" s="138" t="s">
        <v>650</v>
      </c>
      <c r="G1713" s="140">
        <v>60000.0</v>
      </c>
      <c r="H1713" s="139" t="s">
        <v>530</v>
      </c>
      <c r="I1713" s="124">
        <f t="shared" ref="I1713:I1720" si="96">G1713/10</f>
        <v>6000</v>
      </c>
      <c r="J1713" s="150" t="s">
        <v>1351</v>
      </c>
      <c r="K1713" s="150"/>
      <c r="L1713" s="150"/>
    </row>
    <row r="1714">
      <c r="B1714" s="139" t="s">
        <v>526</v>
      </c>
      <c r="C1714" s="138" t="s">
        <v>2196</v>
      </c>
      <c r="D1714" s="138" t="s">
        <v>13</v>
      </c>
      <c r="E1714" s="138" t="s">
        <v>2197</v>
      </c>
      <c r="F1714" s="138" t="s">
        <v>586</v>
      </c>
      <c r="G1714" s="140">
        <v>50000.0</v>
      </c>
      <c r="H1714" s="139" t="s">
        <v>530</v>
      </c>
      <c r="I1714" s="124">
        <f t="shared" si="96"/>
        <v>5000</v>
      </c>
      <c r="J1714" s="150" t="s">
        <v>1351</v>
      </c>
      <c r="K1714" s="150"/>
      <c r="L1714" s="150"/>
    </row>
    <row r="1715">
      <c r="B1715" s="139" t="s">
        <v>526</v>
      </c>
      <c r="C1715" s="138" t="s">
        <v>2196</v>
      </c>
      <c r="D1715" s="138" t="s">
        <v>13</v>
      </c>
      <c r="E1715" s="138" t="s">
        <v>2197</v>
      </c>
      <c r="F1715" s="138" t="s">
        <v>643</v>
      </c>
      <c r="G1715" s="140">
        <v>35000.0</v>
      </c>
      <c r="H1715" s="139" t="s">
        <v>530</v>
      </c>
      <c r="I1715" s="124">
        <f t="shared" si="96"/>
        <v>3500</v>
      </c>
      <c r="J1715" s="150" t="s">
        <v>1351</v>
      </c>
      <c r="K1715" s="150"/>
      <c r="L1715" s="150"/>
    </row>
    <row r="1716">
      <c r="B1716" s="139" t="s">
        <v>526</v>
      </c>
      <c r="C1716" s="138" t="s">
        <v>2196</v>
      </c>
      <c r="D1716" s="138" t="s">
        <v>13</v>
      </c>
      <c r="E1716" s="138" t="s">
        <v>58</v>
      </c>
      <c r="F1716" s="138" t="s">
        <v>738</v>
      </c>
      <c r="G1716" s="140">
        <v>36000.0</v>
      </c>
      <c r="H1716" s="139" t="s">
        <v>530</v>
      </c>
      <c r="I1716" s="124">
        <f t="shared" si="96"/>
        <v>3600</v>
      </c>
      <c r="J1716" s="150" t="s">
        <v>1351</v>
      </c>
      <c r="K1716" s="150"/>
      <c r="L1716" s="150"/>
    </row>
    <row r="1717">
      <c r="B1717" s="139" t="s">
        <v>526</v>
      </c>
      <c r="C1717" s="138" t="s">
        <v>2198</v>
      </c>
      <c r="D1717" s="138" t="s">
        <v>13</v>
      </c>
      <c r="E1717" s="138" t="s">
        <v>2184</v>
      </c>
      <c r="F1717" s="138" t="s">
        <v>650</v>
      </c>
      <c r="G1717" s="140">
        <v>100000.0</v>
      </c>
      <c r="H1717" s="139" t="s">
        <v>530</v>
      </c>
      <c r="I1717" s="124">
        <f t="shared" si="96"/>
        <v>10000</v>
      </c>
      <c r="J1717" s="150" t="s">
        <v>1351</v>
      </c>
      <c r="K1717" s="150"/>
      <c r="L1717" s="150"/>
    </row>
    <row r="1718">
      <c r="B1718" s="139" t="s">
        <v>526</v>
      </c>
      <c r="C1718" s="138" t="s">
        <v>2199</v>
      </c>
      <c r="D1718" s="138" t="s">
        <v>13</v>
      </c>
      <c r="E1718" s="138" t="s">
        <v>1443</v>
      </c>
      <c r="F1718" s="138" t="s">
        <v>650</v>
      </c>
      <c r="G1718" s="140">
        <v>250000.0</v>
      </c>
      <c r="H1718" s="139" t="s">
        <v>530</v>
      </c>
      <c r="I1718" s="124">
        <f t="shared" si="96"/>
        <v>25000</v>
      </c>
      <c r="J1718" s="150" t="s">
        <v>1351</v>
      </c>
      <c r="K1718" s="150"/>
      <c r="L1718" s="150"/>
    </row>
    <row r="1719">
      <c r="B1719" s="139" t="s">
        <v>526</v>
      </c>
      <c r="C1719" s="138" t="s">
        <v>2200</v>
      </c>
      <c r="D1719" s="138" t="s">
        <v>13</v>
      </c>
      <c r="E1719" s="138" t="s">
        <v>1443</v>
      </c>
      <c r="F1719" s="138" t="s">
        <v>650</v>
      </c>
      <c r="G1719" s="140">
        <v>150000.0</v>
      </c>
      <c r="H1719" s="139" t="s">
        <v>530</v>
      </c>
      <c r="I1719" s="124">
        <f t="shared" si="96"/>
        <v>15000</v>
      </c>
      <c r="J1719" s="150" t="s">
        <v>1351</v>
      </c>
      <c r="K1719" s="150"/>
      <c r="L1719" s="150"/>
    </row>
    <row r="1720">
      <c r="B1720" s="139" t="s">
        <v>526</v>
      </c>
      <c r="C1720" s="138" t="s">
        <v>2201</v>
      </c>
      <c r="D1720" s="138" t="s">
        <v>13</v>
      </c>
      <c r="E1720" s="138" t="s">
        <v>1443</v>
      </c>
      <c r="F1720" s="138" t="s">
        <v>650</v>
      </c>
      <c r="G1720" s="140">
        <v>160000.0</v>
      </c>
      <c r="H1720" s="139" t="s">
        <v>530</v>
      </c>
      <c r="I1720" s="124">
        <f t="shared" si="96"/>
        <v>16000</v>
      </c>
      <c r="J1720" s="150" t="s">
        <v>1351</v>
      </c>
      <c r="K1720" s="150"/>
      <c r="L1720" s="150"/>
    </row>
    <row r="1721">
      <c r="B1721" s="139" t="s">
        <v>526</v>
      </c>
      <c r="C1721" s="138" t="s">
        <v>2202</v>
      </c>
      <c r="D1721" s="138" t="s">
        <v>13</v>
      </c>
      <c r="E1721" s="138" t="s">
        <v>1443</v>
      </c>
      <c r="F1721" s="138" t="s">
        <v>650</v>
      </c>
      <c r="G1721" s="140">
        <v>16000.0</v>
      </c>
      <c r="H1721" s="138" t="s">
        <v>677</v>
      </c>
      <c r="I1721" s="124">
        <f>G1721/2</f>
        <v>8000</v>
      </c>
      <c r="J1721" s="150" t="s">
        <v>1351</v>
      </c>
      <c r="K1721" s="150"/>
      <c r="L1721" s="150"/>
    </row>
    <row r="1722">
      <c r="B1722" s="139" t="s">
        <v>526</v>
      </c>
      <c r="C1722" s="138" t="s">
        <v>2202</v>
      </c>
      <c r="D1722" s="138" t="s">
        <v>13</v>
      </c>
      <c r="E1722" s="138" t="s">
        <v>2203</v>
      </c>
      <c r="F1722" s="138" t="s">
        <v>643</v>
      </c>
      <c r="G1722" s="140">
        <v>90000.0</v>
      </c>
      <c r="H1722" s="139" t="s">
        <v>530</v>
      </c>
      <c r="I1722" s="124">
        <f t="shared" ref="I1722:I1742" si="97">G1722/10</f>
        <v>9000</v>
      </c>
      <c r="J1722" s="150" t="s">
        <v>1351</v>
      </c>
      <c r="K1722" s="150"/>
      <c r="L1722" s="150"/>
    </row>
    <row r="1723">
      <c r="B1723" s="139" t="s">
        <v>526</v>
      </c>
      <c r="C1723" s="138" t="s">
        <v>2204</v>
      </c>
      <c r="D1723" s="138" t="s">
        <v>13</v>
      </c>
      <c r="E1723" s="138" t="s">
        <v>1443</v>
      </c>
      <c r="F1723" s="138" t="s">
        <v>650</v>
      </c>
      <c r="G1723" s="140">
        <v>150000.0</v>
      </c>
      <c r="H1723" s="139" t="s">
        <v>530</v>
      </c>
      <c r="I1723" s="124">
        <f t="shared" si="97"/>
        <v>15000</v>
      </c>
      <c r="J1723" s="150" t="s">
        <v>1351</v>
      </c>
      <c r="K1723" s="150"/>
      <c r="L1723" s="150"/>
    </row>
    <row r="1724">
      <c r="B1724" s="139" t="s">
        <v>526</v>
      </c>
      <c r="C1724" s="138" t="s">
        <v>2205</v>
      </c>
      <c r="D1724" s="138" t="s">
        <v>13</v>
      </c>
      <c r="E1724" s="138" t="s">
        <v>1443</v>
      </c>
      <c r="F1724" s="138" t="s">
        <v>650</v>
      </c>
      <c r="G1724" s="140">
        <v>90000.0</v>
      </c>
      <c r="H1724" s="139" t="s">
        <v>530</v>
      </c>
      <c r="I1724" s="124">
        <f t="shared" si="97"/>
        <v>9000</v>
      </c>
      <c r="J1724" s="150" t="s">
        <v>1351</v>
      </c>
      <c r="K1724" s="150"/>
      <c r="L1724" s="150"/>
    </row>
    <row r="1725">
      <c r="B1725" s="139" t="s">
        <v>526</v>
      </c>
      <c r="C1725" s="138" t="s">
        <v>2206</v>
      </c>
      <c r="D1725" s="138" t="s">
        <v>13</v>
      </c>
      <c r="E1725" s="138" t="s">
        <v>2207</v>
      </c>
      <c r="F1725" s="138" t="s">
        <v>586</v>
      </c>
      <c r="G1725" s="140">
        <v>45000.0</v>
      </c>
      <c r="H1725" s="139" t="s">
        <v>530</v>
      </c>
      <c r="I1725" s="124">
        <f t="shared" si="97"/>
        <v>4500</v>
      </c>
      <c r="J1725" s="150" t="s">
        <v>1351</v>
      </c>
      <c r="K1725" s="150"/>
      <c r="L1725" s="150"/>
    </row>
    <row r="1726">
      <c r="B1726" s="139" t="s">
        <v>526</v>
      </c>
      <c r="C1726" s="138" t="s">
        <v>2206</v>
      </c>
      <c r="D1726" s="138" t="s">
        <v>13</v>
      </c>
      <c r="E1726" s="138" t="s">
        <v>2207</v>
      </c>
      <c r="F1726" s="138" t="s">
        <v>643</v>
      </c>
      <c r="G1726" s="140">
        <v>24000.0</v>
      </c>
      <c r="H1726" s="139" t="s">
        <v>530</v>
      </c>
      <c r="I1726" s="124">
        <f t="shared" si="97"/>
        <v>2400</v>
      </c>
      <c r="J1726" s="150" t="s">
        <v>1351</v>
      </c>
      <c r="K1726" s="150"/>
      <c r="L1726" s="150"/>
    </row>
    <row r="1727">
      <c r="B1727" s="139" t="s">
        <v>526</v>
      </c>
      <c r="C1727" s="138" t="s">
        <v>2206</v>
      </c>
      <c r="D1727" s="138" t="s">
        <v>13</v>
      </c>
      <c r="E1727" s="138" t="s">
        <v>1443</v>
      </c>
      <c r="F1727" s="138" t="s">
        <v>650</v>
      </c>
      <c r="G1727" s="140">
        <v>70000.0</v>
      </c>
      <c r="H1727" s="139" t="s">
        <v>530</v>
      </c>
      <c r="I1727" s="124">
        <f t="shared" si="97"/>
        <v>7000</v>
      </c>
      <c r="J1727" s="150" t="s">
        <v>1351</v>
      </c>
      <c r="K1727" s="150"/>
      <c r="L1727" s="150"/>
    </row>
    <row r="1728">
      <c r="B1728" s="139" t="s">
        <v>526</v>
      </c>
      <c r="C1728" s="138" t="s">
        <v>2208</v>
      </c>
      <c r="D1728" s="138" t="s">
        <v>13</v>
      </c>
      <c r="E1728" s="138" t="s">
        <v>1443</v>
      </c>
      <c r="F1728" s="138" t="s">
        <v>650</v>
      </c>
      <c r="G1728" s="140">
        <v>100000.0</v>
      </c>
      <c r="H1728" s="139" t="s">
        <v>530</v>
      </c>
      <c r="I1728" s="124">
        <f t="shared" si="97"/>
        <v>10000</v>
      </c>
      <c r="J1728" s="150" t="s">
        <v>1351</v>
      </c>
      <c r="K1728" s="150"/>
      <c r="L1728" s="150"/>
    </row>
    <row r="1729">
      <c r="B1729" s="139" t="s">
        <v>526</v>
      </c>
      <c r="C1729" s="138" t="s">
        <v>2208</v>
      </c>
      <c r="D1729" s="138" t="s">
        <v>13</v>
      </c>
      <c r="E1729" s="138" t="s">
        <v>2209</v>
      </c>
      <c r="F1729" s="138" t="s">
        <v>586</v>
      </c>
      <c r="G1729" s="140">
        <v>45000.0</v>
      </c>
      <c r="H1729" s="139" t="s">
        <v>530</v>
      </c>
      <c r="I1729" s="124">
        <f t="shared" si="97"/>
        <v>4500</v>
      </c>
      <c r="J1729" s="150" t="s">
        <v>1351</v>
      </c>
      <c r="K1729" s="150"/>
      <c r="L1729" s="150"/>
    </row>
    <row r="1730">
      <c r="B1730" s="139" t="s">
        <v>526</v>
      </c>
      <c r="C1730" s="138" t="s">
        <v>2208</v>
      </c>
      <c r="D1730" s="138" t="s">
        <v>13</v>
      </c>
      <c r="E1730" s="138" t="s">
        <v>2209</v>
      </c>
      <c r="F1730" s="138" t="s">
        <v>643</v>
      </c>
      <c r="G1730" s="140">
        <v>25000.0</v>
      </c>
      <c r="H1730" s="139" t="s">
        <v>530</v>
      </c>
      <c r="I1730" s="124">
        <f t="shared" si="97"/>
        <v>2500</v>
      </c>
      <c r="J1730" s="150" t="s">
        <v>1351</v>
      </c>
      <c r="K1730" s="150"/>
      <c r="L1730" s="150"/>
    </row>
    <row r="1731">
      <c r="B1731" s="139" t="s">
        <v>526</v>
      </c>
      <c r="C1731" s="138" t="s">
        <v>2210</v>
      </c>
      <c r="D1731" s="138" t="s">
        <v>13</v>
      </c>
      <c r="E1731" s="138" t="s">
        <v>1443</v>
      </c>
      <c r="F1731" s="138" t="s">
        <v>650</v>
      </c>
      <c r="G1731" s="140">
        <v>60000.0</v>
      </c>
      <c r="H1731" s="139" t="s">
        <v>530</v>
      </c>
      <c r="I1731" s="124">
        <f t="shared" si="97"/>
        <v>6000</v>
      </c>
      <c r="J1731" s="150" t="s">
        <v>1351</v>
      </c>
      <c r="K1731" s="150"/>
      <c r="L1731" s="150"/>
    </row>
    <row r="1732">
      <c r="B1732" s="139" t="s">
        <v>526</v>
      </c>
      <c r="C1732" s="138" t="s">
        <v>2211</v>
      </c>
      <c r="D1732" s="138" t="s">
        <v>13</v>
      </c>
      <c r="E1732" s="138" t="s">
        <v>1443</v>
      </c>
      <c r="F1732" s="138" t="s">
        <v>650</v>
      </c>
      <c r="G1732" s="140">
        <v>20000.0</v>
      </c>
      <c r="H1732" s="139" t="s">
        <v>530</v>
      </c>
      <c r="I1732" s="124">
        <f t="shared" si="97"/>
        <v>2000</v>
      </c>
      <c r="J1732" s="150" t="s">
        <v>1351</v>
      </c>
      <c r="K1732" s="150"/>
      <c r="L1732" s="150"/>
    </row>
    <row r="1733">
      <c r="B1733" s="139" t="s">
        <v>526</v>
      </c>
      <c r="C1733" s="138" t="s">
        <v>2212</v>
      </c>
      <c r="D1733" s="138" t="s">
        <v>13</v>
      </c>
      <c r="E1733" s="138" t="s">
        <v>1443</v>
      </c>
      <c r="F1733" s="138" t="s">
        <v>650</v>
      </c>
      <c r="G1733" s="140">
        <v>20000.0</v>
      </c>
      <c r="H1733" s="139" t="s">
        <v>530</v>
      </c>
      <c r="I1733" s="124">
        <f t="shared" si="97"/>
        <v>2000</v>
      </c>
      <c r="J1733" s="150" t="s">
        <v>1351</v>
      </c>
      <c r="K1733" s="150"/>
      <c r="L1733" s="150"/>
    </row>
    <row r="1734">
      <c r="B1734" s="139" t="s">
        <v>526</v>
      </c>
      <c r="C1734" s="138" t="s">
        <v>2213</v>
      </c>
      <c r="D1734" s="138" t="s">
        <v>13</v>
      </c>
      <c r="E1734" s="138" t="s">
        <v>31</v>
      </c>
      <c r="F1734" s="138" t="s">
        <v>650</v>
      </c>
      <c r="G1734" s="140">
        <v>125000.0</v>
      </c>
      <c r="H1734" s="139" t="s">
        <v>530</v>
      </c>
      <c r="I1734" s="124">
        <f t="shared" si="97"/>
        <v>12500</v>
      </c>
      <c r="J1734" s="150" t="s">
        <v>1351</v>
      </c>
      <c r="K1734" s="150"/>
      <c r="L1734" s="150"/>
    </row>
    <row r="1735">
      <c r="B1735" s="139" t="s">
        <v>526</v>
      </c>
      <c r="C1735" s="138" t="s">
        <v>2214</v>
      </c>
      <c r="D1735" s="138" t="s">
        <v>13</v>
      </c>
      <c r="E1735" s="138" t="s">
        <v>31</v>
      </c>
      <c r="F1735" s="138" t="s">
        <v>650</v>
      </c>
      <c r="G1735" s="140">
        <v>135000.0</v>
      </c>
      <c r="H1735" s="139" t="s">
        <v>530</v>
      </c>
      <c r="I1735" s="124">
        <f t="shared" si="97"/>
        <v>13500</v>
      </c>
      <c r="J1735" s="150" t="s">
        <v>1351</v>
      </c>
      <c r="K1735" s="150"/>
      <c r="L1735" s="150"/>
    </row>
    <row r="1736">
      <c r="B1736" s="139" t="s">
        <v>526</v>
      </c>
      <c r="C1736" s="138" t="s">
        <v>2215</v>
      </c>
      <c r="D1736" s="138" t="s">
        <v>13</v>
      </c>
      <c r="E1736" s="138" t="s">
        <v>31</v>
      </c>
      <c r="F1736" s="138" t="s">
        <v>650</v>
      </c>
      <c r="G1736" s="140">
        <v>70000.0</v>
      </c>
      <c r="H1736" s="139" t="s">
        <v>530</v>
      </c>
      <c r="I1736" s="124">
        <f t="shared" si="97"/>
        <v>7000</v>
      </c>
      <c r="J1736" s="150" t="s">
        <v>1351</v>
      </c>
      <c r="K1736" s="150"/>
      <c r="L1736" s="150"/>
    </row>
    <row r="1737">
      <c r="B1737" s="139" t="s">
        <v>526</v>
      </c>
      <c r="C1737" s="138" t="s">
        <v>2216</v>
      </c>
      <c r="D1737" s="138" t="s">
        <v>13</v>
      </c>
      <c r="E1737" s="138" t="s">
        <v>58</v>
      </c>
      <c r="F1737" s="138" t="s">
        <v>586</v>
      </c>
      <c r="G1737" s="140">
        <v>78000.0</v>
      </c>
      <c r="H1737" s="139" t="s">
        <v>530</v>
      </c>
      <c r="I1737" s="124">
        <f t="shared" si="97"/>
        <v>7800</v>
      </c>
      <c r="J1737" s="150" t="s">
        <v>1351</v>
      </c>
      <c r="K1737" s="150"/>
      <c r="L1737" s="150"/>
    </row>
    <row r="1738">
      <c r="B1738" s="139" t="s">
        <v>526</v>
      </c>
      <c r="C1738" s="138" t="s">
        <v>2217</v>
      </c>
      <c r="D1738" s="138" t="s">
        <v>13</v>
      </c>
      <c r="E1738" s="138" t="s">
        <v>31</v>
      </c>
      <c r="F1738" s="138" t="s">
        <v>650</v>
      </c>
      <c r="G1738" s="140">
        <v>100000.0</v>
      </c>
      <c r="H1738" s="139" t="s">
        <v>530</v>
      </c>
      <c r="I1738" s="124">
        <f t="shared" si="97"/>
        <v>10000</v>
      </c>
      <c r="J1738" s="150" t="s">
        <v>1351</v>
      </c>
      <c r="K1738" s="150"/>
      <c r="L1738" s="150"/>
    </row>
    <row r="1739">
      <c r="B1739" s="139" t="s">
        <v>526</v>
      </c>
      <c r="C1739" s="138" t="s">
        <v>2218</v>
      </c>
      <c r="D1739" s="138" t="s">
        <v>13</v>
      </c>
      <c r="E1739" s="138" t="s">
        <v>31</v>
      </c>
      <c r="F1739" s="138" t="s">
        <v>650</v>
      </c>
      <c r="G1739" s="140">
        <v>60000.0</v>
      </c>
      <c r="H1739" s="139" t="s">
        <v>530</v>
      </c>
      <c r="I1739" s="124">
        <f t="shared" si="97"/>
        <v>6000</v>
      </c>
      <c r="J1739" s="150" t="s">
        <v>1351</v>
      </c>
      <c r="K1739" s="150"/>
      <c r="L1739" s="150"/>
    </row>
    <row r="1740">
      <c r="B1740" s="139" t="s">
        <v>526</v>
      </c>
      <c r="C1740" s="138" t="s">
        <v>2219</v>
      </c>
      <c r="D1740" s="138" t="s">
        <v>13</v>
      </c>
      <c r="E1740" s="138" t="s">
        <v>31</v>
      </c>
      <c r="F1740" s="138" t="s">
        <v>650</v>
      </c>
      <c r="G1740" s="140">
        <v>80000.0</v>
      </c>
      <c r="H1740" s="139" t="s">
        <v>530</v>
      </c>
      <c r="I1740" s="124">
        <f t="shared" si="97"/>
        <v>8000</v>
      </c>
      <c r="J1740" s="150" t="s">
        <v>1351</v>
      </c>
      <c r="K1740" s="150"/>
      <c r="L1740" s="150"/>
    </row>
    <row r="1741">
      <c r="B1741" s="139" t="s">
        <v>526</v>
      </c>
      <c r="C1741" s="138" t="s">
        <v>2220</v>
      </c>
      <c r="D1741" s="138" t="s">
        <v>13</v>
      </c>
      <c r="E1741" s="138" t="s">
        <v>31</v>
      </c>
      <c r="F1741" s="138" t="s">
        <v>650</v>
      </c>
      <c r="G1741" s="140">
        <v>130000.0</v>
      </c>
      <c r="H1741" s="139" t="s">
        <v>530</v>
      </c>
      <c r="I1741" s="124">
        <f t="shared" si="97"/>
        <v>13000</v>
      </c>
      <c r="J1741" s="150" t="s">
        <v>1351</v>
      </c>
      <c r="K1741" s="150"/>
      <c r="L1741" s="150"/>
    </row>
    <row r="1742">
      <c r="B1742" s="139" t="s">
        <v>526</v>
      </c>
      <c r="C1742" s="138" t="s">
        <v>2221</v>
      </c>
      <c r="D1742" s="138" t="s">
        <v>13</v>
      </c>
      <c r="E1742" s="138" t="s">
        <v>31</v>
      </c>
      <c r="F1742" s="138" t="s">
        <v>650</v>
      </c>
      <c r="G1742" s="140">
        <v>110000.0</v>
      </c>
      <c r="H1742" s="139" t="s">
        <v>530</v>
      </c>
      <c r="I1742" s="124">
        <f t="shared" si="97"/>
        <v>11000</v>
      </c>
      <c r="J1742" s="150" t="s">
        <v>1351</v>
      </c>
      <c r="K1742" s="150"/>
      <c r="L1742" s="150"/>
    </row>
    <row r="1743">
      <c r="B1743" s="139" t="s">
        <v>526</v>
      </c>
      <c r="C1743" s="138" t="s">
        <v>1219</v>
      </c>
      <c r="D1743" s="138" t="s">
        <v>13</v>
      </c>
      <c r="E1743" s="138" t="s">
        <v>31</v>
      </c>
      <c r="F1743" s="138" t="s">
        <v>650</v>
      </c>
      <c r="G1743" s="140">
        <v>18000.0</v>
      </c>
      <c r="H1743" s="138" t="s">
        <v>677</v>
      </c>
      <c r="I1743" s="124">
        <f>G1743/2</f>
        <v>9000</v>
      </c>
      <c r="J1743" s="150" t="s">
        <v>1351</v>
      </c>
      <c r="K1743" s="150"/>
      <c r="L1743" s="150"/>
    </row>
    <row r="1744">
      <c r="B1744" s="139" t="s">
        <v>526</v>
      </c>
      <c r="C1744" s="138" t="s">
        <v>2222</v>
      </c>
      <c r="D1744" s="138" t="s">
        <v>13</v>
      </c>
      <c r="E1744" s="138" t="s">
        <v>31</v>
      </c>
      <c r="F1744" s="138" t="s">
        <v>650</v>
      </c>
      <c r="G1744" s="140">
        <v>80000.0</v>
      </c>
      <c r="H1744" s="139" t="s">
        <v>530</v>
      </c>
      <c r="I1744" s="124">
        <f t="shared" ref="I1744:I1756" si="98">G1744/10</f>
        <v>8000</v>
      </c>
      <c r="J1744" s="150" t="s">
        <v>1351</v>
      </c>
      <c r="K1744" s="150"/>
      <c r="L1744" s="150"/>
    </row>
    <row r="1745">
      <c r="B1745" s="139" t="s">
        <v>526</v>
      </c>
      <c r="C1745" s="138" t="s">
        <v>2223</v>
      </c>
      <c r="D1745" s="138" t="s">
        <v>13</v>
      </c>
      <c r="E1745" s="138" t="s">
        <v>31</v>
      </c>
      <c r="F1745" s="138" t="s">
        <v>650</v>
      </c>
      <c r="G1745" s="140">
        <v>110000.0</v>
      </c>
      <c r="H1745" s="139" t="s">
        <v>530</v>
      </c>
      <c r="I1745" s="124">
        <f t="shared" si="98"/>
        <v>11000</v>
      </c>
      <c r="J1745" s="150" t="s">
        <v>1351</v>
      </c>
      <c r="K1745" s="150"/>
      <c r="L1745" s="150"/>
    </row>
    <row r="1746">
      <c r="B1746" s="139" t="s">
        <v>526</v>
      </c>
      <c r="C1746" s="138" t="s">
        <v>2224</v>
      </c>
      <c r="D1746" s="138" t="s">
        <v>13</v>
      </c>
      <c r="E1746" s="138" t="s">
        <v>44</v>
      </c>
      <c r="F1746" s="138" t="s">
        <v>650</v>
      </c>
      <c r="G1746" s="140">
        <v>220000.0</v>
      </c>
      <c r="H1746" s="139" t="s">
        <v>530</v>
      </c>
      <c r="I1746" s="124">
        <f t="shared" si="98"/>
        <v>22000</v>
      </c>
      <c r="J1746" s="150" t="s">
        <v>1351</v>
      </c>
      <c r="K1746" s="150"/>
      <c r="L1746" s="150"/>
    </row>
    <row r="1747">
      <c r="B1747" s="139" t="s">
        <v>526</v>
      </c>
      <c r="C1747" s="138" t="s">
        <v>2225</v>
      </c>
      <c r="D1747" s="138" t="s">
        <v>13</v>
      </c>
      <c r="E1747" s="138" t="s">
        <v>44</v>
      </c>
      <c r="F1747" s="138" t="s">
        <v>650</v>
      </c>
      <c r="G1747" s="140">
        <v>195000.0</v>
      </c>
      <c r="H1747" s="139" t="s">
        <v>530</v>
      </c>
      <c r="I1747" s="124">
        <f t="shared" si="98"/>
        <v>19500</v>
      </c>
      <c r="J1747" s="150" t="s">
        <v>1351</v>
      </c>
      <c r="K1747" s="150"/>
      <c r="L1747" s="150"/>
    </row>
    <row r="1748">
      <c r="B1748" s="139" t="s">
        <v>526</v>
      </c>
      <c r="C1748" s="138" t="s">
        <v>2226</v>
      </c>
      <c r="D1748" s="138" t="s">
        <v>13</v>
      </c>
      <c r="E1748" s="138" t="s">
        <v>44</v>
      </c>
      <c r="F1748" s="138" t="s">
        <v>650</v>
      </c>
      <c r="G1748" s="140">
        <v>65000.0</v>
      </c>
      <c r="H1748" s="139" t="s">
        <v>530</v>
      </c>
      <c r="I1748" s="124">
        <f t="shared" si="98"/>
        <v>6500</v>
      </c>
      <c r="J1748" s="150" t="s">
        <v>1351</v>
      </c>
      <c r="K1748" s="150"/>
      <c r="L1748" s="150"/>
    </row>
    <row r="1749">
      <c r="B1749" s="139" t="s">
        <v>526</v>
      </c>
      <c r="C1749" s="138" t="s">
        <v>2227</v>
      </c>
      <c r="D1749" s="138" t="s">
        <v>13</v>
      </c>
      <c r="E1749" s="138" t="s">
        <v>44</v>
      </c>
      <c r="F1749" s="138" t="s">
        <v>650</v>
      </c>
      <c r="G1749" s="140">
        <v>140000.0</v>
      </c>
      <c r="H1749" s="139" t="s">
        <v>530</v>
      </c>
      <c r="I1749" s="124">
        <f t="shared" si="98"/>
        <v>14000</v>
      </c>
      <c r="J1749" s="150" t="s">
        <v>1351</v>
      </c>
      <c r="K1749" s="150"/>
      <c r="L1749" s="150"/>
    </row>
    <row r="1750">
      <c r="B1750" s="139" t="s">
        <v>526</v>
      </c>
      <c r="C1750" s="138" t="s">
        <v>2228</v>
      </c>
      <c r="D1750" s="138" t="s">
        <v>13</v>
      </c>
      <c r="E1750" s="138" t="s">
        <v>44</v>
      </c>
      <c r="F1750" s="138" t="s">
        <v>650</v>
      </c>
      <c r="G1750" s="140">
        <v>100000.0</v>
      </c>
      <c r="H1750" s="139" t="s">
        <v>530</v>
      </c>
      <c r="I1750" s="124">
        <f t="shared" si="98"/>
        <v>10000</v>
      </c>
      <c r="J1750" s="150" t="s">
        <v>1351</v>
      </c>
      <c r="K1750" s="150"/>
      <c r="L1750" s="150"/>
    </row>
    <row r="1751">
      <c r="B1751" s="139" t="s">
        <v>526</v>
      </c>
      <c r="C1751" s="138" t="s">
        <v>2229</v>
      </c>
      <c r="D1751" s="138" t="s">
        <v>13</v>
      </c>
      <c r="E1751" s="138" t="s">
        <v>44</v>
      </c>
      <c r="F1751" s="138" t="s">
        <v>650</v>
      </c>
      <c r="G1751" s="140">
        <v>155000.0</v>
      </c>
      <c r="H1751" s="139" t="s">
        <v>530</v>
      </c>
      <c r="I1751" s="124">
        <f t="shared" si="98"/>
        <v>15500</v>
      </c>
      <c r="J1751" s="150" t="s">
        <v>1351</v>
      </c>
      <c r="K1751" s="150"/>
      <c r="L1751" s="150"/>
    </row>
    <row r="1752">
      <c r="B1752" s="139" t="s">
        <v>526</v>
      </c>
      <c r="C1752" s="138" t="s">
        <v>2230</v>
      </c>
      <c r="D1752" s="138" t="s">
        <v>13</v>
      </c>
      <c r="E1752" s="138" t="s">
        <v>44</v>
      </c>
      <c r="F1752" s="138" t="s">
        <v>650</v>
      </c>
      <c r="G1752" s="140">
        <v>50000.0</v>
      </c>
      <c r="H1752" s="139" t="s">
        <v>530</v>
      </c>
      <c r="I1752" s="124">
        <f t="shared" si="98"/>
        <v>5000</v>
      </c>
      <c r="J1752" s="150" t="s">
        <v>1351</v>
      </c>
      <c r="K1752" s="150"/>
      <c r="L1752" s="150"/>
    </row>
    <row r="1753">
      <c r="B1753" s="139" t="s">
        <v>526</v>
      </c>
      <c r="C1753" s="138" t="s">
        <v>2230</v>
      </c>
      <c r="D1753" s="138" t="s">
        <v>13</v>
      </c>
      <c r="E1753" s="138" t="s">
        <v>2231</v>
      </c>
      <c r="F1753" s="138" t="s">
        <v>586</v>
      </c>
      <c r="G1753" s="140">
        <v>32000.0</v>
      </c>
      <c r="H1753" s="139" t="s">
        <v>530</v>
      </c>
      <c r="I1753" s="124">
        <f t="shared" si="98"/>
        <v>3200</v>
      </c>
      <c r="J1753" s="150" t="s">
        <v>1351</v>
      </c>
      <c r="K1753" s="150"/>
      <c r="L1753" s="150"/>
    </row>
    <row r="1754">
      <c r="B1754" s="139" t="s">
        <v>526</v>
      </c>
      <c r="C1754" s="138" t="s">
        <v>2230</v>
      </c>
      <c r="D1754" s="138" t="s">
        <v>13</v>
      </c>
      <c r="E1754" s="138" t="s">
        <v>44</v>
      </c>
      <c r="F1754" s="138" t="s">
        <v>763</v>
      </c>
      <c r="G1754" s="140">
        <v>25000.0</v>
      </c>
      <c r="H1754" s="139" t="s">
        <v>530</v>
      </c>
      <c r="I1754" s="124">
        <f t="shared" si="98"/>
        <v>2500</v>
      </c>
      <c r="J1754" s="150" t="s">
        <v>1351</v>
      </c>
      <c r="K1754" s="150"/>
      <c r="L1754" s="150"/>
    </row>
    <row r="1755">
      <c r="B1755" s="139" t="s">
        <v>526</v>
      </c>
      <c r="C1755" s="138" t="s">
        <v>2232</v>
      </c>
      <c r="D1755" s="138" t="s">
        <v>13</v>
      </c>
      <c r="E1755" s="138" t="s">
        <v>44</v>
      </c>
      <c r="F1755" s="138" t="s">
        <v>650</v>
      </c>
      <c r="G1755" s="140">
        <v>145000.0</v>
      </c>
      <c r="H1755" s="139" t="s">
        <v>530</v>
      </c>
      <c r="I1755" s="124">
        <f t="shared" si="98"/>
        <v>14500</v>
      </c>
      <c r="J1755" s="150" t="s">
        <v>1351</v>
      </c>
      <c r="K1755" s="150"/>
      <c r="L1755" s="150"/>
    </row>
    <row r="1756">
      <c r="B1756" s="139" t="s">
        <v>526</v>
      </c>
      <c r="C1756" s="138" t="s">
        <v>2233</v>
      </c>
      <c r="D1756" s="138" t="s">
        <v>13</v>
      </c>
      <c r="E1756" s="138" t="s">
        <v>44</v>
      </c>
      <c r="F1756" s="138" t="s">
        <v>650</v>
      </c>
      <c r="G1756" s="140">
        <v>80000.0</v>
      </c>
      <c r="H1756" s="139" t="s">
        <v>530</v>
      </c>
      <c r="I1756" s="124">
        <f t="shared" si="98"/>
        <v>8000</v>
      </c>
      <c r="J1756" s="150" t="s">
        <v>1351</v>
      </c>
      <c r="K1756" s="150"/>
      <c r="L1756" s="150"/>
    </row>
    <row r="1757">
      <c r="B1757" s="139" t="s">
        <v>526</v>
      </c>
      <c r="C1757" s="138" t="s">
        <v>2234</v>
      </c>
      <c r="D1757" s="138" t="s">
        <v>13</v>
      </c>
      <c r="E1757" s="138" t="s">
        <v>44</v>
      </c>
      <c r="F1757" s="138" t="s">
        <v>650</v>
      </c>
      <c r="G1757" s="140">
        <v>25000.0</v>
      </c>
      <c r="H1757" s="138" t="s">
        <v>872</v>
      </c>
      <c r="I1757" s="124">
        <f>G1757/3</f>
        <v>8333.333333</v>
      </c>
      <c r="J1757" s="150" t="s">
        <v>1351</v>
      </c>
      <c r="K1757" s="150"/>
      <c r="L1757" s="150"/>
    </row>
    <row r="1758">
      <c r="B1758" s="139" t="s">
        <v>526</v>
      </c>
      <c r="C1758" s="138" t="s">
        <v>2235</v>
      </c>
      <c r="D1758" s="138" t="s">
        <v>13</v>
      </c>
      <c r="E1758" s="138" t="s">
        <v>44</v>
      </c>
      <c r="F1758" s="138" t="s">
        <v>650</v>
      </c>
      <c r="G1758" s="140">
        <v>40000.0</v>
      </c>
      <c r="H1758" s="139" t="s">
        <v>530</v>
      </c>
      <c r="I1758" s="124">
        <f>G1758/10</f>
        <v>4000</v>
      </c>
      <c r="J1758" s="150" t="s">
        <v>1351</v>
      </c>
      <c r="K1758" s="150"/>
      <c r="L1758" s="150"/>
    </row>
    <row r="1759">
      <c r="B1759" s="139" t="s">
        <v>526</v>
      </c>
      <c r="C1759" s="138" t="s">
        <v>2235</v>
      </c>
      <c r="D1759" s="138" t="s">
        <v>13</v>
      </c>
      <c r="E1759" s="138" t="s">
        <v>2231</v>
      </c>
      <c r="F1759" s="138" t="s">
        <v>586</v>
      </c>
      <c r="G1759" s="140">
        <v>12000.0</v>
      </c>
      <c r="H1759" s="138" t="s">
        <v>872</v>
      </c>
      <c r="I1759" s="124">
        <f>G1759/3</f>
        <v>4000</v>
      </c>
      <c r="J1759" s="150" t="s">
        <v>1351</v>
      </c>
      <c r="K1759" s="150"/>
      <c r="L1759" s="150"/>
    </row>
    <row r="1760">
      <c r="B1760" s="139" t="s">
        <v>526</v>
      </c>
      <c r="C1760" s="138" t="s">
        <v>2236</v>
      </c>
      <c r="D1760" s="138" t="s">
        <v>13</v>
      </c>
      <c r="E1760" s="138" t="s">
        <v>53</v>
      </c>
      <c r="F1760" s="138" t="s">
        <v>650</v>
      </c>
      <c r="G1760" s="140">
        <v>135000.0</v>
      </c>
      <c r="H1760" s="139" t="s">
        <v>530</v>
      </c>
      <c r="I1760" s="124">
        <f t="shared" ref="I1760:I1768" si="99">G1760/10</f>
        <v>13500</v>
      </c>
      <c r="J1760" s="150" t="s">
        <v>1351</v>
      </c>
      <c r="K1760" s="150"/>
      <c r="L1760" s="150"/>
    </row>
    <row r="1761">
      <c r="B1761" s="139" t="s">
        <v>526</v>
      </c>
      <c r="C1761" s="138" t="s">
        <v>2195</v>
      </c>
      <c r="D1761" s="138" t="s">
        <v>13</v>
      </c>
      <c r="E1761" s="138" t="s">
        <v>53</v>
      </c>
      <c r="F1761" s="138" t="s">
        <v>650</v>
      </c>
      <c r="G1761" s="140">
        <v>140000.0</v>
      </c>
      <c r="H1761" s="139" t="s">
        <v>530</v>
      </c>
      <c r="I1761" s="124">
        <f t="shared" si="99"/>
        <v>14000</v>
      </c>
      <c r="J1761" s="150" t="s">
        <v>1351</v>
      </c>
      <c r="K1761" s="150"/>
      <c r="L1761" s="150"/>
    </row>
    <row r="1762">
      <c r="B1762" s="139" t="s">
        <v>526</v>
      </c>
      <c r="C1762" s="138" t="s">
        <v>2237</v>
      </c>
      <c r="D1762" s="138" t="s">
        <v>13</v>
      </c>
      <c r="E1762" s="138" t="s">
        <v>53</v>
      </c>
      <c r="F1762" s="138" t="s">
        <v>650</v>
      </c>
      <c r="G1762" s="140">
        <v>160000.0</v>
      </c>
      <c r="H1762" s="139" t="s">
        <v>530</v>
      </c>
      <c r="I1762" s="124">
        <f t="shared" si="99"/>
        <v>16000</v>
      </c>
      <c r="J1762" s="150" t="s">
        <v>1351</v>
      </c>
      <c r="K1762" s="150"/>
      <c r="L1762" s="150"/>
    </row>
    <row r="1763">
      <c r="B1763" s="139" t="s">
        <v>526</v>
      </c>
      <c r="C1763" s="138" t="s">
        <v>2238</v>
      </c>
      <c r="D1763" s="138" t="s">
        <v>13</v>
      </c>
      <c r="E1763" s="138" t="s">
        <v>53</v>
      </c>
      <c r="F1763" s="138" t="s">
        <v>650</v>
      </c>
      <c r="G1763" s="140">
        <v>125000.0</v>
      </c>
      <c r="H1763" s="139" t="s">
        <v>530</v>
      </c>
      <c r="I1763" s="124">
        <f t="shared" si="99"/>
        <v>12500</v>
      </c>
      <c r="J1763" s="150" t="s">
        <v>1351</v>
      </c>
      <c r="K1763" s="150"/>
      <c r="L1763" s="150"/>
    </row>
    <row r="1764">
      <c r="B1764" s="139" t="s">
        <v>526</v>
      </c>
      <c r="C1764" s="138" t="s">
        <v>2239</v>
      </c>
      <c r="D1764" s="138" t="s">
        <v>13</v>
      </c>
      <c r="E1764" s="138" t="s">
        <v>53</v>
      </c>
      <c r="F1764" s="138" t="s">
        <v>650</v>
      </c>
      <c r="G1764" s="140">
        <v>120000.0</v>
      </c>
      <c r="H1764" s="139" t="s">
        <v>530</v>
      </c>
      <c r="I1764" s="124">
        <f t="shared" si="99"/>
        <v>12000</v>
      </c>
      <c r="J1764" s="150" t="s">
        <v>1351</v>
      </c>
      <c r="K1764" s="150"/>
      <c r="L1764" s="150"/>
    </row>
    <row r="1765">
      <c r="B1765" s="139" t="s">
        <v>526</v>
      </c>
      <c r="C1765" s="138" t="s">
        <v>2240</v>
      </c>
      <c r="D1765" s="138" t="s">
        <v>13</v>
      </c>
      <c r="E1765" s="138" t="s">
        <v>53</v>
      </c>
      <c r="F1765" s="138" t="s">
        <v>650</v>
      </c>
      <c r="G1765" s="140">
        <v>105000.0</v>
      </c>
      <c r="H1765" s="139" t="s">
        <v>530</v>
      </c>
      <c r="I1765" s="124">
        <f t="shared" si="99"/>
        <v>10500</v>
      </c>
      <c r="J1765" s="150" t="s">
        <v>1351</v>
      </c>
      <c r="K1765" s="150"/>
      <c r="L1765" s="150"/>
    </row>
    <row r="1766">
      <c r="B1766" s="139" t="s">
        <v>526</v>
      </c>
      <c r="C1766" s="138" t="s">
        <v>2241</v>
      </c>
      <c r="D1766" s="138" t="s">
        <v>13</v>
      </c>
      <c r="E1766" s="138" t="s">
        <v>2203</v>
      </c>
      <c r="F1766" s="138" t="s">
        <v>586</v>
      </c>
      <c r="G1766" s="140">
        <v>115000.0</v>
      </c>
      <c r="H1766" s="139" t="s">
        <v>530</v>
      </c>
      <c r="I1766" s="124">
        <f t="shared" si="99"/>
        <v>11500</v>
      </c>
      <c r="J1766" s="150" t="s">
        <v>1351</v>
      </c>
      <c r="K1766" s="150"/>
      <c r="L1766" s="150"/>
    </row>
    <row r="1767">
      <c r="B1767" s="139" t="s">
        <v>526</v>
      </c>
      <c r="C1767" s="138" t="s">
        <v>2242</v>
      </c>
      <c r="D1767" s="138" t="s">
        <v>13</v>
      </c>
      <c r="E1767" s="138" t="s">
        <v>53</v>
      </c>
      <c r="F1767" s="138" t="s">
        <v>650</v>
      </c>
      <c r="G1767" s="140">
        <v>75000.0</v>
      </c>
      <c r="H1767" s="139" t="s">
        <v>530</v>
      </c>
      <c r="I1767" s="124">
        <f t="shared" si="99"/>
        <v>7500</v>
      </c>
      <c r="J1767" s="150" t="s">
        <v>1351</v>
      </c>
      <c r="K1767" s="150"/>
      <c r="L1767" s="150"/>
    </row>
    <row r="1768">
      <c r="B1768" s="139" t="s">
        <v>526</v>
      </c>
      <c r="C1768" s="138" t="s">
        <v>2243</v>
      </c>
      <c r="D1768" s="138" t="s">
        <v>13</v>
      </c>
      <c r="E1768" s="138" t="s">
        <v>53</v>
      </c>
      <c r="F1768" s="138" t="s">
        <v>650</v>
      </c>
      <c r="G1768" s="140">
        <v>100000.0</v>
      </c>
      <c r="H1768" s="139" t="s">
        <v>530</v>
      </c>
      <c r="I1768" s="124">
        <f t="shared" si="99"/>
        <v>10000</v>
      </c>
      <c r="J1768" s="150" t="s">
        <v>1351</v>
      </c>
      <c r="K1768" s="150"/>
      <c r="L1768" s="150"/>
    </row>
    <row r="1769">
      <c r="B1769" s="139" t="s">
        <v>526</v>
      </c>
      <c r="C1769" s="138" t="s">
        <v>2244</v>
      </c>
      <c r="D1769" s="138" t="s">
        <v>13</v>
      </c>
      <c r="E1769" s="138" t="s">
        <v>53</v>
      </c>
      <c r="F1769" s="138" t="s">
        <v>650</v>
      </c>
      <c r="G1769" s="140">
        <v>50000.0</v>
      </c>
      <c r="H1769" s="138" t="s">
        <v>610</v>
      </c>
      <c r="I1769" s="124">
        <f>G1769/9</f>
        <v>5555.555556</v>
      </c>
      <c r="J1769" s="150" t="s">
        <v>1351</v>
      </c>
      <c r="K1769" s="150"/>
      <c r="L1769" s="150"/>
    </row>
    <row r="1770">
      <c r="B1770" s="139" t="s">
        <v>526</v>
      </c>
      <c r="C1770" s="138" t="s">
        <v>2244</v>
      </c>
      <c r="D1770" s="138" t="s">
        <v>13</v>
      </c>
      <c r="E1770" s="138" t="s">
        <v>2245</v>
      </c>
      <c r="F1770" s="138" t="s">
        <v>586</v>
      </c>
      <c r="G1770" s="140">
        <v>45000.0</v>
      </c>
      <c r="H1770" s="139" t="s">
        <v>530</v>
      </c>
      <c r="I1770" s="124">
        <f t="shared" ref="I1770:I1795" si="100">G1770/10</f>
        <v>4500</v>
      </c>
      <c r="J1770" s="150" t="s">
        <v>1351</v>
      </c>
      <c r="K1770" s="150"/>
      <c r="L1770" s="150"/>
    </row>
    <row r="1771">
      <c r="B1771" s="139" t="s">
        <v>526</v>
      </c>
      <c r="C1771" s="138" t="s">
        <v>2246</v>
      </c>
      <c r="D1771" s="138" t="s">
        <v>13</v>
      </c>
      <c r="E1771" s="138" t="s">
        <v>53</v>
      </c>
      <c r="F1771" s="138" t="s">
        <v>650</v>
      </c>
      <c r="G1771" s="140">
        <v>40000.0</v>
      </c>
      <c r="H1771" s="139" t="s">
        <v>530</v>
      </c>
      <c r="I1771" s="124">
        <f t="shared" si="100"/>
        <v>4000</v>
      </c>
      <c r="J1771" s="150" t="s">
        <v>1351</v>
      </c>
      <c r="K1771" s="150"/>
      <c r="L1771" s="150"/>
    </row>
    <row r="1772">
      <c r="B1772" s="139" t="s">
        <v>526</v>
      </c>
      <c r="C1772" s="138" t="s">
        <v>2247</v>
      </c>
      <c r="D1772" s="138" t="s">
        <v>13</v>
      </c>
      <c r="E1772" s="138" t="s">
        <v>53</v>
      </c>
      <c r="F1772" s="138" t="s">
        <v>650</v>
      </c>
      <c r="G1772" s="140">
        <v>25000.0</v>
      </c>
      <c r="H1772" s="139" t="s">
        <v>530</v>
      </c>
      <c r="I1772" s="124">
        <f t="shared" si="100"/>
        <v>2500</v>
      </c>
      <c r="J1772" s="150" t="s">
        <v>1351</v>
      </c>
      <c r="K1772" s="150"/>
      <c r="L1772" s="150"/>
    </row>
    <row r="1773">
      <c r="B1773" s="139" t="s">
        <v>526</v>
      </c>
      <c r="C1773" s="138" t="s">
        <v>2248</v>
      </c>
      <c r="D1773" s="138" t="s">
        <v>13</v>
      </c>
      <c r="E1773" s="138" t="s">
        <v>34</v>
      </c>
      <c r="F1773" s="138" t="s">
        <v>650</v>
      </c>
      <c r="G1773" s="140">
        <v>285000.0</v>
      </c>
      <c r="H1773" s="139" t="s">
        <v>530</v>
      </c>
      <c r="I1773" s="124">
        <f t="shared" si="100"/>
        <v>28500</v>
      </c>
      <c r="J1773" s="150" t="s">
        <v>1351</v>
      </c>
      <c r="K1773" s="150"/>
      <c r="L1773" s="150"/>
    </row>
    <row r="1774">
      <c r="B1774" s="139" t="s">
        <v>526</v>
      </c>
      <c r="C1774" s="138" t="s">
        <v>2249</v>
      </c>
      <c r="D1774" s="138" t="s">
        <v>13</v>
      </c>
      <c r="E1774" s="138" t="s">
        <v>34</v>
      </c>
      <c r="F1774" s="138" t="s">
        <v>650</v>
      </c>
      <c r="G1774" s="140">
        <v>150000.0</v>
      </c>
      <c r="H1774" s="139" t="s">
        <v>530</v>
      </c>
      <c r="I1774" s="124">
        <f t="shared" si="100"/>
        <v>15000</v>
      </c>
      <c r="J1774" s="150" t="s">
        <v>1351</v>
      </c>
      <c r="K1774" s="150"/>
      <c r="L1774" s="150"/>
    </row>
    <row r="1775">
      <c r="B1775" s="139" t="s">
        <v>526</v>
      </c>
      <c r="C1775" s="138" t="s">
        <v>2250</v>
      </c>
      <c r="D1775" s="138" t="s">
        <v>13</v>
      </c>
      <c r="E1775" s="138" t="s">
        <v>34</v>
      </c>
      <c r="F1775" s="138" t="s">
        <v>650</v>
      </c>
      <c r="G1775" s="140">
        <v>95000.0</v>
      </c>
      <c r="H1775" s="139" t="s">
        <v>530</v>
      </c>
      <c r="I1775" s="124">
        <f t="shared" si="100"/>
        <v>9500</v>
      </c>
      <c r="J1775" s="150" t="s">
        <v>1351</v>
      </c>
      <c r="K1775" s="150"/>
      <c r="L1775" s="150"/>
    </row>
    <row r="1776">
      <c r="B1776" s="139" t="s">
        <v>526</v>
      </c>
      <c r="C1776" s="138" t="s">
        <v>2250</v>
      </c>
      <c r="D1776" s="138" t="s">
        <v>13</v>
      </c>
      <c r="E1776" s="138" t="s">
        <v>2197</v>
      </c>
      <c r="F1776" s="138" t="s">
        <v>586</v>
      </c>
      <c r="G1776" s="140">
        <v>65000.0</v>
      </c>
      <c r="H1776" s="139" t="s">
        <v>530</v>
      </c>
      <c r="I1776" s="124">
        <f t="shared" si="100"/>
        <v>6500</v>
      </c>
      <c r="J1776" s="150" t="s">
        <v>1351</v>
      </c>
      <c r="K1776" s="150"/>
      <c r="L1776" s="150"/>
    </row>
    <row r="1777">
      <c r="B1777" s="139" t="s">
        <v>526</v>
      </c>
      <c r="C1777" s="138" t="s">
        <v>2251</v>
      </c>
      <c r="D1777" s="138" t="s">
        <v>13</v>
      </c>
      <c r="E1777" s="138" t="s">
        <v>34</v>
      </c>
      <c r="F1777" s="138" t="s">
        <v>650</v>
      </c>
      <c r="G1777" s="140">
        <v>160000.0</v>
      </c>
      <c r="H1777" s="139" t="s">
        <v>530</v>
      </c>
      <c r="I1777" s="124">
        <f t="shared" si="100"/>
        <v>16000</v>
      </c>
      <c r="J1777" s="150" t="s">
        <v>1351</v>
      </c>
      <c r="K1777" s="150"/>
      <c r="L1777" s="150"/>
    </row>
    <row r="1778">
      <c r="B1778" s="139" t="s">
        <v>526</v>
      </c>
      <c r="C1778" s="138" t="s">
        <v>1134</v>
      </c>
      <c r="D1778" s="138" t="s">
        <v>13</v>
      </c>
      <c r="E1778" s="138" t="s">
        <v>34</v>
      </c>
      <c r="F1778" s="138" t="s">
        <v>650</v>
      </c>
      <c r="G1778" s="140">
        <v>185000.0</v>
      </c>
      <c r="H1778" s="139" t="s">
        <v>530</v>
      </c>
      <c r="I1778" s="124">
        <f t="shared" si="100"/>
        <v>18500</v>
      </c>
      <c r="J1778" s="150" t="s">
        <v>1351</v>
      </c>
      <c r="K1778" s="150"/>
      <c r="L1778" s="150"/>
    </row>
    <row r="1779">
      <c r="B1779" s="139" t="s">
        <v>526</v>
      </c>
      <c r="C1779" s="138" t="s">
        <v>2252</v>
      </c>
      <c r="D1779" s="138" t="s">
        <v>13</v>
      </c>
      <c r="E1779" s="138" t="s">
        <v>34</v>
      </c>
      <c r="F1779" s="138" t="s">
        <v>650</v>
      </c>
      <c r="G1779" s="140">
        <v>120000.0</v>
      </c>
      <c r="H1779" s="139" t="s">
        <v>530</v>
      </c>
      <c r="I1779" s="124">
        <f t="shared" si="100"/>
        <v>12000</v>
      </c>
      <c r="J1779" s="150" t="s">
        <v>1351</v>
      </c>
      <c r="K1779" s="150"/>
      <c r="L1779" s="150"/>
    </row>
    <row r="1780">
      <c r="B1780" s="139" t="s">
        <v>526</v>
      </c>
      <c r="C1780" s="138" t="s">
        <v>2253</v>
      </c>
      <c r="D1780" s="138" t="s">
        <v>13</v>
      </c>
      <c r="E1780" s="138" t="s">
        <v>34</v>
      </c>
      <c r="F1780" s="138" t="s">
        <v>650</v>
      </c>
      <c r="G1780" s="140">
        <v>65000.0</v>
      </c>
      <c r="H1780" s="139" t="s">
        <v>530</v>
      </c>
      <c r="I1780" s="124">
        <f t="shared" si="100"/>
        <v>6500</v>
      </c>
      <c r="J1780" s="150" t="s">
        <v>1351</v>
      </c>
      <c r="K1780" s="150"/>
      <c r="L1780" s="150"/>
    </row>
    <row r="1781">
      <c r="B1781" s="139" t="s">
        <v>526</v>
      </c>
      <c r="C1781" s="138" t="s">
        <v>2253</v>
      </c>
      <c r="D1781" s="138" t="s">
        <v>13</v>
      </c>
      <c r="E1781" s="138" t="s">
        <v>2187</v>
      </c>
      <c r="F1781" s="138" t="s">
        <v>586</v>
      </c>
      <c r="G1781" s="140">
        <v>44000.0</v>
      </c>
      <c r="H1781" s="139" t="s">
        <v>530</v>
      </c>
      <c r="I1781" s="124">
        <f t="shared" si="100"/>
        <v>4400</v>
      </c>
      <c r="J1781" s="150" t="s">
        <v>1351</v>
      </c>
      <c r="K1781" s="150"/>
      <c r="L1781" s="150"/>
    </row>
    <row r="1782">
      <c r="B1782" s="139" t="s">
        <v>526</v>
      </c>
      <c r="C1782" s="138" t="s">
        <v>2253</v>
      </c>
      <c r="D1782" s="138" t="s">
        <v>13</v>
      </c>
      <c r="E1782" s="138" t="s">
        <v>2187</v>
      </c>
      <c r="F1782" s="138" t="s">
        <v>643</v>
      </c>
      <c r="G1782" s="140">
        <v>25000.0</v>
      </c>
      <c r="H1782" s="139" t="s">
        <v>530</v>
      </c>
      <c r="I1782" s="124">
        <f t="shared" si="100"/>
        <v>2500</v>
      </c>
      <c r="J1782" s="150" t="s">
        <v>1351</v>
      </c>
      <c r="K1782" s="150"/>
      <c r="L1782" s="150"/>
    </row>
    <row r="1783">
      <c r="B1783" s="139" t="s">
        <v>526</v>
      </c>
      <c r="C1783" s="138" t="s">
        <v>2254</v>
      </c>
      <c r="D1783" s="138" t="s">
        <v>13</v>
      </c>
      <c r="E1783" s="138" t="s">
        <v>34</v>
      </c>
      <c r="F1783" s="138" t="s">
        <v>650</v>
      </c>
      <c r="G1783" s="140">
        <v>110000.0</v>
      </c>
      <c r="H1783" s="139" t="s">
        <v>530</v>
      </c>
      <c r="I1783" s="124">
        <f t="shared" si="100"/>
        <v>11000</v>
      </c>
      <c r="J1783" s="150" t="s">
        <v>1351</v>
      </c>
      <c r="K1783" s="150"/>
      <c r="L1783" s="150"/>
    </row>
    <row r="1784">
      <c r="B1784" s="139" t="s">
        <v>526</v>
      </c>
      <c r="C1784" s="138" t="s">
        <v>2254</v>
      </c>
      <c r="D1784" s="138" t="s">
        <v>13</v>
      </c>
      <c r="E1784" s="138" t="s">
        <v>2255</v>
      </c>
      <c r="F1784" s="138" t="s">
        <v>586</v>
      </c>
      <c r="G1784" s="140">
        <v>66000.0</v>
      </c>
      <c r="H1784" s="139" t="s">
        <v>530</v>
      </c>
      <c r="I1784" s="124">
        <f t="shared" si="100"/>
        <v>6600</v>
      </c>
      <c r="J1784" s="150" t="s">
        <v>1351</v>
      </c>
      <c r="K1784" s="150"/>
      <c r="L1784" s="150"/>
    </row>
    <row r="1785">
      <c r="B1785" s="139" t="s">
        <v>526</v>
      </c>
      <c r="C1785" s="138" t="s">
        <v>2254</v>
      </c>
      <c r="D1785" s="138" t="s">
        <v>13</v>
      </c>
      <c r="E1785" s="138" t="s">
        <v>2255</v>
      </c>
      <c r="F1785" s="138" t="s">
        <v>643</v>
      </c>
      <c r="G1785" s="140">
        <v>45000.0</v>
      </c>
      <c r="H1785" s="139" t="s">
        <v>530</v>
      </c>
      <c r="I1785" s="124">
        <f t="shared" si="100"/>
        <v>4500</v>
      </c>
      <c r="J1785" s="150" t="s">
        <v>1351</v>
      </c>
      <c r="K1785" s="150"/>
      <c r="L1785" s="150"/>
    </row>
    <row r="1786">
      <c r="B1786" s="139" t="s">
        <v>526</v>
      </c>
      <c r="C1786" s="138" t="s">
        <v>2256</v>
      </c>
      <c r="D1786" s="138" t="s">
        <v>13</v>
      </c>
      <c r="E1786" s="138" t="s">
        <v>34</v>
      </c>
      <c r="F1786" s="138" t="s">
        <v>650</v>
      </c>
      <c r="G1786" s="140">
        <v>150000.0</v>
      </c>
      <c r="H1786" s="139" t="s">
        <v>530</v>
      </c>
      <c r="I1786" s="124">
        <f t="shared" si="100"/>
        <v>15000</v>
      </c>
      <c r="J1786" s="150" t="s">
        <v>1351</v>
      </c>
      <c r="K1786" s="150"/>
      <c r="L1786" s="150"/>
    </row>
    <row r="1787">
      <c r="B1787" s="139" t="s">
        <v>526</v>
      </c>
      <c r="C1787" s="138" t="s">
        <v>2257</v>
      </c>
      <c r="D1787" s="138" t="s">
        <v>13</v>
      </c>
      <c r="E1787" s="138" t="s">
        <v>34</v>
      </c>
      <c r="F1787" s="138" t="s">
        <v>650</v>
      </c>
      <c r="G1787" s="140">
        <v>65000.0</v>
      </c>
      <c r="H1787" s="139" t="s">
        <v>530</v>
      </c>
      <c r="I1787" s="124">
        <f t="shared" si="100"/>
        <v>6500</v>
      </c>
      <c r="J1787" s="150" t="s">
        <v>1351</v>
      </c>
      <c r="K1787" s="150"/>
      <c r="L1787" s="150"/>
    </row>
    <row r="1788">
      <c r="B1788" s="139" t="s">
        <v>526</v>
      </c>
      <c r="C1788" s="138" t="s">
        <v>2257</v>
      </c>
      <c r="D1788" s="138" t="s">
        <v>13</v>
      </c>
      <c r="E1788" s="138" t="s">
        <v>2187</v>
      </c>
      <c r="F1788" s="138" t="s">
        <v>586</v>
      </c>
      <c r="G1788" s="140">
        <v>42000.0</v>
      </c>
      <c r="H1788" s="139" t="s">
        <v>530</v>
      </c>
      <c r="I1788" s="124">
        <f t="shared" si="100"/>
        <v>4200</v>
      </c>
      <c r="J1788" s="150" t="s">
        <v>1351</v>
      </c>
      <c r="K1788" s="150"/>
      <c r="L1788" s="150"/>
    </row>
    <row r="1789">
      <c r="B1789" s="139" t="s">
        <v>526</v>
      </c>
      <c r="C1789" s="138" t="s">
        <v>2257</v>
      </c>
      <c r="D1789" s="138" t="s">
        <v>13</v>
      </c>
      <c r="E1789" s="138" t="s">
        <v>1794</v>
      </c>
      <c r="F1789" s="138" t="s">
        <v>643</v>
      </c>
      <c r="G1789" s="140">
        <v>34000.0</v>
      </c>
      <c r="H1789" s="139" t="s">
        <v>530</v>
      </c>
      <c r="I1789" s="124">
        <f t="shared" si="100"/>
        <v>3400</v>
      </c>
      <c r="J1789" s="150" t="s">
        <v>1351</v>
      </c>
      <c r="K1789" s="150"/>
      <c r="L1789" s="150"/>
    </row>
    <row r="1790">
      <c r="B1790" s="139" t="s">
        <v>526</v>
      </c>
      <c r="C1790" s="138" t="s">
        <v>2258</v>
      </c>
      <c r="D1790" s="138" t="s">
        <v>13</v>
      </c>
      <c r="E1790" s="138" t="s">
        <v>58</v>
      </c>
      <c r="F1790" s="138" t="s">
        <v>650</v>
      </c>
      <c r="G1790" s="140">
        <v>90000.0</v>
      </c>
      <c r="H1790" s="139" t="s">
        <v>530</v>
      </c>
      <c r="I1790" s="124">
        <f t="shared" si="100"/>
        <v>9000</v>
      </c>
      <c r="J1790" s="150" t="s">
        <v>1351</v>
      </c>
      <c r="K1790" s="150"/>
      <c r="L1790" s="150"/>
    </row>
    <row r="1791">
      <c r="B1791" s="139" t="s">
        <v>526</v>
      </c>
      <c r="C1791" s="138" t="s">
        <v>2259</v>
      </c>
      <c r="D1791" s="138" t="s">
        <v>13</v>
      </c>
      <c r="E1791" s="138" t="s">
        <v>58</v>
      </c>
      <c r="F1791" s="138" t="s">
        <v>650</v>
      </c>
      <c r="G1791" s="140">
        <v>70000.0</v>
      </c>
      <c r="H1791" s="139" t="s">
        <v>530</v>
      </c>
      <c r="I1791" s="124">
        <f t="shared" si="100"/>
        <v>7000</v>
      </c>
      <c r="J1791" s="150" t="s">
        <v>1351</v>
      </c>
      <c r="K1791" s="150"/>
      <c r="L1791" s="150"/>
    </row>
    <row r="1792">
      <c r="B1792" s="139" t="s">
        <v>526</v>
      </c>
      <c r="C1792" s="138" t="s">
        <v>2260</v>
      </c>
      <c r="D1792" s="138" t="s">
        <v>13</v>
      </c>
      <c r="E1792" s="138" t="s">
        <v>58</v>
      </c>
      <c r="F1792" s="138" t="s">
        <v>650</v>
      </c>
      <c r="G1792" s="140">
        <v>60000.0</v>
      </c>
      <c r="H1792" s="139" t="s">
        <v>530</v>
      </c>
      <c r="I1792" s="124">
        <f t="shared" si="100"/>
        <v>6000</v>
      </c>
      <c r="J1792" s="150" t="s">
        <v>1351</v>
      </c>
      <c r="K1792" s="150"/>
      <c r="L1792" s="150"/>
    </row>
    <row r="1793">
      <c r="B1793" s="139" t="s">
        <v>526</v>
      </c>
      <c r="C1793" s="138" t="s">
        <v>2261</v>
      </c>
      <c r="D1793" s="138" t="s">
        <v>13</v>
      </c>
      <c r="E1793" s="138" t="s">
        <v>58</v>
      </c>
      <c r="F1793" s="138" t="s">
        <v>650</v>
      </c>
      <c r="G1793" s="140">
        <v>70000.0</v>
      </c>
      <c r="H1793" s="139" t="s">
        <v>530</v>
      </c>
      <c r="I1793" s="124">
        <f t="shared" si="100"/>
        <v>7000</v>
      </c>
      <c r="J1793" s="150" t="s">
        <v>1351</v>
      </c>
      <c r="K1793" s="150"/>
      <c r="L1793" s="150"/>
    </row>
    <row r="1794">
      <c r="B1794" s="139" t="s">
        <v>526</v>
      </c>
      <c r="C1794" s="138" t="s">
        <v>2262</v>
      </c>
      <c r="D1794" s="138" t="s">
        <v>13</v>
      </c>
      <c r="E1794" s="138" t="s">
        <v>58</v>
      </c>
      <c r="F1794" s="138" t="s">
        <v>650</v>
      </c>
      <c r="G1794" s="140">
        <v>80000.0</v>
      </c>
      <c r="H1794" s="139" t="s">
        <v>530</v>
      </c>
      <c r="I1794" s="124">
        <f t="shared" si="100"/>
        <v>8000</v>
      </c>
      <c r="J1794" s="150" t="s">
        <v>1351</v>
      </c>
      <c r="K1794" s="150"/>
      <c r="L1794" s="150"/>
    </row>
    <row r="1795">
      <c r="B1795" s="139" t="s">
        <v>526</v>
      </c>
      <c r="C1795" s="138" t="s">
        <v>2263</v>
      </c>
      <c r="D1795" s="138" t="s">
        <v>13</v>
      </c>
      <c r="E1795" s="138" t="s">
        <v>58</v>
      </c>
      <c r="F1795" s="138" t="s">
        <v>650</v>
      </c>
      <c r="G1795" s="140">
        <v>35000.0</v>
      </c>
      <c r="H1795" s="139" t="s">
        <v>530</v>
      </c>
      <c r="I1795" s="124">
        <f t="shared" si="100"/>
        <v>3500</v>
      </c>
      <c r="J1795" s="150" t="s">
        <v>1351</v>
      </c>
      <c r="K1795" s="150"/>
      <c r="L1795" s="150"/>
    </row>
    <row r="1796">
      <c r="B1796" s="139" t="s">
        <v>526</v>
      </c>
      <c r="C1796" s="138" t="s">
        <v>2264</v>
      </c>
      <c r="D1796" s="138" t="s">
        <v>13</v>
      </c>
      <c r="E1796" s="138" t="s">
        <v>1443</v>
      </c>
      <c r="F1796" s="138" t="s">
        <v>543</v>
      </c>
      <c r="G1796" s="140">
        <v>140000.0</v>
      </c>
      <c r="H1796" s="138" t="s">
        <v>1155</v>
      </c>
      <c r="I1796" s="124">
        <f>G1796/8</f>
        <v>17500</v>
      </c>
      <c r="J1796" s="150" t="s">
        <v>1351</v>
      </c>
      <c r="K1796" s="150"/>
      <c r="L1796" s="150"/>
    </row>
    <row r="1797">
      <c r="B1797" s="139" t="s">
        <v>526</v>
      </c>
      <c r="C1797" s="138" t="s">
        <v>2265</v>
      </c>
      <c r="D1797" s="138" t="s">
        <v>13</v>
      </c>
      <c r="E1797" s="138" t="s">
        <v>58</v>
      </c>
      <c r="F1797" s="138" t="s">
        <v>650</v>
      </c>
      <c r="G1797" s="140">
        <v>50000.0</v>
      </c>
      <c r="H1797" s="139" t="s">
        <v>530</v>
      </c>
      <c r="I1797" s="124">
        <f>G1797/10</f>
        <v>5000</v>
      </c>
      <c r="J1797" s="150" t="s">
        <v>1351</v>
      </c>
      <c r="K1797" s="150"/>
      <c r="L1797" s="150"/>
    </row>
    <row r="1798">
      <c r="B1798" s="139" t="s">
        <v>526</v>
      </c>
      <c r="C1798" s="138" t="s">
        <v>2244</v>
      </c>
      <c r="D1798" s="138" t="s">
        <v>13</v>
      </c>
      <c r="E1798" s="138" t="s">
        <v>58</v>
      </c>
      <c r="F1798" s="138" t="s">
        <v>650</v>
      </c>
      <c r="G1798" s="140">
        <v>10000.0</v>
      </c>
      <c r="H1798" s="138" t="s">
        <v>1082</v>
      </c>
      <c r="I1798" s="124">
        <f>G1798/1</f>
        <v>10000</v>
      </c>
      <c r="J1798" s="150" t="s">
        <v>1351</v>
      </c>
      <c r="K1798" s="150"/>
      <c r="L1798" s="150"/>
    </row>
    <row r="1799">
      <c r="B1799" s="139" t="s">
        <v>526</v>
      </c>
      <c r="C1799" s="138" t="s">
        <v>2266</v>
      </c>
      <c r="D1799" s="138" t="s">
        <v>13</v>
      </c>
      <c r="E1799" s="138" t="s">
        <v>58</v>
      </c>
      <c r="F1799" s="138" t="s">
        <v>650</v>
      </c>
      <c r="G1799" s="140">
        <v>30000.0</v>
      </c>
      <c r="H1799" s="139" t="s">
        <v>530</v>
      </c>
      <c r="I1799" s="124">
        <f t="shared" ref="I1799:I1814" si="101">G1799/10</f>
        <v>3000</v>
      </c>
      <c r="J1799" s="150" t="s">
        <v>1351</v>
      </c>
      <c r="K1799" s="150"/>
      <c r="L1799" s="150"/>
    </row>
    <row r="1800">
      <c r="B1800" s="139" t="s">
        <v>526</v>
      </c>
      <c r="C1800" s="138" t="s">
        <v>2267</v>
      </c>
      <c r="D1800" s="138" t="s">
        <v>13</v>
      </c>
      <c r="E1800" s="138" t="s">
        <v>58</v>
      </c>
      <c r="F1800" s="138" t="s">
        <v>650</v>
      </c>
      <c r="G1800" s="140">
        <v>60000.0</v>
      </c>
      <c r="H1800" s="139" t="s">
        <v>530</v>
      </c>
      <c r="I1800" s="124">
        <f t="shared" si="101"/>
        <v>6000</v>
      </c>
      <c r="J1800" s="150" t="s">
        <v>1351</v>
      </c>
      <c r="K1800" s="150"/>
      <c r="L1800" s="150"/>
    </row>
    <row r="1801">
      <c r="B1801" s="139" t="s">
        <v>526</v>
      </c>
      <c r="C1801" s="138" t="s">
        <v>2268</v>
      </c>
      <c r="D1801" s="138" t="s">
        <v>13</v>
      </c>
      <c r="E1801" s="138" t="s">
        <v>58</v>
      </c>
      <c r="F1801" s="138" t="s">
        <v>650</v>
      </c>
      <c r="G1801" s="140">
        <v>120000.0</v>
      </c>
      <c r="H1801" s="139" t="s">
        <v>530</v>
      </c>
      <c r="I1801" s="124">
        <f t="shared" si="101"/>
        <v>12000</v>
      </c>
      <c r="J1801" s="150" t="s">
        <v>1351</v>
      </c>
      <c r="K1801" s="150"/>
      <c r="L1801" s="150"/>
    </row>
    <row r="1802">
      <c r="B1802" s="139" t="s">
        <v>526</v>
      </c>
      <c r="C1802" s="138" t="s">
        <v>2269</v>
      </c>
      <c r="D1802" s="138" t="s">
        <v>13</v>
      </c>
      <c r="E1802" s="138" t="s">
        <v>48</v>
      </c>
      <c r="F1802" s="138" t="s">
        <v>650</v>
      </c>
      <c r="G1802" s="140">
        <v>110000.0</v>
      </c>
      <c r="H1802" s="139" t="s">
        <v>530</v>
      </c>
      <c r="I1802" s="124">
        <f t="shared" si="101"/>
        <v>11000</v>
      </c>
      <c r="J1802" s="150" t="s">
        <v>1351</v>
      </c>
      <c r="K1802" s="150"/>
      <c r="L1802" s="150"/>
    </row>
    <row r="1803">
      <c r="B1803" s="139" t="s">
        <v>526</v>
      </c>
      <c r="C1803" s="138" t="s">
        <v>2270</v>
      </c>
      <c r="D1803" s="138" t="s">
        <v>13</v>
      </c>
      <c r="E1803" s="138" t="s">
        <v>48</v>
      </c>
      <c r="F1803" s="138" t="s">
        <v>650</v>
      </c>
      <c r="G1803" s="140">
        <v>175000.0</v>
      </c>
      <c r="H1803" s="139" t="s">
        <v>530</v>
      </c>
      <c r="I1803" s="124">
        <f t="shared" si="101"/>
        <v>17500</v>
      </c>
      <c r="J1803" s="150" t="s">
        <v>1351</v>
      </c>
      <c r="K1803" s="150"/>
      <c r="L1803" s="150"/>
    </row>
    <row r="1804">
      <c r="B1804" s="139" t="s">
        <v>526</v>
      </c>
      <c r="C1804" s="138" t="s">
        <v>2271</v>
      </c>
      <c r="D1804" s="138" t="s">
        <v>13</v>
      </c>
      <c r="E1804" s="138" t="s">
        <v>48</v>
      </c>
      <c r="F1804" s="138" t="s">
        <v>650</v>
      </c>
      <c r="G1804" s="140">
        <v>170000.0</v>
      </c>
      <c r="H1804" s="139" t="s">
        <v>530</v>
      </c>
      <c r="I1804" s="124">
        <f t="shared" si="101"/>
        <v>17000</v>
      </c>
      <c r="J1804" s="150" t="s">
        <v>1351</v>
      </c>
      <c r="K1804" s="150"/>
      <c r="L1804" s="150"/>
    </row>
    <row r="1805">
      <c r="B1805" s="139" t="s">
        <v>526</v>
      </c>
      <c r="C1805" s="138" t="s">
        <v>2272</v>
      </c>
      <c r="D1805" s="138" t="s">
        <v>13</v>
      </c>
      <c r="E1805" s="138" t="s">
        <v>48</v>
      </c>
      <c r="F1805" s="138" t="s">
        <v>650</v>
      </c>
      <c r="G1805" s="140">
        <v>65000.0</v>
      </c>
      <c r="H1805" s="139" t="s">
        <v>530</v>
      </c>
      <c r="I1805" s="124">
        <f t="shared" si="101"/>
        <v>6500</v>
      </c>
      <c r="J1805" s="150" t="s">
        <v>1351</v>
      </c>
      <c r="K1805" s="150"/>
      <c r="L1805" s="150"/>
    </row>
    <row r="1806">
      <c r="B1806" s="139" t="s">
        <v>526</v>
      </c>
      <c r="C1806" s="138" t="s">
        <v>2273</v>
      </c>
      <c r="D1806" s="138" t="s">
        <v>13</v>
      </c>
      <c r="E1806" s="138" t="s">
        <v>48</v>
      </c>
      <c r="F1806" s="138" t="s">
        <v>650</v>
      </c>
      <c r="G1806" s="140">
        <v>95000.0</v>
      </c>
      <c r="H1806" s="139" t="s">
        <v>530</v>
      </c>
      <c r="I1806" s="124">
        <f t="shared" si="101"/>
        <v>9500</v>
      </c>
      <c r="J1806" s="150" t="s">
        <v>1351</v>
      </c>
      <c r="K1806" s="150"/>
      <c r="L1806" s="150"/>
    </row>
    <row r="1807">
      <c r="B1807" s="139" t="s">
        <v>526</v>
      </c>
      <c r="C1807" s="138" t="s">
        <v>2274</v>
      </c>
      <c r="D1807" s="138" t="s">
        <v>13</v>
      </c>
      <c r="E1807" s="138" t="s">
        <v>48</v>
      </c>
      <c r="F1807" s="138" t="s">
        <v>650</v>
      </c>
      <c r="G1807" s="140">
        <v>75000.0</v>
      </c>
      <c r="H1807" s="139" t="s">
        <v>530</v>
      </c>
      <c r="I1807" s="124">
        <f t="shared" si="101"/>
        <v>7500</v>
      </c>
      <c r="J1807" s="150" t="s">
        <v>1351</v>
      </c>
      <c r="K1807" s="150"/>
      <c r="L1807" s="150"/>
    </row>
    <row r="1808">
      <c r="B1808" s="139" t="s">
        <v>526</v>
      </c>
      <c r="C1808" s="138" t="s">
        <v>1398</v>
      </c>
      <c r="D1808" s="138" t="s">
        <v>13</v>
      </c>
      <c r="E1808" s="138" t="s">
        <v>48</v>
      </c>
      <c r="F1808" s="138" t="s">
        <v>650</v>
      </c>
      <c r="G1808" s="140">
        <v>120000.0</v>
      </c>
      <c r="H1808" s="139" t="s">
        <v>530</v>
      </c>
      <c r="I1808" s="124">
        <f t="shared" si="101"/>
        <v>12000</v>
      </c>
      <c r="J1808" s="150" t="s">
        <v>1351</v>
      </c>
      <c r="K1808" s="150"/>
      <c r="L1808" s="150"/>
    </row>
    <row r="1809">
      <c r="B1809" s="139" t="s">
        <v>526</v>
      </c>
      <c r="C1809" s="138" t="s">
        <v>2275</v>
      </c>
      <c r="D1809" s="138" t="s">
        <v>13</v>
      </c>
      <c r="E1809" s="138" t="s">
        <v>48</v>
      </c>
      <c r="F1809" s="138" t="s">
        <v>650</v>
      </c>
      <c r="G1809" s="140">
        <v>70000.0</v>
      </c>
      <c r="H1809" s="139" t="s">
        <v>530</v>
      </c>
      <c r="I1809" s="124">
        <f t="shared" si="101"/>
        <v>7000</v>
      </c>
      <c r="J1809" s="150" t="s">
        <v>1351</v>
      </c>
      <c r="K1809" s="150"/>
      <c r="L1809" s="150"/>
    </row>
    <row r="1810">
      <c r="B1810" s="139" t="s">
        <v>526</v>
      </c>
      <c r="C1810" s="138" t="s">
        <v>2276</v>
      </c>
      <c r="D1810" s="138" t="s">
        <v>13</v>
      </c>
      <c r="E1810" s="138" t="s">
        <v>48</v>
      </c>
      <c r="F1810" s="138" t="s">
        <v>650</v>
      </c>
      <c r="G1810" s="140">
        <v>70000.0</v>
      </c>
      <c r="H1810" s="139" t="s">
        <v>530</v>
      </c>
      <c r="I1810" s="124">
        <f t="shared" si="101"/>
        <v>7000</v>
      </c>
      <c r="J1810" s="150" t="s">
        <v>1351</v>
      </c>
      <c r="K1810" s="150"/>
      <c r="L1810" s="150"/>
    </row>
    <row r="1811">
      <c r="B1811" s="139" t="s">
        <v>526</v>
      </c>
      <c r="C1811" s="138" t="s">
        <v>2277</v>
      </c>
      <c r="D1811" s="138" t="s">
        <v>13</v>
      </c>
      <c r="E1811" s="138" t="s">
        <v>48</v>
      </c>
      <c r="F1811" s="138" t="s">
        <v>650</v>
      </c>
      <c r="G1811" s="140">
        <v>110000.0</v>
      </c>
      <c r="H1811" s="139" t="s">
        <v>530</v>
      </c>
      <c r="I1811" s="124">
        <f t="shared" si="101"/>
        <v>11000</v>
      </c>
      <c r="J1811" s="150" t="s">
        <v>1351</v>
      </c>
      <c r="K1811" s="150"/>
      <c r="L1811" s="150"/>
    </row>
    <row r="1812">
      <c r="B1812" s="139" t="s">
        <v>526</v>
      </c>
      <c r="C1812" s="138" t="s">
        <v>2278</v>
      </c>
      <c r="D1812" s="138" t="s">
        <v>13</v>
      </c>
      <c r="E1812" s="138" t="s">
        <v>48</v>
      </c>
      <c r="F1812" s="138" t="s">
        <v>650</v>
      </c>
      <c r="G1812" s="140">
        <v>60000.0</v>
      </c>
      <c r="H1812" s="139" t="s">
        <v>530</v>
      </c>
      <c r="I1812" s="124">
        <f t="shared" si="101"/>
        <v>6000</v>
      </c>
      <c r="J1812" s="150" t="s">
        <v>1351</v>
      </c>
      <c r="K1812" s="150"/>
      <c r="L1812" s="150"/>
    </row>
    <row r="1813">
      <c r="B1813" s="139" t="s">
        <v>526</v>
      </c>
      <c r="C1813" s="138" t="s">
        <v>2278</v>
      </c>
      <c r="D1813" s="138" t="s">
        <v>13</v>
      </c>
      <c r="E1813" s="138" t="s">
        <v>2203</v>
      </c>
      <c r="F1813" s="138" t="s">
        <v>586</v>
      </c>
      <c r="G1813" s="140">
        <v>50000.0</v>
      </c>
      <c r="H1813" s="139" t="s">
        <v>530</v>
      </c>
      <c r="I1813" s="124">
        <f t="shared" si="101"/>
        <v>5000</v>
      </c>
      <c r="J1813" s="150" t="s">
        <v>1351</v>
      </c>
      <c r="K1813" s="150"/>
      <c r="L1813" s="150"/>
    </row>
    <row r="1814">
      <c r="B1814" s="139" t="s">
        <v>526</v>
      </c>
      <c r="C1814" s="138" t="s">
        <v>2278</v>
      </c>
      <c r="D1814" s="138" t="s">
        <v>13</v>
      </c>
      <c r="E1814" s="138" t="s">
        <v>2279</v>
      </c>
      <c r="F1814" s="138" t="s">
        <v>738</v>
      </c>
      <c r="G1814" s="140">
        <v>20000.0</v>
      </c>
      <c r="H1814" s="139" t="s">
        <v>530</v>
      </c>
      <c r="I1814" s="124">
        <f t="shared" si="101"/>
        <v>2000</v>
      </c>
      <c r="J1814" s="150" t="s">
        <v>1351</v>
      </c>
      <c r="K1814" s="150"/>
      <c r="L1814" s="150"/>
    </row>
    <row r="1815">
      <c r="B1815" s="139" t="s">
        <v>526</v>
      </c>
      <c r="C1815" s="138" t="s">
        <v>2280</v>
      </c>
      <c r="D1815" s="138" t="s">
        <v>13</v>
      </c>
      <c r="E1815" s="138" t="s">
        <v>48</v>
      </c>
      <c r="F1815" s="138" t="s">
        <v>650</v>
      </c>
      <c r="G1815" s="140">
        <v>20000.0</v>
      </c>
      <c r="H1815" s="138" t="s">
        <v>680</v>
      </c>
      <c r="I1815" s="124">
        <f>G1815/4</f>
        <v>5000</v>
      </c>
      <c r="J1815" s="150" t="s">
        <v>1351</v>
      </c>
      <c r="K1815" s="150"/>
      <c r="L1815" s="150"/>
    </row>
    <row r="1816">
      <c r="B1816" s="139" t="s">
        <v>526</v>
      </c>
      <c r="C1816" s="138" t="s">
        <v>2280</v>
      </c>
      <c r="D1816" s="138" t="s">
        <v>13</v>
      </c>
      <c r="E1816" s="138" t="s">
        <v>2281</v>
      </c>
      <c r="F1816" s="138" t="s">
        <v>586</v>
      </c>
      <c r="G1816" s="140">
        <v>40000.0</v>
      </c>
      <c r="H1816" s="139" t="s">
        <v>530</v>
      </c>
      <c r="I1816" s="124">
        <f t="shared" ref="I1816:I1833" si="102">G1816/10</f>
        <v>4000</v>
      </c>
      <c r="J1816" s="150" t="s">
        <v>1351</v>
      </c>
      <c r="K1816" s="150"/>
      <c r="L1816" s="150"/>
    </row>
    <row r="1817">
      <c r="B1817" s="139" t="s">
        <v>526</v>
      </c>
      <c r="C1817" s="138" t="s">
        <v>2280</v>
      </c>
      <c r="D1817" s="138" t="s">
        <v>13</v>
      </c>
      <c r="E1817" s="138" t="s">
        <v>2282</v>
      </c>
      <c r="F1817" s="138" t="s">
        <v>643</v>
      </c>
      <c r="G1817" s="140">
        <v>31000.0</v>
      </c>
      <c r="H1817" s="139" t="s">
        <v>530</v>
      </c>
      <c r="I1817" s="124">
        <f t="shared" si="102"/>
        <v>3100</v>
      </c>
      <c r="J1817" s="150" t="s">
        <v>1351</v>
      </c>
      <c r="K1817" s="150"/>
      <c r="L1817" s="150"/>
    </row>
    <row r="1818">
      <c r="B1818" s="139" t="s">
        <v>526</v>
      </c>
      <c r="C1818" s="138" t="s">
        <v>2280</v>
      </c>
      <c r="D1818" s="138" t="s">
        <v>13</v>
      </c>
      <c r="E1818" s="138" t="s">
        <v>2282</v>
      </c>
      <c r="F1818" s="138" t="s">
        <v>738</v>
      </c>
      <c r="G1818" s="140">
        <v>25000.0</v>
      </c>
      <c r="H1818" s="139" t="s">
        <v>530</v>
      </c>
      <c r="I1818" s="124">
        <f t="shared" si="102"/>
        <v>2500</v>
      </c>
      <c r="J1818" s="150" t="s">
        <v>1351</v>
      </c>
      <c r="K1818" s="150"/>
      <c r="L1818" s="150"/>
    </row>
    <row r="1819">
      <c r="B1819" s="139" t="s">
        <v>526</v>
      </c>
      <c r="C1819" s="138" t="s">
        <v>2280</v>
      </c>
      <c r="D1819" s="138" t="s">
        <v>13</v>
      </c>
      <c r="E1819" s="138" t="s">
        <v>2282</v>
      </c>
      <c r="F1819" s="138" t="s">
        <v>763</v>
      </c>
      <c r="G1819" s="140">
        <v>13000.0</v>
      </c>
      <c r="H1819" s="139" t="s">
        <v>530</v>
      </c>
      <c r="I1819" s="124">
        <f t="shared" si="102"/>
        <v>1300</v>
      </c>
      <c r="J1819" s="150" t="s">
        <v>1351</v>
      </c>
      <c r="K1819" s="150"/>
      <c r="L1819" s="150"/>
    </row>
    <row r="1820">
      <c r="B1820" s="139" t="s">
        <v>526</v>
      </c>
      <c r="C1820" s="138" t="s">
        <v>1578</v>
      </c>
      <c r="D1820" s="138" t="s">
        <v>13</v>
      </c>
      <c r="E1820" s="138" t="s">
        <v>19</v>
      </c>
      <c r="F1820" s="138" t="s">
        <v>650</v>
      </c>
      <c r="G1820" s="140">
        <v>1300000.0</v>
      </c>
      <c r="H1820" s="139" t="s">
        <v>530</v>
      </c>
      <c r="I1820" s="124">
        <f t="shared" si="102"/>
        <v>130000</v>
      </c>
      <c r="J1820" s="150" t="s">
        <v>1351</v>
      </c>
      <c r="K1820" s="150"/>
      <c r="L1820" s="150"/>
    </row>
    <row r="1821">
      <c r="B1821" s="139" t="s">
        <v>526</v>
      </c>
      <c r="C1821" s="138" t="s">
        <v>1713</v>
      </c>
      <c r="D1821" s="138" t="s">
        <v>13</v>
      </c>
      <c r="E1821" s="138" t="s">
        <v>19</v>
      </c>
      <c r="F1821" s="138" t="s">
        <v>650</v>
      </c>
      <c r="G1821" s="140">
        <v>600000.0</v>
      </c>
      <c r="H1821" s="139" t="s">
        <v>530</v>
      </c>
      <c r="I1821" s="124">
        <f t="shared" si="102"/>
        <v>60000</v>
      </c>
      <c r="J1821" s="150" t="s">
        <v>1351</v>
      </c>
      <c r="K1821" s="150"/>
      <c r="L1821" s="150"/>
    </row>
    <row r="1822">
      <c r="B1822" s="139" t="s">
        <v>526</v>
      </c>
      <c r="C1822" s="138" t="s">
        <v>1377</v>
      </c>
      <c r="D1822" s="138" t="s">
        <v>13</v>
      </c>
      <c r="E1822" s="138" t="s">
        <v>19</v>
      </c>
      <c r="F1822" s="138" t="s">
        <v>650</v>
      </c>
      <c r="G1822" s="140">
        <v>2200000.0</v>
      </c>
      <c r="H1822" s="139" t="s">
        <v>530</v>
      </c>
      <c r="I1822" s="124">
        <f t="shared" si="102"/>
        <v>220000</v>
      </c>
      <c r="J1822" s="150" t="s">
        <v>1351</v>
      </c>
      <c r="K1822" s="150"/>
      <c r="L1822" s="150"/>
    </row>
    <row r="1823">
      <c r="B1823" s="139" t="s">
        <v>526</v>
      </c>
      <c r="C1823" s="138" t="s">
        <v>2283</v>
      </c>
      <c r="D1823" s="138" t="s">
        <v>13</v>
      </c>
      <c r="E1823" s="138" t="s">
        <v>19</v>
      </c>
      <c r="F1823" s="138" t="s">
        <v>650</v>
      </c>
      <c r="G1823" s="140">
        <v>850000.0</v>
      </c>
      <c r="H1823" s="139" t="s">
        <v>530</v>
      </c>
      <c r="I1823" s="124">
        <f t="shared" si="102"/>
        <v>85000</v>
      </c>
      <c r="J1823" s="150" t="s">
        <v>1351</v>
      </c>
      <c r="K1823" s="150"/>
      <c r="L1823" s="150"/>
    </row>
    <row r="1824">
      <c r="B1824" s="139" t="s">
        <v>526</v>
      </c>
      <c r="C1824" s="138" t="s">
        <v>1336</v>
      </c>
      <c r="D1824" s="138" t="s">
        <v>13</v>
      </c>
      <c r="E1824" s="138" t="s">
        <v>19</v>
      </c>
      <c r="F1824" s="138" t="s">
        <v>650</v>
      </c>
      <c r="G1824" s="140">
        <v>685000.0</v>
      </c>
      <c r="H1824" s="139" t="s">
        <v>530</v>
      </c>
      <c r="I1824" s="124">
        <f t="shared" si="102"/>
        <v>68500</v>
      </c>
      <c r="J1824" s="150" t="s">
        <v>1351</v>
      </c>
      <c r="K1824" s="150"/>
      <c r="L1824" s="150"/>
    </row>
    <row r="1825">
      <c r="B1825" s="139" t="s">
        <v>526</v>
      </c>
      <c r="C1825" s="138" t="s">
        <v>2284</v>
      </c>
      <c r="D1825" s="138" t="s">
        <v>13</v>
      </c>
      <c r="E1825" s="138" t="s">
        <v>19</v>
      </c>
      <c r="F1825" s="138" t="s">
        <v>650</v>
      </c>
      <c r="G1825" s="140">
        <v>500000.0</v>
      </c>
      <c r="H1825" s="139" t="s">
        <v>530</v>
      </c>
      <c r="I1825" s="124">
        <f t="shared" si="102"/>
        <v>50000</v>
      </c>
      <c r="J1825" s="150" t="s">
        <v>1351</v>
      </c>
      <c r="K1825" s="150"/>
      <c r="L1825" s="150"/>
    </row>
    <row r="1826">
      <c r="B1826" s="139" t="s">
        <v>526</v>
      </c>
      <c r="C1826" s="138" t="s">
        <v>2285</v>
      </c>
      <c r="D1826" s="138" t="s">
        <v>13</v>
      </c>
      <c r="E1826" s="138" t="s">
        <v>19</v>
      </c>
      <c r="F1826" s="138" t="s">
        <v>650</v>
      </c>
      <c r="G1826" s="140">
        <v>1750000.0</v>
      </c>
      <c r="H1826" s="139" t="s">
        <v>530</v>
      </c>
      <c r="I1826" s="124">
        <f t="shared" si="102"/>
        <v>175000</v>
      </c>
      <c r="J1826" s="150" t="s">
        <v>1351</v>
      </c>
      <c r="K1826" s="150"/>
      <c r="L1826" s="150"/>
    </row>
    <row r="1827">
      <c r="B1827" s="139" t="s">
        <v>526</v>
      </c>
      <c r="C1827" s="138" t="s">
        <v>2286</v>
      </c>
      <c r="D1827" s="138" t="s">
        <v>13</v>
      </c>
      <c r="E1827" s="138" t="s">
        <v>19</v>
      </c>
      <c r="F1827" s="138" t="s">
        <v>650</v>
      </c>
      <c r="G1827" s="140">
        <v>275000.0</v>
      </c>
      <c r="H1827" s="139" t="s">
        <v>530</v>
      </c>
      <c r="I1827" s="124">
        <f t="shared" si="102"/>
        <v>27500</v>
      </c>
      <c r="J1827" s="150" t="s">
        <v>1351</v>
      </c>
      <c r="K1827" s="150"/>
      <c r="L1827" s="150"/>
    </row>
    <row r="1828">
      <c r="B1828" s="139" t="s">
        <v>526</v>
      </c>
      <c r="C1828" s="138" t="s">
        <v>875</v>
      </c>
      <c r="D1828" s="138" t="s">
        <v>13</v>
      </c>
      <c r="E1828" s="138" t="s">
        <v>19</v>
      </c>
      <c r="F1828" s="138" t="s">
        <v>650</v>
      </c>
      <c r="G1828" s="140">
        <v>600000.0</v>
      </c>
      <c r="H1828" s="139" t="s">
        <v>530</v>
      </c>
      <c r="I1828" s="124">
        <f t="shared" si="102"/>
        <v>60000</v>
      </c>
      <c r="J1828" s="150" t="s">
        <v>1351</v>
      </c>
      <c r="K1828" s="150"/>
      <c r="L1828" s="150"/>
    </row>
    <row r="1829">
      <c r="B1829" s="139" t="s">
        <v>526</v>
      </c>
      <c r="C1829" s="138" t="s">
        <v>2287</v>
      </c>
      <c r="D1829" s="138" t="s">
        <v>13</v>
      </c>
      <c r="E1829" s="138" t="s">
        <v>19</v>
      </c>
      <c r="F1829" s="138" t="s">
        <v>650</v>
      </c>
      <c r="G1829" s="140">
        <v>600000.0</v>
      </c>
      <c r="H1829" s="139" t="s">
        <v>530</v>
      </c>
      <c r="I1829" s="124">
        <f t="shared" si="102"/>
        <v>60000</v>
      </c>
      <c r="J1829" s="150" t="s">
        <v>1351</v>
      </c>
      <c r="K1829" s="150"/>
      <c r="L1829" s="150"/>
    </row>
    <row r="1830">
      <c r="B1830" s="139" t="s">
        <v>526</v>
      </c>
      <c r="C1830" s="138" t="s">
        <v>2288</v>
      </c>
      <c r="D1830" s="138" t="s">
        <v>13</v>
      </c>
      <c r="E1830" s="138" t="s">
        <v>19</v>
      </c>
      <c r="F1830" s="138" t="s">
        <v>650</v>
      </c>
      <c r="G1830" s="140">
        <v>250000.0</v>
      </c>
      <c r="H1830" s="139" t="s">
        <v>530</v>
      </c>
      <c r="I1830" s="124">
        <f t="shared" si="102"/>
        <v>25000</v>
      </c>
      <c r="J1830" s="150" t="s">
        <v>1351</v>
      </c>
      <c r="K1830" s="150"/>
      <c r="L1830" s="150"/>
    </row>
    <row r="1831">
      <c r="B1831" s="139" t="s">
        <v>526</v>
      </c>
      <c r="C1831" s="138" t="s">
        <v>2289</v>
      </c>
      <c r="D1831" s="138" t="s">
        <v>13</v>
      </c>
      <c r="E1831" s="138" t="s">
        <v>42</v>
      </c>
      <c r="F1831" s="138" t="s">
        <v>650</v>
      </c>
      <c r="G1831" s="140">
        <v>200000.0</v>
      </c>
      <c r="H1831" s="139" t="s">
        <v>530</v>
      </c>
      <c r="I1831" s="124">
        <f t="shared" si="102"/>
        <v>20000</v>
      </c>
      <c r="J1831" s="150" t="s">
        <v>1351</v>
      </c>
      <c r="K1831" s="150"/>
      <c r="L1831" s="150"/>
    </row>
    <row r="1832">
      <c r="B1832" s="139" t="s">
        <v>526</v>
      </c>
      <c r="C1832" s="138" t="s">
        <v>2290</v>
      </c>
      <c r="D1832" s="138" t="s">
        <v>13</v>
      </c>
      <c r="E1832" s="138" t="s">
        <v>42</v>
      </c>
      <c r="F1832" s="138" t="s">
        <v>650</v>
      </c>
      <c r="G1832" s="140">
        <v>175000.0</v>
      </c>
      <c r="H1832" s="139" t="s">
        <v>530</v>
      </c>
      <c r="I1832" s="124">
        <f t="shared" si="102"/>
        <v>17500</v>
      </c>
      <c r="J1832" s="150" t="s">
        <v>1351</v>
      </c>
      <c r="K1832" s="150"/>
      <c r="L1832" s="150"/>
    </row>
    <row r="1833">
      <c r="B1833" s="139" t="s">
        <v>526</v>
      </c>
      <c r="C1833" s="138" t="s">
        <v>2291</v>
      </c>
      <c r="D1833" s="138" t="s">
        <v>13</v>
      </c>
      <c r="E1833" s="138" t="s">
        <v>42</v>
      </c>
      <c r="F1833" s="138" t="s">
        <v>650</v>
      </c>
      <c r="G1833" s="140">
        <v>215000.0</v>
      </c>
      <c r="H1833" s="139" t="s">
        <v>530</v>
      </c>
      <c r="I1833" s="124">
        <f t="shared" si="102"/>
        <v>21500</v>
      </c>
      <c r="J1833" s="150" t="s">
        <v>1351</v>
      </c>
      <c r="K1833" s="150"/>
      <c r="L1833" s="150"/>
    </row>
    <row r="1834">
      <c r="B1834" s="139" t="s">
        <v>526</v>
      </c>
      <c r="C1834" s="138" t="s">
        <v>2292</v>
      </c>
      <c r="D1834" s="138" t="s">
        <v>13</v>
      </c>
      <c r="E1834" s="138" t="s">
        <v>42</v>
      </c>
      <c r="F1834" s="138" t="s">
        <v>650</v>
      </c>
      <c r="G1834" s="140">
        <v>30000.0</v>
      </c>
      <c r="H1834" s="138" t="s">
        <v>677</v>
      </c>
      <c r="I1834" s="124">
        <f>G1834/2</f>
        <v>15000</v>
      </c>
      <c r="J1834" s="150" t="s">
        <v>1351</v>
      </c>
      <c r="K1834" s="150"/>
      <c r="L1834" s="150"/>
    </row>
    <row r="1835">
      <c r="B1835" s="139" t="s">
        <v>526</v>
      </c>
      <c r="C1835" s="138" t="s">
        <v>2293</v>
      </c>
      <c r="D1835" s="138" t="s">
        <v>13</v>
      </c>
      <c r="E1835" s="138" t="s">
        <v>42</v>
      </c>
      <c r="F1835" s="138" t="s">
        <v>650</v>
      </c>
      <c r="G1835" s="140">
        <v>90000.0</v>
      </c>
      <c r="H1835" s="139" t="s">
        <v>530</v>
      </c>
      <c r="I1835" s="124">
        <f t="shared" ref="I1835:I1843" si="103">G1835/10</f>
        <v>9000</v>
      </c>
      <c r="J1835" s="150" t="s">
        <v>1351</v>
      </c>
      <c r="K1835" s="150"/>
      <c r="L1835" s="150"/>
    </row>
    <row r="1836">
      <c r="B1836" s="139" t="s">
        <v>526</v>
      </c>
      <c r="C1836" s="138" t="s">
        <v>2294</v>
      </c>
      <c r="D1836" s="138" t="s">
        <v>13</v>
      </c>
      <c r="E1836" s="138" t="s">
        <v>42</v>
      </c>
      <c r="F1836" s="138" t="s">
        <v>650</v>
      </c>
      <c r="G1836" s="140">
        <v>60000.0</v>
      </c>
      <c r="H1836" s="139" t="s">
        <v>530</v>
      </c>
      <c r="I1836" s="124">
        <f t="shared" si="103"/>
        <v>6000</v>
      </c>
      <c r="J1836" s="150" t="s">
        <v>1351</v>
      </c>
      <c r="K1836" s="150"/>
      <c r="L1836" s="150"/>
    </row>
    <row r="1837">
      <c r="B1837" s="139" t="s">
        <v>526</v>
      </c>
      <c r="C1837" s="138" t="s">
        <v>2294</v>
      </c>
      <c r="D1837" s="138" t="s">
        <v>13</v>
      </c>
      <c r="E1837" s="138" t="s">
        <v>2295</v>
      </c>
      <c r="F1837" s="138" t="s">
        <v>586</v>
      </c>
      <c r="G1837" s="140">
        <v>42000.0</v>
      </c>
      <c r="H1837" s="139" t="s">
        <v>530</v>
      </c>
      <c r="I1837" s="124">
        <f t="shared" si="103"/>
        <v>4200</v>
      </c>
      <c r="J1837" s="150" t="s">
        <v>1351</v>
      </c>
      <c r="K1837" s="150"/>
      <c r="L1837" s="150"/>
    </row>
    <row r="1838">
      <c r="B1838" s="139" t="s">
        <v>526</v>
      </c>
      <c r="C1838" s="138" t="s">
        <v>2294</v>
      </c>
      <c r="D1838" s="138" t="s">
        <v>13</v>
      </c>
      <c r="E1838" s="138" t="s">
        <v>1790</v>
      </c>
      <c r="F1838" s="138" t="s">
        <v>643</v>
      </c>
      <c r="G1838" s="140">
        <v>35000.0</v>
      </c>
      <c r="H1838" s="139" t="s">
        <v>530</v>
      </c>
      <c r="I1838" s="124">
        <f t="shared" si="103"/>
        <v>3500</v>
      </c>
      <c r="J1838" s="150" t="s">
        <v>1351</v>
      </c>
      <c r="K1838" s="150"/>
      <c r="L1838" s="150"/>
    </row>
    <row r="1839">
      <c r="B1839" s="139" t="s">
        <v>526</v>
      </c>
      <c r="C1839" s="138" t="s">
        <v>2294</v>
      </c>
      <c r="D1839" s="138" t="s">
        <v>13</v>
      </c>
      <c r="E1839" s="138" t="s">
        <v>1790</v>
      </c>
      <c r="F1839" s="138" t="s">
        <v>738</v>
      </c>
      <c r="G1839" s="140">
        <v>14000.0</v>
      </c>
      <c r="H1839" s="139" t="s">
        <v>530</v>
      </c>
      <c r="I1839" s="124">
        <f t="shared" si="103"/>
        <v>1400</v>
      </c>
      <c r="J1839" s="150" t="s">
        <v>1351</v>
      </c>
      <c r="K1839" s="150"/>
      <c r="L1839" s="150"/>
    </row>
    <row r="1840">
      <c r="B1840" s="139" t="s">
        <v>526</v>
      </c>
      <c r="C1840" s="138" t="s">
        <v>2296</v>
      </c>
      <c r="D1840" s="138" t="s">
        <v>13</v>
      </c>
      <c r="E1840" s="138" t="s">
        <v>42</v>
      </c>
      <c r="F1840" s="138" t="s">
        <v>650</v>
      </c>
      <c r="G1840" s="140">
        <v>55000.0</v>
      </c>
      <c r="H1840" s="139" t="s">
        <v>530</v>
      </c>
      <c r="I1840" s="124">
        <f t="shared" si="103"/>
        <v>5500</v>
      </c>
      <c r="J1840" s="150" t="s">
        <v>1351</v>
      </c>
      <c r="K1840" s="150"/>
      <c r="L1840" s="150"/>
    </row>
    <row r="1841">
      <c r="B1841" s="139" t="s">
        <v>526</v>
      </c>
      <c r="C1841" s="138" t="s">
        <v>2297</v>
      </c>
      <c r="D1841" s="138" t="s">
        <v>13</v>
      </c>
      <c r="E1841" s="138" t="s">
        <v>42</v>
      </c>
      <c r="F1841" s="138" t="s">
        <v>650</v>
      </c>
      <c r="G1841" s="140">
        <v>50000.0</v>
      </c>
      <c r="H1841" s="139" t="s">
        <v>530</v>
      </c>
      <c r="I1841" s="124">
        <f t="shared" si="103"/>
        <v>5000</v>
      </c>
      <c r="J1841" s="150" t="s">
        <v>1351</v>
      </c>
      <c r="K1841" s="150"/>
      <c r="L1841" s="150"/>
    </row>
    <row r="1842">
      <c r="B1842" s="139" t="s">
        <v>526</v>
      </c>
      <c r="C1842" s="138" t="s">
        <v>2298</v>
      </c>
      <c r="D1842" s="138" t="s">
        <v>13</v>
      </c>
      <c r="E1842" s="138" t="s">
        <v>42</v>
      </c>
      <c r="F1842" s="138" t="s">
        <v>650</v>
      </c>
      <c r="G1842" s="140">
        <v>70000.0</v>
      </c>
      <c r="H1842" s="139" t="s">
        <v>530</v>
      </c>
      <c r="I1842" s="124">
        <f t="shared" si="103"/>
        <v>7000</v>
      </c>
      <c r="J1842" s="150" t="s">
        <v>1351</v>
      </c>
      <c r="K1842" s="150"/>
      <c r="L1842" s="150"/>
    </row>
    <row r="1843">
      <c r="B1843" s="139" t="s">
        <v>526</v>
      </c>
      <c r="C1843" s="138" t="s">
        <v>2299</v>
      </c>
      <c r="D1843" s="138" t="s">
        <v>13</v>
      </c>
      <c r="E1843" s="138" t="s">
        <v>42</v>
      </c>
      <c r="F1843" s="138" t="s">
        <v>650</v>
      </c>
      <c r="G1843" s="140">
        <v>35000.0</v>
      </c>
      <c r="H1843" s="139" t="s">
        <v>530</v>
      </c>
      <c r="I1843" s="124">
        <f t="shared" si="103"/>
        <v>3500</v>
      </c>
      <c r="J1843" s="150" t="s">
        <v>1351</v>
      </c>
      <c r="K1843" s="150"/>
      <c r="L1843" s="150"/>
    </row>
    <row r="1844">
      <c r="B1844" s="139" t="s">
        <v>526</v>
      </c>
      <c r="C1844" s="138" t="s">
        <v>2300</v>
      </c>
      <c r="D1844" s="138" t="s">
        <v>13</v>
      </c>
      <c r="E1844" s="138" t="s">
        <v>42</v>
      </c>
      <c r="F1844" s="138" t="s">
        <v>650</v>
      </c>
      <c r="G1844" s="140">
        <v>100000.0</v>
      </c>
      <c r="H1844" s="138" t="s">
        <v>728</v>
      </c>
      <c r="I1844" s="124">
        <f>G1844/7</f>
        <v>14285.71429</v>
      </c>
      <c r="J1844" s="150" t="s">
        <v>1351</v>
      </c>
      <c r="K1844" s="150"/>
      <c r="L1844" s="150"/>
    </row>
    <row r="1845">
      <c r="B1845" s="139" t="s">
        <v>526</v>
      </c>
      <c r="C1845" s="138" t="s">
        <v>2301</v>
      </c>
      <c r="D1845" s="138" t="s">
        <v>13</v>
      </c>
      <c r="E1845" s="138" t="s">
        <v>42</v>
      </c>
      <c r="F1845" s="138" t="s">
        <v>650</v>
      </c>
      <c r="G1845" s="140">
        <v>30000.0</v>
      </c>
      <c r="H1845" s="139" t="s">
        <v>530</v>
      </c>
      <c r="I1845" s="124">
        <f t="shared" ref="I1845:I1848" si="104">G1845/10</f>
        <v>3000</v>
      </c>
      <c r="J1845" s="150" t="s">
        <v>1351</v>
      </c>
      <c r="K1845" s="150"/>
      <c r="L1845" s="150"/>
    </row>
    <row r="1846">
      <c r="B1846" s="139" t="s">
        <v>526</v>
      </c>
      <c r="C1846" s="138" t="s">
        <v>2302</v>
      </c>
      <c r="D1846" s="138" t="s">
        <v>13</v>
      </c>
      <c r="E1846" s="138" t="s">
        <v>27</v>
      </c>
      <c r="F1846" s="138" t="s">
        <v>650</v>
      </c>
      <c r="G1846" s="140">
        <v>150000.0</v>
      </c>
      <c r="H1846" s="139" t="s">
        <v>530</v>
      </c>
      <c r="I1846" s="124">
        <f t="shared" si="104"/>
        <v>15000</v>
      </c>
      <c r="J1846" s="150" t="s">
        <v>1351</v>
      </c>
      <c r="K1846" s="150"/>
      <c r="L1846" s="150"/>
    </row>
    <row r="1847">
      <c r="B1847" s="139" t="s">
        <v>526</v>
      </c>
      <c r="C1847" s="138" t="s">
        <v>2303</v>
      </c>
      <c r="D1847" s="138" t="s">
        <v>13</v>
      </c>
      <c r="E1847" s="138" t="s">
        <v>27</v>
      </c>
      <c r="F1847" s="138" t="s">
        <v>650</v>
      </c>
      <c r="G1847" s="140">
        <v>120000.0</v>
      </c>
      <c r="H1847" s="139" t="s">
        <v>530</v>
      </c>
      <c r="I1847" s="124">
        <f t="shared" si="104"/>
        <v>12000</v>
      </c>
      <c r="J1847" s="150" t="s">
        <v>1351</v>
      </c>
      <c r="K1847" s="150"/>
      <c r="L1847" s="150"/>
    </row>
    <row r="1848">
      <c r="B1848" s="139" t="s">
        <v>526</v>
      </c>
      <c r="C1848" s="138" t="s">
        <v>2304</v>
      </c>
      <c r="D1848" s="138" t="s">
        <v>13</v>
      </c>
      <c r="E1848" s="138" t="s">
        <v>27</v>
      </c>
      <c r="F1848" s="138" t="s">
        <v>650</v>
      </c>
      <c r="G1848" s="140">
        <v>100000.0</v>
      </c>
      <c r="H1848" s="139" t="s">
        <v>530</v>
      </c>
      <c r="I1848" s="124">
        <f t="shared" si="104"/>
        <v>10000</v>
      </c>
      <c r="J1848" s="150" t="s">
        <v>1351</v>
      </c>
      <c r="K1848" s="150"/>
      <c r="L1848" s="150"/>
    </row>
    <row r="1849">
      <c r="B1849" s="139" t="s">
        <v>526</v>
      </c>
      <c r="C1849" s="138" t="s">
        <v>2305</v>
      </c>
      <c r="D1849" s="138" t="s">
        <v>13</v>
      </c>
      <c r="E1849" s="138" t="s">
        <v>27</v>
      </c>
      <c r="F1849" s="138" t="s">
        <v>650</v>
      </c>
      <c r="G1849" s="140">
        <v>25000.0</v>
      </c>
      <c r="H1849" s="138" t="s">
        <v>872</v>
      </c>
      <c r="I1849" s="124">
        <f>G1849/3</f>
        <v>8333.333333</v>
      </c>
      <c r="J1849" s="150" t="s">
        <v>1351</v>
      </c>
      <c r="K1849" s="150"/>
      <c r="L1849" s="150"/>
    </row>
    <row r="1850">
      <c r="B1850" s="139" t="s">
        <v>526</v>
      </c>
      <c r="C1850" s="138" t="s">
        <v>2306</v>
      </c>
      <c r="D1850" s="138" t="s">
        <v>13</v>
      </c>
      <c r="E1850" s="138" t="s">
        <v>27</v>
      </c>
      <c r="F1850" s="138" t="s">
        <v>650</v>
      </c>
      <c r="G1850" s="140">
        <v>40000.0</v>
      </c>
      <c r="H1850" s="139" t="s">
        <v>530</v>
      </c>
      <c r="I1850" s="124">
        <f t="shared" ref="I1850:I1858" si="105">G1850/10</f>
        <v>4000</v>
      </c>
      <c r="J1850" s="150" t="s">
        <v>1351</v>
      </c>
      <c r="K1850" s="150"/>
      <c r="L1850" s="150"/>
    </row>
    <row r="1851">
      <c r="B1851" s="139" t="s">
        <v>526</v>
      </c>
      <c r="C1851" s="138" t="s">
        <v>2307</v>
      </c>
      <c r="D1851" s="138" t="s">
        <v>13</v>
      </c>
      <c r="E1851" s="138" t="s">
        <v>27</v>
      </c>
      <c r="F1851" s="138" t="s">
        <v>650</v>
      </c>
      <c r="G1851" s="140">
        <v>140000.0</v>
      </c>
      <c r="H1851" s="139" t="s">
        <v>530</v>
      </c>
      <c r="I1851" s="124">
        <f t="shared" si="105"/>
        <v>14000</v>
      </c>
      <c r="J1851" s="150" t="s">
        <v>1351</v>
      </c>
      <c r="K1851" s="150"/>
      <c r="L1851" s="150"/>
    </row>
    <row r="1852">
      <c r="B1852" s="139" t="s">
        <v>526</v>
      </c>
      <c r="C1852" s="138" t="s">
        <v>2308</v>
      </c>
      <c r="D1852" s="138" t="s">
        <v>13</v>
      </c>
      <c r="E1852" s="138" t="s">
        <v>27</v>
      </c>
      <c r="F1852" s="138" t="s">
        <v>650</v>
      </c>
      <c r="G1852" s="140">
        <v>90000.0</v>
      </c>
      <c r="H1852" s="139" t="s">
        <v>530</v>
      </c>
      <c r="I1852" s="124">
        <f t="shared" si="105"/>
        <v>9000</v>
      </c>
      <c r="J1852" s="150" t="s">
        <v>1351</v>
      </c>
      <c r="K1852" s="150"/>
      <c r="L1852" s="150"/>
    </row>
    <row r="1853">
      <c r="B1853" s="139" t="s">
        <v>526</v>
      </c>
      <c r="C1853" s="138" t="s">
        <v>2309</v>
      </c>
      <c r="D1853" s="138" t="s">
        <v>13</v>
      </c>
      <c r="E1853" s="138" t="s">
        <v>27</v>
      </c>
      <c r="F1853" s="138" t="s">
        <v>650</v>
      </c>
      <c r="G1853" s="140">
        <v>95000.0</v>
      </c>
      <c r="H1853" s="139" t="s">
        <v>530</v>
      </c>
      <c r="I1853" s="124">
        <f t="shared" si="105"/>
        <v>9500</v>
      </c>
      <c r="J1853" s="150" t="s">
        <v>1351</v>
      </c>
      <c r="K1853" s="150"/>
      <c r="L1853" s="150"/>
    </row>
    <row r="1854">
      <c r="B1854" s="139" t="s">
        <v>526</v>
      </c>
      <c r="C1854" s="138" t="s">
        <v>2310</v>
      </c>
      <c r="D1854" s="138" t="s">
        <v>13</v>
      </c>
      <c r="E1854" s="138" t="s">
        <v>27</v>
      </c>
      <c r="F1854" s="138" t="s">
        <v>650</v>
      </c>
      <c r="G1854" s="140">
        <v>100000.0</v>
      </c>
      <c r="H1854" s="139" t="s">
        <v>530</v>
      </c>
      <c r="I1854" s="124">
        <f t="shared" si="105"/>
        <v>10000</v>
      </c>
      <c r="J1854" s="150" t="s">
        <v>1351</v>
      </c>
      <c r="K1854" s="150"/>
      <c r="L1854" s="150"/>
    </row>
    <row r="1855">
      <c r="B1855" s="139" t="s">
        <v>526</v>
      </c>
      <c r="C1855" s="138" t="s">
        <v>2311</v>
      </c>
      <c r="D1855" s="138" t="s">
        <v>13</v>
      </c>
      <c r="E1855" s="138" t="s">
        <v>27</v>
      </c>
      <c r="F1855" s="138" t="s">
        <v>650</v>
      </c>
      <c r="G1855" s="140">
        <v>120000.0</v>
      </c>
      <c r="H1855" s="139" t="s">
        <v>530</v>
      </c>
      <c r="I1855" s="124">
        <f t="shared" si="105"/>
        <v>12000</v>
      </c>
      <c r="J1855" s="150" t="s">
        <v>1351</v>
      </c>
      <c r="K1855" s="150"/>
      <c r="L1855" s="150"/>
    </row>
    <row r="1856">
      <c r="B1856" s="139" t="s">
        <v>526</v>
      </c>
      <c r="C1856" s="138" t="s">
        <v>2312</v>
      </c>
      <c r="D1856" s="138" t="s">
        <v>13</v>
      </c>
      <c r="E1856" s="138" t="s">
        <v>27</v>
      </c>
      <c r="F1856" s="138" t="s">
        <v>650</v>
      </c>
      <c r="G1856" s="140">
        <v>60000.0</v>
      </c>
      <c r="H1856" s="139" t="s">
        <v>530</v>
      </c>
      <c r="I1856" s="124">
        <f t="shared" si="105"/>
        <v>6000</v>
      </c>
      <c r="J1856" s="150" t="s">
        <v>1351</v>
      </c>
      <c r="K1856" s="150"/>
      <c r="L1856" s="150"/>
    </row>
    <row r="1857">
      <c r="B1857" s="139" t="s">
        <v>526</v>
      </c>
      <c r="C1857" s="138" t="s">
        <v>2313</v>
      </c>
      <c r="D1857" s="138" t="s">
        <v>13</v>
      </c>
      <c r="E1857" s="138" t="s">
        <v>1350</v>
      </c>
      <c r="F1857" s="138" t="s">
        <v>650</v>
      </c>
      <c r="G1857" s="140">
        <v>1000000.0</v>
      </c>
      <c r="H1857" s="139" t="s">
        <v>530</v>
      </c>
      <c r="I1857" s="124">
        <f t="shared" si="105"/>
        <v>100000</v>
      </c>
      <c r="J1857" s="150" t="s">
        <v>1351</v>
      </c>
      <c r="K1857" s="150"/>
      <c r="L1857" s="150"/>
    </row>
    <row r="1858">
      <c r="B1858" s="139" t="s">
        <v>526</v>
      </c>
      <c r="C1858" s="138" t="s">
        <v>2314</v>
      </c>
      <c r="D1858" s="138" t="s">
        <v>13</v>
      </c>
      <c r="E1858" s="138" t="s">
        <v>1350</v>
      </c>
      <c r="F1858" s="138" t="s">
        <v>650</v>
      </c>
      <c r="G1858" s="140">
        <v>430000.0</v>
      </c>
      <c r="H1858" s="139" t="s">
        <v>530</v>
      </c>
      <c r="I1858" s="124">
        <f t="shared" si="105"/>
        <v>43000</v>
      </c>
      <c r="J1858" s="150" t="s">
        <v>1351</v>
      </c>
      <c r="K1858" s="151" t="s">
        <v>2315</v>
      </c>
      <c r="L1858" s="150"/>
    </row>
    <row r="1859">
      <c r="B1859" s="139" t="s">
        <v>526</v>
      </c>
      <c r="C1859" s="138" t="s">
        <v>2316</v>
      </c>
      <c r="D1859" s="138" t="s">
        <v>13</v>
      </c>
      <c r="E1859" s="138" t="s">
        <v>1350</v>
      </c>
      <c r="F1859" s="138" t="s">
        <v>650</v>
      </c>
      <c r="G1859" s="140">
        <v>280000.0</v>
      </c>
      <c r="H1859" s="138" t="s">
        <v>1155</v>
      </c>
      <c r="I1859" s="124">
        <f>G1859/8</f>
        <v>35000</v>
      </c>
      <c r="J1859" s="150" t="s">
        <v>1351</v>
      </c>
      <c r="K1859" s="150"/>
      <c r="L1859" s="150"/>
    </row>
    <row r="1860">
      <c r="B1860" s="139" t="s">
        <v>526</v>
      </c>
      <c r="C1860" s="138" t="s">
        <v>2317</v>
      </c>
      <c r="D1860" s="138" t="s">
        <v>13</v>
      </c>
      <c r="E1860" s="138" t="s">
        <v>1350</v>
      </c>
      <c r="F1860" s="138" t="s">
        <v>650</v>
      </c>
      <c r="G1860" s="140">
        <v>450000.0</v>
      </c>
      <c r="H1860" s="139" t="s">
        <v>530</v>
      </c>
      <c r="I1860" s="124">
        <f t="shared" ref="I1860:I1880" si="106">G1860/10</f>
        <v>45000</v>
      </c>
      <c r="J1860" s="150" t="s">
        <v>1351</v>
      </c>
      <c r="K1860" s="150"/>
      <c r="L1860" s="150"/>
    </row>
    <row r="1861">
      <c r="B1861" s="139" t="s">
        <v>526</v>
      </c>
      <c r="C1861" s="138" t="s">
        <v>2318</v>
      </c>
      <c r="D1861" s="138" t="s">
        <v>13</v>
      </c>
      <c r="E1861" s="138" t="s">
        <v>1350</v>
      </c>
      <c r="F1861" s="138" t="s">
        <v>650</v>
      </c>
      <c r="G1861" s="140">
        <v>230000.0</v>
      </c>
      <c r="H1861" s="139" t="s">
        <v>530</v>
      </c>
      <c r="I1861" s="124">
        <f t="shared" si="106"/>
        <v>23000</v>
      </c>
      <c r="J1861" s="150" t="s">
        <v>1351</v>
      </c>
      <c r="K1861" s="150"/>
      <c r="L1861" s="150"/>
    </row>
    <row r="1862">
      <c r="B1862" s="139" t="s">
        <v>526</v>
      </c>
      <c r="C1862" s="138" t="s">
        <v>2319</v>
      </c>
      <c r="D1862" s="138" t="s">
        <v>13</v>
      </c>
      <c r="E1862" s="138" t="s">
        <v>1350</v>
      </c>
      <c r="F1862" s="138" t="s">
        <v>650</v>
      </c>
      <c r="G1862" s="140">
        <v>350000.0</v>
      </c>
      <c r="H1862" s="139" t="s">
        <v>530</v>
      </c>
      <c r="I1862" s="124">
        <f t="shared" si="106"/>
        <v>35000</v>
      </c>
      <c r="J1862" s="150" t="s">
        <v>1351</v>
      </c>
      <c r="K1862" s="150"/>
      <c r="L1862" s="150"/>
    </row>
    <row r="1863">
      <c r="B1863" s="139" t="s">
        <v>526</v>
      </c>
      <c r="C1863" s="138" t="s">
        <v>2320</v>
      </c>
      <c r="D1863" s="138" t="s">
        <v>13</v>
      </c>
      <c r="E1863" s="138" t="s">
        <v>1350</v>
      </c>
      <c r="F1863" s="138" t="s">
        <v>650</v>
      </c>
      <c r="G1863" s="140">
        <v>450000.0</v>
      </c>
      <c r="H1863" s="139" t="s">
        <v>530</v>
      </c>
      <c r="I1863" s="124">
        <f t="shared" si="106"/>
        <v>45000</v>
      </c>
      <c r="J1863" s="150" t="s">
        <v>1351</v>
      </c>
      <c r="K1863" s="150"/>
      <c r="L1863" s="150"/>
    </row>
    <row r="1864">
      <c r="B1864" s="139" t="s">
        <v>526</v>
      </c>
      <c r="C1864" s="138" t="s">
        <v>2321</v>
      </c>
      <c r="D1864" s="138" t="s">
        <v>13</v>
      </c>
      <c r="E1864" s="138" t="s">
        <v>1350</v>
      </c>
      <c r="F1864" s="138" t="s">
        <v>650</v>
      </c>
      <c r="G1864" s="140">
        <v>250000.0</v>
      </c>
      <c r="H1864" s="139" t="s">
        <v>530</v>
      </c>
      <c r="I1864" s="124">
        <f t="shared" si="106"/>
        <v>25000</v>
      </c>
      <c r="J1864" s="150" t="s">
        <v>1351</v>
      </c>
      <c r="K1864" s="150"/>
      <c r="L1864" s="150"/>
    </row>
    <row r="1865">
      <c r="B1865" s="139" t="s">
        <v>526</v>
      </c>
      <c r="C1865" s="138" t="s">
        <v>2322</v>
      </c>
      <c r="D1865" s="138" t="s">
        <v>13</v>
      </c>
      <c r="E1865" s="138" t="s">
        <v>1350</v>
      </c>
      <c r="F1865" s="138" t="s">
        <v>650</v>
      </c>
      <c r="G1865" s="140">
        <v>180000.0</v>
      </c>
      <c r="H1865" s="139" t="s">
        <v>530</v>
      </c>
      <c r="I1865" s="124">
        <f t="shared" si="106"/>
        <v>18000</v>
      </c>
      <c r="J1865" s="150" t="s">
        <v>1351</v>
      </c>
      <c r="K1865" s="150"/>
      <c r="L1865" s="150"/>
    </row>
    <row r="1866">
      <c r="B1866" s="139" t="s">
        <v>526</v>
      </c>
      <c r="C1866" s="138" t="s">
        <v>2323</v>
      </c>
      <c r="D1866" s="138" t="s">
        <v>13</v>
      </c>
      <c r="E1866" s="138" t="s">
        <v>1350</v>
      </c>
      <c r="F1866" s="138" t="s">
        <v>650</v>
      </c>
      <c r="G1866" s="140">
        <v>180000.0</v>
      </c>
      <c r="H1866" s="139" t="s">
        <v>530</v>
      </c>
      <c r="I1866" s="124">
        <f t="shared" si="106"/>
        <v>18000</v>
      </c>
      <c r="J1866" s="150" t="s">
        <v>1351</v>
      </c>
      <c r="K1866" s="150"/>
      <c r="L1866" s="150"/>
    </row>
    <row r="1867">
      <c r="B1867" s="139" t="s">
        <v>526</v>
      </c>
      <c r="C1867" s="138" t="s">
        <v>1228</v>
      </c>
      <c r="D1867" s="138" t="s">
        <v>13</v>
      </c>
      <c r="E1867" s="138" t="s">
        <v>1350</v>
      </c>
      <c r="F1867" s="138" t="s">
        <v>650</v>
      </c>
      <c r="G1867" s="140">
        <v>250000.0</v>
      </c>
      <c r="H1867" s="139" t="s">
        <v>530</v>
      </c>
      <c r="I1867" s="124">
        <f t="shared" si="106"/>
        <v>25000</v>
      </c>
      <c r="J1867" s="150" t="s">
        <v>1351</v>
      </c>
      <c r="K1867" s="150"/>
      <c r="L1867" s="150"/>
    </row>
    <row r="1868">
      <c r="B1868" s="139" t="s">
        <v>526</v>
      </c>
      <c r="C1868" s="138" t="s">
        <v>2324</v>
      </c>
      <c r="D1868" s="138" t="s">
        <v>13</v>
      </c>
      <c r="E1868" s="138" t="s">
        <v>1350</v>
      </c>
      <c r="F1868" s="138" t="s">
        <v>650</v>
      </c>
      <c r="G1868" s="140">
        <v>350000.0</v>
      </c>
      <c r="H1868" s="139" t="s">
        <v>530</v>
      </c>
      <c r="I1868" s="124">
        <f t="shared" si="106"/>
        <v>35000</v>
      </c>
      <c r="J1868" s="150" t="s">
        <v>1351</v>
      </c>
      <c r="K1868" s="151" t="s">
        <v>2325</v>
      </c>
      <c r="L1868" s="150"/>
    </row>
    <row r="1869">
      <c r="B1869" s="139" t="s">
        <v>526</v>
      </c>
      <c r="C1869" s="138" t="s">
        <v>2326</v>
      </c>
      <c r="D1869" s="138" t="s">
        <v>13</v>
      </c>
      <c r="E1869" s="138" t="s">
        <v>1350</v>
      </c>
      <c r="F1869" s="138" t="s">
        <v>650</v>
      </c>
      <c r="G1869" s="140">
        <v>400000.0</v>
      </c>
      <c r="H1869" s="139" t="s">
        <v>530</v>
      </c>
      <c r="I1869" s="124">
        <f t="shared" si="106"/>
        <v>40000</v>
      </c>
      <c r="J1869" s="150" t="s">
        <v>1351</v>
      </c>
      <c r="K1869" s="150"/>
      <c r="L1869" s="150"/>
    </row>
    <row r="1870">
      <c r="B1870" s="139" t="s">
        <v>526</v>
      </c>
      <c r="C1870" s="138" t="s">
        <v>2327</v>
      </c>
      <c r="D1870" s="138" t="s">
        <v>13</v>
      </c>
      <c r="E1870" s="138" t="s">
        <v>1350</v>
      </c>
      <c r="F1870" s="138" t="s">
        <v>650</v>
      </c>
      <c r="G1870" s="140">
        <v>150000.0</v>
      </c>
      <c r="H1870" s="139" t="s">
        <v>530</v>
      </c>
      <c r="I1870" s="124">
        <f t="shared" si="106"/>
        <v>15000</v>
      </c>
      <c r="J1870" s="150" t="s">
        <v>1351</v>
      </c>
      <c r="K1870" s="150"/>
      <c r="L1870" s="150"/>
    </row>
    <row r="1871">
      <c r="B1871" s="139" t="s">
        <v>526</v>
      </c>
      <c r="C1871" s="138" t="s">
        <v>2328</v>
      </c>
      <c r="D1871" s="138" t="s">
        <v>13</v>
      </c>
      <c r="E1871" s="138" t="s">
        <v>2048</v>
      </c>
      <c r="F1871" s="138" t="s">
        <v>650</v>
      </c>
      <c r="G1871" s="140">
        <v>20000.0</v>
      </c>
      <c r="H1871" s="139" t="s">
        <v>530</v>
      </c>
      <c r="I1871" s="124">
        <f t="shared" si="106"/>
        <v>2000</v>
      </c>
      <c r="J1871" s="150" t="s">
        <v>1351</v>
      </c>
      <c r="K1871" s="150"/>
      <c r="L1871" s="150"/>
    </row>
    <row r="1872">
      <c r="B1872" s="139" t="s">
        <v>526</v>
      </c>
      <c r="C1872" s="138" t="s">
        <v>2329</v>
      </c>
      <c r="D1872" s="138" t="s">
        <v>13</v>
      </c>
      <c r="E1872" s="138" t="s">
        <v>1350</v>
      </c>
      <c r="F1872" s="138" t="s">
        <v>650</v>
      </c>
      <c r="G1872" s="140">
        <v>110000.0</v>
      </c>
      <c r="H1872" s="139" t="s">
        <v>530</v>
      </c>
      <c r="I1872" s="124">
        <f t="shared" si="106"/>
        <v>11000</v>
      </c>
      <c r="J1872" s="150" t="s">
        <v>1351</v>
      </c>
      <c r="K1872" s="150"/>
      <c r="L1872" s="150"/>
    </row>
    <row r="1873">
      <c r="B1873" s="139" t="s">
        <v>526</v>
      </c>
      <c r="C1873" s="138" t="s">
        <v>2330</v>
      </c>
      <c r="D1873" s="138" t="s">
        <v>13</v>
      </c>
      <c r="E1873" s="138" t="s">
        <v>2331</v>
      </c>
      <c r="F1873" s="138" t="s">
        <v>650</v>
      </c>
      <c r="G1873" s="140">
        <v>100000.0</v>
      </c>
      <c r="H1873" s="139" t="s">
        <v>530</v>
      </c>
      <c r="I1873" s="124">
        <f t="shared" si="106"/>
        <v>10000</v>
      </c>
      <c r="J1873" s="150" t="s">
        <v>1351</v>
      </c>
      <c r="K1873" s="150"/>
      <c r="L1873" s="150"/>
    </row>
    <row r="1874">
      <c r="B1874" s="139" t="s">
        <v>526</v>
      </c>
      <c r="C1874" s="138" t="s">
        <v>2332</v>
      </c>
      <c r="D1874" s="138" t="s">
        <v>13</v>
      </c>
      <c r="E1874" s="138" t="s">
        <v>2331</v>
      </c>
      <c r="F1874" s="138" t="s">
        <v>650</v>
      </c>
      <c r="G1874" s="140">
        <v>140000.0</v>
      </c>
      <c r="H1874" s="139" t="s">
        <v>530</v>
      </c>
      <c r="I1874" s="124">
        <f t="shared" si="106"/>
        <v>14000</v>
      </c>
      <c r="J1874" s="150" t="s">
        <v>1351</v>
      </c>
      <c r="K1874" s="150"/>
      <c r="L1874" s="150"/>
    </row>
    <row r="1875">
      <c r="B1875" s="139" t="s">
        <v>526</v>
      </c>
      <c r="C1875" s="138" t="s">
        <v>2333</v>
      </c>
      <c r="D1875" s="138" t="s">
        <v>13</v>
      </c>
      <c r="E1875" s="138" t="s">
        <v>2331</v>
      </c>
      <c r="F1875" s="138" t="s">
        <v>650</v>
      </c>
      <c r="G1875" s="140">
        <v>65000.0</v>
      </c>
      <c r="H1875" s="139" t="s">
        <v>530</v>
      </c>
      <c r="I1875" s="124">
        <f t="shared" si="106"/>
        <v>6500</v>
      </c>
      <c r="J1875" s="150" t="s">
        <v>1351</v>
      </c>
      <c r="K1875" s="150"/>
      <c r="L1875" s="150"/>
    </row>
    <row r="1876">
      <c r="B1876" s="139" t="s">
        <v>526</v>
      </c>
      <c r="C1876" s="138" t="s">
        <v>2333</v>
      </c>
      <c r="D1876" s="138" t="s">
        <v>13</v>
      </c>
      <c r="E1876" s="138" t="s">
        <v>1790</v>
      </c>
      <c r="F1876" s="138" t="s">
        <v>586</v>
      </c>
      <c r="G1876" s="140">
        <v>45000.0</v>
      </c>
      <c r="H1876" s="139" t="s">
        <v>530</v>
      </c>
      <c r="I1876" s="124">
        <f t="shared" si="106"/>
        <v>4500</v>
      </c>
      <c r="J1876" s="150" t="s">
        <v>1351</v>
      </c>
      <c r="K1876" s="150"/>
      <c r="L1876" s="150"/>
    </row>
    <row r="1877">
      <c r="B1877" s="139" t="s">
        <v>526</v>
      </c>
      <c r="C1877" s="138" t="s">
        <v>2333</v>
      </c>
      <c r="D1877" s="138" t="s">
        <v>13</v>
      </c>
      <c r="E1877" s="138" t="s">
        <v>1790</v>
      </c>
      <c r="F1877" s="138" t="s">
        <v>643</v>
      </c>
      <c r="G1877" s="140">
        <v>36000.0</v>
      </c>
      <c r="H1877" s="139" t="s">
        <v>530</v>
      </c>
      <c r="I1877" s="124">
        <f t="shared" si="106"/>
        <v>3600</v>
      </c>
      <c r="J1877" s="150" t="s">
        <v>1351</v>
      </c>
      <c r="K1877" s="150"/>
      <c r="L1877" s="150"/>
    </row>
    <row r="1878">
      <c r="B1878" s="139" t="s">
        <v>526</v>
      </c>
      <c r="C1878" s="138" t="s">
        <v>2333</v>
      </c>
      <c r="D1878" s="138" t="s">
        <v>13</v>
      </c>
      <c r="E1878" s="138" t="s">
        <v>1793</v>
      </c>
      <c r="F1878" s="138" t="s">
        <v>738</v>
      </c>
      <c r="G1878" s="140">
        <v>33000.0</v>
      </c>
      <c r="H1878" s="139" t="s">
        <v>530</v>
      </c>
      <c r="I1878" s="124">
        <f t="shared" si="106"/>
        <v>3300</v>
      </c>
      <c r="J1878" s="150" t="s">
        <v>1351</v>
      </c>
      <c r="K1878" s="150"/>
      <c r="L1878" s="150"/>
    </row>
    <row r="1879">
      <c r="B1879" s="139" t="s">
        <v>526</v>
      </c>
      <c r="C1879" s="138" t="s">
        <v>2333</v>
      </c>
      <c r="D1879" s="138" t="s">
        <v>13</v>
      </c>
      <c r="E1879" s="138" t="s">
        <v>2331</v>
      </c>
      <c r="F1879" s="138" t="s">
        <v>763</v>
      </c>
      <c r="G1879" s="140">
        <v>20000.0</v>
      </c>
      <c r="H1879" s="139" t="s">
        <v>530</v>
      </c>
      <c r="I1879" s="124">
        <f t="shared" si="106"/>
        <v>2000</v>
      </c>
      <c r="J1879" s="150" t="s">
        <v>1351</v>
      </c>
      <c r="K1879" s="150"/>
      <c r="L1879" s="150"/>
    </row>
    <row r="1880">
      <c r="B1880" s="139" t="s">
        <v>526</v>
      </c>
      <c r="C1880" s="138" t="s">
        <v>1469</v>
      </c>
      <c r="D1880" s="138" t="s">
        <v>13</v>
      </c>
      <c r="E1880" s="138" t="s">
        <v>2331</v>
      </c>
      <c r="F1880" s="138" t="s">
        <v>650</v>
      </c>
      <c r="G1880" s="140">
        <v>110000.0</v>
      </c>
      <c r="H1880" s="139" t="s">
        <v>530</v>
      </c>
      <c r="I1880" s="124">
        <f t="shared" si="106"/>
        <v>11000</v>
      </c>
      <c r="J1880" s="150" t="s">
        <v>1351</v>
      </c>
      <c r="K1880" s="150"/>
      <c r="L1880" s="150"/>
    </row>
    <row r="1881">
      <c r="B1881" s="139" t="s">
        <v>526</v>
      </c>
      <c r="C1881" s="138" t="s">
        <v>2334</v>
      </c>
      <c r="D1881" s="138" t="s">
        <v>13</v>
      </c>
      <c r="E1881" s="138" t="s">
        <v>2331</v>
      </c>
      <c r="F1881" s="138" t="s">
        <v>650</v>
      </c>
      <c r="G1881" s="140">
        <v>50000.0</v>
      </c>
      <c r="H1881" s="138" t="s">
        <v>728</v>
      </c>
      <c r="I1881" s="124">
        <f>G1881/7</f>
        <v>7142.857143</v>
      </c>
      <c r="J1881" s="150" t="s">
        <v>1351</v>
      </c>
      <c r="K1881" s="150"/>
      <c r="L1881" s="150"/>
    </row>
    <row r="1882">
      <c r="B1882" s="139" t="s">
        <v>526</v>
      </c>
      <c r="C1882" s="138" t="s">
        <v>2335</v>
      </c>
      <c r="D1882" s="138" t="s">
        <v>13</v>
      </c>
      <c r="E1882" s="138" t="s">
        <v>2331</v>
      </c>
      <c r="F1882" s="138" t="s">
        <v>650</v>
      </c>
      <c r="G1882" s="140">
        <v>110000.0</v>
      </c>
      <c r="H1882" s="139" t="s">
        <v>530</v>
      </c>
      <c r="I1882" s="124">
        <f t="shared" ref="I1882:I1883" si="107">G1882/10</f>
        <v>11000</v>
      </c>
      <c r="J1882" s="150" t="s">
        <v>1351</v>
      </c>
      <c r="K1882" s="150"/>
      <c r="L1882" s="150"/>
    </row>
    <row r="1883">
      <c r="B1883" s="139" t="s">
        <v>526</v>
      </c>
      <c r="C1883" s="138" t="s">
        <v>2336</v>
      </c>
      <c r="D1883" s="138" t="s">
        <v>13</v>
      </c>
      <c r="E1883" s="138" t="s">
        <v>2331</v>
      </c>
      <c r="F1883" s="138" t="s">
        <v>650</v>
      </c>
      <c r="G1883" s="140">
        <v>80000.0</v>
      </c>
      <c r="H1883" s="139" t="s">
        <v>530</v>
      </c>
      <c r="I1883" s="124">
        <f t="shared" si="107"/>
        <v>8000</v>
      </c>
      <c r="J1883" s="150" t="s">
        <v>1351</v>
      </c>
      <c r="K1883" s="150"/>
      <c r="L1883" s="150"/>
    </row>
    <row r="1884">
      <c r="B1884" s="139" t="s">
        <v>526</v>
      </c>
      <c r="C1884" s="138" t="s">
        <v>2337</v>
      </c>
      <c r="D1884" s="138" t="s">
        <v>13</v>
      </c>
      <c r="E1884" s="138" t="s">
        <v>2331</v>
      </c>
      <c r="F1884" s="138" t="s">
        <v>650</v>
      </c>
      <c r="G1884" s="140">
        <v>18000.0</v>
      </c>
      <c r="H1884" s="138" t="s">
        <v>677</v>
      </c>
      <c r="I1884" s="124">
        <f>G1884/2</f>
        <v>9000</v>
      </c>
      <c r="J1884" s="150" t="s">
        <v>1351</v>
      </c>
      <c r="K1884" s="150"/>
      <c r="L1884" s="150"/>
    </row>
    <row r="1885">
      <c r="B1885" s="139" t="s">
        <v>526</v>
      </c>
      <c r="C1885" s="138" t="s">
        <v>2338</v>
      </c>
      <c r="D1885" s="138" t="s">
        <v>13</v>
      </c>
      <c r="E1885" s="138" t="s">
        <v>2331</v>
      </c>
      <c r="F1885" s="138" t="s">
        <v>650</v>
      </c>
      <c r="G1885" s="140">
        <v>90000.0</v>
      </c>
      <c r="H1885" s="139" t="s">
        <v>530</v>
      </c>
      <c r="I1885" s="124">
        <f t="shared" ref="I1885:I1902" si="108">G1885/10</f>
        <v>9000</v>
      </c>
      <c r="J1885" s="150" t="s">
        <v>1351</v>
      </c>
      <c r="K1885" s="150"/>
      <c r="L1885" s="150"/>
    </row>
    <row r="1886">
      <c r="B1886" s="139" t="s">
        <v>526</v>
      </c>
      <c r="C1886" s="138" t="s">
        <v>2338</v>
      </c>
      <c r="D1886" s="138" t="s">
        <v>13</v>
      </c>
      <c r="E1886" s="138" t="s">
        <v>2209</v>
      </c>
      <c r="F1886" s="138" t="s">
        <v>586</v>
      </c>
      <c r="G1886" s="140">
        <v>90000.0</v>
      </c>
      <c r="H1886" s="139" t="s">
        <v>530</v>
      </c>
      <c r="I1886" s="124">
        <f t="shared" si="108"/>
        <v>9000</v>
      </c>
      <c r="J1886" s="150" t="s">
        <v>1351</v>
      </c>
      <c r="K1886" s="150"/>
      <c r="L1886" s="150"/>
    </row>
    <row r="1887">
      <c r="B1887" s="139" t="s">
        <v>526</v>
      </c>
      <c r="C1887" s="138" t="s">
        <v>2339</v>
      </c>
      <c r="D1887" s="138" t="s">
        <v>13</v>
      </c>
      <c r="E1887" s="138" t="s">
        <v>2331</v>
      </c>
      <c r="F1887" s="138" t="s">
        <v>650</v>
      </c>
      <c r="G1887" s="140">
        <v>70000.0</v>
      </c>
      <c r="H1887" s="139" t="s">
        <v>530</v>
      </c>
      <c r="I1887" s="124">
        <f t="shared" si="108"/>
        <v>7000</v>
      </c>
      <c r="J1887" s="150" t="s">
        <v>1351</v>
      </c>
      <c r="K1887" s="150"/>
      <c r="L1887" s="150"/>
    </row>
    <row r="1888">
      <c r="B1888" s="139" t="s">
        <v>526</v>
      </c>
      <c r="C1888" s="138" t="s">
        <v>2340</v>
      </c>
      <c r="D1888" s="138" t="s">
        <v>13</v>
      </c>
      <c r="E1888" s="138" t="s">
        <v>2331</v>
      </c>
      <c r="F1888" s="138" t="s">
        <v>650</v>
      </c>
      <c r="G1888" s="140">
        <v>95000.0</v>
      </c>
      <c r="H1888" s="139" t="s">
        <v>530</v>
      </c>
      <c r="I1888" s="124">
        <f t="shared" si="108"/>
        <v>9500</v>
      </c>
      <c r="J1888" s="150" t="s">
        <v>1351</v>
      </c>
      <c r="K1888" s="150"/>
      <c r="L1888" s="150"/>
    </row>
    <row r="1889">
      <c r="B1889" s="139" t="s">
        <v>526</v>
      </c>
      <c r="C1889" s="138" t="s">
        <v>2341</v>
      </c>
      <c r="D1889" s="138" t="s">
        <v>13</v>
      </c>
      <c r="E1889" s="138" t="s">
        <v>2331</v>
      </c>
      <c r="F1889" s="138" t="s">
        <v>650</v>
      </c>
      <c r="G1889" s="140">
        <v>75000.0</v>
      </c>
      <c r="H1889" s="139" t="s">
        <v>530</v>
      </c>
      <c r="I1889" s="124">
        <f t="shared" si="108"/>
        <v>7500</v>
      </c>
      <c r="J1889" s="150" t="s">
        <v>1351</v>
      </c>
      <c r="K1889" s="150"/>
      <c r="L1889" s="150"/>
    </row>
    <row r="1890">
      <c r="B1890" s="139" t="s">
        <v>526</v>
      </c>
      <c r="C1890" s="138" t="s">
        <v>2342</v>
      </c>
      <c r="D1890" s="138" t="s">
        <v>13</v>
      </c>
      <c r="E1890" s="138" t="s">
        <v>38</v>
      </c>
      <c r="F1890" s="138" t="s">
        <v>650</v>
      </c>
      <c r="G1890" s="140">
        <v>140000.0</v>
      </c>
      <c r="H1890" s="139" t="s">
        <v>530</v>
      </c>
      <c r="I1890" s="124">
        <f t="shared" si="108"/>
        <v>14000</v>
      </c>
      <c r="J1890" s="150" t="s">
        <v>1351</v>
      </c>
      <c r="K1890" s="150"/>
      <c r="L1890" s="150"/>
    </row>
    <row r="1891">
      <c r="B1891" s="139" t="s">
        <v>526</v>
      </c>
      <c r="C1891" s="138" t="s">
        <v>2343</v>
      </c>
      <c r="D1891" s="138" t="s">
        <v>13</v>
      </c>
      <c r="E1891" s="138" t="s">
        <v>38</v>
      </c>
      <c r="F1891" s="138" t="s">
        <v>650</v>
      </c>
      <c r="G1891" s="140">
        <v>175000.0</v>
      </c>
      <c r="H1891" s="139" t="s">
        <v>530</v>
      </c>
      <c r="I1891" s="124">
        <f t="shared" si="108"/>
        <v>17500</v>
      </c>
      <c r="J1891" s="150" t="s">
        <v>1351</v>
      </c>
      <c r="K1891" s="150"/>
      <c r="L1891" s="150"/>
    </row>
    <row r="1892">
      <c r="B1892" s="139" t="s">
        <v>526</v>
      </c>
      <c r="C1892" s="138" t="s">
        <v>2344</v>
      </c>
      <c r="D1892" s="138" t="s">
        <v>13</v>
      </c>
      <c r="E1892" s="138" t="s">
        <v>38</v>
      </c>
      <c r="F1892" s="138" t="s">
        <v>650</v>
      </c>
      <c r="G1892" s="140">
        <v>140000.0</v>
      </c>
      <c r="H1892" s="139" t="s">
        <v>530</v>
      </c>
      <c r="I1892" s="124">
        <f t="shared" si="108"/>
        <v>14000</v>
      </c>
      <c r="J1892" s="150" t="s">
        <v>1351</v>
      </c>
      <c r="K1892" s="150"/>
      <c r="L1892" s="150"/>
    </row>
    <row r="1893">
      <c r="B1893" s="139" t="s">
        <v>526</v>
      </c>
      <c r="C1893" s="138" t="s">
        <v>2345</v>
      </c>
      <c r="D1893" s="138" t="s">
        <v>13</v>
      </c>
      <c r="E1893" s="138" t="s">
        <v>38</v>
      </c>
      <c r="F1893" s="138" t="s">
        <v>650</v>
      </c>
      <c r="G1893" s="140">
        <v>120000.0</v>
      </c>
      <c r="H1893" s="139" t="s">
        <v>530</v>
      </c>
      <c r="I1893" s="124">
        <f t="shared" si="108"/>
        <v>12000</v>
      </c>
      <c r="J1893" s="150" t="s">
        <v>1351</v>
      </c>
      <c r="K1893" s="150"/>
      <c r="L1893" s="150"/>
    </row>
    <row r="1894">
      <c r="B1894" s="139" t="s">
        <v>526</v>
      </c>
      <c r="C1894" s="138" t="s">
        <v>2346</v>
      </c>
      <c r="D1894" s="138" t="s">
        <v>13</v>
      </c>
      <c r="E1894" s="138" t="s">
        <v>38</v>
      </c>
      <c r="F1894" s="138" t="s">
        <v>650</v>
      </c>
      <c r="G1894" s="140">
        <v>110000.0</v>
      </c>
      <c r="H1894" s="139" t="s">
        <v>530</v>
      </c>
      <c r="I1894" s="124">
        <f t="shared" si="108"/>
        <v>11000</v>
      </c>
      <c r="J1894" s="150" t="s">
        <v>1351</v>
      </c>
      <c r="K1894" s="150"/>
      <c r="L1894" s="150"/>
    </row>
    <row r="1895">
      <c r="B1895" s="139" t="s">
        <v>526</v>
      </c>
      <c r="C1895" s="138" t="s">
        <v>2347</v>
      </c>
      <c r="D1895" s="138" t="s">
        <v>13</v>
      </c>
      <c r="E1895" s="138" t="s">
        <v>38</v>
      </c>
      <c r="F1895" s="138" t="s">
        <v>650</v>
      </c>
      <c r="G1895" s="140">
        <v>80000.0</v>
      </c>
      <c r="H1895" s="139" t="s">
        <v>530</v>
      </c>
      <c r="I1895" s="124">
        <f t="shared" si="108"/>
        <v>8000</v>
      </c>
      <c r="J1895" s="150" t="s">
        <v>1351</v>
      </c>
      <c r="K1895" s="150"/>
      <c r="L1895" s="150"/>
    </row>
    <row r="1896">
      <c r="B1896" s="139" t="s">
        <v>526</v>
      </c>
      <c r="C1896" s="138" t="s">
        <v>2348</v>
      </c>
      <c r="D1896" s="138" t="s">
        <v>13</v>
      </c>
      <c r="E1896" s="138" t="s">
        <v>38</v>
      </c>
      <c r="F1896" s="138" t="s">
        <v>650</v>
      </c>
      <c r="G1896" s="140">
        <v>40000.0</v>
      </c>
      <c r="H1896" s="139" t="s">
        <v>530</v>
      </c>
      <c r="I1896" s="124">
        <f t="shared" si="108"/>
        <v>4000</v>
      </c>
      <c r="J1896" s="150" t="s">
        <v>1351</v>
      </c>
      <c r="K1896" s="150"/>
      <c r="L1896" s="150"/>
    </row>
    <row r="1897">
      <c r="B1897" s="139" t="s">
        <v>526</v>
      </c>
      <c r="C1897" s="138" t="s">
        <v>2349</v>
      </c>
      <c r="D1897" s="138" t="s">
        <v>13</v>
      </c>
      <c r="E1897" s="138" t="s">
        <v>38</v>
      </c>
      <c r="F1897" s="138" t="s">
        <v>650</v>
      </c>
      <c r="G1897" s="140">
        <v>25000.0</v>
      </c>
      <c r="H1897" s="139" t="s">
        <v>530</v>
      </c>
      <c r="I1897" s="124">
        <f t="shared" si="108"/>
        <v>2500</v>
      </c>
      <c r="J1897" s="150" t="s">
        <v>1351</v>
      </c>
      <c r="K1897" s="150"/>
      <c r="L1897" s="150"/>
    </row>
    <row r="1898">
      <c r="B1898" s="139" t="s">
        <v>526</v>
      </c>
      <c r="C1898" s="138" t="s">
        <v>2350</v>
      </c>
      <c r="D1898" s="138" t="s">
        <v>13</v>
      </c>
      <c r="E1898" s="138" t="s">
        <v>38</v>
      </c>
      <c r="F1898" s="138" t="s">
        <v>650</v>
      </c>
      <c r="G1898" s="140">
        <v>150000.0</v>
      </c>
      <c r="H1898" s="139" t="s">
        <v>530</v>
      </c>
      <c r="I1898" s="124">
        <f t="shared" si="108"/>
        <v>15000</v>
      </c>
      <c r="J1898" s="150" t="s">
        <v>1351</v>
      </c>
      <c r="K1898" s="150"/>
      <c r="L1898" s="150"/>
    </row>
    <row r="1899">
      <c r="B1899" s="139" t="s">
        <v>526</v>
      </c>
      <c r="C1899" s="138" t="s">
        <v>2351</v>
      </c>
      <c r="D1899" s="138" t="s">
        <v>13</v>
      </c>
      <c r="E1899" s="138" t="s">
        <v>38</v>
      </c>
      <c r="F1899" s="138" t="s">
        <v>650</v>
      </c>
      <c r="G1899" s="140">
        <v>90000.0</v>
      </c>
      <c r="H1899" s="139" t="s">
        <v>530</v>
      </c>
      <c r="I1899" s="124">
        <f t="shared" si="108"/>
        <v>9000</v>
      </c>
      <c r="J1899" s="150" t="s">
        <v>1351</v>
      </c>
      <c r="K1899" s="150"/>
      <c r="L1899" s="150"/>
    </row>
    <row r="1900">
      <c r="B1900" s="139" t="s">
        <v>526</v>
      </c>
      <c r="C1900" s="138" t="s">
        <v>1531</v>
      </c>
      <c r="D1900" s="138" t="s">
        <v>13</v>
      </c>
      <c r="E1900" s="138" t="s">
        <v>30</v>
      </c>
      <c r="F1900" s="138" t="s">
        <v>586</v>
      </c>
      <c r="G1900" s="140">
        <v>300000.0</v>
      </c>
      <c r="H1900" s="139" t="s">
        <v>530</v>
      </c>
      <c r="I1900" s="124">
        <f t="shared" si="108"/>
        <v>30000</v>
      </c>
      <c r="J1900" s="150" t="s">
        <v>1351</v>
      </c>
      <c r="K1900" s="150"/>
      <c r="L1900" s="150"/>
    </row>
    <row r="1901">
      <c r="B1901" s="139" t="s">
        <v>526</v>
      </c>
      <c r="C1901" s="138" t="s">
        <v>1071</v>
      </c>
      <c r="D1901" s="138" t="s">
        <v>13</v>
      </c>
      <c r="E1901" s="138" t="s">
        <v>30</v>
      </c>
      <c r="F1901" s="138" t="s">
        <v>586</v>
      </c>
      <c r="G1901" s="140">
        <v>800000.0</v>
      </c>
      <c r="H1901" s="139" t="s">
        <v>530</v>
      </c>
      <c r="I1901" s="124">
        <f t="shared" si="108"/>
        <v>80000</v>
      </c>
      <c r="J1901" s="150" t="s">
        <v>1351</v>
      </c>
      <c r="K1901" s="150"/>
      <c r="L1901" s="150"/>
    </row>
    <row r="1902">
      <c r="B1902" s="139" t="s">
        <v>526</v>
      </c>
      <c r="C1902" s="138" t="s">
        <v>2352</v>
      </c>
      <c r="D1902" s="138" t="s">
        <v>13</v>
      </c>
      <c r="E1902" s="138" t="s">
        <v>30</v>
      </c>
      <c r="F1902" s="138" t="s">
        <v>586</v>
      </c>
      <c r="G1902" s="140">
        <v>550000.0</v>
      </c>
      <c r="H1902" s="139" t="s">
        <v>530</v>
      </c>
      <c r="I1902" s="124">
        <f t="shared" si="108"/>
        <v>55000</v>
      </c>
      <c r="J1902" s="150" t="s">
        <v>1351</v>
      </c>
      <c r="K1902" s="150"/>
      <c r="L1902" s="150"/>
    </row>
    <row r="1903">
      <c r="B1903" s="139" t="s">
        <v>526</v>
      </c>
      <c r="C1903" s="138" t="s">
        <v>2353</v>
      </c>
      <c r="D1903" s="138" t="s">
        <v>13</v>
      </c>
      <c r="E1903" s="138" t="s">
        <v>30</v>
      </c>
      <c r="F1903" s="138" t="s">
        <v>586</v>
      </c>
      <c r="G1903" s="140">
        <v>150000.0</v>
      </c>
      <c r="H1903" s="138" t="s">
        <v>1155</v>
      </c>
      <c r="I1903" s="124">
        <f>G1903/8</f>
        <v>18750</v>
      </c>
      <c r="J1903" s="150" t="s">
        <v>1351</v>
      </c>
      <c r="K1903" s="150"/>
      <c r="L1903" s="150"/>
    </row>
    <row r="1904">
      <c r="B1904" s="139" t="s">
        <v>526</v>
      </c>
      <c r="C1904" s="138" t="s">
        <v>2161</v>
      </c>
      <c r="D1904" s="138" t="s">
        <v>13</v>
      </c>
      <c r="E1904" s="138" t="s">
        <v>30</v>
      </c>
      <c r="F1904" s="138" t="s">
        <v>586</v>
      </c>
      <c r="G1904" s="140">
        <v>1000000.0</v>
      </c>
      <c r="H1904" s="139" t="s">
        <v>530</v>
      </c>
      <c r="I1904" s="124">
        <f t="shared" ref="I1904:I1905" si="109">G1904/10</f>
        <v>100000</v>
      </c>
      <c r="J1904" s="150" t="s">
        <v>1351</v>
      </c>
      <c r="K1904" s="150"/>
      <c r="L1904" s="150"/>
    </row>
    <row r="1905">
      <c r="B1905" s="139" t="s">
        <v>526</v>
      </c>
      <c r="C1905" s="138" t="s">
        <v>2159</v>
      </c>
      <c r="D1905" s="138" t="s">
        <v>13</v>
      </c>
      <c r="E1905" s="138" t="s">
        <v>30</v>
      </c>
      <c r="F1905" s="138" t="s">
        <v>586</v>
      </c>
      <c r="G1905" s="140">
        <v>180000.0</v>
      </c>
      <c r="H1905" s="139" t="s">
        <v>530</v>
      </c>
      <c r="I1905" s="124">
        <f t="shared" si="109"/>
        <v>18000</v>
      </c>
      <c r="J1905" s="150" t="s">
        <v>1351</v>
      </c>
      <c r="K1905" s="150"/>
      <c r="L1905" s="150"/>
    </row>
    <row r="1906">
      <c r="B1906" s="139" t="s">
        <v>526</v>
      </c>
      <c r="C1906" s="138" t="s">
        <v>2354</v>
      </c>
      <c r="D1906" s="138" t="s">
        <v>13</v>
      </c>
      <c r="E1906" s="138" t="s">
        <v>30</v>
      </c>
      <c r="F1906" s="138" t="s">
        <v>586</v>
      </c>
      <c r="G1906" s="140">
        <v>100000.0</v>
      </c>
      <c r="H1906" s="138" t="s">
        <v>680</v>
      </c>
      <c r="I1906" s="124">
        <f>G1906/4</f>
        <v>25000</v>
      </c>
      <c r="J1906" s="150" t="s">
        <v>1351</v>
      </c>
      <c r="K1906" s="150"/>
      <c r="L1906" s="150"/>
    </row>
    <row r="1907">
      <c r="B1907" s="139" t="s">
        <v>526</v>
      </c>
      <c r="C1907" s="138" t="s">
        <v>2355</v>
      </c>
      <c r="D1907" s="138" t="s">
        <v>13</v>
      </c>
      <c r="E1907" s="138" t="s">
        <v>30</v>
      </c>
      <c r="F1907" s="138" t="s">
        <v>586</v>
      </c>
      <c r="G1907" s="140">
        <v>300000.0</v>
      </c>
      <c r="H1907" s="139" t="s">
        <v>530</v>
      </c>
      <c r="I1907" s="124">
        <f t="shared" ref="I1907:I1919" si="110">G1907/10</f>
        <v>30000</v>
      </c>
      <c r="J1907" s="150" t="s">
        <v>1351</v>
      </c>
      <c r="K1907" s="150"/>
      <c r="L1907" s="150"/>
    </row>
    <row r="1908">
      <c r="B1908" s="139" t="s">
        <v>526</v>
      </c>
      <c r="C1908" s="138" t="s">
        <v>2157</v>
      </c>
      <c r="D1908" s="138" t="s">
        <v>13</v>
      </c>
      <c r="E1908" s="138" t="s">
        <v>30</v>
      </c>
      <c r="F1908" s="138" t="s">
        <v>586</v>
      </c>
      <c r="G1908" s="140">
        <v>330000.0</v>
      </c>
      <c r="H1908" s="139" t="s">
        <v>530</v>
      </c>
      <c r="I1908" s="124">
        <f t="shared" si="110"/>
        <v>33000</v>
      </c>
      <c r="J1908" s="150" t="s">
        <v>1351</v>
      </c>
      <c r="K1908" s="150"/>
      <c r="L1908" s="150"/>
    </row>
    <row r="1909">
      <c r="B1909" s="139" t="s">
        <v>526</v>
      </c>
      <c r="C1909" s="138" t="s">
        <v>2163</v>
      </c>
      <c r="D1909" s="138" t="s">
        <v>13</v>
      </c>
      <c r="E1909" s="138" t="s">
        <v>30</v>
      </c>
      <c r="F1909" s="138" t="s">
        <v>586</v>
      </c>
      <c r="G1909" s="140">
        <v>120000.0</v>
      </c>
      <c r="H1909" s="139" t="s">
        <v>530</v>
      </c>
      <c r="I1909" s="124">
        <f t="shared" si="110"/>
        <v>12000</v>
      </c>
      <c r="J1909" s="150" t="s">
        <v>1351</v>
      </c>
      <c r="K1909" s="150"/>
      <c r="L1909" s="150"/>
    </row>
    <row r="1910">
      <c r="B1910" s="139" t="s">
        <v>526</v>
      </c>
      <c r="C1910" s="138" t="s">
        <v>2162</v>
      </c>
      <c r="D1910" s="138" t="s">
        <v>13</v>
      </c>
      <c r="E1910" s="138" t="s">
        <v>30</v>
      </c>
      <c r="F1910" s="138" t="s">
        <v>586</v>
      </c>
      <c r="G1910" s="140">
        <v>150000.0</v>
      </c>
      <c r="H1910" s="139" t="s">
        <v>530</v>
      </c>
      <c r="I1910" s="124">
        <f t="shared" si="110"/>
        <v>15000</v>
      </c>
      <c r="J1910" s="150" t="s">
        <v>1351</v>
      </c>
      <c r="K1910" s="150"/>
      <c r="L1910" s="150"/>
    </row>
    <row r="1911">
      <c r="B1911" s="139" t="s">
        <v>526</v>
      </c>
      <c r="C1911" s="138" t="s">
        <v>2168</v>
      </c>
      <c r="D1911" s="138" t="s">
        <v>13</v>
      </c>
      <c r="E1911" s="138" t="s">
        <v>30</v>
      </c>
      <c r="F1911" s="138" t="s">
        <v>586</v>
      </c>
      <c r="G1911" s="140">
        <v>250000.0</v>
      </c>
      <c r="H1911" s="139" t="s">
        <v>530</v>
      </c>
      <c r="I1911" s="124">
        <f t="shared" si="110"/>
        <v>25000</v>
      </c>
      <c r="J1911" s="150" t="s">
        <v>1351</v>
      </c>
      <c r="K1911" s="150"/>
      <c r="L1911" s="150"/>
    </row>
    <row r="1912">
      <c r="B1912" s="139" t="s">
        <v>526</v>
      </c>
      <c r="C1912" s="138" t="s">
        <v>2356</v>
      </c>
      <c r="D1912" s="138" t="s">
        <v>13</v>
      </c>
      <c r="E1912" s="138" t="s">
        <v>30</v>
      </c>
      <c r="F1912" s="138" t="s">
        <v>586</v>
      </c>
      <c r="G1912" s="140">
        <v>160000.0</v>
      </c>
      <c r="H1912" s="139" t="s">
        <v>530</v>
      </c>
      <c r="I1912" s="124">
        <f t="shared" si="110"/>
        <v>16000</v>
      </c>
      <c r="J1912" s="150" t="s">
        <v>1351</v>
      </c>
      <c r="K1912" s="150"/>
      <c r="L1912" s="150"/>
    </row>
    <row r="1913">
      <c r="B1913" s="139" t="s">
        <v>526</v>
      </c>
      <c r="C1913" s="138" t="s">
        <v>1852</v>
      </c>
      <c r="D1913" s="138" t="s">
        <v>13</v>
      </c>
      <c r="E1913" s="138" t="s">
        <v>30</v>
      </c>
      <c r="F1913" s="138" t="s">
        <v>586</v>
      </c>
      <c r="G1913" s="140">
        <v>250000.0</v>
      </c>
      <c r="H1913" s="139" t="s">
        <v>530</v>
      </c>
      <c r="I1913" s="124">
        <f t="shared" si="110"/>
        <v>25000</v>
      </c>
      <c r="J1913" s="150" t="s">
        <v>1351</v>
      </c>
      <c r="K1913" s="150"/>
      <c r="L1913" s="150"/>
    </row>
    <row r="1914">
      <c r="B1914" s="139" t="s">
        <v>526</v>
      </c>
      <c r="C1914" s="138" t="s">
        <v>2357</v>
      </c>
      <c r="D1914" s="138" t="s">
        <v>13</v>
      </c>
      <c r="E1914" s="138" t="s">
        <v>2184</v>
      </c>
      <c r="F1914" s="138" t="s">
        <v>586</v>
      </c>
      <c r="G1914" s="140">
        <v>180000.0</v>
      </c>
      <c r="H1914" s="139" t="s">
        <v>530</v>
      </c>
      <c r="I1914" s="124">
        <f t="shared" si="110"/>
        <v>18000</v>
      </c>
      <c r="J1914" s="150" t="s">
        <v>1351</v>
      </c>
      <c r="K1914" s="150"/>
      <c r="L1914" s="150"/>
    </row>
    <row r="1915">
      <c r="B1915" s="139" t="s">
        <v>526</v>
      </c>
      <c r="C1915" s="138" t="s">
        <v>2358</v>
      </c>
      <c r="D1915" s="138" t="s">
        <v>13</v>
      </c>
      <c r="E1915" s="138" t="s">
        <v>2184</v>
      </c>
      <c r="F1915" s="138" t="s">
        <v>586</v>
      </c>
      <c r="G1915" s="140">
        <v>180000.0</v>
      </c>
      <c r="H1915" s="139" t="s">
        <v>530</v>
      </c>
      <c r="I1915" s="124">
        <f t="shared" si="110"/>
        <v>18000</v>
      </c>
      <c r="J1915" s="150" t="s">
        <v>1351</v>
      </c>
      <c r="K1915" s="150"/>
      <c r="L1915" s="150"/>
    </row>
    <row r="1916">
      <c r="B1916" s="139" t="s">
        <v>526</v>
      </c>
      <c r="C1916" s="138" t="s">
        <v>2359</v>
      </c>
      <c r="D1916" s="138" t="s">
        <v>13</v>
      </c>
      <c r="E1916" s="138" t="s">
        <v>2184</v>
      </c>
      <c r="F1916" s="138" t="s">
        <v>586</v>
      </c>
      <c r="G1916" s="140">
        <v>200000.0</v>
      </c>
      <c r="H1916" s="139" t="s">
        <v>530</v>
      </c>
      <c r="I1916" s="124">
        <f t="shared" si="110"/>
        <v>20000</v>
      </c>
      <c r="J1916" s="150" t="s">
        <v>1351</v>
      </c>
      <c r="K1916" s="150"/>
      <c r="L1916" s="150"/>
    </row>
    <row r="1917">
      <c r="B1917" s="139" t="s">
        <v>526</v>
      </c>
      <c r="C1917" s="138" t="s">
        <v>2322</v>
      </c>
      <c r="D1917" s="138" t="s">
        <v>13</v>
      </c>
      <c r="E1917" s="138" t="s">
        <v>2184</v>
      </c>
      <c r="F1917" s="138" t="s">
        <v>586</v>
      </c>
      <c r="G1917" s="140">
        <v>140000.0</v>
      </c>
      <c r="H1917" s="139" t="s">
        <v>530</v>
      </c>
      <c r="I1917" s="124">
        <f t="shared" si="110"/>
        <v>14000</v>
      </c>
      <c r="J1917" s="150" t="s">
        <v>1351</v>
      </c>
      <c r="K1917" s="150"/>
      <c r="L1917" s="150"/>
    </row>
    <row r="1918">
      <c r="B1918" s="139" t="s">
        <v>526</v>
      </c>
      <c r="C1918" s="138" t="s">
        <v>2360</v>
      </c>
      <c r="D1918" s="138" t="s">
        <v>13</v>
      </c>
      <c r="E1918" s="138" t="s">
        <v>2184</v>
      </c>
      <c r="F1918" s="138" t="s">
        <v>586</v>
      </c>
      <c r="G1918" s="140">
        <v>120000.0</v>
      </c>
      <c r="H1918" s="139" t="s">
        <v>530</v>
      </c>
      <c r="I1918" s="124">
        <f t="shared" si="110"/>
        <v>12000</v>
      </c>
      <c r="J1918" s="150" t="s">
        <v>1351</v>
      </c>
      <c r="K1918" s="150"/>
      <c r="L1918" s="150"/>
    </row>
    <row r="1919">
      <c r="B1919" s="139" t="s">
        <v>526</v>
      </c>
      <c r="C1919" s="138" t="s">
        <v>2190</v>
      </c>
      <c r="D1919" s="138" t="s">
        <v>13</v>
      </c>
      <c r="E1919" s="138" t="s">
        <v>2184</v>
      </c>
      <c r="F1919" s="138" t="s">
        <v>586</v>
      </c>
      <c r="G1919" s="140">
        <v>90000.0</v>
      </c>
      <c r="H1919" s="139" t="s">
        <v>530</v>
      </c>
      <c r="I1919" s="124">
        <f t="shared" si="110"/>
        <v>9000</v>
      </c>
      <c r="J1919" s="150" t="s">
        <v>1351</v>
      </c>
      <c r="K1919" s="150"/>
      <c r="L1919" s="150"/>
    </row>
    <row r="1920">
      <c r="B1920" s="139" t="s">
        <v>526</v>
      </c>
      <c r="C1920" s="138" t="s">
        <v>2170</v>
      </c>
      <c r="D1920" s="138" t="s">
        <v>13</v>
      </c>
      <c r="E1920" s="138" t="s">
        <v>2184</v>
      </c>
      <c r="F1920" s="138" t="s">
        <v>586</v>
      </c>
      <c r="G1920" s="140">
        <v>30000.0</v>
      </c>
      <c r="H1920" s="138" t="s">
        <v>2361</v>
      </c>
      <c r="I1920" s="124">
        <f>G1920/3</f>
        <v>10000</v>
      </c>
      <c r="J1920" s="150" t="s">
        <v>1351</v>
      </c>
      <c r="K1920" s="150"/>
      <c r="L1920" s="150"/>
    </row>
    <row r="1921">
      <c r="B1921" s="139" t="s">
        <v>526</v>
      </c>
      <c r="C1921" s="138" t="s">
        <v>2170</v>
      </c>
      <c r="D1921" s="138" t="s">
        <v>13</v>
      </c>
      <c r="E1921" s="138" t="s">
        <v>34</v>
      </c>
      <c r="F1921" s="138" t="s">
        <v>586</v>
      </c>
      <c r="G1921" s="140">
        <v>18000.0</v>
      </c>
      <c r="H1921" s="138" t="s">
        <v>1082</v>
      </c>
      <c r="I1921" s="124">
        <f>G1921/1</f>
        <v>18000</v>
      </c>
      <c r="J1921" s="150" t="s">
        <v>1351</v>
      </c>
      <c r="K1921" s="150"/>
      <c r="L1921" s="150"/>
    </row>
    <row r="1922">
      <c r="B1922" s="139" t="s">
        <v>526</v>
      </c>
      <c r="C1922" s="138" t="s">
        <v>2362</v>
      </c>
      <c r="D1922" s="138" t="s">
        <v>13</v>
      </c>
      <c r="E1922" s="138" t="s">
        <v>2184</v>
      </c>
      <c r="F1922" s="138" t="s">
        <v>586</v>
      </c>
      <c r="G1922" s="140">
        <v>150000.0</v>
      </c>
      <c r="H1922" s="139" t="s">
        <v>530</v>
      </c>
      <c r="I1922" s="124">
        <f t="shared" ref="I1922:I1937" si="111">G1922/10</f>
        <v>15000</v>
      </c>
      <c r="J1922" s="150" t="s">
        <v>1351</v>
      </c>
      <c r="K1922" s="150"/>
      <c r="L1922" s="150"/>
    </row>
    <row r="1923">
      <c r="B1923" s="139" t="s">
        <v>526</v>
      </c>
      <c r="C1923" s="138" t="s">
        <v>2363</v>
      </c>
      <c r="D1923" s="138" t="s">
        <v>13</v>
      </c>
      <c r="E1923" s="138" t="s">
        <v>2184</v>
      </c>
      <c r="F1923" s="138" t="s">
        <v>586</v>
      </c>
      <c r="G1923" s="140">
        <v>85000.0</v>
      </c>
      <c r="H1923" s="139" t="s">
        <v>530</v>
      </c>
      <c r="I1923" s="124">
        <f t="shared" si="111"/>
        <v>8500</v>
      </c>
      <c r="J1923" s="150" t="s">
        <v>1351</v>
      </c>
      <c r="K1923" s="150"/>
      <c r="L1923" s="150"/>
    </row>
    <row r="1924">
      <c r="B1924" s="139" t="s">
        <v>526</v>
      </c>
      <c r="C1924" s="138" t="s">
        <v>2363</v>
      </c>
      <c r="D1924" s="138" t="s">
        <v>13</v>
      </c>
      <c r="E1924" s="138" t="s">
        <v>46</v>
      </c>
      <c r="F1924" s="138" t="s">
        <v>643</v>
      </c>
      <c r="G1924" s="140">
        <v>75000.0</v>
      </c>
      <c r="H1924" s="139" t="s">
        <v>530</v>
      </c>
      <c r="I1924" s="124">
        <f t="shared" si="111"/>
        <v>7500</v>
      </c>
      <c r="J1924" s="150" t="s">
        <v>1351</v>
      </c>
      <c r="K1924" s="150"/>
      <c r="L1924" s="150"/>
    </row>
    <row r="1925">
      <c r="B1925" s="139" t="s">
        <v>526</v>
      </c>
      <c r="C1925" s="138" t="s">
        <v>2363</v>
      </c>
      <c r="D1925" s="138" t="s">
        <v>13</v>
      </c>
      <c r="E1925" s="138" t="s">
        <v>2180</v>
      </c>
      <c r="F1925" s="138" t="s">
        <v>738</v>
      </c>
      <c r="G1925" s="140">
        <v>95000.0</v>
      </c>
      <c r="H1925" s="139" t="s">
        <v>530</v>
      </c>
      <c r="I1925" s="124">
        <f t="shared" si="111"/>
        <v>9500</v>
      </c>
      <c r="J1925" s="150" t="s">
        <v>1351</v>
      </c>
      <c r="K1925" s="150"/>
      <c r="L1925" s="150"/>
    </row>
    <row r="1926">
      <c r="B1926" s="139" t="s">
        <v>526</v>
      </c>
      <c r="C1926" s="138" t="s">
        <v>2363</v>
      </c>
      <c r="D1926" s="138" t="s">
        <v>13</v>
      </c>
      <c r="E1926" s="138" t="s">
        <v>2180</v>
      </c>
      <c r="F1926" s="138" t="s">
        <v>763</v>
      </c>
      <c r="G1926" s="140">
        <v>75000.0</v>
      </c>
      <c r="H1926" s="139" t="s">
        <v>530</v>
      </c>
      <c r="I1926" s="124">
        <f t="shared" si="111"/>
        <v>7500</v>
      </c>
      <c r="J1926" s="150" t="s">
        <v>1351</v>
      </c>
      <c r="K1926" s="150"/>
      <c r="L1926" s="150"/>
    </row>
    <row r="1927">
      <c r="B1927" s="139" t="s">
        <v>526</v>
      </c>
      <c r="C1927" s="138" t="s">
        <v>2363</v>
      </c>
      <c r="D1927" s="138" t="s">
        <v>13</v>
      </c>
      <c r="E1927" s="138" t="s">
        <v>27</v>
      </c>
      <c r="F1927" s="138" t="s">
        <v>529</v>
      </c>
      <c r="G1927" s="140">
        <v>50000.0</v>
      </c>
      <c r="H1927" s="139" t="s">
        <v>530</v>
      </c>
      <c r="I1927" s="124">
        <f t="shared" si="111"/>
        <v>5000</v>
      </c>
      <c r="J1927" s="150" t="s">
        <v>1351</v>
      </c>
      <c r="K1927" s="150"/>
      <c r="L1927" s="150"/>
    </row>
    <row r="1928">
      <c r="B1928" s="139" t="s">
        <v>526</v>
      </c>
      <c r="C1928" s="138" t="s">
        <v>2364</v>
      </c>
      <c r="D1928" s="138" t="s">
        <v>13</v>
      </c>
      <c r="E1928" s="138" t="s">
        <v>2184</v>
      </c>
      <c r="F1928" s="138" t="s">
        <v>586</v>
      </c>
      <c r="G1928" s="140">
        <v>95000.0</v>
      </c>
      <c r="H1928" s="138" t="s">
        <v>635</v>
      </c>
      <c r="I1928" s="124">
        <f t="shared" si="111"/>
        <v>9500</v>
      </c>
      <c r="J1928" s="150" t="s">
        <v>1351</v>
      </c>
      <c r="K1928" s="150"/>
      <c r="L1928" s="150"/>
    </row>
    <row r="1929">
      <c r="B1929" s="139" t="s">
        <v>526</v>
      </c>
      <c r="C1929" s="138" t="s">
        <v>2365</v>
      </c>
      <c r="D1929" s="138" t="s">
        <v>13</v>
      </c>
      <c r="E1929" s="138" t="s">
        <v>2184</v>
      </c>
      <c r="F1929" s="138" t="s">
        <v>586</v>
      </c>
      <c r="G1929" s="140">
        <v>120000.0</v>
      </c>
      <c r="H1929" s="139" t="s">
        <v>530</v>
      </c>
      <c r="I1929" s="124">
        <f t="shared" si="111"/>
        <v>12000</v>
      </c>
      <c r="J1929" s="150" t="s">
        <v>1351</v>
      </c>
      <c r="K1929" s="150"/>
      <c r="L1929" s="150"/>
    </row>
    <row r="1930">
      <c r="B1930" s="139" t="s">
        <v>526</v>
      </c>
      <c r="C1930" s="138" t="s">
        <v>2366</v>
      </c>
      <c r="D1930" s="138" t="s">
        <v>13</v>
      </c>
      <c r="E1930" s="138" t="s">
        <v>2184</v>
      </c>
      <c r="F1930" s="138" t="s">
        <v>586</v>
      </c>
      <c r="G1930" s="140">
        <v>15000.0</v>
      </c>
      <c r="H1930" s="139" t="s">
        <v>530</v>
      </c>
      <c r="I1930" s="124">
        <f t="shared" si="111"/>
        <v>1500</v>
      </c>
      <c r="J1930" s="150" t="s">
        <v>1351</v>
      </c>
      <c r="K1930" s="150"/>
      <c r="L1930" s="150"/>
    </row>
    <row r="1931">
      <c r="B1931" s="139" t="s">
        <v>526</v>
      </c>
      <c r="C1931" s="138" t="s">
        <v>2366</v>
      </c>
      <c r="D1931" s="138" t="s">
        <v>13</v>
      </c>
      <c r="E1931" s="138" t="s">
        <v>1794</v>
      </c>
      <c r="F1931" s="138" t="s">
        <v>643</v>
      </c>
      <c r="G1931" s="140">
        <v>12000.0</v>
      </c>
      <c r="H1931" s="139" t="s">
        <v>530</v>
      </c>
      <c r="I1931" s="124">
        <f t="shared" si="111"/>
        <v>1200</v>
      </c>
      <c r="J1931" s="150" t="s">
        <v>1351</v>
      </c>
      <c r="K1931" s="150"/>
      <c r="L1931" s="150"/>
    </row>
    <row r="1932">
      <c r="B1932" s="139" t="s">
        <v>526</v>
      </c>
      <c r="C1932" s="138" t="s">
        <v>2199</v>
      </c>
      <c r="D1932" s="138" t="s">
        <v>13</v>
      </c>
      <c r="E1932" s="138" t="s">
        <v>1443</v>
      </c>
      <c r="F1932" s="138" t="s">
        <v>586</v>
      </c>
      <c r="G1932" s="140">
        <v>150000.0</v>
      </c>
      <c r="H1932" s="139" t="s">
        <v>530</v>
      </c>
      <c r="I1932" s="124">
        <f t="shared" si="111"/>
        <v>15000</v>
      </c>
      <c r="J1932" s="150" t="s">
        <v>1351</v>
      </c>
      <c r="K1932" s="150"/>
      <c r="L1932" s="150"/>
    </row>
    <row r="1933">
      <c r="B1933" s="139" t="s">
        <v>526</v>
      </c>
      <c r="C1933" s="138" t="s">
        <v>2367</v>
      </c>
      <c r="D1933" s="138" t="s">
        <v>13</v>
      </c>
      <c r="E1933" s="138" t="s">
        <v>1443</v>
      </c>
      <c r="F1933" s="138" t="s">
        <v>586</v>
      </c>
      <c r="G1933" s="140">
        <v>140000.0</v>
      </c>
      <c r="H1933" s="139" t="s">
        <v>530</v>
      </c>
      <c r="I1933" s="124">
        <f t="shared" si="111"/>
        <v>14000</v>
      </c>
      <c r="J1933" s="150" t="s">
        <v>1351</v>
      </c>
      <c r="K1933" s="150"/>
      <c r="L1933" s="150"/>
    </row>
    <row r="1934">
      <c r="B1934" s="139" t="s">
        <v>526</v>
      </c>
      <c r="C1934" s="138" t="s">
        <v>1103</v>
      </c>
      <c r="D1934" s="138" t="s">
        <v>13</v>
      </c>
      <c r="E1934" s="138" t="s">
        <v>1443</v>
      </c>
      <c r="F1934" s="138" t="s">
        <v>586</v>
      </c>
      <c r="G1934" s="140">
        <v>100000.0</v>
      </c>
      <c r="H1934" s="139" t="s">
        <v>530</v>
      </c>
      <c r="I1934" s="124">
        <f t="shared" si="111"/>
        <v>10000</v>
      </c>
      <c r="J1934" s="150" t="s">
        <v>1351</v>
      </c>
      <c r="K1934" s="150"/>
      <c r="L1934" s="150"/>
    </row>
    <row r="1935">
      <c r="B1935" s="139" t="s">
        <v>526</v>
      </c>
      <c r="C1935" s="138" t="s">
        <v>2200</v>
      </c>
      <c r="D1935" s="138" t="s">
        <v>13</v>
      </c>
      <c r="E1935" s="138" t="s">
        <v>1443</v>
      </c>
      <c r="F1935" s="138" t="s">
        <v>586</v>
      </c>
      <c r="G1935" s="140">
        <v>120000.0</v>
      </c>
      <c r="H1935" s="139" t="s">
        <v>530</v>
      </c>
      <c r="I1935" s="124">
        <f t="shared" si="111"/>
        <v>12000</v>
      </c>
      <c r="J1935" s="150" t="s">
        <v>1351</v>
      </c>
      <c r="K1935" s="150"/>
      <c r="L1935" s="150"/>
    </row>
    <row r="1936">
      <c r="B1936" s="139" t="s">
        <v>526</v>
      </c>
      <c r="C1936" s="138" t="s">
        <v>2201</v>
      </c>
      <c r="D1936" s="138" t="s">
        <v>13</v>
      </c>
      <c r="E1936" s="138" t="s">
        <v>1443</v>
      </c>
      <c r="F1936" s="138" t="s">
        <v>586</v>
      </c>
      <c r="G1936" s="140">
        <v>108000.0</v>
      </c>
      <c r="H1936" s="139" t="s">
        <v>530</v>
      </c>
      <c r="I1936" s="124">
        <f t="shared" si="111"/>
        <v>10800</v>
      </c>
      <c r="J1936" s="150" t="s">
        <v>1351</v>
      </c>
      <c r="K1936" s="150"/>
      <c r="L1936" s="150"/>
    </row>
    <row r="1937">
      <c r="B1937" s="139" t="s">
        <v>526</v>
      </c>
      <c r="C1937" s="138" t="s">
        <v>2368</v>
      </c>
      <c r="D1937" s="138" t="s">
        <v>13</v>
      </c>
      <c r="E1937" s="138" t="s">
        <v>1443</v>
      </c>
      <c r="F1937" s="138" t="s">
        <v>586</v>
      </c>
      <c r="G1937" s="140">
        <v>140000.0</v>
      </c>
      <c r="H1937" s="139" t="s">
        <v>530</v>
      </c>
      <c r="I1937" s="124">
        <f t="shared" si="111"/>
        <v>14000</v>
      </c>
      <c r="J1937" s="150" t="s">
        <v>1351</v>
      </c>
      <c r="K1937" s="150"/>
      <c r="L1937" s="150"/>
    </row>
    <row r="1938">
      <c r="B1938" s="139" t="s">
        <v>526</v>
      </c>
      <c r="C1938" s="138" t="s">
        <v>2234</v>
      </c>
      <c r="D1938" s="138" t="s">
        <v>13</v>
      </c>
      <c r="E1938" s="138" t="s">
        <v>1443</v>
      </c>
      <c r="F1938" s="138" t="s">
        <v>586</v>
      </c>
      <c r="G1938" s="140">
        <v>90000.0</v>
      </c>
      <c r="H1938" s="138" t="s">
        <v>1155</v>
      </c>
      <c r="I1938" s="124">
        <f>G1938/8</f>
        <v>11250</v>
      </c>
      <c r="J1938" s="150" t="s">
        <v>1351</v>
      </c>
      <c r="K1938" s="150"/>
      <c r="L1938" s="150"/>
    </row>
    <row r="1939">
      <c r="B1939" s="139" t="s">
        <v>526</v>
      </c>
      <c r="C1939" s="138" t="s">
        <v>2369</v>
      </c>
      <c r="D1939" s="138" t="s">
        <v>13</v>
      </c>
      <c r="E1939" s="138" t="s">
        <v>1443</v>
      </c>
      <c r="F1939" s="138" t="s">
        <v>586</v>
      </c>
      <c r="G1939" s="140">
        <v>75000.0</v>
      </c>
      <c r="H1939" s="138" t="s">
        <v>680</v>
      </c>
      <c r="I1939" s="124">
        <f>G1939/4</f>
        <v>18750</v>
      </c>
      <c r="J1939" s="150" t="s">
        <v>1351</v>
      </c>
      <c r="K1939" s="150"/>
      <c r="L1939" s="150"/>
    </row>
    <row r="1940">
      <c r="B1940" s="139" t="s">
        <v>526</v>
      </c>
      <c r="C1940" s="138" t="s">
        <v>2205</v>
      </c>
      <c r="D1940" s="138" t="s">
        <v>13</v>
      </c>
      <c r="E1940" s="138" t="s">
        <v>1443</v>
      </c>
      <c r="F1940" s="138" t="s">
        <v>586</v>
      </c>
      <c r="G1940" s="140">
        <v>84000.0</v>
      </c>
      <c r="H1940" s="139" t="s">
        <v>530</v>
      </c>
      <c r="I1940" s="124">
        <f t="shared" ref="I1940:I1954" si="112">G1940/10</f>
        <v>8400</v>
      </c>
      <c r="J1940" s="150" t="s">
        <v>1351</v>
      </c>
      <c r="K1940" s="150"/>
      <c r="L1940" s="150"/>
    </row>
    <row r="1941">
      <c r="B1941" s="139" t="s">
        <v>526</v>
      </c>
      <c r="C1941" s="138" t="s">
        <v>2205</v>
      </c>
      <c r="D1941" s="138" t="s">
        <v>13</v>
      </c>
      <c r="E1941" s="138" t="s">
        <v>2197</v>
      </c>
      <c r="F1941" s="138" t="s">
        <v>643</v>
      </c>
      <c r="G1941" s="140">
        <v>42000.0</v>
      </c>
      <c r="H1941" s="139" t="s">
        <v>530</v>
      </c>
      <c r="I1941" s="124">
        <f t="shared" si="112"/>
        <v>4200</v>
      </c>
      <c r="J1941" s="150" t="s">
        <v>1351</v>
      </c>
      <c r="K1941" s="150"/>
      <c r="L1941" s="150"/>
    </row>
    <row r="1942">
      <c r="B1942" s="139" t="s">
        <v>526</v>
      </c>
      <c r="C1942" s="138" t="s">
        <v>2205</v>
      </c>
      <c r="D1942" s="138" t="s">
        <v>13</v>
      </c>
      <c r="E1942" s="138" t="s">
        <v>2279</v>
      </c>
      <c r="F1942" s="138" t="s">
        <v>738</v>
      </c>
      <c r="G1942" s="140">
        <v>30000.0</v>
      </c>
      <c r="H1942" s="139" t="s">
        <v>530</v>
      </c>
      <c r="I1942" s="124">
        <f t="shared" si="112"/>
        <v>3000</v>
      </c>
      <c r="J1942" s="150" t="s">
        <v>1351</v>
      </c>
      <c r="K1942" s="150"/>
      <c r="L1942" s="150"/>
    </row>
    <row r="1943">
      <c r="B1943" s="139" t="s">
        <v>526</v>
      </c>
      <c r="C1943" s="138" t="s">
        <v>2205</v>
      </c>
      <c r="D1943" s="138" t="s">
        <v>13</v>
      </c>
      <c r="E1943" s="138" t="s">
        <v>2178</v>
      </c>
      <c r="F1943" s="138" t="s">
        <v>763</v>
      </c>
      <c r="G1943" s="140">
        <v>27000.0</v>
      </c>
      <c r="H1943" s="139" t="s">
        <v>530</v>
      </c>
      <c r="I1943" s="124">
        <f t="shared" si="112"/>
        <v>2700</v>
      </c>
      <c r="J1943" s="150" t="s">
        <v>1351</v>
      </c>
      <c r="K1943" s="150"/>
      <c r="L1943" s="150"/>
    </row>
    <row r="1944">
      <c r="B1944" s="144" t="s">
        <v>526</v>
      </c>
      <c r="C1944" s="138" t="s">
        <v>2205</v>
      </c>
      <c r="D1944" s="144" t="s">
        <v>13</v>
      </c>
      <c r="E1944" s="138" t="s">
        <v>19</v>
      </c>
      <c r="F1944" s="138" t="s">
        <v>543</v>
      </c>
      <c r="G1944" s="140">
        <v>33000.0</v>
      </c>
      <c r="H1944" s="144" t="s">
        <v>530</v>
      </c>
      <c r="I1944" s="152">
        <f t="shared" si="112"/>
        <v>3300</v>
      </c>
      <c r="J1944" s="146" t="s">
        <v>1351</v>
      </c>
      <c r="K1944" s="146"/>
      <c r="L1944" s="146"/>
    </row>
    <row r="1945">
      <c r="B1945" s="144" t="s">
        <v>526</v>
      </c>
      <c r="C1945" s="138" t="s">
        <v>2205</v>
      </c>
      <c r="D1945" s="144" t="s">
        <v>13</v>
      </c>
      <c r="E1945" s="138" t="s">
        <v>2295</v>
      </c>
      <c r="F1945" s="138" t="s">
        <v>529</v>
      </c>
      <c r="G1945" s="140">
        <v>30000.0</v>
      </c>
      <c r="H1945" s="144" t="s">
        <v>530</v>
      </c>
      <c r="I1945" s="152">
        <f t="shared" si="112"/>
        <v>3000</v>
      </c>
      <c r="J1945" s="146" t="s">
        <v>1351</v>
      </c>
      <c r="K1945" s="146"/>
      <c r="L1945" s="146"/>
    </row>
    <row r="1946">
      <c r="B1946" s="144" t="s">
        <v>526</v>
      </c>
      <c r="C1946" s="138" t="s">
        <v>2370</v>
      </c>
      <c r="D1946" s="144" t="s">
        <v>13</v>
      </c>
      <c r="E1946" s="144" t="s">
        <v>1443</v>
      </c>
      <c r="F1946" s="144" t="s">
        <v>586</v>
      </c>
      <c r="G1946" s="140">
        <v>90000.0</v>
      </c>
      <c r="H1946" s="144" t="s">
        <v>530</v>
      </c>
      <c r="I1946" s="152">
        <f t="shared" si="112"/>
        <v>9000</v>
      </c>
      <c r="J1946" s="146" t="s">
        <v>1351</v>
      </c>
      <c r="K1946" s="146"/>
      <c r="L1946" s="146"/>
    </row>
    <row r="1947">
      <c r="B1947" s="144" t="s">
        <v>526</v>
      </c>
      <c r="C1947" s="138" t="s">
        <v>2370</v>
      </c>
      <c r="D1947" s="144" t="s">
        <v>13</v>
      </c>
      <c r="E1947" s="138" t="s">
        <v>1790</v>
      </c>
      <c r="F1947" s="138" t="s">
        <v>650</v>
      </c>
      <c r="G1947" s="140">
        <v>100000.0</v>
      </c>
      <c r="H1947" s="144" t="s">
        <v>530</v>
      </c>
      <c r="I1947" s="152">
        <f t="shared" si="112"/>
        <v>10000</v>
      </c>
      <c r="J1947" s="146" t="s">
        <v>1351</v>
      </c>
      <c r="K1947" s="146"/>
      <c r="L1947" s="146"/>
    </row>
    <row r="1948">
      <c r="B1948" s="144" t="s">
        <v>526</v>
      </c>
      <c r="C1948" s="138" t="s">
        <v>2213</v>
      </c>
      <c r="D1948" s="144" t="s">
        <v>13</v>
      </c>
      <c r="E1948" s="138" t="s">
        <v>31</v>
      </c>
      <c r="F1948" s="138" t="s">
        <v>586</v>
      </c>
      <c r="G1948" s="140">
        <v>105000.0</v>
      </c>
      <c r="H1948" s="144" t="s">
        <v>530</v>
      </c>
      <c r="I1948" s="152">
        <f t="shared" si="112"/>
        <v>10500</v>
      </c>
      <c r="J1948" s="146" t="s">
        <v>1351</v>
      </c>
      <c r="K1948" s="146"/>
      <c r="L1948" s="146"/>
    </row>
    <row r="1949">
      <c r="B1949" s="144" t="s">
        <v>526</v>
      </c>
      <c r="C1949" s="138" t="s">
        <v>2160</v>
      </c>
      <c r="D1949" s="144" t="s">
        <v>13</v>
      </c>
      <c r="E1949" s="138" t="s">
        <v>31</v>
      </c>
      <c r="F1949" s="138" t="s">
        <v>586</v>
      </c>
      <c r="G1949" s="140">
        <v>140000.0</v>
      </c>
      <c r="H1949" s="144" t="s">
        <v>530</v>
      </c>
      <c r="I1949" s="152">
        <f t="shared" si="112"/>
        <v>14000</v>
      </c>
      <c r="J1949" s="146" t="s">
        <v>1351</v>
      </c>
      <c r="K1949" s="146"/>
      <c r="L1949" s="146"/>
    </row>
    <row r="1950">
      <c r="B1950" s="144" t="s">
        <v>526</v>
      </c>
      <c r="C1950" s="138" t="s">
        <v>2371</v>
      </c>
      <c r="D1950" s="144" t="s">
        <v>13</v>
      </c>
      <c r="E1950" s="138" t="s">
        <v>31</v>
      </c>
      <c r="F1950" s="138" t="s">
        <v>586</v>
      </c>
      <c r="G1950" s="140">
        <v>85000.0</v>
      </c>
      <c r="H1950" s="144" t="s">
        <v>530</v>
      </c>
      <c r="I1950" s="152">
        <f t="shared" si="112"/>
        <v>8500</v>
      </c>
      <c r="J1950" s="146" t="s">
        <v>1351</v>
      </c>
      <c r="K1950" s="146"/>
      <c r="L1950" s="146"/>
    </row>
    <row r="1951">
      <c r="B1951" s="144" t="s">
        <v>526</v>
      </c>
      <c r="C1951" s="138" t="s">
        <v>2371</v>
      </c>
      <c r="D1951" s="144" t="s">
        <v>13</v>
      </c>
      <c r="E1951" s="138" t="s">
        <v>1793</v>
      </c>
      <c r="F1951" s="138" t="s">
        <v>643</v>
      </c>
      <c r="G1951" s="140">
        <v>70000.0</v>
      </c>
      <c r="H1951" s="144" t="s">
        <v>530</v>
      </c>
      <c r="I1951" s="152">
        <f t="shared" si="112"/>
        <v>7000</v>
      </c>
      <c r="J1951" s="146" t="s">
        <v>1351</v>
      </c>
      <c r="K1951" s="146"/>
      <c r="L1951" s="146"/>
    </row>
    <row r="1952">
      <c r="B1952" s="144" t="s">
        <v>526</v>
      </c>
      <c r="C1952" s="138" t="s">
        <v>2372</v>
      </c>
      <c r="D1952" s="144" t="s">
        <v>13</v>
      </c>
      <c r="E1952" s="138" t="s">
        <v>31</v>
      </c>
      <c r="F1952" s="138" t="s">
        <v>586</v>
      </c>
      <c r="G1952" s="140">
        <v>110000.0</v>
      </c>
      <c r="H1952" s="144" t="s">
        <v>530</v>
      </c>
      <c r="I1952" s="152">
        <f t="shared" si="112"/>
        <v>11000</v>
      </c>
      <c r="J1952" s="146" t="s">
        <v>1351</v>
      </c>
      <c r="K1952" s="146"/>
      <c r="L1952" s="146"/>
    </row>
    <row r="1953">
      <c r="B1953" s="144" t="s">
        <v>526</v>
      </c>
      <c r="C1953" s="138" t="s">
        <v>2220</v>
      </c>
      <c r="D1953" s="144" t="s">
        <v>13</v>
      </c>
      <c r="E1953" s="138" t="s">
        <v>31</v>
      </c>
      <c r="F1953" s="138" t="s">
        <v>586</v>
      </c>
      <c r="G1953" s="140">
        <v>135000.0</v>
      </c>
      <c r="H1953" s="144" t="s">
        <v>530</v>
      </c>
      <c r="I1953" s="152">
        <f t="shared" si="112"/>
        <v>13500</v>
      </c>
      <c r="J1953" s="146" t="s">
        <v>1351</v>
      </c>
      <c r="K1953" s="146"/>
      <c r="L1953" s="146"/>
    </row>
    <row r="1954">
      <c r="B1954" s="144" t="s">
        <v>526</v>
      </c>
      <c r="C1954" s="138" t="s">
        <v>2373</v>
      </c>
      <c r="D1954" s="144" t="s">
        <v>13</v>
      </c>
      <c r="E1954" s="138" t="s">
        <v>31</v>
      </c>
      <c r="F1954" s="138" t="s">
        <v>586</v>
      </c>
      <c r="G1954" s="140">
        <v>90000.0</v>
      </c>
      <c r="H1954" s="144" t="s">
        <v>530</v>
      </c>
      <c r="I1954" s="152">
        <f t="shared" si="112"/>
        <v>9000</v>
      </c>
      <c r="J1954" s="146" t="s">
        <v>1351</v>
      </c>
      <c r="K1954" s="146"/>
      <c r="L1954" s="146"/>
    </row>
    <row r="1955">
      <c r="B1955" s="144" t="s">
        <v>526</v>
      </c>
      <c r="C1955" s="138" t="s">
        <v>2373</v>
      </c>
      <c r="D1955" s="144" t="s">
        <v>13</v>
      </c>
      <c r="E1955" s="138" t="s">
        <v>46</v>
      </c>
      <c r="F1955" s="138" t="s">
        <v>763</v>
      </c>
      <c r="G1955" s="140">
        <v>18000.0</v>
      </c>
      <c r="H1955" s="138" t="s">
        <v>680</v>
      </c>
      <c r="I1955" s="152">
        <f>G1955/4</f>
        <v>4500</v>
      </c>
      <c r="J1955" s="146" t="s">
        <v>1351</v>
      </c>
      <c r="K1955" s="146"/>
      <c r="L1955" s="146"/>
    </row>
    <row r="1956">
      <c r="B1956" s="144" t="s">
        <v>526</v>
      </c>
      <c r="C1956" s="138" t="s">
        <v>2214</v>
      </c>
      <c r="D1956" s="144" t="s">
        <v>13</v>
      </c>
      <c r="E1956" s="138" t="s">
        <v>31</v>
      </c>
      <c r="F1956" s="138" t="s">
        <v>586</v>
      </c>
      <c r="G1956" s="140">
        <v>120000.0</v>
      </c>
      <c r="H1956" s="144" t="s">
        <v>530</v>
      </c>
      <c r="I1956" s="152">
        <f t="shared" ref="I1956:I1960" si="113">G1956/10</f>
        <v>12000</v>
      </c>
      <c r="J1956" s="146" t="s">
        <v>1351</v>
      </c>
      <c r="K1956" s="146"/>
      <c r="L1956" s="146"/>
    </row>
    <row r="1957">
      <c r="B1957" s="144" t="s">
        <v>526</v>
      </c>
      <c r="C1957" s="138" t="s">
        <v>2374</v>
      </c>
      <c r="D1957" s="144" t="s">
        <v>13</v>
      </c>
      <c r="E1957" s="138" t="s">
        <v>31</v>
      </c>
      <c r="F1957" s="138" t="s">
        <v>586</v>
      </c>
      <c r="G1957" s="140">
        <v>85000.0</v>
      </c>
      <c r="H1957" s="144" t="s">
        <v>530</v>
      </c>
      <c r="I1957" s="152">
        <f t="shared" si="113"/>
        <v>8500</v>
      </c>
      <c r="J1957" s="146" t="s">
        <v>1351</v>
      </c>
      <c r="K1957" s="146"/>
      <c r="L1957" s="146"/>
    </row>
    <row r="1958">
      <c r="B1958" s="144" t="s">
        <v>526</v>
      </c>
      <c r="C1958" s="138" t="s">
        <v>2375</v>
      </c>
      <c r="D1958" s="144" t="s">
        <v>13</v>
      </c>
      <c r="E1958" s="138" t="s">
        <v>31</v>
      </c>
      <c r="F1958" s="138" t="s">
        <v>586</v>
      </c>
      <c r="G1958" s="140">
        <v>42000.0</v>
      </c>
      <c r="H1958" s="144" t="s">
        <v>530</v>
      </c>
      <c r="I1958" s="152">
        <f t="shared" si="113"/>
        <v>4200</v>
      </c>
      <c r="J1958" s="146" t="s">
        <v>1351</v>
      </c>
      <c r="K1958" s="146"/>
      <c r="L1958" s="146"/>
    </row>
    <row r="1959">
      <c r="B1959" s="144" t="s">
        <v>526</v>
      </c>
      <c r="C1959" s="138" t="s">
        <v>2215</v>
      </c>
      <c r="D1959" s="144" t="s">
        <v>13</v>
      </c>
      <c r="E1959" s="138" t="s">
        <v>31</v>
      </c>
      <c r="F1959" s="138" t="s">
        <v>586</v>
      </c>
      <c r="G1959" s="140">
        <v>54000.0</v>
      </c>
      <c r="H1959" s="144" t="s">
        <v>530</v>
      </c>
      <c r="I1959" s="152">
        <f t="shared" si="113"/>
        <v>5400</v>
      </c>
      <c r="J1959" s="146" t="s">
        <v>1351</v>
      </c>
      <c r="K1959" s="146"/>
      <c r="L1959" s="146"/>
    </row>
    <row r="1960">
      <c r="B1960" s="144" t="s">
        <v>526</v>
      </c>
      <c r="C1960" s="138" t="s">
        <v>2376</v>
      </c>
      <c r="D1960" s="144" t="s">
        <v>13</v>
      </c>
      <c r="E1960" s="138" t="s">
        <v>2052</v>
      </c>
      <c r="F1960" s="138" t="s">
        <v>586</v>
      </c>
      <c r="G1960" s="140">
        <v>62000.0</v>
      </c>
      <c r="H1960" s="144" t="s">
        <v>530</v>
      </c>
      <c r="I1960" s="152">
        <f t="shared" si="113"/>
        <v>6200</v>
      </c>
      <c r="J1960" s="146" t="s">
        <v>1351</v>
      </c>
      <c r="K1960" s="146"/>
      <c r="L1960" s="146"/>
    </row>
    <row r="1961">
      <c r="B1961" s="144" t="s">
        <v>526</v>
      </c>
      <c r="C1961" s="138" t="s">
        <v>2337</v>
      </c>
      <c r="D1961" s="144" t="s">
        <v>13</v>
      </c>
      <c r="E1961" s="138" t="s">
        <v>31</v>
      </c>
      <c r="F1961" s="138" t="s">
        <v>586</v>
      </c>
      <c r="G1961" s="140">
        <v>10000.0</v>
      </c>
      <c r="H1961" s="138" t="s">
        <v>1082</v>
      </c>
      <c r="I1961" s="152">
        <f t="shared" ref="I1961:I1962" si="114">G1961/1</f>
        <v>10000</v>
      </c>
      <c r="J1961" s="146" t="s">
        <v>1351</v>
      </c>
      <c r="K1961" s="146"/>
      <c r="L1961" s="146"/>
    </row>
    <row r="1962">
      <c r="B1962" s="144" t="s">
        <v>526</v>
      </c>
      <c r="C1962" s="138" t="s">
        <v>2377</v>
      </c>
      <c r="D1962" s="144" t="s">
        <v>13</v>
      </c>
      <c r="E1962" s="138" t="s">
        <v>31</v>
      </c>
      <c r="F1962" s="138" t="s">
        <v>586</v>
      </c>
      <c r="G1962" s="140">
        <v>8000.0</v>
      </c>
      <c r="H1962" s="138" t="s">
        <v>1082</v>
      </c>
      <c r="I1962" s="152">
        <f t="shared" si="114"/>
        <v>8000</v>
      </c>
      <c r="J1962" s="146" t="s">
        <v>1351</v>
      </c>
      <c r="K1962" s="146"/>
      <c r="L1962" s="146"/>
    </row>
    <row r="1963">
      <c r="B1963" s="144" t="s">
        <v>526</v>
      </c>
      <c r="C1963" s="138" t="s">
        <v>2378</v>
      </c>
      <c r="D1963" s="144" t="s">
        <v>13</v>
      </c>
      <c r="E1963" s="138" t="s">
        <v>2187</v>
      </c>
      <c r="F1963" s="138" t="s">
        <v>650</v>
      </c>
      <c r="G1963" s="140">
        <v>25000.0</v>
      </c>
      <c r="H1963" s="144" t="s">
        <v>530</v>
      </c>
      <c r="I1963" s="152">
        <f>G1963/10</f>
        <v>2500</v>
      </c>
      <c r="J1963" s="146" t="s">
        <v>1351</v>
      </c>
      <c r="K1963" s="146"/>
      <c r="L1963" s="146"/>
    </row>
    <row r="1964">
      <c r="B1964" s="144" t="s">
        <v>526</v>
      </c>
      <c r="C1964" s="138" t="s">
        <v>2224</v>
      </c>
      <c r="D1964" s="144" t="s">
        <v>13</v>
      </c>
      <c r="E1964" s="138" t="s">
        <v>44</v>
      </c>
      <c r="F1964" s="138" t="s">
        <v>586</v>
      </c>
      <c r="G1964" s="140">
        <v>125000.0</v>
      </c>
      <c r="H1964" s="138" t="s">
        <v>1155</v>
      </c>
      <c r="I1964" s="152">
        <f>G1964/8</f>
        <v>15625</v>
      </c>
      <c r="J1964" s="146" t="s">
        <v>1351</v>
      </c>
      <c r="K1964" s="146"/>
      <c r="L1964" s="146"/>
    </row>
    <row r="1965">
      <c r="B1965" s="144" t="s">
        <v>526</v>
      </c>
      <c r="C1965" s="138" t="s">
        <v>2226</v>
      </c>
      <c r="D1965" s="144" t="s">
        <v>13</v>
      </c>
      <c r="E1965" s="138" t="s">
        <v>44</v>
      </c>
      <c r="F1965" s="138" t="s">
        <v>586</v>
      </c>
      <c r="G1965" s="140">
        <v>170000.0</v>
      </c>
      <c r="H1965" s="144" t="s">
        <v>530</v>
      </c>
      <c r="I1965" s="152">
        <f t="shared" ref="I1965:I1967" si="115">G1965/10</f>
        <v>17000</v>
      </c>
      <c r="J1965" s="146" t="s">
        <v>1351</v>
      </c>
      <c r="K1965" s="146"/>
      <c r="L1965" s="146"/>
    </row>
    <row r="1966">
      <c r="B1966" s="144" t="s">
        <v>526</v>
      </c>
      <c r="C1966" s="138" t="s">
        <v>2379</v>
      </c>
      <c r="D1966" s="144" t="s">
        <v>13</v>
      </c>
      <c r="E1966" s="138" t="s">
        <v>44</v>
      </c>
      <c r="F1966" s="138" t="s">
        <v>586</v>
      </c>
      <c r="G1966" s="140">
        <v>115000.0</v>
      </c>
      <c r="H1966" s="144" t="s">
        <v>530</v>
      </c>
      <c r="I1966" s="152">
        <f t="shared" si="115"/>
        <v>11500</v>
      </c>
      <c r="J1966" s="146" t="s">
        <v>1351</v>
      </c>
      <c r="K1966" s="146"/>
      <c r="L1966" s="146"/>
    </row>
    <row r="1967">
      <c r="B1967" s="144" t="s">
        <v>526</v>
      </c>
      <c r="C1967" s="138" t="s">
        <v>2300</v>
      </c>
      <c r="D1967" s="144" t="s">
        <v>13</v>
      </c>
      <c r="E1967" s="138" t="s">
        <v>44</v>
      </c>
      <c r="F1967" s="138" t="s">
        <v>586</v>
      </c>
      <c r="G1967" s="140">
        <v>160000.0</v>
      </c>
      <c r="H1967" s="144" t="s">
        <v>530</v>
      </c>
      <c r="I1967" s="152">
        <f t="shared" si="115"/>
        <v>16000</v>
      </c>
      <c r="J1967" s="146" t="s">
        <v>1351</v>
      </c>
      <c r="K1967" s="146"/>
      <c r="L1967" s="146"/>
    </row>
    <row r="1968">
      <c r="B1968" s="144" t="s">
        <v>526</v>
      </c>
      <c r="C1968" s="138" t="s">
        <v>1982</v>
      </c>
      <c r="D1968" s="144" t="s">
        <v>13</v>
      </c>
      <c r="E1968" s="138" t="s">
        <v>44</v>
      </c>
      <c r="F1968" s="138" t="s">
        <v>586</v>
      </c>
      <c r="G1968" s="140">
        <v>40000.0</v>
      </c>
      <c r="H1968" s="138" t="s">
        <v>680</v>
      </c>
      <c r="I1968" s="152">
        <f>G1968/4</f>
        <v>10000</v>
      </c>
      <c r="J1968" s="146" t="s">
        <v>1351</v>
      </c>
      <c r="K1968" s="146"/>
      <c r="L1968" s="146"/>
    </row>
    <row r="1969">
      <c r="B1969" s="144" t="s">
        <v>526</v>
      </c>
      <c r="C1969" s="138" t="s">
        <v>2380</v>
      </c>
      <c r="D1969" s="144" t="s">
        <v>13</v>
      </c>
      <c r="E1969" s="138" t="s">
        <v>44</v>
      </c>
      <c r="F1969" s="138" t="s">
        <v>586</v>
      </c>
      <c r="G1969" s="140">
        <v>55000.0</v>
      </c>
      <c r="H1969" s="144" t="s">
        <v>530</v>
      </c>
      <c r="I1969" s="152">
        <f t="shared" ref="I1969:I1971" si="116">G1969/10</f>
        <v>5500</v>
      </c>
      <c r="J1969" s="146" t="s">
        <v>1351</v>
      </c>
      <c r="K1969" s="146"/>
      <c r="L1969" s="146"/>
    </row>
    <row r="1970">
      <c r="B1970" s="144" t="s">
        <v>526</v>
      </c>
      <c r="C1970" s="138" t="s">
        <v>2380</v>
      </c>
      <c r="D1970" s="144" t="s">
        <v>13</v>
      </c>
      <c r="E1970" s="138" t="s">
        <v>2187</v>
      </c>
      <c r="F1970" s="138" t="s">
        <v>643</v>
      </c>
      <c r="G1970" s="140">
        <v>33000.0</v>
      </c>
      <c r="H1970" s="144" t="s">
        <v>530</v>
      </c>
      <c r="I1970" s="152">
        <f t="shared" si="116"/>
        <v>3300</v>
      </c>
      <c r="J1970" s="146" t="s">
        <v>1351</v>
      </c>
      <c r="K1970" s="146"/>
      <c r="L1970" s="146"/>
    </row>
    <row r="1971">
      <c r="B1971" s="144" t="s">
        <v>526</v>
      </c>
      <c r="C1971" s="138" t="s">
        <v>2380</v>
      </c>
      <c r="D1971" s="144" t="s">
        <v>13</v>
      </c>
      <c r="E1971" s="138" t="s">
        <v>2048</v>
      </c>
      <c r="F1971" s="138" t="s">
        <v>738</v>
      </c>
      <c r="G1971" s="140">
        <v>25000.0</v>
      </c>
      <c r="H1971" s="144" t="s">
        <v>530</v>
      </c>
      <c r="I1971" s="152">
        <f t="shared" si="116"/>
        <v>2500</v>
      </c>
      <c r="J1971" s="146" t="s">
        <v>1351</v>
      </c>
      <c r="K1971" s="146"/>
      <c r="L1971" s="146"/>
    </row>
    <row r="1972">
      <c r="B1972" s="144" t="s">
        <v>526</v>
      </c>
      <c r="C1972" s="138" t="s">
        <v>2381</v>
      </c>
      <c r="D1972" s="144" t="s">
        <v>13</v>
      </c>
      <c r="E1972" s="138" t="s">
        <v>44</v>
      </c>
      <c r="F1972" s="138" t="s">
        <v>586</v>
      </c>
      <c r="G1972" s="140">
        <v>98000.0</v>
      </c>
      <c r="H1972" s="138" t="s">
        <v>728</v>
      </c>
      <c r="I1972" s="152">
        <f>G1972/7</f>
        <v>14000</v>
      </c>
      <c r="J1972" s="146" t="s">
        <v>1351</v>
      </c>
      <c r="K1972" s="146"/>
      <c r="L1972" s="146"/>
    </row>
    <row r="1973">
      <c r="B1973" s="144" t="s">
        <v>526</v>
      </c>
      <c r="C1973" s="138" t="s">
        <v>2232</v>
      </c>
      <c r="D1973" s="144" t="s">
        <v>13</v>
      </c>
      <c r="E1973" s="138" t="s">
        <v>44</v>
      </c>
      <c r="F1973" s="138" t="s">
        <v>586</v>
      </c>
      <c r="G1973" s="140">
        <v>140000.0</v>
      </c>
      <c r="H1973" s="144" t="s">
        <v>530</v>
      </c>
      <c r="I1973" s="152">
        <f t="shared" ref="I1973:I1975" si="117">G1973/10</f>
        <v>14000</v>
      </c>
      <c r="J1973" s="146" t="s">
        <v>1351</v>
      </c>
      <c r="K1973" s="146"/>
      <c r="L1973" s="146"/>
    </row>
    <row r="1974">
      <c r="B1974" s="144" t="s">
        <v>526</v>
      </c>
      <c r="C1974" s="138" t="s">
        <v>2269</v>
      </c>
      <c r="D1974" s="144" t="s">
        <v>13</v>
      </c>
      <c r="E1974" s="138" t="s">
        <v>31</v>
      </c>
      <c r="F1974" s="138" t="s">
        <v>586</v>
      </c>
      <c r="G1974" s="140">
        <v>155000.0</v>
      </c>
      <c r="H1974" s="144" t="s">
        <v>530</v>
      </c>
      <c r="I1974" s="152">
        <f t="shared" si="117"/>
        <v>15500</v>
      </c>
      <c r="J1974" s="146" t="s">
        <v>1351</v>
      </c>
      <c r="K1974" s="146"/>
      <c r="L1974" s="146"/>
    </row>
    <row r="1975">
      <c r="B1975" s="144" t="s">
        <v>526</v>
      </c>
      <c r="C1975" s="138" t="s">
        <v>2327</v>
      </c>
      <c r="D1975" s="144" t="s">
        <v>13</v>
      </c>
      <c r="E1975" s="138" t="s">
        <v>31</v>
      </c>
      <c r="F1975" s="138" t="s">
        <v>586</v>
      </c>
      <c r="G1975" s="140">
        <v>117000.0</v>
      </c>
      <c r="H1975" s="144" t="s">
        <v>530</v>
      </c>
      <c r="I1975" s="152">
        <f t="shared" si="117"/>
        <v>11700</v>
      </c>
      <c r="J1975" s="146" t="s">
        <v>1351</v>
      </c>
      <c r="K1975" s="146"/>
      <c r="L1975" s="146"/>
    </row>
    <row r="1976">
      <c r="B1976" s="144" t="s">
        <v>526</v>
      </c>
      <c r="C1976" s="138" t="s">
        <v>2382</v>
      </c>
      <c r="D1976" s="144" t="s">
        <v>13</v>
      </c>
      <c r="E1976" s="138" t="s">
        <v>31</v>
      </c>
      <c r="F1976" s="138" t="s">
        <v>586</v>
      </c>
      <c r="G1976" s="140">
        <v>30000.0</v>
      </c>
      <c r="H1976" s="138" t="s">
        <v>680</v>
      </c>
      <c r="I1976" s="152">
        <f>G1976/4</f>
        <v>7500</v>
      </c>
      <c r="J1976" s="146" t="s">
        <v>1351</v>
      </c>
      <c r="K1976" s="146"/>
      <c r="L1976" s="146"/>
    </row>
    <row r="1977">
      <c r="B1977" s="144" t="s">
        <v>526</v>
      </c>
      <c r="C1977" s="138" t="s">
        <v>2233</v>
      </c>
      <c r="D1977" s="144" t="s">
        <v>13</v>
      </c>
      <c r="E1977" s="138" t="s">
        <v>31</v>
      </c>
      <c r="F1977" s="138" t="s">
        <v>586</v>
      </c>
      <c r="G1977" s="140">
        <v>68000.0</v>
      </c>
      <c r="H1977" s="144" t="s">
        <v>530</v>
      </c>
      <c r="I1977" s="152">
        <f t="shared" ref="I1977:I1993" si="118">G1977/10</f>
        <v>6800</v>
      </c>
      <c r="J1977" s="146" t="s">
        <v>1351</v>
      </c>
      <c r="K1977" s="146"/>
      <c r="L1977" s="146"/>
    </row>
    <row r="1978">
      <c r="B1978" s="144" t="s">
        <v>526</v>
      </c>
      <c r="C1978" s="138" t="s">
        <v>2339</v>
      </c>
      <c r="D1978" s="144" t="s">
        <v>13</v>
      </c>
      <c r="E1978" s="138" t="s">
        <v>31</v>
      </c>
      <c r="F1978" s="138" t="s">
        <v>586</v>
      </c>
      <c r="G1978" s="140">
        <v>63000.0</v>
      </c>
      <c r="H1978" s="144" t="s">
        <v>530</v>
      </c>
      <c r="I1978" s="152">
        <f t="shared" si="118"/>
        <v>6300</v>
      </c>
      <c r="J1978" s="146" t="s">
        <v>1351</v>
      </c>
      <c r="K1978" s="146"/>
      <c r="L1978" s="146"/>
    </row>
    <row r="1979">
      <c r="B1979" s="144" t="s">
        <v>526</v>
      </c>
      <c r="C1979" s="138" t="s">
        <v>2339</v>
      </c>
      <c r="D1979" s="144" t="s">
        <v>13</v>
      </c>
      <c r="E1979" s="138" t="s">
        <v>1794</v>
      </c>
      <c r="F1979" s="138" t="s">
        <v>643</v>
      </c>
      <c r="G1979" s="140">
        <v>67000.0</v>
      </c>
      <c r="H1979" s="144" t="s">
        <v>530</v>
      </c>
      <c r="I1979" s="152">
        <f t="shared" si="118"/>
        <v>6700</v>
      </c>
      <c r="J1979" s="146" t="s">
        <v>1351</v>
      </c>
      <c r="K1979" s="146"/>
      <c r="L1979" s="146"/>
    </row>
    <row r="1980">
      <c r="B1980" s="144" t="s">
        <v>526</v>
      </c>
      <c r="C1980" s="138" t="s">
        <v>2339</v>
      </c>
      <c r="D1980" s="144" t="s">
        <v>13</v>
      </c>
      <c r="E1980" s="138" t="s">
        <v>1794</v>
      </c>
      <c r="F1980" s="138" t="s">
        <v>738</v>
      </c>
      <c r="G1980" s="140">
        <v>67000.0</v>
      </c>
      <c r="H1980" s="144" t="s">
        <v>530</v>
      </c>
      <c r="I1980" s="152">
        <f t="shared" si="118"/>
        <v>6700</v>
      </c>
      <c r="J1980" s="146" t="s">
        <v>1351</v>
      </c>
      <c r="K1980" s="146"/>
      <c r="L1980" s="146"/>
    </row>
    <row r="1981">
      <c r="B1981" s="144" t="s">
        <v>526</v>
      </c>
      <c r="C1981" s="138" t="s">
        <v>2339</v>
      </c>
      <c r="D1981" s="144" t="s">
        <v>13</v>
      </c>
      <c r="E1981" s="138" t="s">
        <v>1793</v>
      </c>
      <c r="F1981" s="138" t="s">
        <v>763</v>
      </c>
      <c r="G1981" s="140">
        <v>58000.0</v>
      </c>
      <c r="H1981" s="144" t="s">
        <v>530</v>
      </c>
      <c r="I1981" s="152">
        <f t="shared" si="118"/>
        <v>5800</v>
      </c>
      <c r="J1981" s="146" t="s">
        <v>1351</v>
      </c>
      <c r="K1981" s="146"/>
      <c r="L1981" s="146"/>
    </row>
    <row r="1982">
      <c r="B1982" s="144" t="s">
        <v>526</v>
      </c>
      <c r="C1982" s="138" t="s">
        <v>2383</v>
      </c>
      <c r="D1982" s="144" t="s">
        <v>13</v>
      </c>
      <c r="E1982" s="138" t="s">
        <v>53</v>
      </c>
      <c r="F1982" s="138" t="s">
        <v>586</v>
      </c>
      <c r="G1982" s="140">
        <v>160000.0</v>
      </c>
      <c r="H1982" s="144" t="s">
        <v>530</v>
      </c>
      <c r="I1982" s="152">
        <f t="shared" si="118"/>
        <v>16000</v>
      </c>
      <c r="J1982" s="146" t="s">
        <v>1351</v>
      </c>
      <c r="K1982" s="146"/>
      <c r="L1982" s="146"/>
    </row>
    <row r="1983">
      <c r="B1983" s="144" t="s">
        <v>526</v>
      </c>
      <c r="C1983" s="138" t="s">
        <v>2237</v>
      </c>
      <c r="D1983" s="144" t="s">
        <v>13</v>
      </c>
      <c r="E1983" s="138" t="s">
        <v>53</v>
      </c>
      <c r="F1983" s="138" t="s">
        <v>586</v>
      </c>
      <c r="G1983" s="140">
        <v>160000.0</v>
      </c>
      <c r="H1983" s="144" t="s">
        <v>530</v>
      </c>
      <c r="I1983" s="152">
        <f t="shared" si="118"/>
        <v>16000</v>
      </c>
      <c r="J1983" s="146" t="s">
        <v>1351</v>
      </c>
      <c r="K1983" s="146"/>
      <c r="L1983" s="146"/>
    </row>
    <row r="1984">
      <c r="B1984" s="144" t="s">
        <v>526</v>
      </c>
      <c r="C1984" s="138" t="s">
        <v>2195</v>
      </c>
      <c r="D1984" s="144" t="s">
        <v>13</v>
      </c>
      <c r="E1984" s="138" t="s">
        <v>53</v>
      </c>
      <c r="F1984" s="138" t="s">
        <v>586</v>
      </c>
      <c r="G1984" s="140">
        <v>95000.0</v>
      </c>
      <c r="H1984" s="144" t="s">
        <v>530</v>
      </c>
      <c r="I1984" s="152">
        <f t="shared" si="118"/>
        <v>9500</v>
      </c>
      <c r="J1984" s="146" t="s">
        <v>1351</v>
      </c>
      <c r="K1984" s="146"/>
      <c r="L1984" s="146"/>
    </row>
    <row r="1985">
      <c r="B1985" s="144" t="s">
        <v>526</v>
      </c>
      <c r="C1985" s="138" t="s">
        <v>2384</v>
      </c>
      <c r="D1985" s="144" t="s">
        <v>13</v>
      </c>
      <c r="E1985" s="138" t="s">
        <v>53</v>
      </c>
      <c r="F1985" s="138" t="s">
        <v>586</v>
      </c>
      <c r="G1985" s="140">
        <v>80000.0</v>
      </c>
      <c r="H1985" s="144" t="s">
        <v>530</v>
      </c>
      <c r="I1985" s="152">
        <f t="shared" si="118"/>
        <v>8000</v>
      </c>
      <c r="J1985" s="146" t="s">
        <v>1351</v>
      </c>
      <c r="K1985" s="146"/>
      <c r="L1985" s="146"/>
    </row>
    <row r="1986">
      <c r="B1986" s="144" t="s">
        <v>526</v>
      </c>
      <c r="C1986" s="138" t="s">
        <v>2385</v>
      </c>
      <c r="D1986" s="144" t="s">
        <v>13</v>
      </c>
      <c r="E1986" s="138" t="s">
        <v>53</v>
      </c>
      <c r="F1986" s="138" t="s">
        <v>586</v>
      </c>
      <c r="G1986" s="140">
        <v>135000.0</v>
      </c>
      <c r="H1986" s="144" t="s">
        <v>530</v>
      </c>
      <c r="I1986" s="152">
        <f t="shared" si="118"/>
        <v>13500</v>
      </c>
      <c r="J1986" s="146" t="s">
        <v>1351</v>
      </c>
      <c r="K1986" s="146"/>
      <c r="L1986" s="146"/>
    </row>
    <row r="1987">
      <c r="B1987" s="144" t="s">
        <v>526</v>
      </c>
      <c r="C1987" s="138" t="s">
        <v>2386</v>
      </c>
      <c r="D1987" s="144" t="s">
        <v>13</v>
      </c>
      <c r="E1987" s="138" t="s">
        <v>53</v>
      </c>
      <c r="F1987" s="138" t="s">
        <v>586</v>
      </c>
      <c r="G1987" s="140">
        <v>110000.0</v>
      </c>
      <c r="H1987" s="144" t="s">
        <v>530</v>
      </c>
      <c r="I1987" s="152">
        <f t="shared" si="118"/>
        <v>11000</v>
      </c>
      <c r="J1987" s="146" t="s">
        <v>1351</v>
      </c>
      <c r="K1987" s="146"/>
      <c r="L1987" s="146"/>
    </row>
    <row r="1988">
      <c r="B1988" s="144" t="s">
        <v>526</v>
      </c>
      <c r="C1988" s="138" t="s">
        <v>2386</v>
      </c>
      <c r="D1988" s="144" t="s">
        <v>13</v>
      </c>
      <c r="E1988" s="138" t="s">
        <v>2295</v>
      </c>
      <c r="F1988" s="138" t="s">
        <v>650</v>
      </c>
      <c r="G1988" s="140">
        <v>90000.0</v>
      </c>
      <c r="H1988" s="144" t="s">
        <v>530</v>
      </c>
      <c r="I1988" s="152">
        <f t="shared" si="118"/>
        <v>9000</v>
      </c>
      <c r="J1988" s="146" t="s">
        <v>1351</v>
      </c>
      <c r="K1988" s="146"/>
      <c r="L1988" s="146"/>
    </row>
    <row r="1989">
      <c r="B1989" s="144" t="s">
        <v>526</v>
      </c>
      <c r="C1989" s="138" t="s">
        <v>2240</v>
      </c>
      <c r="D1989" s="144" t="s">
        <v>13</v>
      </c>
      <c r="E1989" s="138" t="s">
        <v>53</v>
      </c>
      <c r="F1989" s="138" t="s">
        <v>586</v>
      </c>
      <c r="G1989" s="140">
        <v>95000.0</v>
      </c>
      <c r="H1989" s="144" t="s">
        <v>530</v>
      </c>
      <c r="I1989" s="152">
        <f t="shared" si="118"/>
        <v>9500</v>
      </c>
      <c r="J1989" s="146" t="s">
        <v>1351</v>
      </c>
      <c r="K1989" s="146"/>
      <c r="L1989" s="146"/>
    </row>
    <row r="1990">
      <c r="B1990" s="144" t="s">
        <v>526</v>
      </c>
      <c r="C1990" s="138" t="s">
        <v>2387</v>
      </c>
      <c r="D1990" s="144" t="s">
        <v>13</v>
      </c>
      <c r="E1990" s="138" t="s">
        <v>53</v>
      </c>
      <c r="F1990" s="138" t="s">
        <v>586</v>
      </c>
      <c r="G1990" s="140">
        <v>36000.0</v>
      </c>
      <c r="H1990" s="144" t="s">
        <v>530</v>
      </c>
      <c r="I1990" s="152">
        <f t="shared" si="118"/>
        <v>3600</v>
      </c>
      <c r="J1990" s="146" t="s">
        <v>1351</v>
      </c>
      <c r="K1990" s="146"/>
      <c r="L1990" s="146"/>
    </row>
    <row r="1991">
      <c r="B1991" s="144" t="s">
        <v>526</v>
      </c>
      <c r="C1991" s="138" t="s">
        <v>2239</v>
      </c>
      <c r="D1991" s="144" t="s">
        <v>13</v>
      </c>
      <c r="E1991" s="138" t="s">
        <v>53</v>
      </c>
      <c r="F1991" s="138" t="s">
        <v>586</v>
      </c>
      <c r="G1991" s="140">
        <v>120000.0</v>
      </c>
      <c r="H1991" s="144" t="s">
        <v>530</v>
      </c>
      <c r="I1991" s="152">
        <f t="shared" si="118"/>
        <v>12000</v>
      </c>
      <c r="J1991" s="146" t="s">
        <v>1351</v>
      </c>
      <c r="K1991" s="146"/>
      <c r="L1991" s="146"/>
    </row>
    <row r="1992">
      <c r="B1992" s="144" t="s">
        <v>526</v>
      </c>
      <c r="C1992" s="138" t="s">
        <v>2388</v>
      </c>
      <c r="D1992" s="144" t="s">
        <v>13</v>
      </c>
      <c r="E1992" s="138" t="s">
        <v>53</v>
      </c>
      <c r="F1992" s="138" t="s">
        <v>586</v>
      </c>
      <c r="G1992" s="140">
        <v>20000.0</v>
      </c>
      <c r="H1992" s="144" t="s">
        <v>530</v>
      </c>
      <c r="I1992" s="152">
        <f t="shared" si="118"/>
        <v>2000</v>
      </c>
      <c r="J1992" s="146" t="s">
        <v>1351</v>
      </c>
      <c r="K1992" s="146"/>
      <c r="L1992" s="146"/>
    </row>
    <row r="1993">
      <c r="B1993" s="144" t="s">
        <v>526</v>
      </c>
      <c r="C1993" s="138" t="s">
        <v>2389</v>
      </c>
      <c r="D1993" s="144" t="s">
        <v>13</v>
      </c>
      <c r="E1993" s="138" t="s">
        <v>2281</v>
      </c>
      <c r="F1993" s="138" t="s">
        <v>650</v>
      </c>
      <c r="G1993" s="140">
        <v>30000.0</v>
      </c>
      <c r="H1993" s="144" t="s">
        <v>530</v>
      </c>
      <c r="I1993" s="152">
        <f t="shared" si="118"/>
        <v>3000</v>
      </c>
      <c r="J1993" s="146" t="s">
        <v>1351</v>
      </c>
      <c r="K1993" s="146"/>
      <c r="L1993" s="146"/>
    </row>
    <row r="1994">
      <c r="B1994" s="144" t="s">
        <v>526</v>
      </c>
      <c r="C1994" s="138" t="s">
        <v>2390</v>
      </c>
      <c r="D1994" s="144" t="s">
        <v>13</v>
      </c>
      <c r="E1994" s="138" t="s">
        <v>53</v>
      </c>
      <c r="F1994" s="138" t="s">
        <v>586</v>
      </c>
      <c r="G1994" s="140">
        <v>12000.0</v>
      </c>
      <c r="H1994" s="138" t="s">
        <v>677</v>
      </c>
      <c r="I1994" s="152">
        <f>G1994/2</f>
        <v>6000</v>
      </c>
      <c r="J1994" s="146" t="s">
        <v>1351</v>
      </c>
      <c r="K1994" s="146"/>
      <c r="L1994" s="146"/>
    </row>
    <row r="1995">
      <c r="B1995" s="144" t="s">
        <v>526</v>
      </c>
      <c r="C1995" s="138" t="s">
        <v>2391</v>
      </c>
      <c r="D1995" s="144" t="s">
        <v>13</v>
      </c>
      <c r="E1995" s="138" t="s">
        <v>2197</v>
      </c>
      <c r="F1995" s="138" t="s">
        <v>738</v>
      </c>
      <c r="G1995" s="140">
        <v>30000.0</v>
      </c>
      <c r="H1995" s="138" t="s">
        <v>728</v>
      </c>
      <c r="I1995" s="152">
        <f>G1995/7</f>
        <v>4285.714286</v>
      </c>
      <c r="J1995" s="146" t="s">
        <v>1351</v>
      </c>
      <c r="K1995" s="146"/>
      <c r="L1995" s="146"/>
    </row>
    <row r="1996">
      <c r="B1996" s="144" t="s">
        <v>526</v>
      </c>
      <c r="C1996" s="138" t="s">
        <v>2392</v>
      </c>
      <c r="D1996" s="144" t="s">
        <v>13</v>
      </c>
      <c r="E1996" s="138" t="s">
        <v>2209</v>
      </c>
      <c r="F1996" s="138" t="s">
        <v>586</v>
      </c>
      <c r="G1996" s="140">
        <v>70000.0</v>
      </c>
      <c r="H1996" s="144" t="s">
        <v>530</v>
      </c>
      <c r="I1996" s="152">
        <f t="shared" ref="I1996:I1998" si="119">G1996/10</f>
        <v>7000</v>
      </c>
      <c r="J1996" s="146" t="s">
        <v>1351</v>
      </c>
      <c r="K1996" s="146"/>
      <c r="L1996" s="146"/>
    </row>
    <row r="1997">
      <c r="B1997" s="144" t="s">
        <v>526</v>
      </c>
      <c r="C1997" s="138" t="s">
        <v>2392</v>
      </c>
      <c r="D1997" s="144" t="s">
        <v>13</v>
      </c>
      <c r="E1997" s="138" t="s">
        <v>2209</v>
      </c>
      <c r="F1997" s="138" t="s">
        <v>643</v>
      </c>
      <c r="G1997" s="140">
        <v>30000.0</v>
      </c>
      <c r="H1997" s="144" t="s">
        <v>530</v>
      </c>
      <c r="I1997" s="152">
        <f t="shared" si="119"/>
        <v>3000</v>
      </c>
      <c r="J1997" s="146" t="s">
        <v>1351</v>
      </c>
      <c r="K1997" s="146"/>
      <c r="L1997" s="146"/>
    </row>
    <row r="1998">
      <c r="B1998" s="144" t="s">
        <v>526</v>
      </c>
      <c r="C1998" s="138" t="s">
        <v>2393</v>
      </c>
      <c r="D1998" s="144" t="s">
        <v>13</v>
      </c>
      <c r="E1998" s="138" t="s">
        <v>2209</v>
      </c>
      <c r="F1998" s="138" t="s">
        <v>586</v>
      </c>
      <c r="G1998" s="140">
        <v>70000.0</v>
      </c>
      <c r="H1998" s="144" t="s">
        <v>530</v>
      </c>
      <c r="I1998" s="152">
        <f t="shared" si="119"/>
        <v>7000</v>
      </c>
      <c r="J1998" s="146" t="s">
        <v>1351</v>
      </c>
      <c r="K1998" s="146"/>
      <c r="L1998" s="146"/>
    </row>
    <row r="1999">
      <c r="B1999" s="144" t="s">
        <v>526</v>
      </c>
      <c r="C1999" s="138" t="s">
        <v>2394</v>
      </c>
      <c r="D1999" s="144" t="s">
        <v>13</v>
      </c>
      <c r="E1999" s="138" t="s">
        <v>2209</v>
      </c>
      <c r="F1999" s="138" t="s">
        <v>586</v>
      </c>
      <c r="G1999" s="140">
        <v>18000.0</v>
      </c>
      <c r="H1999" s="138" t="s">
        <v>872</v>
      </c>
      <c r="I1999" s="152">
        <f>G1999/3</f>
        <v>6000</v>
      </c>
      <c r="J1999" s="146" t="s">
        <v>1351</v>
      </c>
      <c r="K1999" s="146"/>
      <c r="L1999" s="146"/>
    </row>
    <row r="2000">
      <c r="B2000" s="144" t="s">
        <v>526</v>
      </c>
      <c r="C2000" s="138" t="s">
        <v>2395</v>
      </c>
      <c r="D2000" s="144" t="s">
        <v>13</v>
      </c>
      <c r="E2000" s="138" t="s">
        <v>2209</v>
      </c>
      <c r="F2000" s="138" t="s">
        <v>586</v>
      </c>
      <c r="G2000" s="140">
        <v>115000.0</v>
      </c>
      <c r="H2000" s="144" t="s">
        <v>530</v>
      </c>
      <c r="I2000" s="152">
        <f>G2000/10</f>
        <v>11500</v>
      </c>
      <c r="J2000" s="146" t="s">
        <v>1351</v>
      </c>
      <c r="K2000" s="146"/>
      <c r="L2000" s="146"/>
    </row>
    <row r="2001">
      <c r="B2001" s="144" t="s">
        <v>526</v>
      </c>
      <c r="C2001" s="138" t="s">
        <v>2396</v>
      </c>
      <c r="D2001" s="144" t="s">
        <v>13</v>
      </c>
      <c r="E2001" s="138" t="s">
        <v>2209</v>
      </c>
      <c r="F2001" s="138" t="s">
        <v>586</v>
      </c>
      <c r="G2001" s="140">
        <v>4300.0</v>
      </c>
      <c r="H2001" s="138" t="s">
        <v>728</v>
      </c>
      <c r="I2001" s="152">
        <f>G2001/7</f>
        <v>614.2857143</v>
      </c>
      <c r="J2001" s="146" t="s">
        <v>1351</v>
      </c>
      <c r="K2001" s="146"/>
      <c r="L2001" s="146"/>
    </row>
    <row r="2002">
      <c r="B2002" s="144" t="s">
        <v>526</v>
      </c>
      <c r="C2002" s="138" t="s">
        <v>2397</v>
      </c>
      <c r="D2002" s="144" t="s">
        <v>13</v>
      </c>
      <c r="E2002" s="138" t="s">
        <v>2209</v>
      </c>
      <c r="F2002" s="138" t="s">
        <v>586</v>
      </c>
      <c r="G2002" s="140">
        <v>80000.0</v>
      </c>
      <c r="H2002" s="144" t="s">
        <v>530</v>
      </c>
      <c r="I2002" s="152">
        <f t="shared" ref="I2002:I2020" si="120">G2002/10</f>
        <v>8000</v>
      </c>
      <c r="J2002" s="146" t="s">
        <v>1351</v>
      </c>
      <c r="K2002" s="146"/>
      <c r="L2002" s="146"/>
    </row>
    <row r="2003">
      <c r="B2003" s="144" t="s">
        <v>526</v>
      </c>
      <c r="C2003" s="138" t="s">
        <v>2398</v>
      </c>
      <c r="D2003" s="144" t="s">
        <v>13</v>
      </c>
      <c r="E2003" s="138" t="s">
        <v>2209</v>
      </c>
      <c r="F2003" s="138" t="s">
        <v>650</v>
      </c>
      <c r="G2003" s="140">
        <v>49839.0</v>
      </c>
      <c r="H2003" s="144" t="s">
        <v>530</v>
      </c>
      <c r="I2003" s="152">
        <f t="shared" si="120"/>
        <v>4983.9</v>
      </c>
      <c r="J2003" s="146" t="s">
        <v>1351</v>
      </c>
      <c r="K2003" s="146"/>
      <c r="L2003" s="146"/>
    </row>
    <row r="2004">
      <c r="B2004" s="144" t="s">
        <v>526</v>
      </c>
      <c r="C2004" s="138" t="s">
        <v>2398</v>
      </c>
      <c r="D2004" s="144" t="s">
        <v>13</v>
      </c>
      <c r="E2004" s="138" t="s">
        <v>2209</v>
      </c>
      <c r="F2004" s="138" t="s">
        <v>586</v>
      </c>
      <c r="G2004" s="140">
        <v>47000.0</v>
      </c>
      <c r="H2004" s="144" t="s">
        <v>530</v>
      </c>
      <c r="I2004" s="152">
        <f t="shared" si="120"/>
        <v>4700</v>
      </c>
      <c r="J2004" s="146" t="s">
        <v>1351</v>
      </c>
      <c r="K2004" s="146"/>
      <c r="L2004" s="146"/>
    </row>
    <row r="2005">
      <c r="B2005" s="144" t="s">
        <v>526</v>
      </c>
      <c r="C2005" s="138" t="s">
        <v>2398</v>
      </c>
      <c r="D2005" s="144" t="s">
        <v>13</v>
      </c>
      <c r="E2005" s="138" t="s">
        <v>2209</v>
      </c>
      <c r="F2005" s="138" t="s">
        <v>643</v>
      </c>
      <c r="G2005" s="140">
        <v>45000.0</v>
      </c>
      <c r="H2005" s="144" t="s">
        <v>530</v>
      </c>
      <c r="I2005" s="152">
        <f t="shared" si="120"/>
        <v>4500</v>
      </c>
      <c r="J2005" s="146" t="s">
        <v>1351</v>
      </c>
      <c r="K2005" s="146"/>
      <c r="L2005" s="146"/>
    </row>
    <row r="2006">
      <c r="B2006" s="144" t="s">
        <v>526</v>
      </c>
      <c r="C2006" s="138" t="s">
        <v>2398</v>
      </c>
      <c r="D2006" s="144" t="s">
        <v>13</v>
      </c>
      <c r="E2006" s="138" t="s">
        <v>2209</v>
      </c>
      <c r="F2006" s="138" t="s">
        <v>738</v>
      </c>
      <c r="G2006" s="140">
        <v>43000.0</v>
      </c>
      <c r="H2006" s="144" t="s">
        <v>530</v>
      </c>
      <c r="I2006" s="152">
        <f t="shared" si="120"/>
        <v>4300</v>
      </c>
      <c r="J2006" s="146" t="s">
        <v>1351</v>
      </c>
      <c r="K2006" s="146"/>
      <c r="L2006" s="146"/>
    </row>
    <row r="2007">
      <c r="B2007" s="144" t="s">
        <v>526</v>
      </c>
      <c r="C2007" s="138" t="s">
        <v>2399</v>
      </c>
      <c r="D2007" s="144" t="s">
        <v>13</v>
      </c>
      <c r="E2007" s="138" t="s">
        <v>2209</v>
      </c>
      <c r="F2007" s="138" t="s">
        <v>650</v>
      </c>
      <c r="G2007" s="140">
        <v>50000.0</v>
      </c>
      <c r="H2007" s="144" t="s">
        <v>530</v>
      </c>
      <c r="I2007" s="152">
        <f t="shared" si="120"/>
        <v>5000</v>
      </c>
      <c r="J2007" s="146" t="s">
        <v>1351</v>
      </c>
      <c r="K2007" s="146"/>
      <c r="L2007" s="146"/>
    </row>
    <row r="2008">
      <c r="B2008" s="144" t="s">
        <v>526</v>
      </c>
      <c r="C2008" s="138" t="s">
        <v>2399</v>
      </c>
      <c r="D2008" s="144" t="s">
        <v>13</v>
      </c>
      <c r="E2008" s="138" t="s">
        <v>2209</v>
      </c>
      <c r="F2008" s="138" t="s">
        <v>586</v>
      </c>
      <c r="G2008" s="140">
        <v>47000.0</v>
      </c>
      <c r="H2008" s="144" t="s">
        <v>530</v>
      </c>
      <c r="I2008" s="152">
        <f t="shared" si="120"/>
        <v>4700</v>
      </c>
      <c r="J2008" s="146" t="s">
        <v>1351</v>
      </c>
      <c r="K2008" s="146"/>
      <c r="L2008" s="146"/>
    </row>
    <row r="2009">
      <c r="B2009" s="144" t="s">
        <v>526</v>
      </c>
      <c r="C2009" s="138" t="s">
        <v>2399</v>
      </c>
      <c r="D2009" s="144" t="s">
        <v>13</v>
      </c>
      <c r="E2009" s="138" t="s">
        <v>2209</v>
      </c>
      <c r="F2009" s="138" t="s">
        <v>643</v>
      </c>
      <c r="G2009" s="140">
        <v>43000.0</v>
      </c>
      <c r="H2009" s="144" t="s">
        <v>530</v>
      </c>
      <c r="I2009" s="152">
        <f t="shared" si="120"/>
        <v>4300</v>
      </c>
      <c r="J2009" s="146" t="s">
        <v>1351</v>
      </c>
      <c r="K2009" s="146"/>
      <c r="L2009" s="146"/>
    </row>
    <row r="2010">
      <c r="B2010" s="144" t="s">
        <v>526</v>
      </c>
      <c r="C2010" s="138" t="s">
        <v>2399</v>
      </c>
      <c r="D2010" s="144" t="s">
        <v>13</v>
      </c>
      <c r="E2010" s="138" t="s">
        <v>2166</v>
      </c>
      <c r="F2010" s="138" t="s">
        <v>763</v>
      </c>
      <c r="G2010" s="140">
        <v>35000.0</v>
      </c>
      <c r="H2010" s="144" t="s">
        <v>530</v>
      </c>
      <c r="I2010" s="152">
        <f t="shared" si="120"/>
        <v>3500</v>
      </c>
      <c r="J2010" s="146" t="s">
        <v>1351</v>
      </c>
      <c r="K2010" s="146"/>
      <c r="L2010" s="146"/>
    </row>
    <row r="2011">
      <c r="B2011" s="144" t="s">
        <v>526</v>
      </c>
      <c r="C2011" s="138" t="s">
        <v>2400</v>
      </c>
      <c r="D2011" s="144" t="s">
        <v>13</v>
      </c>
      <c r="E2011" s="138" t="s">
        <v>2209</v>
      </c>
      <c r="F2011" s="138" t="s">
        <v>650</v>
      </c>
      <c r="G2011" s="140">
        <v>48000.0</v>
      </c>
      <c r="H2011" s="144" t="s">
        <v>530</v>
      </c>
      <c r="I2011" s="152">
        <f t="shared" si="120"/>
        <v>4800</v>
      </c>
      <c r="J2011" s="146" t="s">
        <v>1351</v>
      </c>
      <c r="K2011" s="146"/>
      <c r="L2011" s="146"/>
    </row>
    <row r="2012">
      <c r="B2012" s="144" t="s">
        <v>526</v>
      </c>
      <c r="C2012" s="138" t="s">
        <v>2400</v>
      </c>
      <c r="D2012" s="144" t="s">
        <v>13</v>
      </c>
      <c r="E2012" s="138" t="s">
        <v>2209</v>
      </c>
      <c r="F2012" s="138" t="s">
        <v>586</v>
      </c>
      <c r="G2012" s="140">
        <v>52000.0</v>
      </c>
      <c r="H2012" s="144" t="s">
        <v>530</v>
      </c>
      <c r="I2012" s="152">
        <f t="shared" si="120"/>
        <v>5200</v>
      </c>
      <c r="J2012" s="146" t="s">
        <v>1351</v>
      </c>
      <c r="K2012" s="146"/>
      <c r="L2012" s="146"/>
    </row>
    <row r="2013">
      <c r="B2013" s="144" t="s">
        <v>526</v>
      </c>
      <c r="C2013" s="138" t="s">
        <v>2400</v>
      </c>
      <c r="D2013" s="144" t="s">
        <v>13</v>
      </c>
      <c r="E2013" s="138" t="s">
        <v>2209</v>
      </c>
      <c r="F2013" s="138" t="s">
        <v>643</v>
      </c>
      <c r="G2013" s="140">
        <v>55000.0</v>
      </c>
      <c r="H2013" s="144" t="s">
        <v>530</v>
      </c>
      <c r="I2013" s="152">
        <f t="shared" si="120"/>
        <v>5500</v>
      </c>
      <c r="J2013" s="146" t="s">
        <v>1351</v>
      </c>
      <c r="K2013" s="146"/>
      <c r="L2013" s="146"/>
    </row>
    <row r="2014">
      <c r="B2014" s="144" t="s">
        <v>526</v>
      </c>
      <c r="C2014" s="138" t="s">
        <v>2400</v>
      </c>
      <c r="D2014" s="144" t="s">
        <v>13</v>
      </c>
      <c r="E2014" s="138" t="s">
        <v>2209</v>
      </c>
      <c r="F2014" s="138" t="s">
        <v>738</v>
      </c>
      <c r="G2014" s="140">
        <v>50000.0</v>
      </c>
      <c r="H2014" s="144" t="s">
        <v>530</v>
      </c>
      <c r="I2014" s="152">
        <f t="shared" si="120"/>
        <v>5000</v>
      </c>
      <c r="J2014" s="146" t="s">
        <v>1351</v>
      </c>
      <c r="K2014" s="146"/>
      <c r="L2014" s="146"/>
    </row>
    <row r="2015">
      <c r="B2015" s="144" t="s">
        <v>526</v>
      </c>
      <c r="C2015" s="138" t="s">
        <v>2400</v>
      </c>
      <c r="D2015" s="144" t="s">
        <v>13</v>
      </c>
      <c r="E2015" s="138" t="s">
        <v>2052</v>
      </c>
      <c r="F2015" s="138" t="s">
        <v>763</v>
      </c>
      <c r="G2015" s="140">
        <v>50000.0</v>
      </c>
      <c r="H2015" s="144" t="s">
        <v>530</v>
      </c>
      <c r="I2015" s="152">
        <f t="shared" si="120"/>
        <v>5000</v>
      </c>
      <c r="J2015" s="146" t="s">
        <v>1351</v>
      </c>
      <c r="K2015" s="146"/>
      <c r="L2015" s="146"/>
    </row>
    <row r="2016">
      <c r="B2016" s="144" t="s">
        <v>526</v>
      </c>
      <c r="C2016" s="138" t="s">
        <v>2400</v>
      </c>
      <c r="D2016" s="144" t="s">
        <v>13</v>
      </c>
      <c r="E2016" s="138" t="s">
        <v>46</v>
      </c>
      <c r="F2016" s="138" t="s">
        <v>529</v>
      </c>
      <c r="G2016" s="140">
        <v>70000.0</v>
      </c>
      <c r="H2016" s="144" t="s">
        <v>530</v>
      </c>
      <c r="I2016" s="152">
        <f t="shared" si="120"/>
        <v>7000</v>
      </c>
      <c r="J2016" s="146" t="s">
        <v>1351</v>
      </c>
      <c r="K2016" s="146"/>
      <c r="L2016" s="146"/>
    </row>
    <row r="2017">
      <c r="B2017" s="144" t="s">
        <v>526</v>
      </c>
      <c r="C2017" s="138" t="s">
        <v>2401</v>
      </c>
      <c r="D2017" s="144" t="s">
        <v>13</v>
      </c>
      <c r="E2017" s="138" t="s">
        <v>2209</v>
      </c>
      <c r="F2017" s="138" t="s">
        <v>586</v>
      </c>
      <c r="G2017" s="140">
        <v>65000.0</v>
      </c>
      <c r="H2017" s="144" t="s">
        <v>530</v>
      </c>
      <c r="I2017" s="152">
        <f t="shared" si="120"/>
        <v>6500</v>
      </c>
      <c r="J2017" s="146" t="s">
        <v>1351</v>
      </c>
      <c r="K2017" s="146"/>
      <c r="L2017" s="146"/>
    </row>
    <row r="2018">
      <c r="B2018" s="144" t="s">
        <v>526</v>
      </c>
      <c r="C2018" s="138" t="s">
        <v>2248</v>
      </c>
      <c r="D2018" s="144" t="s">
        <v>13</v>
      </c>
      <c r="E2018" s="138" t="s">
        <v>34</v>
      </c>
      <c r="F2018" s="138" t="s">
        <v>586</v>
      </c>
      <c r="G2018" s="140">
        <v>165000.0</v>
      </c>
      <c r="H2018" s="144" t="s">
        <v>530</v>
      </c>
      <c r="I2018" s="152">
        <f t="shared" si="120"/>
        <v>16500</v>
      </c>
      <c r="J2018" s="146" t="s">
        <v>1351</v>
      </c>
      <c r="K2018" s="146"/>
      <c r="L2018" s="146"/>
    </row>
    <row r="2019">
      <c r="B2019" s="144" t="s">
        <v>526</v>
      </c>
      <c r="C2019" s="138" t="s">
        <v>2402</v>
      </c>
      <c r="D2019" s="144" t="s">
        <v>13</v>
      </c>
      <c r="E2019" s="138" t="s">
        <v>34</v>
      </c>
      <c r="F2019" s="138" t="s">
        <v>586</v>
      </c>
      <c r="G2019" s="140">
        <v>100000.0</v>
      </c>
      <c r="H2019" s="144" t="s">
        <v>530</v>
      </c>
      <c r="I2019" s="152">
        <f t="shared" si="120"/>
        <v>10000</v>
      </c>
      <c r="J2019" s="146" t="s">
        <v>1351</v>
      </c>
      <c r="K2019" s="146"/>
      <c r="L2019" s="146"/>
    </row>
    <row r="2020">
      <c r="B2020" s="144" t="s">
        <v>526</v>
      </c>
      <c r="C2020" s="138" t="s">
        <v>2402</v>
      </c>
      <c r="D2020" s="144" t="s">
        <v>13</v>
      </c>
      <c r="E2020" s="138" t="s">
        <v>2209</v>
      </c>
      <c r="F2020" s="138" t="s">
        <v>643</v>
      </c>
      <c r="G2020" s="140">
        <v>55000.0</v>
      </c>
      <c r="H2020" s="144" t="s">
        <v>530</v>
      </c>
      <c r="I2020" s="152">
        <f t="shared" si="120"/>
        <v>5500</v>
      </c>
      <c r="J2020" s="146" t="s">
        <v>1351</v>
      </c>
      <c r="K2020" s="146"/>
      <c r="L2020" s="146"/>
    </row>
    <row r="2021">
      <c r="B2021" s="144" t="s">
        <v>526</v>
      </c>
      <c r="C2021" s="138" t="s">
        <v>2170</v>
      </c>
      <c r="D2021" s="144" t="s">
        <v>13</v>
      </c>
      <c r="E2021" s="138" t="s">
        <v>34</v>
      </c>
      <c r="F2021" s="138" t="s">
        <v>586</v>
      </c>
      <c r="G2021" s="140">
        <v>18000.0</v>
      </c>
      <c r="H2021" s="138" t="s">
        <v>1082</v>
      </c>
      <c r="I2021" s="152">
        <f>G2021/1</f>
        <v>18000</v>
      </c>
      <c r="J2021" s="146" t="s">
        <v>1351</v>
      </c>
      <c r="K2021" s="146"/>
      <c r="L2021" s="146"/>
    </row>
    <row r="2022">
      <c r="B2022" s="144" t="s">
        <v>526</v>
      </c>
      <c r="C2022" s="138" t="s">
        <v>1134</v>
      </c>
      <c r="D2022" s="144" t="s">
        <v>13</v>
      </c>
      <c r="E2022" s="138" t="s">
        <v>34</v>
      </c>
      <c r="F2022" s="138" t="s">
        <v>586</v>
      </c>
      <c r="G2022" s="140">
        <v>175000.0</v>
      </c>
      <c r="H2022" s="144" t="s">
        <v>530</v>
      </c>
      <c r="I2022" s="152">
        <f t="shared" ref="I2022:I2031" si="121">G2022/10</f>
        <v>17500</v>
      </c>
      <c r="J2022" s="146" t="s">
        <v>1351</v>
      </c>
      <c r="K2022" s="146"/>
      <c r="L2022" s="146"/>
    </row>
    <row r="2023">
      <c r="B2023" s="144" t="s">
        <v>526</v>
      </c>
      <c r="C2023" s="138" t="s">
        <v>2403</v>
      </c>
      <c r="D2023" s="144" t="s">
        <v>13</v>
      </c>
      <c r="E2023" s="138" t="s">
        <v>34</v>
      </c>
      <c r="F2023" s="138" t="s">
        <v>586</v>
      </c>
      <c r="G2023" s="140">
        <v>90000.0</v>
      </c>
      <c r="H2023" s="144" t="s">
        <v>530</v>
      </c>
      <c r="I2023" s="152">
        <f t="shared" si="121"/>
        <v>9000</v>
      </c>
      <c r="J2023" s="146" t="s">
        <v>1351</v>
      </c>
      <c r="K2023" s="146"/>
      <c r="L2023" s="146"/>
    </row>
    <row r="2024">
      <c r="B2024" s="144" t="s">
        <v>526</v>
      </c>
      <c r="C2024" s="138" t="s">
        <v>2403</v>
      </c>
      <c r="D2024" s="144" t="s">
        <v>13</v>
      </c>
      <c r="E2024" s="138" t="s">
        <v>2187</v>
      </c>
      <c r="F2024" s="138" t="s">
        <v>643</v>
      </c>
      <c r="G2024" s="140">
        <v>30000.0</v>
      </c>
      <c r="H2024" s="144" t="s">
        <v>530</v>
      </c>
      <c r="I2024" s="152">
        <f t="shared" si="121"/>
        <v>3000</v>
      </c>
      <c r="J2024" s="146" t="s">
        <v>1351</v>
      </c>
      <c r="K2024" s="146"/>
      <c r="L2024" s="146"/>
    </row>
    <row r="2025">
      <c r="B2025" s="144" t="s">
        <v>526</v>
      </c>
      <c r="C2025" s="138" t="s">
        <v>2403</v>
      </c>
      <c r="D2025" s="144" t="s">
        <v>13</v>
      </c>
      <c r="E2025" s="138" t="s">
        <v>2188</v>
      </c>
      <c r="F2025" s="138" t="s">
        <v>738</v>
      </c>
      <c r="G2025" s="140">
        <v>24000.0</v>
      </c>
      <c r="H2025" s="144" t="s">
        <v>530</v>
      </c>
      <c r="I2025" s="152">
        <f t="shared" si="121"/>
        <v>2400</v>
      </c>
      <c r="J2025" s="146" t="s">
        <v>1351</v>
      </c>
      <c r="K2025" s="146"/>
      <c r="L2025" s="146"/>
    </row>
    <row r="2026">
      <c r="B2026" s="144" t="s">
        <v>526</v>
      </c>
      <c r="C2026" s="138" t="s">
        <v>2251</v>
      </c>
      <c r="D2026" s="144" t="s">
        <v>13</v>
      </c>
      <c r="E2026" s="138" t="s">
        <v>34</v>
      </c>
      <c r="F2026" s="138" t="s">
        <v>586</v>
      </c>
      <c r="G2026" s="140">
        <v>140000.0</v>
      </c>
      <c r="H2026" s="144" t="s">
        <v>530</v>
      </c>
      <c r="I2026" s="152">
        <f t="shared" si="121"/>
        <v>14000</v>
      </c>
      <c r="J2026" s="146" t="s">
        <v>1351</v>
      </c>
      <c r="K2026" s="146"/>
      <c r="L2026" s="146"/>
    </row>
    <row r="2027">
      <c r="B2027" s="144" t="s">
        <v>526</v>
      </c>
      <c r="C2027" s="138" t="s">
        <v>2256</v>
      </c>
      <c r="D2027" s="144" t="s">
        <v>13</v>
      </c>
      <c r="E2027" s="138" t="s">
        <v>34</v>
      </c>
      <c r="F2027" s="138" t="s">
        <v>586</v>
      </c>
      <c r="G2027" s="140">
        <v>150000.0</v>
      </c>
      <c r="H2027" s="144" t="s">
        <v>530</v>
      </c>
      <c r="I2027" s="152">
        <f t="shared" si="121"/>
        <v>15000</v>
      </c>
      <c r="J2027" s="146" t="s">
        <v>1351</v>
      </c>
      <c r="K2027" s="146"/>
      <c r="L2027" s="146"/>
    </row>
    <row r="2028">
      <c r="B2028" s="144" t="s">
        <v>526</v>
      </c>
      <c r="C2028" s="138" t="s">
        <v>2404</v>
      </c>
      <c r="D2028" s="144" t="s">
        <v>13</v>
      </c>
      <c r="E2028" s="138" t="s">
        <v>34</v>
      </c>
      <c r="F2028" s="138" t="s">
        <v>586</v>
      </c>
      <c r="G2028" s="140">
        <v>80000.0</v>
      </c>
      <c r="H2028" s="144" t="s">
        <v>530</v>
      </c>
      <c r="I2028" s="152">
        <f t="shared" si="121"/>
        <v>8000</v>
      </c>
      <c r="J2028" s="146" t="s">
        <v>1351</v>
      </c>
      <c r="K2028" s="146"/>
      <c r="L2028" s="146"/>
    </row>
    <row r="2029">
      <c r="B2029" s="144" t="s">
        <v>526</v>
      </c>
      <c r="C2029" s="138" t="s">
        <v>2227</v>
      </c>
      <c r="D2029" s="144" t="s">
        <v>13</v>
      </c>
      <c r="E2029" s="138" t="s">
        <v>34</v>
      </c>
      <c r="F2029" s="138" t="s">
        <v>586</v>
      </c>
      <c r="G2029" s="140">
        <v>160000.0</v>
      </c>
      <c r="H2029" s="144" t="s">
        <v>530</v>
      </c>
      <c r="I2029" s="152">
        <f t="shared" si="121"/>
        <v>16000</v>
      </c>
      <c r="J2029" s="146" t="s">
        <v>1351</v>
      </c>
      <c r="K2029" s="146"/>
      <c r="L2029" s="146"/>
    </row>
    <row r="2030">
      <c r="B2030" s="144" t="s">
        <v>526</v>
      </c>
      <c r="C2030" s="138" t="s">
        <v>2346</v>
      </c>
      <c r="D2030" s="144" t="s">
        <v>13</v>
      </c>
      <c r="E2030" s="138" t="s">
        <v>34</v>
      </c>
      <c r="F2030" s="138" t="s">
        <v>586</v>
      </c>
      <c r="G2030" s="140">
        <v>150000.0</v>
      </c>
      <c r="H2030" s="144" t="s">
        <v>530</v>
      </c>
      <c r="I2030" s="152">
        <f t="shared" si="121"/>
        <v>15000</v>
      </c>
      <c r="J2030" s="146" t="s">
        <v>1351</v>
      </c>
      <c r="K2030" s="146"/>
      <c r="L2030" s="146"/>
    </row>
    <row r="2031">
      <c r="B2031" s="144" t="s">
        <v>526</v>
      </c>
      <c r="C2031" s="138" t="s">
        <v>2405</v>
      </c>
      <c r="D2031" s="144" t="s">
        <v>13</v>
      </c>
      <c r="E2031" s="138" t="s">
        <v>2245</v>
      </c>
      <c r="F2031" s="138" t="s">
        <v>650</v>
      </c>
      <c r="G2031" s="140">
        <v>25000.0</v>
      </c>
      <c r="H2031" s="144" t="s">
        <v>530</v>
      </c>
      <c r="I2031" s="152">
        <f t="shared" si="121"/>
        <v>2500</v>
      </c>
      <c r="J2031" s="146" t="s">
        <v>1351</v>
      </c>
      <c r="K2031" s="146"/>
      <c r="L2031" s="146"/>
    </row>
    <row r="2032">
      <c r="B2032" s="144" t="s">
        <v>526</v>
      </c>
      <c r="C2032" s="138" t="s">
        <v>2406</v>
      </c>
      <c r="D2032" s="144" t="s">
        <v>13</v>
      </c>
      <c r="E2032" s="138" t="s">
        <v>34</v>
      </c>
      <c r="F2032" s="138" t="s">
        <v>586</v>
      </c>
      <c r="G2032" s="140">
        <v>12500.0</v>
      </c>
      <c r="H2032" s="138" t="s">
        <v>745</v>
      </c>
      <c r="I2032" s="152">
        <f>G2032/5</f>
        <v>2500</v>
      </c>
      <c r="J2032" s="146" t="s">
        <v>1351</v>
      </c>
      <c r="K2032" s="146"/>
      <c r="L2032" s="146"/>
    </row>
    <row r="2033">
      <c r="B2033" s="144" t="s">
        <v>526</v>
      </c>
      <c r="C2033" s="138" t="s">
        <v>2406</v>
      </c>
      <c r="D2033" s="144" t="s">
        <v>13</v>
      </c>
      <c r="E2033" s="138" t="s">
        <v>2052</v>
      </c>
      <c r="F2033" s="138" t="s">
        <v>586</v>
      </c>
      <c r="G2033" s="140">
        <v>17500.0</v>
      </c>
      <c r="H2033" s="138" t="s">
        <v>728</v>
      </c>
      <c r="I2033" s="152">
        <f>G2033/7</f>
        <v>2500</v>
      </c>
      <c r="J2033" s="146" t="s">
        <v>1351</v>
      </c>
      <c r="K2033" s="146"/>
      <c r="L2033" s="146"/>
    </row>
    <row r="2034">
      <c r="B2034" s="144" t="s">
        <v>526</v>
      </c>
      <c r="C2034" s="138" t="s">
        <v>2406</v>
      </c>
      <c r="D2034" s="144" t="s">
        <v>13</v>
      </c>
      <c r="E2034" s="138" t="s">
        <v>2052</v>
      </c>
      <c r="F2034" s="138" t="s">
        <v>650</v>
      </c>
      <c r="G2034" s="140">
        <v>38000.0</v>
      </c>
      <c r="H2034" s="144" t="s">
        <v>530</v>
      </c>
      <c r="I2034" s="152">
        <f t="shared" ref="I2034:I2035" si="122">G2034/10</f>
        <v>3800</v>
      </c>
      <c r="J2034" s="146" t="s">
        <v>1351</v>
      </c>
      <c r="K2034" s="146"/>
      <c r="L2034" s="146"/>
    </row>
    <row r="2035">
      <c r="B2035" s="144" t="s">
        <v>526</v>
      </c>
      <c r="C2035" s="138" t="s">
        <v>2406</v>
      </c>
      <c r="D2035" s="144" t="s">
        <v>13</v>
      </c>
      <c r="E2035" s="138" t="s">
        <v>2048</v>
      </c>
      <c r="F2035" s="138" t="s">
        <v>738</v>
      </c>
      <c r="G2035" s="140">
        <v>20000.0</v>
      </c>
      <c r="H2035" s="144" t="s">
        <v>530</v>
      </c>
      <c r="I2035" s="152">
        <f t="shared" si="122"/>
        <v>2000</v>
      </c>
      <c r="J2035" s="146" t="s">
        <v>1351</v>
      </c>
      <c r="K2035" s="146"/>
      <c r="L2035" s="146"/>
    </row>
    <row r="2036">
      <c r="B2036" s="144" t="s">
        <v>526</v>
      </c>
      <c r="C2036" s="138" t="s">
        <v>2407</v>
      </c>
      <c r="D2036" s="144" t="s">
        <v>13</v>
      </c>
      <c r="E2036" s="138" t="s">
        <v>34</v>
      </c>
      <c r="F2036" s="138" t="s">
        <v>586</v>
      </c>
      <c r="G2036" s="140">
        <v>15000.0</v>
      </c>
      <c r="H2036" s="138" t="s">
        <v>635</v>
      </c>
      <c r="I2036" s="152">
        <f>G2036/6</f>
        <v>2500</v>
      </c>
      <c r="J2036" s="146" t="s">
        <v>1351</v>
      </c>
      <c r="K2036" s="146"/>
      <c r="L2036" s="146"/>
    </row>
    <row r="2037">
      <c r="B2037" s="144" t="s">
        <v>526</v>
      </c>
      <c r="C2037" s="138" t="s">
        <v>2407</v>
      </c>
      <c r="D2037" s="144" t="s">
        <v>13</v>
      </c>
      <c r="E2037" s="138" t="s">
        <v>2245</v>
      </c>
      <c r="F2037" s="138" t="s">
        <v>643</v>
      </c>
      <c r="G2037" s="140">
        <v>22000.0</v>
      </c>
      <c r="H2037" s="144" t="s">
        <v>530</v>
      </c>
      <c r="I2037" s="152">
        <f t="shared" ref="I2037:I2043" si="123">G2037/10</f>
        <v>2200</v>
      </c>
      <c r="J2037" s="146" t="s">
        <v>1351</v>
      </c>
      <c r="K2037" s="146"/>
      <c r="L2037" s="146"/>
    </row>
    <row r="2038">
      <c r="B2038" s="144" t="s">
        <v>526</v>
      </c>
      <c r="C2038" s="138" t="s">
        <v>2408</v>
      </c>
      <c r="D2038" s="144" t="s">
        <v>13</v>
      </c>
      <c r="E2038" s="138" t="s">
        <v>58</v>
      </c>
      <c r="F2038" s="138" t="s">
        <v>586</v>
      </c>
      <c r="G2038" s="140">
        <v>130000.0</v>
      </c>
      <c r="H2038" s="144" t="s">
        <v>530</v>
      </c>
      <c r="I2038" s="152">
        <f t="shared" si="123"/>
        <v>13000</v>
      </c>
      <c r="J2038" s="146" t="s">
        <v>1351</v>
      </c>
      <c r="K2038" s="146"/>
      <c r="L2038" s="146"/>
    </row>
    <row r="2039">
      <c r="B2039" s="144" t="s">
        <v>526</v>
      </c>
      <c r="C2039" s="138" t="s">
        <v>2221</v>
      </c>
      <c r="D2039" s="144" t="s">
        <v>13</v>
      </c>
      <c r="E2039" s="138" t="s">
        <v>58</v>
      </c>
      <c r="F2039" s="138" t="s">
        <v>586</v>
      </c>
      <c r="G2039" s="140">
        <v>70000.0</v>
      </c>
      <c r="H2039" s="144" t="s">
        <v>530</v>
      </c>
      <c r="I2039" s="152">
        <f t="shared" si="123"/>
        <v>7000</v>
      </c>
      <c r="J2039" s="146" t="s">
        <v>1351</v>
      </c>
      <c r="K2039" s="146"/>
      <c r="L2039" s="146"/>
    </row>
    <row r="2040">
      <c r="B2040" s="144" t="s">
        <v>526</v>
      </c>
      <c r="C2040" s="138" t="s">
        <v>2258</v>
      </c>
      <c r="D2040" s="144" t="s">
        <v>13</v>
      </c>
      <c r="E2040" s="138" t="s">
        <v>58</v>
      </c>
      <c r="F2040" s="138" t="s">
        <v>586</v>
      </c>
      <c r="G2040" s="140">
        <v>80000.0</v>
      </c>
      <c r="H2040" s="144" t="s">
        <v>530</v>
      </c>
      <c r="I2040" s="152">
        <f t="shared" si="123"/>
        <v>8000</v>
      </c>
      <c r="J2040" s="146" t="s">
        <v>1351</v>
      </c>
      <c r="K2040" s="146"/>
      <c r="L2040" s="146"/>
    </row>
    <row r="2041">
      <c r="B2041" s="144" t="s">
        <v>526</v>
      </c>
      <c r="C2041" s="138" t="s">
        <v>2409</v>
      </c>
      <c r="D2041" s="144" t="s">
        <v>13</v>
      </c>
      <c r="E2041" s="138" t="s">
        <v>58</v>
      </c>
      <c r="F2041" s="138" t="s">
        <v>586</v>
      </c>
      <c r="G2041" s="140">
        <v>130000.0</v>
      </c>
      <c r="H2041" s="144" t="s">
        <v>530</v>
      </c>
      <c r="I2041" s="152">
        <f t="shared" si="123"/>
        <v>13000</v>
      </c>
      <c r="J2041" s="146" t="s">
        <v>1351</v>
      </c>
      <c r="K2041" s="146"/>
      <c r="L2041" s="146"/>
    </row>
    <row r="2042">
      <c r="B2042" s="144" t="s">
        <v>526</v>
      </c>
      <c r="C2042" s="138" t="s">
        <v>2410</v>
      </c>
      <c r="D2042" s="144" t="s">
        <v>13</v>
      </c>
      <c r="E2042" s="138" t="s">
        <v>2048</v>
      </c>
      <c r="F2042" s="138" t="s">
        <v>586</v>
      </c>
      <c r="G2042" s="140">
        <v>40000.0</v>
      </c>
      <c r="H2042" s="144" t="s">
        <v>530</v>
      </c>
      <c r="I2042" s="152">
        <f t="shared" si="123"/>
        <v>4000</v>
      </c>
      <c r="J2042" s="146" t="s">
        <v>1351</v>
      </c>
      <c r="K2042" s="146"/>
      <c r="L2042" s="146"/>
    </row>
    <row r="2043">
      <c r="B2043" s="144" t="s">
        <v>526</v>
      </c>
      <c r="C2043" s="138" t="s">
        <v>2410</v>
      </c>
      <c r="D2043" s="144" t="s">
        <v>13</v>
      </c>
      <c r="E2043" s="138" t="s">
        <v>2203</v>
      </c>
      <c r="F2043" s="138" t="s">
        <v>650</v>
      </c>
      <c r="G2043" s="140">
        <v>76000.0</v>
      </c>
      <c r="H2043" s="144" t="s">
        <v>530</v>
      </c>
      <c r="I2043" s="152">
        <f t="shared" si="123"/>
        <v>7600</v>
      </c>
      <c r="J2043" s="146" t="s">
        <v>1351</v>
      </c>
      <c r="K2043" s="146"/>
      <c r="L2043" s="146"/>
    </row>
    <row r="2044">
      <c r="B2044" s="144" t="s">
        <v>526</v>
      </c>
      <c r="C2044" s="138" t="s">
        <v>2411</v>
      </c>
      <c r="D2044" s="144" t="s">
        <v>13</v>
      </c>
      <c r="E2044" s="138" t="s">
        <v>58</v>
      </c>
      <c r="F2044" s="138" t="s">
        <v>586</v>
      </c>
      <c r="G2044" s="140">
        <v>30000.0</v>
      </c>
      <c r="H2044" s="138" t="s">
        <v>872</v>
      </c>
      <c r="I2044" s="152">
        <f>G2044/3</f>
        <v>10000</v>
      </c>
      <c r="J2044" s="146" t="s">
        <v>1351</v>
      </c>
      <c r="K2044" s="146"/>
      <c r="L2044" s="146"/>
    </row>
    <row r="2045">
      <c r="B2045" s="144" t="s">
        <v>526</v>
      </c>
      <c r="C2045" s="138" t="s">
        <v>2261</v>
      </c>
      <c r="D2045" s="144" t="s">
        <v>13</v>
      </c>
      <c r="E2045" s="138" t="s">
        <v>58</v>
      </c>
      <c r="F2045" s="138" t="s">
        <v>586</v>
      </c>
      <c r="G2045" s="140">
        <v>58000.0</v>
      </c>
      <c r="H2045" s="138" t="s">
        <v>728</v>
      </c>
      <c r="I2045" s="152">
        <f>G2045/7</f>
        <v>8285.714286</v>
      </c>
      <c r="J2045" s="146" t="s">
        <v>1351</v>
      </c>
      <c r="K2045" s="146"/>
      <c r="L2045" s="146"/>
    </row>
    <row r="2046">
      <c r="B2046" s="144" t="s">
        <v>526</v>
      </c>
      <c r="C2046" s="138" t="s">
        <v>2412</v>
      </c>
      <c r="D2046" s="144" t="s">
        <v>13</v>
      </c>
      <c r="E2046" s="138" t="s">
        <v>58</v>
      </c>
      <c r="F2046" s="138" t="s">
        <v>586</v>
      </c>
      <c r="G2046" s="140">
        <v>60000.0</v>
      </c>
      <c r="H2046" s="138" t="s">
        <v>1155</v>
      </c>
      <c r="I2046" s="152">
        <f>G2046/8</f>
        <v>7500</v>
      </c>
      <c r="J2046" s="146" t="s">
        <v>1351</v>
      </c>
      <c r="K2046" s="146"/>
      <c r="L2046" s="146"/>
    </row>
    <row r="2047">
      <c r="B2047" s="144" t="s">
        <v>526</v>
      </c>
      <c r="C2047" s="138" t="s">
        <v>2268</v>
      </c>
      <c r="D2047" s="144" t="s">
        <v>13</v>
      </c>
      <c r="E2047" s="138" t="s">
        <v>58</v>
      </c>
      <c r="F2047" s="138" t="s">
        <v>586</v>
      </c>
      <c r="G2047" s="140">
        <v>120000.0</v>
      </c>
      <c r="H2047" s="144" t="s">
        <v>530</v>
      </c>
      <c r="I2047" s="152">
        <f t="shared" ref="I2047:I2048" si="124">G2047/10</f>
        <v>12000</v>
      </c>
      <c r="J2047" s="146" t="s">
        <v>1351</v>
      </c>
      <c r="K2047" s="146"/>
      <c r="L2047" s="146"/>
    </row>
    <row r="2048">
      <c r="B2048" s="144" t="s">
        <v>526</v>
      </c>
      <c r="C2048" s="138" t="s">
        <v>2413</v>
      </c>
      <c r="D2048" s="144" t="s">
        <v>13</v>
      </c>
      <c r="E2048" s="138" t="s">
        <v>58</v>
      </c>
      <c r="F2048" s="138" t="s">
        <v>586</v>
      </c>
      <c r="G2048" s="140">
        <v>33000.0</v>
      </c>
      <c r="H2048" s="144" t="s">
        <v>530</v>
      </c>
      <c r="I2048" s="152">
        <f t="shared" si="124"/>
        <v>3300</v>
      </c>
      <c r="J2048" s="146" t="s">
        <v>1351</v>
      </c>
      <c r="K2048" s="146"/>
      <c r="L2048" s="146"/>
    </row>
    <row r="2049">
      <c r="B2049" s="144" t="s">
        <v>526</v>
      </c>
      <c r="C2049" s="138" t="s">
        <v>2414</v>
      </c>
      <c r="D2049" s="144" t="s">
        <v>13</v>
      </c>
      <c r="E2049" s="138" t="s">
        <v>58</v>
      </c>
      <c r="F2049" s="138" t="s">
        <v>586</v>
      </c>
      <c r="G2049" s="140">
        <v>20000.0</v>
      </c>
      <c r="H2049" s="138" t="s">
        <v>745</v>
      </c>
      <c r="I2049" s="152">
        <f t="shared" ref="I2049:I2050" si="125">G2049/5</f>
        <v>4000</v>
      </c>
      <c r="J2049" s="146" t="s">
        <v>1351</v>
      </c>
      <c r="K2049" s="146"/>
      <c r="L2049" s="146"/>
    </row>
    <row r="2050">
      <c r="B2050" s="144" t="s">
        <v>526</v>
      </c>
      <c r="C2050" s="138" t="s">
        <v>2415</v>
      </c>
      <c r="D2050" s="144" t="s">
        <v>13</v>
      </c>
      <c r="E2050" s="138" t="s">
        <v>58</v>
      </c>
      <c r="F2050" s="138" t="s">
        <v>586</v>
      </c>
      <c r="G2050" s="140">
        <v>20000.0</v>
      </c>
      <c r="H2050" s="138" t="s">
        <v>745</v>
      </c>
      <c r="I2050" s="152">
        <f t="shared" si="125"/>
        <v>4000</v>
      </c>
      <c r="J2050" s="146" t="s">
        <v>1351</v>
      </c>
      <c r="K2050" s="146"/>
      <c r="L2050" s="146"/>
    </row>
    <row r="2051">
      <c r="B2051" s="144" t="s">
        <v>526</v>
      </c>
      <c r="C2051" s="138" t="s">
        <v>2415</v>
      </c>
      <c r="D2051" s="144" t="s">
        <v>13</v>
      </c>
      <c r="E2051" s="138" t="s">
        <v>1794</v>
      </c>
      <c r="F2051" s="138" t="s">
        <v>586</v>
      </c>
      <c r="G2051" s="140">
        <v>28000.0</v>
      </c>
      <c r="H2051" s="138" t="s">
        <v>728</v>
      </c>
      <c r="I2051" s="152">
        <f>G2051/7</f>
        <v>4000</v>
      </c>
      <c r="J2051" s="146" t="s">
        <v>1351</v>
      </c>
      <c r="K2051" s="146"/>
      <c r="L2051" s="146"/>
    </row>
    <row r="2052">
      <c r="B2052" s="144" t="s">
        <v>526</v>
      </c>
      <c r="C2052" s="138" t="s">
        <v>2415</v>
      </c>
      <c r="D2052" s="144" t="s">
        <v>13</v>
      </c>
      <c r="E2052" s="138" t="s">
        <v>2187</v>
      </c>
      <c r="F2052" s="138" t="s">
        <v>650</v>
      </c>
      <c r="G2052" s="140">
        <v>60000.0</v>
      </c>
      <c r="H2052" s="144" t="s">
        <v>530</v>
      </c>
      <c r="I2052" s="152">
        <f t="shared" ref="I2052:I2055" si="126">G2052/10</f>
        <v>6000</v>
      </c>
      <c r="J2052" s="146" t="s">
        <v>1351</v>
      </c>
      <c r="K2052" s="146"/>
      <c r="L2052" s="146"/>
    </row>
    <row r="2053">
      <c r="B2053" s="144" t="s">
        <v>526</v>
      </c>
      <c r="C2053" s="138" t="s">
        <v>2415</v>
      </c>
      <c r="D2053" s="144" t="s">
        <v>13</v>
      </c>
      <c r="E2053" s="138" t="s">
        <v>2295</v>
      </c>
      <c r="F2053" s="138" t="s">
        <v>643</v>
      </c>
      <c r="G2053" s="140">
        <v>25000.0</v>
      </c>
      <c r="H2053" s="144" t="s">
        <v>530</v>
      </c>
      <c r="I2053" s="152">
        <f t="shared" si="126"/>
        <v>2500</v>
      </c>
      <c r="J2053" s="146" t="s">
        <v>1351</v>
      </c>
      <c r="K2053" s="146"/>
      <c r="L2053" s="146"/>
    </row>
    <row r="2054">
      <c r="B2054" s="144" t="s">
        <v>526</v>
      </c>
      <c r="C2054" s="138" t="s">
        <v>2415</v>
      </c>
      <c r="D2054" s="144" t="s">
        <v>13</v>
      </c>
      <c r="E2054" s="138" t="s">
        <v>2167</v>
      </c>
      <c r="F2054" s="138" t="s">
        <v>738</v>
      </c>
      <c r="G2054" s="140">
        <v>12000.0</v>
      </c>
      <c r="H2054" s="144" t="s">
        <v>530</v>
      </c>
      <c r="I2054" s="152">
        <f t="shared" si="126"/>
        <v>1200</v>
      </c>
      <c r="J2054" s="146" t="s">
        <v>1351</v>
      </c>
      <c r="K2054" s="146"/>
      <c r="L2054" s="146"/>
    </row>
    <row r="2055">
      <c r="B2055" s="144" t="s">
        <v>526</v>
      </c>
      <c r="C2055" s="138" t="s">
        <v>2416</v>
      </c>
      <c r="D2055" s="144" t="s">
        <v>13</v>
      </c>
      <c r="E2055" s="138" t="s">
        <v>1790</v>
      </c>
      <c r="F2055" s="138" t="s">
        <v>650</v>
      </c>
      <c r="G2055" s="140">
        <v>55000.0</v>
      </c>
      <c r="H2055" s="144" t="s">
        <v>530</v>
      </c>
      <c r="I2055" s="152">
        <f t="shared" si="126"/>
        <v>5500</v>
      </c>
      <c r="J2055" s="146" t="s">
        <v>1351</v>
      </c>
      <c r="K2055" s="146"/>
      <c r="L2055" s="146"/>
    </row>
    <row r="2056">
      <c r="B2056" s="144" t="s">
        <v>526</v>
      </c>
      <c r="C2056" s="138" t="s">
        <v>2416</v>
      </c>
      <c r="D2056" s="144" t="s">
        <v>13</v>
      </c>
      <c r="E2056" s="138" t="s">
        <v>2166</v>
      </c>
      <c r="F2056" s="138" t="s">
        <v>586</v>
      </c>
      <c r="G2056" s="140">
        <v>14000.0</v>
      </c>
      <c r="H2056" s="138" t="s">
        <v>680</v>
      </c>
      <c r="I2056" s="152">
        <f>G2056/4</f>
        <v>3500</v>
      </c>
      <c r="J2056" s="146" t="s">
        <v>1351</v>
      </c>
      <c r="K2056" s="146"/>
      <c r="L2056" s="146"/>
    </row>
    <row r="2057">
      <c r="B2057" s="144" t="s">
        <v>526</v>
      </c>
      <c r="C2057" s="138" t="s">
        <v>2416</v>
      </c>
      <c r="D2057" s="144" t="s">
        <v>13</v>
      </c>
      <c r="E2057" s="138" t="s">
        <v>58</v>
      </c>
      <c r="F2057" s="138" t="s">
        <v>586</v>
      </c>
      <c r="G2057" s="140">
        <v>45000.0</v>
      </c>
      <c r="H2057" s="144" t="s">
        <v>530</v>
      </c>
      <c r="I2057" s="152">
        <f t="shared" ref="I2057:I2061" si="127">G2057/10</f>
        <v>4500</v>
      </c>
      <c r="J2057" s="146" t="s">
        <v>1351</v>
      </c>
      <c r="K2057" s="146"/>
      <c r="L2057" s="146"/>
    </row>
    <row r="2058">
      <c r="B2058" s="144" t="s">
        <v>526</v>
      </c>
      <c r="C2058" s="138" t="s">
        <v>2416</v>
      </c>
      <c r="D2058" s="144" t="s">
        <v>13</v>
      </c>
      <c r="E2058" s="138" t="s">
        <v>2178</v>
      </c>
      <c r="F2058" s="138" t="s">
        <v>643</v>
      </c>
      <c r="G2058" s="140">
        <v>25000.0</v>
      </c>
      <c r="H2058" s="144" t="s">
        <v>530</v>
      </c>
      <c r="I2058" s="152">
        <f t="shared" si="127"/>
        <v>2500</v>
      </c>
      <c r="J2058" s="146" t="s">
        <v>1351</v>
      </c>
      <c r="K2058" s="146"/>
      <c r="L2058" s="146"/>
    </row>
    <row r="2059">
      <c r="B2059" s="144" t="s">
        <v>526</v>
      </c>
      <c r="C2059" s="138" t="s">
        <v>2416</v>
      </c>
      <c r="D2059" s="144" t="s">
        <v>13</v>
      </c>
      <c r="E2059" s="138" t="s">
        <v>2178</v>
      </c>
      <c r="F2059" s="138" t="s">
        <v>738</v>
      </c>
      <c r="G2059" s="140">
        <v>18000.0</v>
      </c>
      <c r="H2059" s="144" t="s">
        <v>530</v>
      </c>
      <c r="I2059" s="152">
        <f t="shared" si="127"/>
        <v>1800</v>
      </c>
      <c r="J2059" s="146" t="s">
        <v>1351</v>
      </c>
      <c r="K2059" s="146"/>
      <c r="L2059" s="146"/>
    </row>
    <row r="2060">
      <c r="B2060" s="144" t="s">
        <v>526</v>
      </c>
      <c r="C2060" s="138" t="s">
        <v>2270</v>
      </c>
      <c r="D2060" s="144" t="s">
        <v>13</v>
      </c>
      <c r="E2060" s="138" t="s">
        <v>48</v>
      </c>
      <c r="F2060" s="138" t="s">
        <v>586</v>
      </c>
      <c r="G2060" s="140">
        <v>160000.0</v>
      </c>
      <c r="H2060" s="144" t="s">
        <v>530</v>
      </c>
      <c r="I2060" s="152">
        <f t="shared" si="127"/>
        <v>16000</v>
      </c>
      <c r="J2060" s="146" t="s">
        <v>1351</v>
      </c>
      <c r="K2060" s="146"/>
      <c r="L2060" s="146"/>
    </row>
    <row r="2061">
      <c r="B2061" s="144" t="s">
        <v>526</v>
      </c>
      <c r="C2061" s="138" t="s">
        <v>2417</v>
      </c>
      <c r="D2061" s="144" t="s">
        <v>13</v>
      </c>
      <c r="E2061" s="138" t="s">
        <v>48</v>
      </c>
      <c r="F2061" s="138" t="s">
        <v>586</v>
      </c>
      <c r="G2061" s="140">
        <v>92000.0</v>
      </c>
      <c r="H2061" s="144" t="s">
        <v>530</v>
      </c>
      <c r="I2061" s="152">
        <f t="shared" si="127"/>
        <v>9200</v>
      </c>
      <c r="J2061" s="146" t="s">
        <v>1351</v>
      </c>
      <c r="K2061" s="146"/>
      <c r="L2061" s="146"/>
    </row>
    <row r="2062">
      <c r="B2062" s="144" t="s">
        <v>526</v>
      </c>
      <c r="C2062" s="138" t="s">
        <v>2418</v>
      </c>
      <c r="D2062" s="144" t="s">
        <v>13</v>
      </c>
      <c r="E2062" s="138" t="s">
        <v>48</v>
      </c>
      <c r="F2062" s="138" t="s">
        <v>586</v>
      </c>
      <c r="G2062" s="140">
        <v>38160.0</v>
      </c>
      <c r="H2062" s="138" t="s">
        <v>728</v>
      </c>
      <c r="I2062" s="152">
        <f>G2062/7</f>
        <v>5451.428571</v>
      </c>
      <c r="J2062" s="146" t="s">
        <v>1351</v>
      </c>
      <c r="K2062" s="146"/>
      <c r="L2062" s="146"/>
    </row>
    <row r="2063">
      <c r="B2063" s="144" t="s">
        <v>526</v>
      </c>
      <c r="C2063" s="138" t="s">
        <v>2419</v>
      </c>
      <c r="D2063" s="144" t="s">
        <v>13</v>
      </c>
      <c r="E2063" s="138" t="s">
        <v>48</v>
      </c>
      <c r="F2063" s="138" t="s">
        <v>586</v>
      </c>
      <c r="G2063" s="140">
        <v>140000.0</v>
      </c>
      <c r="H2063" s="144" t="s">
        <v>530</v>
      </c>
      <c r="I2063" s="152">
        <f t="shared" ref="I2063:I2064" si="128">G2063/10</f>
        <v>14000</v>
      </c>
      <c r="J2063" s="146" t="s">
        <v>1351</v>
      </c>
      <c r="K2063" s="146"/>
      <c r="L2063" s="146"/>
    </row>
    <row r="2064">
      <c r="B2064" s="144" t="s">
        <v>526</v>
      </c>
      <c r="C2064" s="138" t="s">
        <v>2217</v>
      </c>
      <c r="D2064" s="144" t="s">
        <v>13</v>
      </c>
      <c r="E2064" s="138" t="s">
        <v>48</v>
      </c>
      <c r="F2064" s="138" t="s">
        <v>586</v>
      </c>
      <c r="G2064" s="140">
        <v>63000.0</v>
      </c>
      <c r="H2064" s="144" t="s">
        <v>530</v>
      </c>
      <c r="I2064" s="152">
        <f t="shared" si="128"/>
        <v>6300</v>
      </c>
      <c r="J2064" s="146" t="s">
        <v>1351</v>
      </c>
      <c r="K2064" s="146"/>
      <c r="L2064" s="146"/>
    </row>
    <row r="2065">
      <c r="B2065" s="144" t="s">
        <v>526</v>
      </c>
      <c r="C2065" s="138" t="s">
        <v>2420</v>
      </c>
      <c r="D2065" s="144" t="s">
        <v>13</v>
      </c>
      <c r="E2065" s="138" t="s">
        <v>48</v>
      </c>
      <c r="F2065" s="138" t="s">
        <v>586</v>
      </c>
      <c r="G2065" s="140">
        <v>12400.0</v>
      </c>
      <c r="H2065" s="138" t="s">
        <v>677</v>
      </c>
      <c r="I2065" s="152">
        <f>G2065/2</f>
        <v>6200</v>
      </c>
      <c r="J2065" s="146" t="s">
        <v>1351</v>
      </c>
      <c r="K2065" s="146"/>
      <c r="L2065" s="146"/>
    </row>
    <row r="2066">
      <c r="B2066" s="144" t="s">
        <v>526</v>
      </c>
      <c r="C2066" s="138" t="s">
        <v>2421</v>
      </c>
      <c r="D2066" s="144" t="s">
        <v>13</v>
      </c>
      <c r="E2066" s="138" t="s">
        <v>48</v>
      </c>
      <c r="F2066" s="138" t="s">
        <v>586</v>
      </c>
      <c r="G2066" s="140">
        <v>60000.0</v>
      </c>
      <c r="H2066" s="144" t="s">
        <v>530</v>
      </c>
      <c r="I2066" s="152">
        <f t="shared" ref="I2066:I2073" si="129">G2066/10</f>
        <v>6000</v>
      </c>
      <c r="J2066" s="146" t="s">
        <v>1351</v>
      </c>
      <c r="K2066" s="146"/>
      <c r="L2066" s="146"/>
    </row>
    <row r="2067">
      <c r="B2067" s="144" t="s">
        <v>526</v>
      </c>
      <c r="C2067" s="138" t="s">
        <v>2275</v>
      </c>
      <c r="D2067" s="144" t="s">
        <v>13</v>
      </c>
      <c r="E2067" s="138" t="s">
        <v>48</v>
      </c>
      <c r="F2067" s="138" t="s">
        <v>586</v>
      </c>
      <c r="G2067" s="140">
        <v>50000.0</v>
      </c>
      <c r="H2067" s="144" t="s">
        <v>530</v>
      </c>
      <c r="I2067" s="152">
        <f t="shared" si="129"/>
        <v>5000</v>
      </c>
      <c r="J2067" s="146" t="s">
        <v>1351</v>
      </c>
      <c r="K2067" s="146"/>
      <c r="L2067" s="146"/>
    </row>
    <row r="2068">
      <c r="B2068" s="144" t="s">
        <v>526</v>
      </c>
      <c r="C2068" s="138" t="s">
        <v>2275</v>
      </c>
      <c r="D2068" s="144" t="s">
        <v>13</v>
      </c>
      <c r="E2068" s="138" t="s">
        <v>2187</v>
      </c>
      <c r="F2068" s="138" t="s">
        <v>643</v>
      </c>
      <c r="G2068" s="140">
        <v>34000.0</v>
      </c>
      <c r="H2068" s="144" t="s">
        <v>530</v>
      </c>
      <c r="I2068" s="152">
        <f t="shared" si="129"/>
        <v>3400</v>
      </c>
      <c r="J2068" s="146" t="s">
        <v>1351</v>
      </c>
      <c r="K2068" s="146"/>
      <c r="L2068" s="146"/>
    </row>
    <row r="2069">
      <c r="B2069" s="144" t="s">
        <v>526</v>
      </c>
      <c r="C2069" s="138" t="s">
        <v>2275</v>
      </c>
      <c r="D2069" s="144" t="s">
        <v>13</v>
      </c>
      <c r="E2069" s="138" t="s">
        <v>2188</v>
      </c>
      <c r="F2069" s="138" t="s">
        <v>738</v>
      </c>
      <c r="G2069" s="140">
        <v>30000.0</v>
      </c>
      <c r="H2069" s="144" t="s">
        <v>530</v>
      </c>
      <c r="I2069" s="152">
        <f t="shared" si="129"/>
        <v>3000</v>
      </c>
      <c r="J2069" s="146" t="s">
        <v>1351</v>
      </c>
      <c r="K2069" s="146"/>
      <c r="L2069" s="146"/>
    </row>
    <row r="2070">
      <c r="B2070" s="144" t="s">
        <v>526</v>
      </c>
      <c r="C2070" s="138" t="s">
        <v>2275</v>
      </c>
      <c r="D2070" s="144" t="s">
        <v>13</v>
      </c>
      <c r="E2070" s="138" t="s">
        <v>2188</v>
      </c>
      <c r="F2070" s="138" t="s">
        <v>763</v>
      </c>
      <c r="G2070" s="140">
        <v>16000.0</v>
      </c>
      <c r="H2070" s="144" t="s">
        <v>530</v>
      </c>
      <c r="I2070" s="152">
        <f t="shared" si="129"/>
        <v>1600</v>
      </c>
      <c r="J2070" s="146" t="s">
        <v>1351</v>
      </c>
      <c r="K2070" s="146"/>
      <c r="L2070" s="146"/>
    </row>
    <row r="2071">
      <c r="B2071" s="144" t="s">
        <v>526</v>
      </c>
      <c r="C2071" s="138" t="s">
        <v>2276</v>
      </c>
      <c r="D2071" s="144" t="s">
        <v>13</v>
      </c>
      <c r="E2071" s="138" t="s">
        <v>48</v>
      </c>
      <c r="F2071" s="138" t="s">
        <v>586</v>
      </c>
      <c r="G2071" s="140">
        <v>48000.0</v>
      </c>
      <c r="H2071" s="144" t="s">
        <v>530</v>
      </c>
      <c r="I2071" s="152">
        <f t="shared" si="129"/>
        <v>4800</v>
      </c>
      <c r="J2071" s="146" t="s">
        <v>1351</v>
      </c>
      <c r="K2071" s="146"/>
      <c r="L2071" s="146"/>
    </row>
    <row r="2072">
      <c r="B2072" s="144" t="s">
        <v>526</v>
      </c>
      <c r="C2072" s="138" t="s">
        <v>2276</v>
      </c>
      <c r="D2072" s="144" t="s">
        <v>13</v>
      </c>
      <c r="E2072" s="138" t="s">
        <v>46</v>
      </c>
      <c r="F2072" s="138" t="s">
        <v>643</v>
      </c>
      <c r="G2072" s="140">
        <v>42000.0</v>
      </c>
      <c r="H2072" s="144" t="s">
        <v>530</v>
      </c>
      <c r="I2072" s="152">
        <f t="shared" si="129"/>
        <v>4200</v>
      </c>
      <c r="J2072" s="146" t="s">
        <v>1351</v>
      </c>
      <c r="K2072" s="146"/>
      <c r="L2072" s="146"/>
    </row>
    <row r="2073">
      <c r="B2073" s="144" t="s">
        <v>526</v>
      </c>
      <c r="C2073" s="138" t="s">
        <v>2276</v>
      </c>
      <c r="D2073" s="144" t="s">
        <v>13</v>
      </c>
      <c r="E2073" s="138" t="s">
        <v>2180</v>
      </c>
      <c r="F2073" s="138" t="s">
        <v>738</v>
      </c>
      <c r="G2073" s="140">
        <v>25000.0</v>
      </c>
      <c r="H2073" s="144" t="s">
        <v>530</v>
      </c>
      <c r="I2073" s="152">
        <f t="shared" si="129"/>
        <v>2500</v>
      </c>
      <c r="J2073" s="146" t="s">
        <v>1351</v>
      </c>
      <c r="K2073" s="146"/>
      <c r="L2073" s="146"/>
    </row>
    <row r="2074">
      <c r="B2074" s="144" t="s">
        <v>526</v>
      </c>
      <c r="C2074" s="138" t="s">
        <v>2276</v>
      </c>
      <c r="D2074" s="144" t="s">
        <v>13</v>
      </c>
      <c r="E2074" s="138" t="s">
        <v>2180</v>
      </c>
      <c r="F2074" s="138" t="s">
        <v>763</v>
      </c>
      <c r="G2074" s="140">
        <v>20000.0</v>
      </c>
      <c r="H2074" s="138" t="s">
        <v>680</v>
      </c>
      <c r="I2074" s="152">
        <f>G2074/4</f>
        <v>5000</v>
      </c>
      <c r="J2074" s="146" t="s">
        <v>1351</v>
      </c>
      <c r="K2074" s="146"/>
      <c r="L2074" s="146"/>
    </row>
    <row r="2075">
      <c r="B2075" s="144" t="s">
        <v>526</v>
      </c>
      <c r="C2075" s="138" t="s">
        <v>2422</v>
      </c>
      <c r="D2075" s="144" t="s">
        <v>13</v>
      </c>
      <c r="E2075" s="138" t="s">
        <v>48</v>
      </c>
      <c r="F2075" s="138" t="s">
        <v>586</v>
      </c>
      <c r="G2075" s="140">
        <v>55000.0</v>
      </c>
      <c r="H2075" s="144" t="s">
        <v>530</v>
      </c>
      <c r="I2075" s="152">
        <f t="shared" ref="I2075:I2080" si="130">G2075/10</f>
        <v>5500</v>
      </c>
      <c r="J2075" s="146" t="s">
        <v>1351</v>
      </c>
      <c r="K2075" s="146"/>
      <c r="L2075" s="146"/>
    </row>
    <row r="2076">
      <c r="B2076" s="144" t="s">
        <v>526</v>
      </c>
      <c r="C2076" s="138" t="s">
        <v>2422</v>
      </c>
      <c r="D2076" s="144" t="s">
        <v>13</v>
      </c>
      <c r="E2076" s="138" t="s">
        <v>2281</v>
      </c>
      <c r="F2076" s="138" t="s">
        <v>650</v>
      </c>
      <c r="G2076" s="140">
        <v>75000.0</v>
      </c>
      <c r="H2076" s="144" t="s">
        <v>530</v>
      </c>
      <c r="I2076" s="152">
        <f t="shared" si="130"/>
        <v>7500</v>
      </c>
      <c r="J2076" s="146" t="s">
        <v>1351</v>
      </c>
      <c r="K2076" s="146"/>
      <c r="L2076" s="146"/>
    </row>
    <row r="2077">
      <c r="B2077" s="144" t="s">
        <v>526</v>
      </c>
      <c r="C2077" s="138" t="s">
        <v>2423</v>
      </c>
      <c r="D2077" s="144" t="s">
        <v>13</v>
      </c>
      <c r="E2077" s="138" t="s">
        <v>48</v>
      </c>
      <c r="F2077" s="138" t="s">
        <v>586</v>
      </c>
      <c r="G2077" s="140">
        <v>92000.0</v>
      </c>
      <c r="H2077" s="144" t="s">
        <v>530</v>
      </c>
      <c r="I2077" s="152">
        <f t="shared" si="130"/>
        <v>9200</v>
      </c>
      <c r="J2077" s="146" t="s">
        <v>1351</v>
      </c>
      <c r="K2077" s="146"/>
      <c r="L2077" s="146"/>
    </row>
    <row r="2078">
      <c r="B2078" s="144" t="s">
        <v>526</v>
      </c>
      <c r="C2078" s="138" t="s">
        <v>2424</v>
      </c>
      <c r="D2078" s="144" t="s">
        <v>13</v>
      </c>
      <c r="E2078" s="138" t="s">
        <v>48</v>
      </c>
      <c r="F2078" s="138" t="s">
        <v>586</v>
      </c>
      <c r="G2078" s="140">
        <v>32000.0</v>
      </c>
      <c r="H2078" s="144" t="s">
        <v>530</v>
      </c>
      <c r="I2078" s="152">
        <f t="shared" si="130"/>
        <v>3200</v>
      </c>
      <c r="J2078" s="146" t="s">
        <v>1351</v>
      </c>
      <c r="K2078" s="146"/>
      <c r="L2078" s="146"/>
    </row>
    <row r="2079">
      <c r="B2079" s="144" t="s">
        <v>526</v>
      </c>
      <c r="C2079" s="138" t="s">
        <v>2424</v>
      </c>
      <c r="D2079" s="144" t="s">
        <v>13</v>
      </c>
      <c r="E2079" s="138" t="s">
        <v>2187</v>
      </c>
      <c r="F2079" s="138" t="s">
        <v>650</v>
      </c>
      <c r="G2079" s="140">
        <v>35000.0</v>
      </c>
      <c r="H2079" s="144" t="s">
        <v>530</v>
      </c>
      <c r="I2079" s="152">
        <f t="shared" si="130"/>
        <v>3500</v>
      </c>
      <c r="J2079" s="146" t="s">
        <v>1351</v>
      </c>
      <c r="K2079" s="146"/>
      <c r="L2079" s="146"/>
    </row>
    <row r="2080">
      <c r="B2080" s="144" t="s">
        <v>526</v>
      </c>
      <c r="C2080" s="138" t="s">
        <v>1578</v>
      </c>
      <c r="D2080" s="144" t="s">
        <v>13</v>
      </c>
      <c r="E2080" s="138" t="s">
        <v>19</v>
      </c>
      <c r="F2080" s="138" t="s">
        <v>586</v>
      </c>
      <c r="G2080" s="140">
        <v>800000.0</v>
      </c>
      <c r="H2080" s="144" t="s">
        <v>530</v>
      </c>
      <c r="I2080" s="152">
        <f t="shared" si="130"/>
        <v>80000</v>
      </c>
      <c r="J2080" s="146" t="s">
        <v>1351</v>
      </c>
      <c r="K2080" s="146"/>
      <c r="L2080" s="146"/>
    </row>
    <row r="2081">
      <c r="B2081" s="144" t="s">
        <v>526</v>
      </c>
      <c r="C2081" s="138" t="s">
        <v>1253</v>
      </c>
      <c r="D2081" s="144" t="s">
        <v>13</v>
      </c>
      <c r="E2081" s="138" t="s">
        <v>19</v>
      </c>
      <c r="F2081" s="138" t="s">
        <v>586</v>
      </c>
      <c r="G2081" s="140">
        <v>920000.0</v>
      </c>
      <c r="H2081" s="138" t="s">
        <v>610</v>
      </c>
      <c r="I2081" s="152">
        <f>G2081/9</f>
        <v>102222.2222</v>
      </c>
      <c r="J2081" s="146" t="s">
        <v>1351</v>
      </c>
      <c r="K2081" s="146"/>
      <c r="L2081" s="146"/>
    </row>
    <row r="2082">
      <c r="B2082" s="144" t="s">
        <v>526</v>
      </c>
      <c r="C2082" s="138" t="s">
        <v>1713</v>
      </c>
      <c r="D2082" s="144" t="s">
        <v>13</v>
      </c>
      <c r="E2082" s="138" t="s">
        <v>19</v>
      </c>
      <c r="F2082" s="138" t="s">
        <v>586</v>
      </c>
      <c r="G2082" s="140">
        <v>350000.0</v>
      </c>
      <c r="H2082" s="144" t="s">
        <v>530</v>
      </c>
      <c r="I2082" s="152">
        <f t="shared" ref="I2082:I2090" si="131">G2082/10</f>
        <v>35000</v>
      </c>
      <c r="J2082" s="146" t="s">
        <v>1351</v>
      </c>
      <c r="K2082" s="146"/>
      <c r="L2082" s="146"/>
    </row>
    <row r="2083">
      <c r="B2083" s="144" t="s">
        <v>526</v>
      </c>
      <c r="C2083" s="138" t="s">
        <v>2283</v>
      </c>
      <c r="D2083" s="144" t="s">
        <v>13</v>
      </c>
      <c r="E2083" s="138" t="s">
        <v>19</v>
      </c>
      <c r="F2083" s="138" t="s">
        <v>586</v>
      </c>
      <c r="G2083" s="140">
        <v>820000.0</v>
      </c>
      <c r="H2083" s="144" t="s">
        <v>530</v>
      </c>
      <c r="I2083" s="152">
        <f t="shared" si="131"/>
        <v>82000</v>
      </c>
      <c r="J2083" s="146" t="s">
        <v>1351</v>
      </c>
      <c r="K2083" s="146"/>
      <c r="L2083" s="146"/>
    </row>
    <row r="2084">
      <c r="B2084" s="144" t="s">
        <v>526</v>
      </c>
      <c r="C2084" s="138" t="s">
        <v>2425</v>
      </c>
      <c r="D2084" s="144" t="s">
        <v>13</v>
      </c>
      <c r="E2084" s="138" t="s">
        <v>19</v>
      </c>
      <c r="F2084" s="138" t="s">
        <v>586</v>
      </c>
      <c r="G2084" s="140">
        <v>700000.0</v>
      </c>
      <c r="H2084" s="144" t="s">
        <v>530</v>
      </c>
      <c r="I2084" s="152">
        <f t="shared" si="131"/>
        <v>70000</v>
      </c>
      <c r="J2084" s="146" t="s">
        <v>1351</v>
      </c>
      <c r="K2084" s="146"/>
      <c r="L2084" s="146"/>
    </row>
    <row r="2085">
      <c r="B2085" s="144" t="s">
        <v>526</v>
      </c>
      <c r="C2085" s="138" t="s">
        <v>2426</v>
      </c>
      <c r="D2085" s="144" t="s">
        <v>13</v>
      </c>
      <c r="E2085" s="138" t="s">
        <v>19</v>
      </c>
      <c r="F2085" s="138" t="s">
        <v>586</v>
      </c>
      <c r="G2085" s="140">
        <v>465000.0</v>
      </c>
      <c r="H2085" s="144" t="s">
        <v>530</v>
      </c>
      <c r="I2085" s="152">
        <f t="shared" si="131"/>
        <v>46500</v>
      </c>
      <c r="J2085" s="146" t="s">
        <v>1351</v>
      </c>
      <c r="K2085" s="146"/>
      <c r="L2085" s="146"/>
    </row>
    <row r="2086">
      <c r="B2086" s="144" t="s">
        <v>526</v>
      </c>
      <c r="C2086" s="138" t="s">
        <v>1336</v>
      </c>
      <c r="D2086" s="144" t="s">
        <v>13</v>
      </c>
      <c r="E2086" s="138" t="s">
        <v>19</v>
      </c>
      <c r="F2086" s="138" t="s">
        <v>586</v>
      </c>
      <c r="G2086" s="140">
        <v>650000.0</v>
      </c>
      <c r="H2086" s="144" t="s">
        <v>530</v>
      </c>
      <c r="I2086" s="152">
        <f t="shared" si="131"/>
        <v>65000</v>
      </c>
      <c r="J2086" s="146" t="s">
        <v>1351</v>
      </c>
      <c r="K2086" s="146"/>
      <c r="L2086" s="146"/>
    </row>
    <row r="2087">
      <c r="B2087" s="144" t="s">
        <v>526</v>
      </c>
      <c r="C2087" s="138" t="s">
        <v>2427</v>
      </c>
      <c r="D2087" s="144" t="s">
        <v>13</v>
      </c>
      <c r="E2087" s="138" t="s">
        <v>19</v>
      </c>
      <c r="F2087" s="138" t="s">
        <v>586</v>
      </c>
      <c r="G2087" s="140">
        <v>800000.0</v>
      </c>
      <c r="H2087" s="144" t="s">
        <v>530</v>
      </c>
      <c r="I2087" s="152">
        <f t="shared" si="131"/>
        <v>80000</v>
      </c>
      <c r="J2087" s="146" t="s">
        <v>1351</v>
      </c>
      <c r="K2087" s="146"/>
      <c r="L2087" s="146"/>
    </row>
    <row r="2088">
      <c r="B2088" s="144" t="s">
        <v>526</v>
      </c>
      <c r="C2088" s="138" t="s">
        <v>1931</v>
      </c>
      <c r="D2088" s="144" t="s">
        <v>13</v>
      </c>
      <c r="E2088" s="138" t="s">
        <v>19</v>
      </c>
      <c r="F2088" s="138" t="s">
        <v>586</v>
      </c>
      <c r="G2088" s="140">
        <v>840000.0</v>
      </c>
      <c r="H2088" s="144" t="s">
        <v>530</v>
      </c>
      <c r="I2088" s="152">
        <f t="shared" si="131"/>
        <v>84000</v>
      </c>
      <c r="J2088" s="146" t="s">
        <v>1351</v>
      </c>
      <c r="K2088" s="146"/>
      <c r="L2088" s="146"/>
    </row>
    <row r="2089">
      <c r="B2089" s="144" t="s">
        <v>526</v>
      </c>
      <c r="C2089" s="138" t="s">
        <v>2287</v>
      </c>
      <c r="D2089" s="144" t="s">
        <v>13</v>
      </c>
      <c r="E2089" s="138" t="s">
        <v>19</v>
      </c>
      <c r="F2089" s="138" t="s">
        <v>586</v>
      </c>
      <c r="G2089" s="140">
        <v>400000.0</v>
      </c>
      <c r="H2089" s="144" t="s">
        <v>530</v>
      </c>
      <c r="I2089" s="152">
        <f t="shared" si="131"/>
        <v>40000</v>
      </c>
      <c r="J2089" s="146" t="s">
        <v>1351</v>
      </c>
      <c r="K2089" s="146"/>
      <c r="L2089" s="146"/>
    </row>
    <row r="2090">
      <c r="B2090" s="144" t="s">
        <v>526</v>
      </c>
      <c r="C2090" s="138" t="s">
        <v>2286</v>
      </c>
      <c r="D2090" s="144" t="s">
        <v>13</v>
      </c>
      <c r="E2090" s="138" t="s">
        <v>19</v>
      </c>
      <c r="F2090" s="138" t="s">
        <v>586</v>
      </c>
      <c r="G2090" s="140">
        <v>225000.0</v>
      </c>
      <c r="H2090" s="144" t="s">
        <v>530</v>
      </c>
      <c r="I2090" s="152">
        <f t="shared" si="131"/>
        <v>22500</v>
      </c>
      <c r="J2090" s="146" t="s">
        <v>1351</v>
      </c>
      <c r="K2090" s="146"/>
      <c r="L2090" s="146"/>
    </row>
    <row r="2091">
      <c r="B2091" s="144" t="s">
        <v>526</v>
      </c>
      <c r="C2091" s="138" t="s">
        <v>2428</v>
      </c>
      <c r="D2091" s="144" t="s">
        <v>13</v>
      </c>
      <c r="E2091" s="138" t="s">
        <v>19</v>
      </c>
      <c r="F2091" s="138" t="s">
        <v>586</v>
      </c>
      <c r="G2091" s="140">
        <v>510000.0</v>
      </c>
      <c r="H2091" s="138" t="s">
        <v>635</v>
      </c>
      <c r="I2091" s="152">
        <f>G2091/6</f>
        <v>85000</v>
      </c>
      <c r="J2091" s="146" t="s">
        <v>1351</v>
      </c>
      <c r="K2091" s="146"/>
      <c r="L2091" s="146"/>
    </row>
    <row r="2092">
      <c r="B2092" s="144" t="s">
        <v>526</v>
      </c>
      <c r="C2092" s="138" t="s">
        <v>2429</v>
      </c>
      <c r="D2092" s="144" t="s">
        <v>13</v>
      </c>
      <c r="E2092" s="138" t="s">
        <v>42</v>
      </c>
      <c r="F2092" s="138" t="s">
        <v>586</v>
      </c>
      <c r="G2092" s="140">
        <v>190000.0</v>
      </c>
      <c r="H2092" s="144" t="s">
        <v>530</v>
      </c>
      <c r="I2092" s="152">
        <f t="shared" ref="I2092:I2100" si="132">G2092/10</f>
        <v>19000</v>
      </c>
      <c r="J2092" s="146" t="s">
        <v>1351</v>
      </c>
      <c r="K2092" s="146"/>
      <c r="L2092" s="146"/>
    </row>
    <row r="2093">
      <c r="B2093" s="144" t="s">
        <v>526</v>
      </c>
      <c r="C2093" s="138" t="s">
        <v>2430</v>
      </c>
      <c r="D2093" s="144" t="s">
        <v>13</v>
      </c>
      <c r="E2093" s="138" t="s">
        <v>42</v>
      </c>
      <c r="F2093" s="138" t="s">
        <v>586</v>
      </c>
      <c r="G2093" s="140">
        <v>210000.0</v>
      </c>
      <c r="H2093" s="144" t="s">
        <v>530</v>
      </c>
      <c r="I2093" s="152">
        <f t="shared" si="132"/>
        <v>21000</v>
      </c>
      <c r="J2093" s="146" t="s">
        <v>1351</v>
      </c>
      <c r="K2093" s="146"/>
      <c r="L2093" s="146"/>
    </row>
    <row r="2094">
      <c r="B2094" s="144" t="s">
        <v>526</v>
      </c>
      <c r="C2094" s="138" t="s">
        <v>2431</v>
      </c>
      <c r="D2094" s="144" t="s">
        <v>13</v>
      </c>
      <c r="E2094" s="138" t="s">
        <v>42</v>
      </c>
      <c r="F2094" s="138" t="s">
        <v>586</v>
      </c>
      <c r="G2094" s="140">
        <v>75000.0</v>
      </c>
      <c r="H2094" s="144" t="s">
        <v>530</v>
      </c>
      <c r="I2094" s="152">
        <f t="shared" si="132"/>
        <v>7500</v>
      </c>
      <c r="J2094" s="146" t="s">
        <v>1351</v>
      </c>
      <c r="K2094" s="146"/>
      <c r="L2094" s="146"/>
    </row>
    <row r="2095">
      <c r="B2095" s="144" t="s">
        <v>526</v>
      </c>
      <c r="C2095" s="138" t="s">
        <v>2432</v>
      </c>
      <c r="D2095" s="144" t="s">
        <v>13</v>
      </c>
      <c r="E2095" s="138" t="s">
        <v>42</v>
      </c>
      <c r="F2095" s="138" t="s">
        <v>586</v>
      </c>
      <c r="G2095" s="140">
        <v>140000.0</v>
      </c>
      <c r="H2095" s="144" t="s">
        <v>530</v>
      </c>
      <c r="I2095" s="152">
        <f t="shared" si="132"/>
        <v>14000</v>
      </c>
      <c r="J2095" s="146" t="s">
        <v>1351</v>
      </c>
      <c r="K2095" s="146"/>
      <c r="L2095" s="146"/>
    </row>
    <row r="2096">
      <c r="B2096" s="144" t="s">
        <v>526</v>
      </c>
      <c r="C2096" s="138" t="s">
        <v>2433</v>
      </c>
      <c r="D2096" s="144" t="s">
        <v>13</v>
      </c>
      <c r="E2096" s="138" t="s">
        <v>42</v>
      </c>
      <c r="F2096" s="138" t="s">
        <v>586</v>
      </c>
      <c r="G2096" s="140">
        <v>105000.0</v>
      </c>
      <c r="H2096" s="144" t="s">
        <v>530</v>
      </c>
      <c r="I2096" s="152">
        <f t="shared" si="132"/>
        <v>10500</v>
      </c>
      <c r="J2096" s="146" t="s">
        <v>1351</v>
      </c>
      <c r="K2096" s="146"/>
      <c r="L2096" s="146"/>
    </row>
    <row r="2097">
      <c r="B2097" s="144" t="s">
        <v>526</v>
      </c>
      <c r="C2097" s="138" t="s">
        <v>2193</v>
      </c>
      <c r="D2097" s="144" t="s">
        <v>13</v>
      </c>
      <c r="E2097" s="138" t="s">
        <v>42</v>
      </c>
      <c r="F2097" s="138" t="s">
        <v>586</v>
      </c>
      <c r="G2097" s="140">
        <v>72000.0</v>
      </c>
      <c r="H2097" s="144" t="s">
        <v>530</v>
      </c>
      <c r="I2097" s="152">
        <f t="shared" si="132"/>
        <v>7200</v>
      </c>
      <c r="J2097" s="146" t="s">
        <v>1351</v>
      </c>
      <c r="K2097" s="146"/>
      <c r="L2097" s="146"/>
    </row>
    <row r="2098">
      <c r="B2098" s="144" t="s">
        <v>526</v>
      </c>
      <c r="C2098" s="138" t="s">
        <v>2434</v>
      </c>
      <c r="D2098" s="144" t="s">
        <v>13</v>
      </c>
      <c r="E2098" s="138" t="s">
        <v>42</v>
      </c>
      <c r="F2098" s="138" t="s">
        <v>586</v>
      </c>
      <c r="G2098" s="140">
        <v>55000.0</v>
      </c>
      <c r="H2098" s="144" t="s">
        <v>530</v>
      </c>
      <c r="I2098" s="152">
        <f t="shared" si="132"/>
        <v>5500</v>
      </c>
      <c r="J2098" s="146" t="s">
        <v>1351</v>
      </c>
      <c r="K2098" s="146"/>
      <c r="L2098" s="146"/>
    </row>
    <row r="2099">
      <c r="B2099" s="144" t="s">
        <v>526</v>
      </c>
      <c r="C2099" s="138" t="s">
        <v>2434</v>
      </c>
      <c r="D2099" s="144" t="s">
        <v>13</v>
      </c>
      <c r="E2099" s="138" t="s">
        <v>2180</v>
      </c>
      <c r="F2099" s="138" t="s">
        <v>643</v>
      </c>
      <c r="G2099" s="140">
        <v>20000.0</v>
      </c>
      <c r="H2099" s="144" t="s">
        <v>530</v>
      </c>
      <c r="I2099" s="152">
        <f t="shared" si="132"/>
        <v>2000</v>
      </c>
      <c r="J2099" s="146" t="s">
        <v>1351</v>
      </c>
      <c r="K2099" s="146"/>
      <c r="L2099" s="146"/>
    </row>
    <row r="2100">
      <c r="B2100" s="144" t="s">
        <v>526</v>
      </c>
      <c r="C2100" s="138" t="s">
        <v>2296</v>
      </c>
      <c r="D2100" s="144" t="s">
        <v>13</v>
      </c>
      <c r="E2100" s="138" t="s">
        <v>42</v>
      </c>
      <c r="F2100" s="138" t="s">
        <v>586</v>
      </c>
      <c r="G2100" s="140">
        <v>36000.0</v>
      </c>
      <c r="H2100" s="144" t="s">
        <v>530</v>
      </c>
      <c r="I2100" s="152">
        <f t="shared" si="132"/>
        <v>3600</v>
      </c>
      <c r="J2100" s="146" t="s">
        <v>1351</v>
      </c>
      <c r="K2100" s="146"/>
      <c r="L2100" s="146"/>
    </row>
    <row r="2101">
      <c r="B2101" s="144" t="s">
        <v>526</v>
      </c>
      <c r="C2101" s="138" t="s">
        <v>2435</v>
      </c>
      <c r="D2101" s="144" t="s">
        <v>13</v>
      </c>
      <c r="E2101" s="138" t="s">
        <v>42</v>
      </c>
      <c r="F2101" s="138" t="s">
        <v>586</v>
      </c>
      <c r="G2101" s="140">
        <v>90000.0</v>
      </c>
      <c r="H2101" s="138" t="s">
        <v>728</v>
      </c>
      <c r="I2101" s="152">
        <f>G2101/7</f>
        <v>12857.14286</v>
      </c>
      <c r="J2101" s="146" t="s">
        <v>1351</v>
      </c>
      <c r="K2101" s="146"/>
      <c r="L2101" s="146"/>
    </row>
    <row r="2102">
      <c r="B2102" s="144" t="s">
        <v>526</v>
      </c>
      <c r="C2102" s="138" t="s">
        <v>2435</v>
      </c>
      <c r="D2102" s="144" t="s">
        <v>13</v>
      </c>
      <c r="E2102" s="138" t="s">
        <v>27</v>
      </c>
      <c r="F2102" s="138" t="s">
        <v>529</v>
      </c>
      <c r="G2102" s="140">
        <v>150000.0</v>
      </c>
      <c r="H2102" s="144" t="s">
        <v>530</v>
      </c>
      <c r="I2102" s="152">
        <f>G2102/10</f>
        <v>15000</v>
      </c>
      <c r="J2102" s="146" t="s">
        <v>1351</v>
      </c>
      <c r="K2102" s="146"/>
      <c r="L2102" s="146"/>
    </row>
    <row r="2103">
      <c r="B2103" s="144" t="s">
        <v>526</v>
      </c>
      <c r="C2103" s="138" t="s">
        <v>2436</v>
      </c>
      <c r="D2103" s="144" t="s">
        <v>13</v>
      </c>
      <c r="E2103" s="138" t="s">
        <v>42</v>
      </c>
      <c r="F2103" s="138" t="s">
        <v>586</v>
      </c>
      <c r="G2103" s="140">
        <v>36000.0</v>
      </c>
      <c r="H2103" s="138" t="s">
        <v>635</v>
      </c>
      <c r="I2103" s="152">
        <f>G2103/6</f>
        <v>6000</v>
      </c>
      <c r="J2103" s="146" t="s">
        <v>1351</v>
      </c>
      <c r="K2103" s="146"/>
      <c r="L2103" s="146"/>
    </row>
    <row r="2104">
      <c r="B2104" s="144" t="s">
        <v>526</v>
      </c>
      <c r="C2104" s="138" t="s">
        <v>2436</v>
      </c>
      <c r="D2104" s="144" t="s">
        <v>13</v>
      </c>
      <c r="E2104" s="138" t="s">
        <v>2180</v>
      </c>
      <c r="F2104" s="138" t="s">
        <v>650</v>
      </c>
      <c r="G2104" s="140">
        <v>54000.0</v>
      </c>
      <c r="H2104" s="144" t="s">
        <v>530</v>
      </c>
      <c r="I2104" s="152">
        <f>G2104/10</f>
        <v>5400</v>
      </c>
      <c r="J2104" s="146" t="s">
        <v>1351</v>
      </c>
      <c r="K2104" s="146"/>
      <c r="L2104" s="146"/>
    </row>
    <row r="2105">
      <c r="B2105" s="144" t="s">
        <v>526</v>
      </c>
      <c r="C2105" s="138" t="s">
        <v>2261</v>
      </c>
      <c r="D2105" s="144" t="s">
        <v>13</v>
      </c>
      <c r="E2105" s="138" t="s">
        <v>42</v>
      </c>
      <c r="F2105" s="138" t="s">
        <v>586</v>
      </c>
      <c r="G2105" s="140">
        <v>32000.0</v>
      </c>
      <c r="H2105" s="138" t="s">
        <v>680</v>
      </c>
      <c r="I2105" s="152">
        <f>G2105/4</f>
        <v>8000</v>
      </c>
      <c r="J2105" s="146" t="s">
        <v>1351</v>
      </c>
      <c r="K2105" s="146"/>
      <c r="L2105" s="146"/>
    </row>
    <row r="2106">
      <c r="B2106" s="144" t="s">
        <v>526</v>
      </c>
      <c r="C2106" s="138" t="s">
        <v>2261</v>
      </c>
      <c r="D2106" s="144" t="s">
        <v>13</v>
      </c>
      <c r="E2106" s="138" t="s">
        <v>2180</v>
      </c>
      <c r="F2106" s="138" t="s">
        <v>643</v>
      </c>
      <c r="G2106" s="140">
        <v>75000.0</v>
      </c>
      <c r="H2106" s="144" t="s">
        <v>530</v>
      </c>
      <c r="I2106" s="152">
        <f t="shared" ref="I2106:I2108" si="133">G2106/10</f>
        <v>7500</v>
      </c>
      <c r="J2106" s="146" t="s">
        <v>1351</v>
      </c>
      <c r="K2106" s="146"/>
      <c r="L2106" s="146"/>
    </row>
    <row r="2107">
      <c r="B2107" s="144" t="s">
        <v>526</v>
      </c>
      <c r="C2107" s="138" t="s">
        <v>2261</v>
      </c>
      <c r="D2107" s="144" t="s">
        <v>13</v>
      </c>
      <c r="E2107" s="138" t="s">
        <v>2282</v>
      </c>
      <c r="F2107" s="138" t="s">
        <v>738</v>
      </c>
      <c r="G2107" s="140">
        <v>60000.0</v>
      </c>
      <c r="H2107" s="144" t="s">
        <v>530</v>
      </c>
      <c r="I2107" s="152">
        <f t="shared" si="133"/>
        <v>6000</v>
      </c>
      <c r="J2107" s="146" t="s">
        <v>1351</v>
      </c>
      <c r="K2107" s="146"/>
      <c r="L2107" s="146"/>
    </row>
    <row r="2108">
      <c r="B2108" s="144" t="s">
        <v>526</v>
      </c>
      <c r="C2108" s="138" t="s">
        <v>2261</v>
      </c>
      <c r="D2108" s="144" t="s">
        <v>13</v>
      </c>
      <c r="E2108" s="138" t="s">
        <v>2282</v>
      </c>
      <c r="F2108" s="138" t="s">
        <v>763</v>
      </c>
      <c r="G2108" s="140">
        <v>38000.0</v>
      </c>
      <c r="H2108" s="144" t="s">
        <v>530</v>
      </c>
      <c r="I2108" s="152">
        <f t="shared" si="133"/>
        <v>3800</v>
      </c>
      <c r="J2108" s="146" t="s">
        <v>1351</v>
      </c>
      <c r="K2108" s="146"/>
      <c r="L2108" s="146"/>
    </row>
    <row r="2109">
      <c r="B2109" s="144" t="s">
        <v>526</v>
      </c>
      <c r="C2109" s="138" t="s">
        <v>2299</v>
      </c>
      <c r="D2109" s="144" t="s">
        <v>13</v>
      </c>
      <c r="E2109" s="138" t="s">
        <v>42</v>
      </c>
      <c r="F2109" s="138" t="s">
        <v>586</v>
      </c>
      <c r="G2109" s="140">
        <v>10000.0</v>
      </c>
      <c r="H2109" s="138" t="s">
        <v>635</v>
      </c>
      <c r="I2109" s="152">
        <f>G2109/6</f>
        <v>1666.666667</v>
      </c>
      <c r="J2109" s="146" t="s">
        <v>1351</v>
      </c>
      <c r="K2109" s="146"/>
      <c r="L2109" s="146"/>
    </row>
    <row r="2110">
      <c r="B2110" s="144" t="s">
        <v>526</v>
      </c>
      <c r="C2110" s="138" t="s">
        <v>1937</v>
      </c>
      <c r="D2110" s="144" t="s">
        <v>13</v>
      </c>
      <c r="E2110" s="138" t="s">
        <v>27</v>
      </c>
      <c r="F2110" s="138" t="s">
        <v>586</v>
      </c>
      <c r="G2110" s="140">
        <v>146000.0</v>
      </c>
      <c r="H2110" s="138" t="s">
        <v>610</v>
      </c>
      <c r="I2110" s="152">
        <f>G2110/9</f>
        <v>16222.22222</v>
      </c>
      <c r="J2110" s="146" t="s">
        <v>1351</v>
      </c>
      <c r="K2110" s="146"/>
      <c r="L2110" s="146"/>
    </row>
    <row r="2111">
      <c r="B2111" s="144" t="s">
        <v>526</v>
      </c>
      <c r="C2111" s="138" t="s">
        <v>2437</v>
      </c>
      <c r="D2111" s="144" t="s">
        <v>13</v>
      </c>
      <c r="E2111" s="138" t="s">
        <v>27</v>
      </c>
      <c r="F2111" s="138" t="s">
        <v>586</v>
      </c>
      <c r="G2111" s="140">
        <v>150000.0</v>
      </c>
      <c r="H2111" s="144" t="s">
        <v>530</v>
      </c>
      <c r="I2111" s="152">
        <f t="shared" ref="I2111:I2113" si="134">G2111/10</f>
        <v>15000</v>
      </c>
      <c r="J2111" s="146" t="s">
        <v>1351</v>
      </c>
      <c r="K2111" s="146"/>
      <c r="L2111" s="146"/>
    </row>
    <row r="2112">
      <c r="B2112" s="144" t="s">
        <v>526</v>
      </c>
      <c r="C2112" s="138" t="s">
        <v>2438</v>
      </c>
      <c r="D2112" s="144" t="s">
        <v>13</v>
      </c>
      <c r="E2112" s="138" t="s">
        <v>27</v>
      </c>
      <c r="F2112" s="138" t="s">
        <v>586</v>
      </c>
      <c r="G2112" s="140">
        <v>160000.0</v>
      </c>
      <c r="H2112" s="144" t="s">
        <v>530</v>
      </c>
      <c r="I2112" s="152">
        <f t="shared" si="134"/>
        <v>16000</v>
      </c>
      <c r="J2112" s="146" t="s">
        <v>1351</v>
      </c>
      <c r="K2112" s="146"/>
      <c r="L2112" s="146"/>
    </row>
    <row r="2113">
      <c r="B2113" s="144" t="s">
        <v>526</v>
      </c>
      <c r="C2113" s="138" t="s">
        <v>2303</v>
      </c>
      <c r="D2113" s="144" t="s">
        <v>13</v>
      </c>
      <c r="E2113" s="138" t="s">
        <v>27</v>
      </c>
      <c r="F2113" s="138" t="s">
        <v>586</v>
      </c>
      <c r="G2113" s="140">
        <v>120000.0</v>
      </c>
      <c r="H2113" s="144" t="s">
        <v>530</v>
      </c>
      <c r="I2113" s="152">
        <f t="shared" si="134"/>
        <v>12000</v>
      </c>
      <c r="J2113" s="146" t="s">
        <v>1351</v>
      </c>
      <c r="K2113" s="146"/>
      <c r="L2113" s="146"/>
    </row>
    <row r="2114">
      <c r="B2114" s="144" t="s">
        <v>526</v>
      </c>
      <c r="C2114" s="138" t="s">
        <v>2439</v>
      </c>
      <c r="D2114" s="144" t="s">
        <v>13</v>
      </c>
      <c r="E2114" s="138" t="s">
        <v>27</v>
      </c>
      <c r="F2114" s="138" t="s">
        <v>586</v>
      </c>
      <c r="G2114" s="140">
        <v>50000.0</v>
      </c>
      <c r="H2114" s="138" t="s">
        <v>680</v>
      </c>
      <c r="I2114" s="152">
        <f>G2114/4</f>
        <v>12500</v>
      </c>
      <c r="J2114" s="146" t="s">
        <v>1351</v>
      </c>
      <c r="K2114" s="146"/>
      <c r="L2114" s="146"/>
    </row>
    <row r="2115">
      <c r="B2115" s="144" t="s">
        <v>526</v>
      </c>
      <c r="C2115" s="138" t="s">
        <v>2440</v>
      </c>
      <c r="D2115" s="144" t="s">
        <v>13</v>
      </c>
      <c r="E2115" s="138" t="s">
        <v>27</v>
      </c>
      <c r="F2115" s="138" t="s">
        <v>586</v>
      </c>
      <c r="G2115" s="140">
        <v>80000.0</v>
      </c>
      <c r="H2115" s="138" t="s">
        <v>635</v>
      </c>
      <c r="I2115" s="152">
        <f>G2115/6</f>
        <v>13333.33333</v>
      </c>
      <c r="J2115" s="146" t="s">
        <v>1351</v>
      </c>
      <c r="K2115" s="146"/>
      <c r="L2115" s="146"/>
    </row>
    <row r="2116">
      <c r="B2116" s="144" t="s">
        <v>526</v>
      </c>
      <c r="C2116" s="138" t="s">
        <v>2441</v>
      </c>
      <c r="D2116" s="144" t="s">
        <v>13</v>
      </c>
      <c r="E2116" s="138" t="s">
        <v>27</v>
      </c>
      <c r="F2116" s="138" t="s">
        <v>586</v>
      </c>
      <c r="G2116" s="140">
        <v>135000.0</v>
      </c>
      <c r="H2116" s="144" t="s">
        <v>530</v>
      </c>
      <c r="I2116" s="152">
        <f t="shared" ref="I2116:I2120" si="135">G2116/10</f>
        <v>13500</v>
      </c>
      <c r="J2116" s="146" t="s">
        <v>1351</v>
      </c>
      <c r="K2116" s="146"/>
      <c r="L2116" s="146"/>
    </row>
    <row r="2117">
      <c r="B2117" s="144" t="s">
        <v>526</v>
      </c>
      <c r="C2117" s="138" t="s">
        <v>2310</v>
      </c>
      <c r="D2117" s="144" t="s">
        <v>13</v>
      </c>
      <c r="E2117" s="138" t="s">
        <v>27</v>
      </c>
      <c r="F2117" s="138" t="s">
        <v>586</v>
      </c>
      <c r="G2117" s="140">
        <v>60000.0</v>
      </c>
      <c r="H2117" s="144" t="s">
        <v>530</v>
      </c>
      <c r="I2117" s="152">
        <f t="shared" si="135"/>
        <v>6000</v>
      </c>
      <c r="J2117" s="146" t="s">
        <v>1351</v>
      </c>
      <c r="K2117" s="146"/>
      <c r="L2117" s="146"/>
    </row>
    <row r="2118">
      <c r="B2118" s="144" t="s">
        <v>526</v>
      </c>
      <c r="C2118" s="138" t="s">
        <v>2307</v>
      </c>
      <c r="D2118" s="144" t="s">
        <v>13</v>
      </c>
      <c r="E2118" s="138" t="s">
        <v>27</v>
      </c>
      <c r="F2118" s="138" t="s">
        <v>586</v>
      </c>
      <c r="G2118" s="140">
        <v>120000.0</v>
      </c>
      <c r="H2118" s="144" t="s">
        <v>530</v>
      </c>
      <c r="I2118" s="152">
        <f t="shared" si="135"/>
        <v>12000</v>
      </c>
      <c r="J2118" s="146" t="s">
        <v>1351</v>
      </c>
      <c r="K2118" s="146"/>
      <c r="L2118" s="146"/>
    </row>
    <row r="2119">
      <c r="B2119" s="144" t="s">
        <v>526</v>
      </c>
      <c r="C2119" s="138" t="s">
        <v>2309</v>
      </c>
      <c r="D2119" s="144" t="s">
        <v>13</v>
      </c>
      <c r="E2119" s="138" t="s">
        <v>27</v>
      </c>
      <c r="F2119" s="138" t="s">
        <v>586</v>
      </c>
      <c r="G2119" s="140">
        <v>85000.0</v>
      </c>
      <c r="H2119" s="144" t="s">
        <v>530</v>
      </c>
      <c r="I2119" s="152">
        <f t="shared" si="135"/>
        <v>8500</v>
      </c>
      <c r="J2119" s="146" t="s">
        <v>1351</v>
      </c>
      <c r="K2119" s="146"/>
      <c r="L2119" s="146"/>
    </row>
    <row r="2120">
      <c r="B2120" s="144" t="s">
        <v>526</v>
      </c>
      <c r="C2120" s="138" t="s">
        <v>2263</v>
      </c>
      <c r="D2120" s="144" t="s">
        <v>13</v>
      </c>
      <c r="E2120" s="138" t="s">
        <v>27</v>
      </c>
      <c r="F2120" s="138" t="s">
        <v>586</v>
      </c>
      <c r="G2120" s="140">
        <v>25000.0</v>
      </c>
      <c r="H2120" s="144" t="s">
        <v>530</v>
      </c>
      <c r="I2120" s="152">
        <f t="shared" si="135"/>
        <v>2500</v>
      </c>
      <c r="J2120" s="146" t="s">
        <v>1351</v>
      </c>
      <c r="K2120" s="146"/>
      <c r="L2120" s="146"/>
    </row>
    <row r="2121">
      <c r="B2121" s="144" t="s">
        <v>526</v>
      </c>
      <c r="C2121" s="138" t="s">
        <v>2442</v>
      </c>
      <c r="D2121" s="144" t="s">
        <v>13</v>
      </c>
      <c r="E2121" s="138" t="s">
        <v>27</v>
      </c>
      <c r="F2121" s="138" t="s">
        <v>586</v>
      </c>
      <c r="G2121" s="140">
        <v>12000.0</v>
      </c>
      <c r="H2121" s="138" t="s">
        <v>728</v>
      </c>
      <c r="I2121" s="152">
        <f>G2121/7</f>
        <v>1714.285714</v>
      </c>
      <c r="J2121" s="146" t="s">
        <v>1351</v>
      </c>
      <c r="K2121" s="146"/>
      <c r="L2121" s="146"/>
    </row>
    <row r="2122">
      <c r="B2122" s="144" t="s">
        <v>526</v>
      </c>
      <c r="C2122" s="138" t="s">
        <v>663</v>
      </c>
      <c r="D2122" s="144" t="s">
        <v>13</v>
      </c>
      <c r="E2122" s="138" t="s">
        <v>1350</v>
      </c>
      <c r="F2122" s="138" t="s">
        <v>586</v>
      </c>
      <c r="G2122" s="140">
        <v>450000.0</v>
      </c>
      <c r="H2122" s="144" t="s">
        <v>530</v>
      </c>
      <c r="I2122" s="152">
        <f t="shared" ref="I2122:I2134" si="136">G2122/10</f>
        <v>45000</v>
      </c>
      <c r="J2122" s="146" t="s">
        <v>1351</v>
      </c>
      <c r="K2122" s="146"/>
      <c r="L2122" s="146"/>
    </row>
    <row r="2123">
      <c r="B2123" s="144" t="s">
        <v>526</v>
      </c>
      <c r="C2123" s="138" t="s">
        <v>2313</v>
      </c>
      <c r="D2123" s="144" t="s">
        <v>13</v>
      </c>
      <c r="E2123" s="138" t="s">
        <v>1350</v>
      </c>
      <c r="F2123" s="138" t="s">
        <v>586</v>
      </c>
      <c r="G2123" s="140">
        <v>250000.0</v>
      </c>
      <c r="H2123" s="144" t="s">
        <v>530</v>
      </c>
      <c r="I2123" s="152">
        <f t="shared" si="136"/>
        <v>25000</v>
      </c>
      <c r="J2123" s="146" t="s">
        <v>1351</v>
      </c>
      <c r="K2123" s="146"/>
      <c r="L2123" s="146"/>
    </row>
    <row r="2124">
      <c r="B2124" s="144" t="s">
        <v>526</v>
      </c>
      <c r="C2124" s="138" t="s">
        <v>716</v>
      </c>
      <c r="D2124" s="144" t="s">
        <v>13</v>
      </c>
      <c r="E2124" s="138" t="s">
        <v>1350</v>
      </c>
      <c r="F2124" s="138" t="s">
        <v>586</v>
      </c>
      <c r="G2124" s="140">
        <v>350000.0</v>
      </c>
      <c r="H2124" s="144" t="s">
        <v>530</v>
      </c>
      <c r="I2124" s="152">
        <f t="shared" si="136"/>
        <v>35000</v>
      </c>
      <c r="J2124" s="146" t="s">
        <v>1351</v>
      </c>
      <c r="K2124" s="146"/>
      <c r="L2124" s="146"/>
    </row>
    <row r="2125">
      <c r="B2125" s="144" t="s">
        <v>526</v>
      </c>
      <c r="C2125" s="138" t="s">
        <v>1267</v>
      </c>
      <c r="D2125" s="144" t="s">
        <v>13</v>
      </c>
      <c r="E2125" s="138" t="s">
        <v>1350</v>
      </c>
      <c r="F2125" s="138" t="s">
        <v>586</v>
      </c>
      <c r="G2125" s="140">
        <v>200000.0</v>
      </c>
      <c r="H2125" s="144" t="s">
        <v>530</v>
      </c>
      <c r="I2125" s="152">
        <f t="shared" si="136"/>
        <v>20000</v>
      </c>
      <c r="J2125" s="146" t="s">
        <v>1351</v>
      </c>
      <c r="K2125" s="146"/>
      <c r="L2125" s="146"/>
    </row>
    <row r="2126">
      <c r="B2126" s="144" t="s">
        <v>526</v>
      </c>
      <c r="C2126" s="138" t="s">
        <v>853</v>
      </c>
      <c r="D2126" s="144" t="s">
        <v>13</v>
      </c>
      <c r="E2126" s="138" t="s">
        <v>1350</v>
      </c>
      <c r="F2126" s="138" t="s">
        <v>586</v>
      </c>
      <c r="G2126" s="140">
        <v>450000.0</v>
      </c>
      <c r="H2126" s="144" t="s">
        <v>530</v>
      </c>
      <c r="I2126" s="152">
        <f t="shared" si="136"/>
        <v>45000</v>
      </c>
      <c r="J2126" s="146" t="s">
        <v>1351</v>
      </c>
      <c r="K2126" s="146"/>
      <c r="L2126" s="146"/>
    </row>
    <row r="2127">
      <c r="B2127" s="144" t="s">
        <v>526</v>
      </c>
      <c r="C2127" s="138" t="s">
        <v>2443</v>
      </c>
      <c r="D2127" s="144" t="s">
        <v>13</v>
      </c>
      <c r="E2127" s="138" t="s">
        <v>1350</v>
      </c>
      <c r="F2127" s="138" t="s">
        <v>586</v>
      </c>
      <c r="G2127" s="140">
        <v>170000.0</v>
      </c>
      <c r="H2127" s="144" t="s">
        <v>530</v>
      </c>
      <c r="I2127" s="152">
        <f t="shared" si="136"/>
        <v>17000</v>
      </c>
      <c r="J2127" s="146" t="s">
        <v>1351</v>
      </c>
      <c r="K2127" s="146"/>
      <c r="L2127" s="146"/>
    </row>
    <row r="2128">
      <c r="B2128" s="144" t="s">
        <v>526</v>
      </c>
      <c r="C2128" s="138" t="s">
        <v>875</v>
      </c>
      <c r="D2128" s="144" t="s">
        <v>13</v>
      </c>
      <c r="E2128" s="138" t="s">
        <v>1350</v>
      </c>
      <c r="F2128" s="138" t="s">
        <v>586</v>
      </c>
      <c r="G2128" s="140">
        <v>450000.0</v>
      </c>
      <c r="H2128" s="144" t="s">
        <v>530</v>
      </c>
      <c r="I2128" s="152">
        <f t="shared" si="136"/>
        <v>45000</v>
      </c>
      <c r="J2128" s="146" t="s">
        <v>1351</v>
      </c>
      <c r="K2128" s="146"/>
      <c r="L2128" s="146"/>
    </row>
    <row r="2129">
      <c r="B2129" s="144" t="s">
        <v>526</v>
      </c>
      <c r="C2129" s="138" t="s">
        <v>2318</v>
      </c>
      <c r="D2129" s="144" t="s">
        <v>13</v>
      </c>
      <c r="E2129" s="138" t="s">
        <v>1350</v>
      </c>
      <c r="F2129" s="138" t="s">
        <v>586</v>
      </c>
      <c r="G2129" s="140">
        <v>150000.0</v>
      </c>
      <c r="H2129" s="144" t="s">
        <v>530</v>
      </c>
      <c r="I2129" s="152">
        <f t="shared" si="136"/>
        <v>15000</v>
      </c>
      <c r="J2129" s="146" t="s">
        <v>1351</v>
      </c>
      <c r="K2129" s="146"/>
      <c r="L2129" s="146"/>
    </row>
    <row r="2130">
      <c r="B2130" s="144" t="s">
        <v>526</v>
      </c>
      <c r="C2130" s="138" t="s">
        <v>2321</v>
      </c>
      <c r="D2130" s="144" t="s">
        <v>13</v>
      </c>
      <c r="E2130" s="138" t="s">
        <v>1350</v>
      </c>
      <c r="F2130" s="138" t="s">
        <v>586</v>
      </c>
      <c r="G2130" s="140">
        <v>250000.0</v>
      </c>
      <c r="H2130" s="144" t="s">
        <v>530</v>
      </c>
      <c r="I2130" s="152">
        <f t="shared" si="136"/>
        <v>25000</v>
      </c>
      <c r="J2130" s="146" t="s">
        <v>1351</v>
      </c>
      <c r="K2130" s="146"/>
      <c r="L2130" s="146"/>
    </row>
    <row r="2131">
      <c r="B2131" s="144" t="s">
        <v>526</v>
      </c>
      <c r="C2131" s="138" t="s">
        <v>1349</v>
      </c>
      <c r="D2131" s="144" t="s">
        <v>13</v>
      </c>
      <c r="E2131" s="138" t="s">
        <v>1350</v>
      </c>
      <c r="F2131" s="138" t="s">
        <v>586</v>
      </c>
      <c r="G2131" s="140">
        <v>300000.0</v>
      </c>
      <c r="H2131" s="144" t="s">
        <v>530</v>
      </c>
      <c r="I2131" s="152">
        <f t="shared" si="136"/>
        <v>30000</v>
      </c>
      <c r="J2131" s="146" t="s">
        <v>1351</v>
      </c>
      <c r="K2131" s="146"/>
      <c r="L2131" s="146"/>
    </row>
    <row r="2132">
      <c r="B2132" s="144" t="s">
        <v>526</v>
      </c>
      <c r="C2132" s="138" t="s">
        <v>2444</v>
      </c>
      <c r="D2132" s="144" t="s">
        <v>13</v>
      </c>
      <c r="E2132" s="138" t="s">
        <v>1350</v>
      </c>
      <c r="F2132" s="138" t="s">
        <v>586</v>
      </c>
      <c r="G2132" s="140">
        <v>140000.0</v>
      </c>
      <c r="H2132" s="144" t="s">
        <v>530</v>
      </c>
      <c r="I2132" s="152">
        <f t="shared" si="136"/>
        <v>14000</v>
      </c>
      <c r="J2132" s="146" t="s">
        <v>1351</v>
      </c>
      <c r="K2132" s="146"/>
      <c r="L2132" s="146"/>
    </row>
    <row r="2133">
      <c r="B2133" s="144" t="s">
        <v>526</v>
      </c>
      <c r="C2133" s="138" t="s">
        <v>2323</v>
      </c>
      <c r="D2133" s="144" t="s">
        <v>13</v>
      </c>
      <c r="E2133" s="138" t="s">
        <v>1350</v>
      </c>
      <c r="F2133" s="138" t="s">
        <v>586</v>
      </c>
      <c r="G2133" s="140">
        <v>180000.0</v>
      </c>
      <c r="H2133" s="144" t="s">
        <v>530</v>
      </c>
      <c r="I2133" s="152">
        <f t="shared" si="136"/>
        <v>18000</v>
      </c>
      <c r="J2133" s="146" t="s">
        <v>1351</v>
      </c>
      <c r="K2133" s="146"/>
      <c r="L2133" s="146"/>
    </row>
    <row r="2134">
      <c r="B2134" s="144" t="s">
        <v>526</v>
      </c>
      <c r="C2134" s="138" t="s">
        <v>2329</v>
      </c>
      <c r="D2134" s="144" t="s">
        <v>13</v>
      </c>
      <c r="E2134" s="138" t="s">
        <v>1350</v>
      </c>
      <c r="F2134" s="138" t="s">
        <v>586</v>
      </c>
      <c r="G2134" s="140">
        <v>90000.0</v>
      </c>
      <c r="H2134" s="144" t="s">
        <v>530</v>
      </c>
      <c r="I2134" s="152">
        <f t="shared" si="136"/>
        <v>9000</v>
      </c>
      <c r="J2134" s="146" t="s">
        <v>1351</v>
      </c>
      <c r="K2134" s="146"/>
      <c r="L2134" s="146"/>
    </row>
    <row r="2135">
      <c r="B2135" s="144" t="s">
        <v>526</v>
      </c>
      <c r="C2135" s="138" t="s">
        <v>2445</v>
      </c>
      <c r="D2135" s="144" t="s">
        <v>13</v>
      </c>
      <c r="E2135" s="138" t="s">
        <v>1350</v>
      </c>
      <c r="F2135" s="138" t="s">
        <v>586</v>
      </c>
      <c r="G2135" s="140">
        <v>65000.0</v>
      </c>
      <c r="H2135" s="138" t="s">
        <v>635</v>
      </c>
      <c r="I2135" s="152">
        <f>G2135/6</f>
        <v>10833.33333</v>
      </c>
      <c r="J2135" s="146" t="s">
        <v>1351</v>
      </c>
      <c r="K2135" s="146"/>
      <c r="L2135" s="146"/>
    </row>
    <row r="2136">
      <c r="B2136" s="144" t="s">
        <v>526</v>
      </c>
      <c r="C2136" s="138" t="s">
        <v>2446</v>
      </c>
      <c r="D2136" s="144" t="s">
        <v>13</v>
      </c>
      <c r="E2136" s="138" t="s">
        <v>1350</v>
      </c>
      <c r="F2136" s="138" t="s">
        <v>586</v>
      </c>
      <c r="G2136" s="140">
        <v>165000.0</v>
      </c>
      <c r="H2136" s="144" t="s">
        <v>530</v>
      </c>
      <c r="I2136" s="152">
        <f t="shared" ref="I2136:I2152" si="137">G2136/10</f>
        <v>16500</v>
      </c>
      <c r="J2136" s="146" t="s">
        <v>1351</v>
      </c>
      <c r="K2136" s="146"/>
      <c r="L2136" s="146"/>
    </row>
    <row r="2137">
      <c r="B2137" s="144" t="s">
        <v>526</v>
      </c>
      <c r="C2137" s="138" t="s">
        <v>2328</v>
      </c>
      <c r="D2137" s="144" t="s">
        <v>13</v>
      </c>
      <c r="E2137" s="138" t="s">
        <v>2048</v>
      </c>
      <c r="F2137" s="138" t="s">
        <v>650</v>
      </c>
      <c r="G2137" s="140">
        <v>20000.0</v>
      </c>
      <c r="H2137" s="144" t="s">
        <v>530</v>
      </c>
      <c r="I2137" s="152">
        <f t="shared" si="137"/>
        <v>2000</v>
      </c>
      <c r="J2137" s="146" t="s">
        <v>1351</v>
      </c>
      <c r="K2137" s="146"/>
      <c r="L2137" s="146"/>
    </row>
    <row r="2138">
      <c r="B2138" s="144" t="s">
        <v>526</v>
      </c>
      <c r="C2138" s="138" t="s">
        <v>2447</v>
      </c>
      <c r="D2138" s="144" t="s">
        <v>13</v>
      </c>
      <c r="E2138" s="138" t="s">
        <v>2331</v>
      </c>
      <c r="F2138" s="138" t="s">
        <v>586</v>
      </c>
      <c r="G2138" s="140">
        <v>140000.0</v>
      </c>
      <c r="H2138" s="144" t="s">
        <v>530</v>
      </c>
      <c r="I2138" s="152">
        <f t="shared" si="137"/>
        <v>14000</v>
      </c>
      <c r="J2138" s="146" t="s">
        <v>1351</v>
      </c>
      <c r="K2138" s="146"/>
      <c r="L2138" s="146"/>
    </row>
    <row r="2139">
      <c r="B2139" s="144" t="s">
        <v>526</v>
      </c>
      <c r="C2139" s="138" t="s">
        <v>2448</v>
      </c>
      <c r="D2139" s="144" t="s">
        <v>13</v>
      </c>
      <c r="E2139" s="138" t="s">
        <v>2331</v>
      </c>
      <c r="F2139" s="138" t="s">
        <v>586</v>
      </c>
      <c r="G2139" s="140">
        <v>75000.0</v>
      </c>
      <c r="H2139" s="144" t="s">
        <v>530</v>
      </c>
      <c r="I2139" s="152">
        <f t="shared" si="137"/>
        <v>7500</v>
      </c>
      <c r="J2139" s="146" t="s">
        <v>1351</v>
      </c>
      <c r="K2139" s="146"/>
      <c r="L2139" s="146"/>
    </row>
    <row r="2140">
      <c r="B2140" s="144" t="s">
        <v>526</v>
      </c>
      <c r="C2140" s="138" t="s">
        <v>2449</v>
      </c>
      <c r="D2140" s="144" t="s">
        <v>13</v>
      </c>
      <c r="E2140" s="138" t="s">
        <v>2331</v>
      </c>
      <c r="F2140" s="138" t="s">
        <v>586</v>
      </c>
      <c r="G2140" s="140">
        <v>130000.0</v>
      </c>
      <c r="H2140" s="144" t="s">
        <v>530</v>
      </c>
      <c r="I2140" s="152">
        <f t="shared" si="137"/>
        <v>13000</v>
      </c>
      <c r="J2140" s="146" t="s">
        <v>1351</v>
      </c>
      <c r="K2140" s="146"/>
      <c r="L2140" s="146"/>
    </row>
    <row r="2141">
      <c r="B2141" s="144" t="s">
        <v>526</v>
      </c>
      <c r="C2141" s="138" t="s">
        <v>2293</v>
      </c>
      <c r="D2141" s="144" t="s">
        <v>13</v>
      </c>
      <c r="E2141" s="138" t="s">
        <v>2331</v>
      </c>
      <c r="F2141" s="138" t="s">
        <v>586</v>
      </c>
      <c r="G2141" s="140">
        <v>80000.0</v>
      </c>
      <c r="H2141" s="144" t="s">
        <v>530</v>
      </c>
      <c r="I2141" s="152">
        <f t="shared" si="137"/>
        <v>8000</v>
      </c>
      <c r="J2141" s="146" t="s">
        <v>1351</v>
      </c>
      <c r="K2141" s="146"/>
      <c r="L2141" s="146"/>
    </row>
    <row r="2142">
      <c r="B2142" s="144" t="s">
        <v>526</v>
      </c>
      <c r="C2142" s="138" t="s">
        <v>2335</v>
      </c>
      <c r="D2142" s="144" t="s">
        <v>13</v>
      </c>
      <c r="E2142" s="138" t="s">
        <v>2331</v>
      </c>
      <c r="F2142" s="138" t="s">
        <v>586</v>
      </c>
      <c r="G2142" s="140">
        <v>110000.0</v>
      </c>
      <c r="H2142" s="144" t="s">
        <v>530</v>
      </c>
      <c r="I2142" s="152">
        <f t="shared" si="137"/>
        <v>11000</v>
      </c>
      <c r="J2142" s="146" t="s">
        <v>1351</v>
      </c>
      <c r="K2142" s="146"/>
      <c r="L2142" s="146"/>
    </row>
    <row r="2143">
      <c r="B2143" s="144" t="s">
        <v>526</v>
      </c>
      <c r="C2143" s="138" t="s">
        <v>2450</v>
      </c>
      <c r="D2143" s="144" t="s">
        <v>13</v>
      </c>
      <c r="E2143" s="138" t="s">
        <v>2331</v>
      </c>
      <c r="F2143" s="138" t="s">
        <v>586</v>
      </c>
      <c r="G2143" s="140">
        <v>120000.0</v>
      </c>
      <c r="H2143" s="144" t="s">
        <v>530</v>
      </c>
      <c r="I2143" s="152">
        <f t="shared" si="137"/>
        <v>12000</v>
      </c>
      <c r="J2143" s="146" t="s">
        <v>1351</v>
      </c>
      <c r="K2143" s="146"/>
      <c r="L2143" s="146"/>
    </row>
    <row r="2144">
      <c r="B2144" s="144" t="s">
        <v>526</v>
      </c>
      <c r="C2144" s="138" t="s">
        <v>2451</v>
      </c>
      <c r="D2144" s="144" t="s">
        <v>13</v>
      </c>
      <c r="E2144" s="138" t="s">
        <v>2331</v>
      </c>
      <c r="F2144" s="138" t="s">
        <v>586</v>
      </c>
      <c r="G2144" s="140">
        <v>90000.0</v>
      </c>
      <c r="H2144" s="144" t="s">
        <v>530</v>
      </c>
      <c r="I2144" s="152">
        <f t="shared" si="137"/>
        <v>9000</v>
      </c>
      <c r="J2144" s="146" t="s">
        <v>1351</v>
      </c>
      <c r="K2144" s="146"/>
      <c r="L2144" s="146"/>
    </row>
    <row r="2145">
      <c r="B2145" s="144" t="s">
        <v>526</v>
      </c>
      <c r="C2145" s="138" t="s">
        <v>2336</v>
      </c>
      <c r="D2145" s="144" t="s">
        <v>13</v>
      </c>
      <c r="E2145" s="138" t="s">
        <v>2331</v>
      </c>
      <c r="F2145" s="138" t="s">
        <v>586</v>
      </c>
      <c r="G2145" s="140">
        <v>75000.0</v>
      </c>
      <c r="H2145" s="144" t="s">
        <v>530</v>
      </c>
      <c r="I2145" s="152">
        <f t="shared" si="137"/>
        <v>7500</v>
      </c>
      <c r="J2145" s="146" t="s">
        <v>1351</v>
      </c>
      <c r="K2145" s="146"/>
      <c r="L2145" s="146"/>
    </row>
    <row r="2146">
      <c r="B2146" s="144" t="s">
        <v>526</v>
      </c>
      <c r="C2146" s="138" t="s">
        <v>2351</v>
      </c>
      <c r="D2146" s="144" t="s">
        <v>13</v>
      </c>
      <c r="E2146" s="138" t="s">
        <v>2331</v>
      </c>
      <c r="F2146" s="138" t="s">
        <v>586</v>
      </c>
      <c r="G2146" s="140">
        <v>75000.0</v>
      </c>
      <c r="H2146" s="144" t="s">
        <v>530</v>
      </c>
      <c r="I2146" s="152">
        <f t="shared" si="137"/>
        <v>7500</v>
      </c>
      <c r="J2146" s="146" t="s">
        <v>1351</v>
      </c>
      <c r="K2146" s="146"/>
      <c r="L2146" s="146"/>
    </row>
    <row r="2147">
      <c r="B2147" s="144" t="s">
        <v>526</v>
      </c>
      <c r="C2147" s="138" t="s">
        <v>2341</v>
      </c>
      <c r="D2147" s="144" t="s">
        <v>13</v>
      </c>
      <c r="E2147" s="138" t="s">
        <v>2331</v>
      </c>
      <c r="F2147" s="138" t="s">
        <v>586</v>
      </c>
      <c r="G2147" s="140">
        <v>75000.0</v>
      </c>
      <c r="H2147" s="144" t="s">
        <v>530</v>
      </c>
      <c r="I2147" s="152">
        <f t="shared" si="137"/>
        <v>7500</v>
      </c>
      <c r="J2147" s="146" t="s">
        <v>1351</v>
      </c>
      <c r="K2147" s="146"/>
      <c r="L2147" s="146"/>
    </row>
    <row r="2148">
      <c r="B2148" s="144" t="s">
        <v>526</v>
      </c>
      <c r="C2148" s="138" t="s">
        <v>2452</v>
      </c>
      <c r="D2148" s="144" t="s">
        <v>13</v>
      </c>
      <c r="E2148" s="138" t="s">
        <v>2331</v>
      </c>
      <c r="F2148" s="138" t="s">
        <v>586</v>
      </c>
      <c r="G2148" s="140">
        <v>75000.0</v>
      </c>
      <c r="H2148" s="144" t="s">
        <v>530</v>
      </c>
      <c r="I2148" s="152">
        <f t="shared" si="137"/>
        <v>7500</v>
      </c>
      <c r="J2148" s="146" t="s">
        <v>1351</v>
      </c>
      <c r="K2148" s="146"/>
      <c r="L2148" s="146"/>
    </row>
    <row r="2149">
      <c r="B2149" s="144" t="s">
        <v>526</v>
      </c>
      <c r="C2149" s="138" t="s">
        <v>2452</v>
      </c>
      <c r="D2149" s="144" t="s">
        <v>13</v>
      </c>
      <c r="E2149" s="138" t="s">
        <v>2178</v>
      </c>
      <c r="F2149" s="138" t="s">
        <v>643</v>
      </c>
      <c r="G2149" s="140">
        <v>21000.0</v>
      </c>
      <c r="H2149" s="144" t="s">
        <v>530</v>
      </c>
      <c r="I2149" s="152">
        <f t="shared" si="137"/>
        <v>2100</v>
      </c>
      <c r="J2149" s="146" t="s">
        <v>1351</v>
      </c>
      <c r="K2149" s="146"/>
      <c r="L2149" s="146"/>
    </row>
    <row r="2150">
      <c r="B2150" s="144" t="s">
        <v>526</v>
      </c>
      <c r="C2150" s="138" t="s">
        <v>2453</v>
      </c>
      <c r="D2150" s="144" t="s">
        <v>13</v>
      </c>
      <c r="E2150" s="138" t="s">
        <v>2331</v>
      </c>
      <c r="F2150" s="138" t="s">
        <v>586</v>
      </c>
      <c r="G2150" s="140">
        <v>25000.0</v>
      </c>
      <c r="H2150" s="144" t="s">
        <v>530</v>
      </c>
      <c r="I2150" s="152">
        <f t="shared" si="137"/>
        <v>2500</v>
      </c>
      <c r="J2150" s="146" t="s">
        <v>1351</v>
      </c>
      <c r="K2150" s="146"/>
      <c r="L2150" s="146"/>
    </row>
    <row r="2151">
      <c r="B2151" s="144" t="s">
        <v>526</v>
      </c>
      <c r="C2151" s="138" t="s">
        <v>2454</v>
      </c>
      <c r="D2151" s="144" t="s">
        <v>13</v>
      </c>
      <c r="E2151" s="138" t="s">
        <v>38</v>
      </c>
      <c r="F2151" s="138" t="s">
        <v>586</v>
      </c>
      <c r="G2151" s="140">
        <v>190000.0</v>
      </c>
      <c r="H2151" s="144" t="s">
        <v>530</v>
      </c>
      <c r="I2151" s="152">
        <f t="shared" si="137"/>
        <v>19000</v>
      </c>
      <c r="J2151" s="146" t="s">
        <v>1351</v>
      </c>
      <c r="K2151" s="146"/>
      <c r="L2151" s="146"/>
    </row>
    <row r="2152">
      <c r="B2152" s="144" t="s">
        <v>526</v>
      </c>
      <c r="C2152" s="138" t="s">
        <v>2236</v>
      </c>
      <c r="D2152" s="144" t="s">
        <v>13</v>
      </c>
      <c r="E2152" s="138" t="s">
        <v>38</v>
      </c>
      <c r="F2152" s="138" t="s">
        <v>586</v>
      </c>
      <c r="G2152" s="140">
        <v>140000.0</v>
      </c>
      <c r="H2152" s="144" t="s">
        <v>530</v>
      </c>
      <c r="I2152" s="152">
        <f t="shared" si="137"/>
        <v>14000</v>
      </c>
      <c r="J2152" s="146" t="s">
        <v>1351</v>
      </c>
      <c r="K2152" s="146"/>
      <c r="L2152" s="146"/>
    </row>
    <row r="2153">
      <c r="B2153" s="144" t="s">
        <v>526</v>
      </c>
      <c r="C2153" s="138" t="s">
        <v>2455</v>
      </c>
      <c r="D2153" s="144" t="s">
        <v>13</v>
      </c>
      <c r="E2153" s="138" t="s">
        <v>38</v>
      </c>
      <c r="F2153" s="138" t="s">
        <v>586</v>
      </c>
      <c r="G2153" s="140">
        <v>35000.0</v>
      </c>
      <c r="H2153" s="138" t="s">
        <v>872</v>
      </c>
      <c r="I2153" s="152">
        <f>G2153/3</f>
        <v>11666.66667</v>
      </c>
      <c r="J2153" s="146" t="s">
        <v>1351</v>
      </c>
      <c r="K2153" s="146"/>
      <c r="L2153" s="146"/>
    </row>
    <row r="2154">
      <c r="B2154" s="144" t="s">
        <v>526</v>
      </c>
      <c r="C2154" s="138" t="s">
        <v>2262</v>
      </c>
      <c r="D2154" s="144" t="s">
        <v>13</v>
      </c>
      <c r="E2154" s="138" t="s">
        <v>38</v>
      </c>
      <c r="F2154" s="138" t="s">
        <v>586</v>
      </c>
      <c r="G2154" s="140">
        <v>110000.0</v>
      </c>
      <c r="H2154" s="144" t="s">
        <v>530</v>
      </c>
      <c r="I2154" s="152">
        <f t="shared" ref="I2154:I2156" si="138">G2154/10</f>
        <v>11000</v>
      </c>
      <c r="J2154" s="146" t="s">
        <v>1351</v>
      </c>
      <c r="K2154" s="146"/>
      <c r="L2154" s="146"/>
    </row>
    <row r="2155">
      <c r="B2155" s="144" t="s">
        <v>526</v>
      </c>
      <c r="C2155" s="138" t="s">
        <v>2456</v>
      </c>
      <c r="D2155" s="144" t="s">
        <v>13</v>
      </c>
      <c r="E2155" s="138" t="s">
        <v>38</v>
      </c>
      <c r="F2155" s="138" t="s">
        <v>586</v>
      </c>
      <c r="G2155" s="140">
        <v>110000.0</v>
      </c>
      <c r="H2155" s="144" t="s">
        <v>530</v>
      </c>
      <c r="I2155" s="152">
        <f t="shared" si="138"/>
        <v>11000</v>
      </c>
      <c r="J2155" s="146" t="s">
        <v>1351</v>
      </c>
      <c r="K2155" s="146"/>
      <c r="L2155" s="146"/>
    </row>
    <row r="2156">
      <c r="B2156" s="144" t="s">
        <v>526</v>
      </c>
      <c r="C2156" s="138" t="s">
        <v>2457</v>
      </c>
      <c r="D2156" s="144" t="s">
        <v>13</v>
      </c>
      <c r="E2156" s="138" t="s">
        <v>38</v>
      </c>
      <c r="F2156" s="138" t="s">
        <v>586</v>
      </c>
      <c r="G2156" s="140">
        <v>140000.0</v>
      </c>
      <c r="H2156" s="144" t="s">
        <v>530</v>
      </c>
      <c r="I2156" s="152">
        <f t="shared" si="138"/>
        <v>14000</v>
      </c>
      <c r="J2156" s="146" t="s">
        <v>1351</v>
      </c>
      <c r="K2156" s="146"/>
      <c r="L2156" s="146"/>
    </row>
    <row r="2157">
      <c r="B2157" s="144" t="s">
        <v>526</v>
      </c>
      <c r="C2157" s="138" t="s">
        <v>2458</v>
      </c>
      <c r="D2157" s="144" t="s">
        <v>13</v>
      </c>
      <c r="E2157" s="138" t="s">
        <v>38</v>
      </c>
      <c r="F2157" s="138" t="s">
        <v>586</v>
      </c>
      <c r="G2157" s="140">
        <v>60000.0</v>
      </c>
      <c r="H2157" s="138" t="s">
        <v>635</v>
      </c>
      <c r="I2157" s="152">
        <f>G2157/6</f>
        <v>10000</v>
      </c>
      <c r="J2157" s="146" t="s">
        <v>1351</v>
      </c>
      <c r="K2157" s="146"/>
      <c r="L2157" s="146"/>
    </row>
    <row r="2158">
      <c r="B2158" s="144" t="s">
        <v>526</v>
      </c>
      <c r="C2158" s="138" t="s">
        <v>2459</v>
      </c>
      <c r="D2158" s="144" t="s">
        <v>13</v>
      </c>
      <c r="E2158" s="138" t="s">
        <v>38</v>
      </c>
      <c r="F2158" s="138" t="s">
        <v>586</v>
      </c>
      <c r="G2158" s="140">
        <v>90000.0</v>
      </c>
      <c r="H2158" s="144" t="s">
        <v>530</v>
      </c>
      <c r="I2158" s="152">
        <f t="shared" ref="I2158:I2183" si="139">G2158/10</f>
        <v>9000</v>
      </c>
      <c r="J2158" s="146" t="s">
        <v>1351</v>
      </c>
      <c r="K2158" s="146"/>
      <c r="L2158" s="146"/>
    </row>
    <row r="2159">
      <c r="B2159" s="144" t="s">
        <v>526</v>
      </c>
      <c r="C2159" s="138" t="s">
        <v>2459</v>
      </c>
      <c r="D2159" s="144" t="s">
        <v>13</v>
      </c>
      <c r="E2159" s="138" t="s">
        <v>46</v>
      </c>
      <c r="F2159" s="138" t="s">
        <v>650</v>
      </c>
      <c r="G2159" s="140">
        <v>85000.0</v>
      </c>
      <c r="H2159" s="144" t="s">
        <v>530</v>
      </c>
      <c r="I2159" s="152">
        <f t="shared" si="139"/>
        <v>8500</v>
      </c>
      <c r="J2159" s="146" t="s">
        <v>1351</v>
      </c>
      <c r="K2159" s="146"/>
      <c r="L2159" s="146"/>
    </row>
    <row r="2160">
      <c r="B2160" s="144" t="s">
        <v>526</v>
      </c>
      <c r="C2160" s="138" t="s">
        <v>2460</v>
      </c>
      <c r="D2160" s="144" t="s">
        <v>13</v>
      </c>
      <c r="E2160" s="138" t="s">
        <v>38</v>
      </c>
      <c r="F2160" s="138" t="s">
        <v>586</v>
      </c>
      <c r="G2160" s="140">
        <v>70000.0</v>
      </c>
      <c r="H2160" s="144" t="s">
        <v>530</v>
      </c>
      <c r="I2160" s="152">
        <f t="shared" si="139"/>
        <v>7000</v>
      </c>
      <c r="J2160" s="146" t="s">
        <v>1351</v>
      </c>
      <c r="K2160" s="146"/>
      <c r="L2160" s="146"/>
    </row>
    <row r="2161">
      <c r="B2161" s="144" t="s">
        <v>526</v>
      </c>
      <c r="C2161" s="138" t="s">
        <v>2274</v>
      </c>
      <c r="D2161" s="144" t="s">
        <v>13</v>
      </c>
      <c r="E2161" s="138" t="s">
        <v>38</v>
      </c>
      <c r="F2161" s="138" t="s">
        <v>586</v>
      </c>
      <c r="G2161" s="140">
        <v>120000.0</v>
      </c>
      <c r="H2161" s="144" t="s">
        <v>530</v>
      </c>
      <c r="I2161" s="152">
        <f t="shared" si="139"/>
        <v>12000</v>
      </c>
      <c r="J2161" s="146" t="s">
        <v>1351</v>
      </c>
      <c r="K2161" s="146"/>
      <c r="L2161" s="146"/>
    </row>
    <row r="2162">
      <c r="B2162" s="144" t="s">
        <v>526</v>
      </c>
      <c r="C2162" s="138" t="s">
        <v>2350</v>
      </c>
      <c r="D2162" s="144" t="s">
        <v>13</v>
      </c>
      <c r="E2162" s="138" t="s">
        <v>38</v>
      </c>
      <c r="F2162" s="138" t="s">
        <v>586</v>
      </c>
      <c r="G2162" s="140">
        <v>150000.0</v>
      </c>
      <c r="H2162" s="144" t="s">
        <v>530</v>
      </c>
      <c r="I2162" s="152">
        <f t="shared" si="139"/>
        <v>15000</v>
      </c>
      <c r="J2162" s="146" t="s">
        <v>1351</v>
      </c>
      <c r="K2162" s="146"/>
      <c r="L2162" s="146"/>
    </row>
    <row r="2163">
      <c r="B2163" s="144" t="s">
        <v>526</v>
      </c>
      <c r="C2163" s="138" t="s">
        <v>2461</v>
      </c>
      <c r="D2163" s="144" t="s">
        <v>13</v>
      </c>
      <c r="E2163" s="138" t="s">
        <v>38</v>
      </c>
      <c r="F2163" s="138" t="s">
        <v>586</v>
      </c>
      <c r="G2163" s="140">
        <v>30000.0</v>
      </c>
      <c r="H2163" s="144" t="s">
        <v>530</v>
      </c>
      <c r="I2163" s="152">
        <f t="shared" si="139"/>
        <v>3000</v>
      </c>
      <c r="J2163" s="146" t="s">
        <v>1351</v>
      </c>
      <c r="K2163" s="146"/>
      <c r="L2163" s="146"/>
    </row>
    <row r="2164">
      <c r="B2164" s="144" t="s">
        <v>526</v>
      </c>
      <c r="C2164" s="138" t="s">
        <v>2461</v>
      </c>
      <c r="D2164" s="144" t="s">
        <v>13</v>
      </c>
      <c r="E2164" s="138" t="s">
        <v>2187</v>
      </c>
      <c r="F2164" s="138" t="s">
        <v>650</v>
      </c>
      <c r="G2164" s="140">
        <v>25000.0</v>
      </c>
      <c r="H2164" s="144" t="s">
        <v>530</v>
      </c>
      <c r="I2164" s="152">
        <f t="shared" si="139"/>
        <v>2500</v>
      </c>
      <c r="J2164" s="146" t="s">
        <v>1351</v>
      </c>
      <c r="K2164" s="146"/>
      <c r="L2164" s="146"/>
    </row>
    <row r="2165">
      <c r="B2165" s="144" t="s">
        <v>526</v>
      </c>
      <c r="C2165" s="138" t="s">
        <v>2462</v>
      </c>
      <c r="D2165" s="144" t="s">
        <v>13</v>
      </c>
      <c r="E2165" s="138" t="s">
        <v>38</v>
      </c>
      <c r="F2165" s="138" t="s">
        <v>586</v>
      </c>
      <c r="G2165" s="140">
        <v>30000.0</v>
      </c>
      <c r="H2165" s="144" t="s">
        <v>530</v>
      </c>
      <c r="I2165" s="152">
        <f t="shared" si="139"/>
        <v>3000</v>
      </c>
      <c r="J2165" s="146" t="s">
        <v>1351</v>
      </c>
      <c r="K2165" s="146"/>
      <c r="L2165" s="146"/>
    </row>
    <row r="2166">
      <c r="B2166" s="144" t="s">
        <v>526</v>
      </c>
      <c r="C2166" s="138" t="s">
        <v>2462</v>
      </c>
      <c r="D2166" s="144" t="s">
        <v>13</v>
      </c>
      <c r="E2166" s="138" t="s">
        <v>2209</v>
      </c>
      <c r="F2166" s="138" t="s">
        <v>650</v>
      </c>
      <c r="G2166" s="140">
        <v>26000.0</v>
      </c>
      <c r="H2166" s="144" t="s">
        <v>530</v>
      </c>
      <c r="I2166" s="152">
        <f t="shared" si="139"/>
        <v>2600</v>
      </c>
      <c r="J2166" s="146" t="s">
        <v>1351</v>
      </c>
      <c r="K2166" s="146"/>
      <c r="L2166" s="146"/>
    </row>
    <row r="2167">
      <c r="B2167" s="144" t="s">
        <v>526</v>
      </c>
      <c r="C2167" s="138" t="s">
        <v>2171</v>
      </c>
      <c r="D2167" s="144" t="s">
        <v>13</v>
      </c>
      <c r="E2167" s="138" t="s">
        <v>46</v>
      </c>
      <c r="F2167" s="138" t="s">
        <v>586</v>
      </c>
      <c r="G2167" s="140">
        <v>70000.0</v>
      </c>
      <c r="H2167" s="144" t="s">
        <v>530</v>
      </c>
      <c r="I2167" s="152">
        <f t="shared" si="139"/>
        <v>7000</v>
      </c>
      <c r="J2167" s="146" t="s">
        <v>1351</v>
      </c>
      <c r="K2167" s="146"/>
      <c r="L2167" s="146"/>
    </row>
    <row r="2168">
      <c r="B2168" s="144" t="s">
        <v>526</v>
      </c>
      <c r="C2168" s="138" t="s">
        <v>2171</v>
      </c>
      <c r="D2168" s="144" t="s">
        <v>13</v>
      </c>
      <c r="E2168" s="138" t="s">
        <v>46</v>
      </c>
      <c r="F2168" s="138" t="s">
        <v>643</v>
      </c>
      <c r="G2168" s="140">
        <v>65000.0</v>
      </c>
      <c r="H2168" s="144" t="s">
        <v>530</v>
      </c>
      <c r="I2168" s="152">
        <f t="shared" si="139"/>
        <v>6500</v>
      </c>
      <c r="J2168" s="146" t="s">
        <v>1351</v>
      </c>
      <c r="K2168" s="146"/>
      <c r="L2168" s="146"/>
    </row>
    <row r="2169">
      <c r="B2169" s="144" t="s">
        <v>526</v>
      </c>
      <c r="C2169" s="138" t="s">
        <v>2174</v>
      </c>
      <c r="D2169" s="144" t="s">
        <v>13</v>
      </c>
      <c r="E2169" s="138" t="s">
        <v>46</v>
      </c>
      <c r="F2169" s="138" t="s">
        <v>586</v>
      </c>
      <c r="G2169" s="140">
        <v>88000.0</v>
      </c>
      <c r="H2169" s="144" t="s">
        <v>530</v>
      </c>
      <c r="I2169" s="152">
        <f t="shared" si="139"/>
        <v>8800</v>
      </c>
      <c r="J2169" s="146" t="s">
        <v>1351</v>
      </c>
      <c r="K2169" s="146"/>
      <c r="L2169" s="146"/>
    </row>
    <row r="2170">
      <c r="B2170" s="144" t="s">
        <v>526</v>
      </c>
      <c r="C2170" s="138" t="s">
        <v>2174</v>
      </c>
      <c r="D2170" s="144" t="s">
        <v>13</v>
      </c>
      <c r="E2170" s="138" t="s">
        <v>58</v>
      </c>
      <c r="F2170" s="138" t="s">
        <v>529</v>
      </c>
      <c r="G2170" s="140">
        <v>100000.0</v>
      </c>
      <c r="H2170" s="144" t="s">
        <v>530</v>
      </c>
      <c r="I2170" s="152">
        <f t="shared" si="139"/>
        <v>10000</v>
      </c>
      <c r="J2170" s="146" t="s">
        <v>1351</v>
      </c>
      <c r="K2170" s="146"/>
      <c r="L2170" s="146"/>
    </row>
    <row r="2171">
      <c r="B2171" s="144" t="s">
        <v>526</v>
      </c>
      <c r="C2171" s="138" t="s">
        <v>2172</v>
      </c>
      <c r="D2171" s="144" t="s">
        <v>13</v>
      </c>
      <c r="E2171" s="138" t="s">
        <v>46</v>
      </c>
      <c r="F2171" s="138" t="s">
        <v>586</v>
      </c>
      <c r="G2171" s="140">
        <v>114000.0</v>
      </c>
      <c r="H2171" s="144" t="s">
        <v>530</v>
      </c>
      <c r="I2171" s="152">
        <f t="shared" si="139"/>
        <v>11400</v>
      </c>
      <c r="J2171" s="146" t="s">
        <v>1351</v>
      </c>
      <c r="K2171" s="146"/>
      <c r="L2171" s="146"/>
    </row>
    <row r="2172">
      <c r="B2172" s="144" t="s">
        <v>526</v>
      </c>
      <c r="C2172" s="138" t="s">
        <v>2172</v>
      </c>
      <c r="D2172" s="144" t="s">
        <v>13</v>
      </c>
      <c r="E2172" s="138" t="s">
        <v>46</v>
      </c>
      <c r="F2172" s="138" t="s">
        <v>643</v>
      </c>
      <c r="G2172" s="140">
        <v>115000.0</v>
      </c>
      <c r="H2172" s="144" t="s">
        <v>530</v>
      </c>
      <c r="I2172" s="152">
        <f t="shared" si="139"/>
        <v>11500</v>
      </c>
      <c r="J2172" s="146" t="s">
        <v>1351</v>
      </c>
      <c r="K2172" s="146"/>
      <c r="L2172" s="146"/>
    </row>
    <row r="2173">
      <c r="B2173" s="144" t="s">
        <v>526</v>
      </c>
      <c r="C2173" s="138" t="s">
        <v>2463</v>
      </c>
      <c r="D2173" s="144" t="s">
        <v>13</v>
      </c>
      <c r="E2173" s="138" t="s">
        <v>1790</v>
      </c>
      <c r="F2173" s="138" t="s">
        <v>650</v>
      </c>
      <c r="G2173" s="140">
        <v>60000.0</v>
      </c>
      <c r="H2173" s="144" t="s">
        <v>530</v>
      </c>
      <c r="I2173" s="152">
        <f t="shared" si="139"/>
        <v>6000</v>
      </c>
      <c r="J2173" s="146" t="s">
        <v>1351</v>
      </c>
      <c r="K2173" s="146"/>
      <c r="L2173" s="146"/>
    </row>
    <row r="2174">
      <c r="B2174" s="144" t="s">
        <v>526</v>
      </c>
      <c r="C2174" s="138" t="s">
        <v>2463</v>
      </c>
      <c r="D2174" s="144" t="s">
        <v>13</v>
      </c>
      <c r="E2174" s="138" t="s">
        <v>46</v>
      </c>
      <c r="F2174" s="138" t="s">
        <v>586</v>
      </c>
      <c r="G2174" s="140">
        <v>45000.0</v>
      </c>
      <c r="H2174" s="144" t="s">
        <v>530</v>
      </c>
      <c r="I2174" s="152">
        <f t="shared" si="139"/>
        <v>4500</v>
      </c>
      <c r="J2174" s="146" t="s">
        <v>1351</v>
      </c>
      <c r="K2174" s="146"/>
      <c r="L2174" s="146"/>
    </row>
    <row r="2175">
      <c r="B2175" s="144" t="s">
        <v>526</v>
      </c>
      <c r="C2175" s="138" t="s">
        <v>2463</v>
      </c>
      <c r="D2175" s="144" t="s">
        <v>13</v>
      </c>
      <c r="E2175" s="138" t="s">
        <v>2178</v>
      </c>
      <c r="F2175" s="138" t="s">
        <v>643</v>
      </c>
      <c r="G2175" s="140">
        <v>42000.0</v>
      </c>
      <c r="H2175" s="144" t="s">
        <v>530</v>
      </c>
      <c r="I2175" s="152">
        <f t="shared" si="139"/>
        <v>4200</v>
      </c>
      <c r="J2175" s="146" t="s">
        <v>1351</v>
      </c>
      <c r="K2175" s="146"/>
      <c r="L2175" s="146"/>
    </row>
    <row r="2176">
      <c r="B2176" s="144" t="s">
        <v>526</v>
      </c>
      <c r="C2176" s="138" t="s">
        <v>2463</v>
      </c>
      <c r="D2176" s="144" t="s">
        <v>13</v>
      </c>
      <c r="E2176" s="138" t="s">
        <v>2178</v>
      </c>
      <c r="F2176" s="138" t="s">
        <v>738</v>
      </c>
      <c r="G2176" s="140">
        <v>50000.0</v>
      </c>
      <c r="H2176" s="144" t="s">
        <v>530</v>
      </c>
      <c r="I2176" s="152">
        <f t="shared" si="139"/>
        <v>5000</v>
      </c>
      <c r="J2176" s="146" t="s">
        <v>1351</v>
      </c>
      <c r="K2176" s="146"/>
      <c r="L2176" s="146"/>
    </row>
    <row r="2177">
      <c r="B2177" s="144" t="s">
        <v>526</v>
      </c>
      <c r="C2177" s="138" t="s">
        <v>2463</v>
      </c>
      <c r="D2177" s="144" t="s">
        <v>13</v>
      </c>
      <c r="E2177" s="138" t="s">
        <v>2464</v>
      </c>
      <c r="F2177" s="138" t="s">
        <v>763</v>
      </c>
      <c r="G2177" s="140">
        <v>49000.0</v>
      </c>
      <c r="H2177" s="144" t="s">
        <v>530</v>
      </c>
      <c r="I2177" s="152">
        <f t="shared" si="139"/>
        <v>4900</v>
      </c>
      <c r="J2177" s="146" t="s">
        <v>1351</v>
      </c>
      <c r="K2177" s="146"/>
      <c r="L2177" s="146"/>
    </row>
    <row r="2178">
      <c r="B2178" s="144" t="s">
        <v>526</v>
      </c>
      <c r="C2178" s="138" t="s">
        <v>2465</v>
      </c>
      <c r="D2178" s="144" t="s">
        <v>13</v>
      </c>
      <c r="E2178" s="138" t="s">
        <v>2466</v>
      </c>
      <c r="F2178" s="138" t="s">
        <v>650</v>
      </c>
      <c r="G2178" s="140">
        <v>68000.0</v>
      </c>
      <c r="H2178" s="144" t="s">
        <v>530</v>
      </c>
      <c r="I2178" s="152">
        <f t="shared" si="139"/>
        <v>6800</v>
      </c>
      <c r="J2178" s="146" t="s">
        <v>1351</v>
      </c>
      <c r="K2178" s="146"/>
      <c r="L2178" s="146"/>
    </row>
    <row r="2179">
      <c r="B2179" s="144" t="s">
        <v>526</v>
      </c>
      <c r="C2179" s="138" t="s">
        <v>2465</v>
      </c>
      <c r="D2179" s="144" t="s">
        <v>13</v>
      </c>
      <c r="E2179" s="138" t="s">
        <v>46</v>
      </c>
      <c r="F2179" s="138" t="s">
        <v>586</v>
      </c>
      <c r="G2179" s="140">
        <v>60000.0</v>
      </c>
      <c r="H2179" s="144" t="s">
        <v>530</v>
      </c>
      <c r="I2179" s="152">
        <f t="shared" si="139"/>
        <v>6000</v>
      </c>
      <c r="J2179" s="146" t="s">
        <v>1351</v>
      </c>
      <c r="K2179" s="146"/>
      <c r="L2179" s="146"/>
    </row>
    <row r="2180">
      <c r="B2180" s="144" t="s">
        <v>526</v>
      </c>
      <c r="C2180" s="138" t="s">
        <v>2465</v>
      </c>
      <c r="D2180" s="144" t="s">
        <v>13</v>
      </c>
      <c r="E2180" s="138" t="s">
        <v>46</v>
      </c>
      <c r="F2180" s="138" t="s">
        <v>643</v>
      </c>
      <c r="G2180" s="140">
        <v>70000.0</v>
      </c>
      <c r="H2180" s="144" t="s">
        <v>530</v>
      </c>
      <c r="I2180" s="152">
        <f t="shared" si="139"/>
        <v>7000</v>
      </c>
      <c r="J2180" s="146" t="s">
        <v>1351</v>
      </c>
      <c r="K2180" s="146"/>
      <c r="L2180" s="146"/>
    </row>
    <row r="2181">
      <c r="B2181" s="144" t="s">
        <v>526</v>
      </c>
      <c r="C2181" s="138" t="s">
        <v>2465</v>
      </c>
      <c r="D2181" s="144" t="s">
        <v>13</v>
      </c>
      <c r="E2181" s="138" t="s">
        <v>46</v>
      </c>
      <c r="F2181" s="138" t="s">
        <v>738</v>
      </c>
      <c r="G2181" s="140">
        <v>68000.0</v>
      </c>
      <c r="H2181" s="144" t="s">
        <v>530</v>
      </c>
      <c r="I2181" s="152">
        <f t="shared" si="139"/>
        <v>6800</v>
      </c>
      <c r="J2181" s="146" t="s">
        <v>1351</v>
      </c>
      <c r="K2181" s="146"/>
      <c r="L2181" s="146"/>
    </row>
    <row r="2182">
      <c r="B2182" s="144" t="s">
        <v>526</v>
      </c>
      <c r="C2182" s="138" t="s">
        <v>2465</v>
      </c>
      <c r="D2182" s="144" t="s">
        <v>13</v>
      </c>
      <c r="E2182" s="138" t="s">
        <v>2203</v>
      </c>
      <c r="F2182" s="138" t="s">
        <v>763</v>
      </c>
      <c r="G2182" s="140">
        <v>60000.0</v>
      </c>
      <c r="H2182" s="144" t="s">
        <v>530</v>
      </c>
      <c r="I2182" s="152">
        <f t="shared" si="139"/>
        <v>6000</v>
      </c>
      <c r="J2182" s="146" t="s">
        <v>1351</v>
      </c>
      <c r="K2182" s="146"/>
      <c r="L2182" s="146"/>
    </row>
    <row r="2183">
      <c r="B2183" s="144" t="s">
        <v>526</v>
      </c>
      <c r="C2183" s="138" t="s">
        <v>2181</v>
      </c>
      <c r="D2183" s="144" t="s">
        <v>13</v>
      </c>
      <c r="E2183" s="138" t="s">
        <v>46</v>
      </c>
      <c r="F2183" s="138" t="s">
        <v>586</v>
      </c>
      <c r="G2183" s="140">
        <v>38000.0</v>
      </c>
      <c r="H2183" s="144" t="s">
        <v>530</v>
      </c>
      <c r="I2183" s="152">
        <f t="shared" si="139"/>
        <v>3800</v>
      </c>
      <c r="J2183" s="146" t="s">
        <v>1351</v>
      </c>
      <c r="K2183" s="146"/>
      <c r="L2183" s="146"/>
    </row>
    <row r="2184">
      <c r="B2184" s="144" t="s">
        <v>526</v>
      </c>
      <c r="C2184" s="138" t="s">
        <v>2181</v>
      </c>
      <c r="D2184" s="144" t="s">
        <v>13</v>
      </c>
      <c r="E2184" s="138" t="s">
        <v>2209</v>
      </c>
      <c r="F2184" s="138" t="s">
        <v>643</v>
      </c>
      <c r="G2184" s="140">
        <v>22500.0</v>
      </c>
      <c r="H2184" s="138" t="s">
        <v>1155</v>
      </c>
      <c r="I2184" s="152">
        <f>G2184/8</f>
        <v>2812.5</v>
      </c>
      <c r="J2184" s="146" t="s">
        <v>1351</v>
      </c>
      <c r="K2184" s="146"/>
      <c r="L2184" s="146"/>
    </row>
    <row r="2185">
      <c r="B2185" s="144" t="s">
        <v>526</v>
      </c>
      <c r="C2185" s="138" t="s">
        <v>2181</v>
      </c>
      <c r="D2185" s="144" t="s">
        <v>13</v>
      </c>
      <c r="E2185" s="138" t="s">
        <v>2188</v>
      </c>
      <c r="F2185" s="138" t="s">
        <v>738</v>
      </c>
      <c r="G2185" s="140">
        <v>45000.0</v>
      </c>
      <c r="H2185" s="144" t="s">
        <v>530</v>
      </c>
      <c r="I2185" s="152">
        <f t="shared" ref="I2185:I2214" si="140">G2185/10</f>
        <v>4500</v>
      </c>
      <c r="J2185" s="146" t="s">
        <v>1351</v>
      </c>
      <c r="K2185" s="146"/>
      <c r="L2185" s="146"/>
    </row>
    <row r="2186">
      <c r="B2186" s="144" t="s">
        <v>526</v>
      </c>
      <c r="C2186" s="138" t="s">
        <v>2181</v>
      </c>
      <c r="D2186" s="144" t="s">
        <v>13</v>
      </c>
      <c r="E2186" s="138" t="s">
        <v>2188</v>
      </c>
      <c r="F2186" s="138" t="s">
        <v>763</v>
      </c>
      <c r="G2186" s="140">
        <v>40000.0</v>
      </c>
      <c r="H2186" s="144" t="s">
        <v>530</v>
      </c>
      <c r="I2186" s="152">
        <f t="shared" si="140"/>
        <v>4000</v>
      </c>
      <c r="J2186" s="146" t="s">
        <v>1351</v>
      </c>
      <c r="K2186" s="146"/>
      <c r="L2186" s="146"/>
    </row>
    <row r="2187">
      <c r="B2187" s="144" t="s">
        <v>526</v>
      </c>
      <c r="C2187" s="138" t="s">
        <v>2181</v>
      </c>
      <c r="D2187" s="144" t="s">
        <v>13</v>
      </c>
      <c r="E2187" s="138" t="s">
        <v>2203</v>
      </c>
      <c r="F2187" s="138" t="s">
        <v>543</v>
      </c>
      <c r="G2187" s="140">
        <v>55000.0</v>
      </c>
      <c r="H2187" s="144" t="s">
        <v>530</v>
      </c>
      <c r="I2187" s="152">
        <f t="shared" si="140"/>
        <v>5500</v>
      </c>
      <c r="J2187" s="146" t="s">
        <v>1351</v>
      </c>
      <c r="K2187" s="146"/>
      <c r="L2187" s="146"/>
    </row>
    <row r="2188">
      <c r="B2188" s="144" t="s">
        <v>526</v>
      </c>
      <c r="C2188" s="138" t="s">
        <v>2181</v>
      </c>
      <c r="D2188" s="144" t="s">
        <v>13</v>
      </c>
      <c r="E2188" s="138" t="s">
        <v>2203</v>
      </c>
      <c r="F2188" s="138" t="s">
        <v>529</v>
      </c>
      <c r="G2188" s="140">
        <v>50000.0</v>
      </c>
      <c r="H2188" s="144" t="s">
        <v>530</v>
      </c>
      <c r="I2188" s="152">
        <f t="shared" si="140"/>
        <v>5000</v>
      </c>
      <c r="J2188" s="146" t="s">
        <v>1351</v>
      </c>
      <c r="K2188" s="146"/>
      <c r="L2188" s="146"/>
    </row>
    <row r="2189">
      <c r="B2189" s="144" t="s">
        <v>526</v>
      </c>
      <c r="C2189" s="138" t="s">
        <v>2467</v>
      </c>
      <c r="D2189" s="144" t="s">
        <v>13</v>
      </c>
      <c r="E2189" s="138" t="s">
        <v>46</v>
      </c>
      <c r="F2189" s="138" t="s">
        <v>586</v>
      </c>
      <c r="G2189" s="140">
        <v>60000.0</v>
      </c>
      <c r="H2189" s="144" t="s">
        <v>530</v>
      </c>
      <c r="I2189" s="152">
        <f t="shared" si="140"/>
        <v>6000</v>
      </c>
      <c r="J2189" s="146" t="s">
        <v>1351</v>
      </c>
      <c r="K2189" s="146"/>
      <c r="L2189" s="146"/>
    </row>
    <row r="2190">
      <c r="B2190" s="144" t="s">
        <v>526</v>
      </c>
      <c r="C2190" s="138" t="s">
        <v>2467</v>
      </c>
      <c r="D2190" s="144" t="s">
        <v>13</v>
      </c>
      <c r="E2190" s="138" t="s">
        <v>1794</v>
      </c>
      <c r="F2190" s="138" t="s">
        <v>650</v>
      </c>
      <c r="G2190" s="140">
        <v>60000.0</v>
      </c>
      <c r="H2190" s="144" t="s">
        <v>530</v>
      </c>
      <c r="I2190" s="152">
        <f t="shared" si="140"/>
        <v>6000</v>
      </c>
      <c r="J2190" s="146" t="s">
        <v>1351</v>
      </c>
      <c r="K2190" s="146"/>
      <c r="L2190" s="146"/>
    </row>
    <row r="2191">
      <c r="B2191" s="144" t="s">
        <v>526</v>
      </c>
      <c r="C2191" s="138" t="s">
        <v>2182</v>
      </c>
      <c r="D2191" s="144" t="s">
        <v>13</v>
      </c>
      <c r="E2191" s="138" t="s">
        <v>46</v>
      </c>
      <c r="F2191" s="138" t="s">
        <v>586</v>
      </c>
      <c r="G2191" s="140">
        <v>48000.0</v>
      </c>
      <c r="H2191" s="144" t="s">
        <v>530</v>
      </c>
      <c r="I2191" s="152">
        <f t="shared" si="140"/>
        <v>4800</v>
      </c>
      <c r="J2191" s="146" t="s">
        <v>1351</v>
      </c>
      <c r="K2191" s="146"/>
      <c r="L2191" s="146"/>
    </row>
    <row r="2192">
      <c r="B2192" s="144" t="s">
        <v>526</v>
      </c>
      <c r="C2192" s="138" t="s">
        <v>2182</v>
      </c>
      <c r="D2192" s="144" t="s">
        <v>13</v>
      </c>
      <c r="E2192" s="138" t="s">
        <v>2282</v>
      </c>
      <c r="F2192" s="138" t="s">
        <v>643</v>
      </c>
      <c r="G2192" s="140">
        <v>53000.0</v>
      </c>
      <c r="H2192" s="144" t="s">
        <v>530</v>
      </c>
      <c r="I2192" s="152">
        <f t="shared" si="140"/>
        <v>5300</v>
      </c>
      <c r="J2192" s="146" t="s">
        <v>1351</v>
      </c>
      <c r="K2192" s="146"/>
      <c r="L2192" s="146"/>
    </row>
    <row r="2193">
      <c r="B2193" s="144" t="s">
        <v>526</v>
      </c>
      <c r="C2193" s="138" t="s">
        <v>2182</v>
      </c>
      <c r="D2193" s="144" t="s">
        <v>13</v>
      </c>
      <c r="E2193" s="138" t="s">
        <v>2197</v>
      </c>
      <c r="F2193" s="138" t="s">
        <v>738</v>
      </c>
      <c r="G2193" s="140">
        <v>55000.0</v>
      </c>
      <c r="H2193" s="144" t="s">
        <v>530</v>
      </c>
      <c r="I2193" s="152">
        <f t="shared" si="140"/>
        <v>5500</v>
      </c>
      <c r="J2193" s="146" t="s">
        <v>1351</v>
      </c>
      <c r="K2193" s="146"/>
      <c r="L2193" s="146"/>
    </row>
    <row r="2194">
      <c r="B2194" s="144" t="s">
        <v>526</v>
      </c>
      <c r="C2194" s="138" t="s">
        <v>2182</v>
      </c>
      <c r="D2194" s="144" t="s">
        <v>13</v>
      </c>
      <c r="E2194" s="138" t="s">
        <v>2197</v>
      </c>
      <c r="F2194" s="138" t="s">
        <v>763</v>
      </c>
      <c r="G2194" s="140">
        <v>55000.0</v>
      </c>
      <c r="H2194" s="144" t="s">
        <v>530</v>
      </c>
      <c r="I2194" s="152">
        <f t="shared" si="140"/>
        <v>5500</v>
      </c>
      <c r="J2194" s="146" t="s">
        <v>1351</v>
      </c>
      <c r="K2194" s="146"/>
      <c r="L2194" s="146"/>
    </row>
    <row r="2195">
      <c r="B2195" s="144" t="s">
        <v>526</v>
      </c>
      <c r="C2195" s="138" t="s">
        <v>2182</v>
      </c>
      <c r="D2195" s="144" t="s">
        <v>13</v>
      </c>
      <c r="E2195" s="138" t="s">
        <v>58</v>
      </c>
      <c r="F2195" s="138" t="s">
        <v>543</v>
      </c>
      <c r="G2195" s="140">
        <v>78000.0</v>
      </c>
      <c r="H2195" s="144" t="s">
        <v>530</v>
      </c>
      <c r="I2195" s="152">
        <f t="shared" si="140"/>
        <v>7800</v>
      </c>
      <c r="J2195" s="146" t="s">
        <v>1351</v>
      </c>
      <c r="K2195" s="146"/>
      <c r="L2195" s="146"/>
    </row>
    <row r="2196">
      <c r="B2196" s="144" t="s">
        <v>526</v>
      </c>
      <c r="C2196" s="138" t="s">
        <v>2182</v>
      </c>
      <c r="D2196" s="144" t="s">
        <v>13</v>
      </c>
      <c r="E2196" s="138" t="s">
        <v>58</v>
      </c>
      <c r="F2196" s="138" t="s">
        <v>529</v>
      </c>
      <c r="G2196" s="140">
        <v>70000.0</v>
      </c>
      <c r="H2196" s="144" t="s">
        <v>530</v>
      </c>
      <c r="I2196" s="152">
        <f t="shared" si="140"/>
        <v>7000</v>
      </c>
      <c r="J2196" s="146" t="s">
        <v>1351</v>
      </c>
      <c r="K2196" s="146"/>
      <c r="L2196" s="146"/>
    </row>
    <row r="2197">
      <c r="B2197" s="144" t="s">
        <v>526</v>
      </c>
      <c r="C2197" s="138" t="s">
        <v>2468</v>
      </c>
      <c r="D2197" s="144" t="s">
        <v>13</v>
      </c>
      <c r="E2197" s="138" t="s">
        <v>46</v>
      </c>
      <c r="F2197" s="138" t="s">
        <v>586</v>
      </c>
      <c r="G2197" s="140">
        <v>31000.0</v>
      </c>
      <c r="H2197" s="144" t="s">
        <v>530</v>
      </c>
      <c r="I2197" s="152">
        <f t="shared" si="140"/>
        <v>3100</v>
      </c>
      <c r="J2197" s="146" t="s">
        <v>1351</v>
      </c>
      <c r="K2197" s="146"/>
      <c r="L2197" s="146"/>
    </row>
    <row r="2198">
      <c r="B2198" s="144" t="s">
        <v>526</v>
      </c>
      <c r="C2198" s="138" t="s">
        <v>2468</v>
      </c>
      <c r="D2198" s="144" t="s">
        <v>13</v>
      </c>
      <c r="E2198" s="138" t="s">
        <v>46</v>
      </c>
      <c r="F2198" s="138" t="s">
        <v>643</v>
      </c>
      <c r="G2198" s="140">
        <v>20000.0</v>
      </c>
      <c r="H2198" s="144" t="s">
        <v>530</v>
      </c>
      <c r="I2198" s="152">
        <f t="shared" si="140"/>
        <v>2000</v>
      </c>
      <c r="J2198" s="146" t="s">
        <v>1351</v>
      </c>
      <c r="K2198" s="146"/>
      <c r="L2198" s="146"/>
    </row>
    <row r="2199">
      <c r="B2199" s="144" t="s">
        <v>526</v>
      </c>
      <c r="C2199" s="138" t="s">
        <v>2468</v>
      </c>
      <c r="D2199" s="144" t="s">
        <v>13</v>
      </c>
      <c r="E2199" s="138" t="s">
        <v>2209</v>
      </c>
      <c r="F2199" s="138" t="s">
        <v>650</v>
      </c>
      <c r="G2199" s="140">
        <v>40000.0</v>
      </c>
      <c r="H2199" s="144" t="s">
        <v>530</v>
      </c>
      <c r="I2199" s="152">
        <f t="shared" si="140"/>
        <v>4000</v>
      </c>
      <c r="J2199" s="146" t="s">
        <v>1351</v>
      </c>
      <c r="K2199" s="146"/>
      <c r="L2199" s="146"/>
    </row>
    <row r="2200">
      <c r="B2200" s="144" t="s">
        <v>526</v>
      </c>
      <c r="C2200" s="138" t="s">
        <v>2469</v>
      </c>
      <c r="D2200" s="144" t="s">
        <v>13</v>
      </c>
      <c r="E2200" s="138" t="s">
        <v>2466</v>
      </c>
      <c r="F2200" s="138" t="s">
        <v>650</v>
      </c>
      <c r="G2200" s="140">
        <v>57000.0</v>
      </c>
      <c r="H2200" s="144" t="s">
        <v>530</v>
      </c>
      <c r="I2200" s="152">
        <f t="shared" si="140"/>
        <v>5700</v>
      </c>
      <c r="J2200" s="146" t="s">
        <v>1351</v>
      </c>
      <c r="K2200" s="146"/>
      <c r="L2200" s="146"/>
    </row>
    <row r="2201">
      <c r="B2201" s="144" t="s">
        <v>526</v>
      </c>
      <c r="C2201" s="138" t="s">
        <v>2469</v>
      </c>
      <c r="D2201" s="144" t="s">
        <v>13</v>
      </c>
      <c r="E2201" s="138" t="s">
        <v>46</v>
      </c>
      <c r="F2201" s="138" t="s">
        <v>586</v>
      </c>
      <c r="G2201" s="140">
        <v>55000.0</v>
      </c>
      <c r="H2201" s="144" t="s">
        <v>530</v>
      </c>
      <c r="I2201" s="152">
        <f t="shared" si="140"/>
        <v>5500</v>
      </c>
      <c r="J2201" s="146" t="s">
        <v>1351</v>
      </c>
      <c r="K2201" s="146"/>
      <c r="L2201" s="146"/>
    </row>
    <row r="2202">
      <c r="B2202" s="144" t="s">
        <v>526</v>
      </c>
      <c r="C2202" s="138" t="s">
        <v>2469</v>
      </c>
      <c r="D2202" s="144" t="s">
        <v>13</v>
      </c>
      <c r="E2202" s="138" t="s">
        <v>46</v>
      </c>
      <c r="F2202" s="138" t="s">
        <v>643</v>
      </c>
      <c r="G2202" s="140">
        <v>68000.0</v>
      </c>
      <c r="H2202" s="144" t="s">
        <v>530</v>
      </c>
      <c r="I2202" s="152">
        <f t="shared" si="140"/>
        <v>6800</v>
      </c>
      <c r="J2202" s="146" t="s">
        <v>1351</v>
      </c>
      <c r="K2202" s="146"/>
      <c r="L2202" s="146"/>
    </row>
    <row r="2203">
      <c r="B2203" s="144" t="s">
        <v>526</v>
      </c>
      <c r="C2203" s="138" t="s">
        <v>2469</v>
      </c>
      <c r="D2203" s="144" t="s">
        <v>13</v>
      </c>
      <c r="E2203" s="138" t="s">
        <v>46</v>
      </c>
      <c r="F2203" s="138" t="s">
        <v>738</v>
      </c>
      <c r="G2203" s="140">
        <v>65000.0</v>
      </c>
      <c r="H2203" s="144" t="s">
        <v>530</v>
      </c>
      <c r="I2203" s="152">
        <f t="shared" si="140"/>
        <v>6500</v>
      </c>
      <c r="J2203" s="146" t="s">
        <v>1351</v>
      </c>
      <c r="K2203" s="146"/>
      <c r="L2203" s="146"/>
    </row>
    <row r="2204">
      <c r="B2204" s="144" t="s">
        <v>526</v>
      </c>
      <c r="C2204" s="138" t="s">
        <v>2469</v>
      </c>
      <c r="D2204" s="144" t="s">
        <v>13</v>
      </c>
      <c r="E2204" s="138" t="s">
        <v>2203</v>
      </c>
      <c r="F2204" s="138" t="s">
        <v>763</v>
      </c>
      <c r="G2204" s="140">
        <v>72000.0</v>
      </c>
      <c r="H2204" s="144" t="s">
        <v>530</v>
      </c>
      <c r="I2204" s="152">
        <f t="shared" si="140"/>
        <v>7200</v>
      </c>
      <c r="J2204" s="146" t="s">
        <v>1351</v>
      </c>
      <c r="K2204" s="146"/>
      <c r="L2204" s="146"/>
    </row>
    <row r="2205">
      <c r="B2205" s="144" t="s">
        <v>526</v>
      </c>
      <c r="C2205" s="138" t="s">
        <v>2469</v>
      </c>
      <c r="D2205" s="144" t="s">
        <v>13</v>
      </c>
      <c r="E2205" s="138" t="s">
        <v>2203</v>
      </c>
      <c r="F2205" s="138" t="s">
        <v>543</v>
      </c>
      <c r="G2205" s="140">
        <v>75000.0</v>
      </c>
      <c r="H2205" s="144" t="s">
        <v>530</v>
      </c>
      <c r="I2205" s="152">
        <f t="shared" si="140"/>
        <v>7500</v>
      </c>
      <c r="J2205" s="146" t="s">
        <v>1351</v>
      </c>
      <c r="K2205" s="146"/>
      <c r="L2205" s="146"/>
    </row>
    <row r="2206">
      <c r="B2206" s="144" t="s">
        <v>526</v>
      </c>
      <c r="C2206" s="138" t="s">
        <v>2469</v>
      </c>
      <c r="D2206" s="144" t="s">
        <v>13</v>
      </c>
      <c r="E2206" s="138" t="s">
        <v>2203</v>
      </c>
      <c r="F2206" s="138" t="s">
        <v>529</v>
      </c>
      <c r="G2206" s="140">
        <v>50000.0</v>
      </c>
      <c r="H2206" s="144" t="s">
        <v>530</v>
      </c>
      <c r="I2206" s="152">
        <f t="shared" si="140"/>
        <v>5000</v>
      </c>
      <c r="J2206" s="146" t="s">
        <v>1351</v>
      </c>
      <c r="K2206" s="146"/>
      <c r="L2206" s="146"/>
    </row>
    <row r="2207">
      <c r="B2207" s="144" t="s">
        <v>526</v>
      </c>
      <c r="C2207" s="138" t="s">
        <v>2470</v>
      </c>
      <c r="D2207" s="144" t="s">
        <v>13</v>
      </c>
      <c r="E2207" s="138" t="s">
        <v>46</v>
      </c>
      <c r="F2207" s="138" t="s">
        <v>586</v>
      </c>
      <c r="G2207" s="140">
        <v>21000.0</v>
      </c>
      <c r="H2207" s="144" t="s">
        <v>530</v>
      </c>
      <c r="I2207" s="152">
        <f t="shared" si="140"/>
        <v>2100</v>
      </c>
      <c r="J2207" s="146" t="s">
        <v>1351</v>
      </c>
      <c r="K2207" s="146"/>
      <c r="L2207" s="146"/>
    </row>
    <row r="2208">
      <c r="B2208" s="144" t="s">
        <v>526</v>
      </c>
      <c r="C2208" s="138" t="s">
        <v>2470</v>
      </c>
      <c r="D2208" s="144" t="s">
        <v>13</v>
      </c>
      <c r="E2208" s="138" t="s">
        <v>2245</v>
      </c>
      <c r="F2208" s="138" t="s">
        <v>650</v>
      </c>
      <c r="G2208" s="140">
        <v>33000.0</v>
      </c>
      <c r="H2208" s="144" t="s">
        <v>530</v>
      </c>
      <c r="I2208" s="152">
        <f t="shared" si="140"/>
        <v>3300</v>
      </c>
      <c r="J2208" s="146" t="s">
        <v>1351</v>
      </c>
      <c r="K2208" s="146"/>
      <c r="L2208" s="146"/>
    </row>
    <row r="2209">
      <c r="B2209" s="95" t="s">
        <v>526</v>
      </c>
      <c r="C2209" s="95" t="s">
        <v>2471</v>
      </c>
      <c r="D2209" s="95" t="s">
        <v>222</v>
      </c>
      <c r="E2209" s="95" t="s">
        <v>313</v>
      </c>
      <c r="F2209" s="95" t="s">
        <v>643</v>
      </c>
      <c r="G2209" s="9">
        <f>0.9*100000</f>
        <v>90000</v>
      </c>
      <c r="H2209" s="95" t="s">
        <v>530</v>
      </c>
      <c r="I2209" s="13">
        <f t="shared" si="140"/>
        <v>9000</v>
      </c>
      <c r="J2209" s="97" t="s">
        <v>2472</v>
      </c>
      <c r="K2209" s="97" t="s">
        <v>2473</v>
      </c>
      <c r="L2209" s="97" t="s">
        <v>2474</v>
      </c>
    </row>
    <row r="2210">
      <c r="B2210" s="95" t="s">
        <v>641</v>
      </c>
      <c r="C2210" s="95" t="s">
        <v>2117</v>
      </c>
      <c r="D2210" s="95" t="s">
        <v>114</v>
      </c>
      <c r="E2210" s="95" t="s">
        <v>396</v>
      </c>
      <c r="F2210" s="95" t="s">
        <v>685</v>
      </c>
      <c r="G2210" s="9">
        <v>4000000.0</v>
      </c>
      <c r="H2210" s="95" t="s">
        <v>530</v>
      </c>
      <c r="I2210" s="13">
        <f t="shared" si="140"/>
        <v>400000</v>
      </c>
      <c r="J2210" s="97" t="s">
        <v>2475</v>
      </c>
      <c r="K2210" s="98" t="s">
        <v>2476</v>
      </c>
      <c r="L2210" s="98"/>
    </row>
    <row r="2211">
      <c r="B2211" s="95" t="s">
        <v>526</v>
      </c>
      <c r="C2211" s="95" t="s">
        <v>2477</v>
      </c>
      <c r="D2211" s="95" t="s">
        <v>140</v>
      </c>
      <c r="E2211" s="95" t="s">
        <v>178</v>
      </c>
      <c r="F2211" s="95" t="s">
        <v>586</v>
      </c>
      <c r="G2211" s="9">
        <v>1000000.0</v>
      </c>
      <c r="H2211" s="95" t="s">
        <v>530</v>
      </c>
      <c r="I2211" s="13">
        <f t="shared" si="140"/>
        <v>100000</v>
      </c>
      <c r="J2211" s="97" t="s">
        <v>2478</v>
      </c>
      <c r="K2211" s="118" t="s">
        <v>2479</v>
      </c>
      <c r="L2211" s="98" t="s">
        <v>1753</v>
      </c>
    </row>
    <row r="2212">
      <c r="B2212" s="95" t="s">
        <v>526</v>
      </c>
      <c r="C2212" s="95" t="s">
        <v>2477</v>
      </c>
      <c r="D2212" s="95" t="s">
        <v>140</v>
      </c>
      <c r="E2212" s="95" t="s">
        <v>178</v>
      </c>
      <c r="F2212" s="95" t="s">
        <v>650</v>
      </c>
      <c r="G2212" s="9">
        <v>1000000.0</v>
      </c>
      <c r="H2212" s="95" t="s">
        <v>530</v>
      </c>
      <c r="I2212" s="13">
        <f t="shared" si="140"/>
        <v>100000</v>
      </c>
      <c r="J2212" s="97" t="s">
        <v>2478</v>
      </c>
      <c r="K2212" s="97" t="s">
        <v>2479</v>
      </c>
      <c r="L2212" s="98"/>
    </row>
    <row r="2213">
      <c r="B2213" s="95" t="s">
        <v>526</v>
      </c>
      <c r="C2213" s="95" t="s">
        <v>2480</v>
      </c>
      <c r="D2213" s="95" t="s">
        <v>140</v>
      </c>
      <c r="E2213" s="95" t="s">
        <v>178</v>
      </c>
      <c r="F2213" s="95" t="s">
        <v>586</v>
      </c>
      <c r="G2213" s="9">
        <v>500000.0</v>
      </c>
      <c r="H2213" s="95" t="s">
        <v>530</v>
      </c>
      <c r="I2213" s="13">
        <f t="shared" si="140"/>
        <v>50000</v>
      </c>
      <c r="J2213" s="97" t="s">
        <v>2478</v>
      </c>
      <c r="K2213" s="97" t="s">
        <v>2479</v>
      </c>
      <c r="L2213" s="98" t="s">
        <v>1753</v>
      </c>
    </row>
    <row r="2214">
      <c r="B2214" s="95" t="s">
        <v>526</v>
      </c>
      <c r="C2214" s="95" t="s">
        <v>2477</v>
      </c>
      <c r="D2214" s="95" t="s">
        <v>140</v>
      </c>
      <c r="E2214" s="95" t="s">
        <v>203</v>
      </c>
      <c r="F2214" s="95" t="s">
        <v>643</v>
      </c>
      <c r="G2214" s="9">
        <v>750000.0</v>
      </c>
      <c r="H2214" s="95" t="s">
        <v>530</v>
      </c>
      <c r="I2214" s="13">
        <f t="shared" si="140"/>
        <v>75000</v>
      </c>
      <c r="J2214" s="97" t="s">
        <v>2478</v>
      </c>
      <c r="K2214" s="97" t="s">
        <v>2479</v>
      </c>
      <c r="L2214" s="98"/>
    </row>
    <row r="2215">
      <c r="B2215" s="95" t="s">
        <v>526</v>
      </c>
      <c r="C2215" s="95" t="s">
        <v>1966</v>
      </c>
      <c r="D2215" s="95" t="s">
        <v>85</v>
      </c>
      <c r="E2215" s="95" t="s">
        <v>361</v>
      </c>
      <c r="F2215" s="95" t="s">
        <v>537</v>
      </c>
      <c r="G2215" s="9">
        <f>6*60000</f>
        <v>360000</v>
      </c>
      <c r="H2215" s="95" t="s">
        <v>635</v>
      </c>
      <c r="I2215" s="13">
        <f>G2215/6</f>
        <v>60000</v>
      </c>
      <c r="J2215" s="97" t="s">
        <v>2481</v>
      </c>
      <c r="K2215" s="98"/>
      <c r="L2215" s="98"/>
    </row>
    <row r="2216">
      <c r="B2216" s="95" t="s">
        <v>526</v>
      </c>
      <c r="C2216" s="95" t="s">
        <v>2162</v>
      </c>
      <c r="D2216" s="95" t="s">
        <v>85</v>
      </c>
      <c r="E2216" s="95" t="s">
        <v>361</v>
      </c>
      <c r="F2216" s="95" t="s">
        <v>537</v>
      </c>
      <c r="G2216" s="9">
        <v>500000.0</v>
      </c>
      <c r="H2216" s="95" t="s">
        <v>530</v>
      </c>
      <c r="I2216" s="13">
        <f t="shared" ref="I2216:I2235" si="141">G2216/10</f>
        <v>50000</v>
      </c>
      <c r="J2216" s="97" t="s">
        <v>2481</v>
      </c>
      <c r="K2216" s="98"/>
      <c r="L2216" s="98"/>
    </row>
    <row r="2217">
      <c r="B2217" s="95" t="s">
        <v>526</v>
      </c>
      <c r="C2217" s="95" t="s">
        <v>2482</v>
      </c>
      <c r="D2217" s="95" t="s">
        <v>85</v>
      </c>
      <c r="E2217" s="95" t="s">
        <v>361</v>
      </c>
      <c r="F2217" s="95" t="s">
        <v>537</v>
      </c>
      <c r="G2217" s="9">
        <f>650000*0.85</f>
        <v>552500</v>
      </c>
      <c r="H2217" s="95" t="s">
        <v>530</v>
      </c>
      <c r="I2217" s="13">
        <f t="shared" si="141"/>
        <v>55250</v>
      </c>
      <c r="J2217" s="97" t="s">
        <v>2481</v>
      </c>
      <c r="K2217" s="98"/>
      <c r="L2217" s="98"/>
    </row>
    <row r="2218">
      <c r="B2218" s="95" t="s">
        <v>526</v>
      </c>
      <c r="C2218" s="95" t="s">
        <v>2483</v>
      </c>
      <c r="D2218" s="95" t="s">
        <v>85</v>
      </c>
      <c r="E2218" s="95" t="s">
        <v>361</v>
      </c>
      <c r="F2218" s="95" t="s">
        <v>537</v>
      </c>
      <c r="G2218" s="9">
        <v>450000.0</v>
      </c>
      <c r="H2218" s="95" t="s">
        <v>530</v>
      </c>
      <c r="I2218" s="13">
        <f t="shared" si="141"/>
        <v>45000</v>
      </c>
      <c r="J2218" s="97" t="s">
        <v>2481</v>
      </c>
      <c r="K2218" s="98"/>
      <c r="L2218" s="98"/>
    </row>
    <row r="2219">
      <c r="B2219" s="95" t="s">
        <v>526</v>
      </c>
      <c r="C2219" s="95" t="s">
        <v>2484</v>
      </c>
      <c r="D2219" s="95" t="s">
        <v>85</v>
      </c>
      <c r="E2219" s="95" t="s">
        <v>361</v>
      </c>
      <c r="F2219" s="95" t="s">
        <v>537</v>
      </c>
      <c r="G2219" s="9">
        <v>150000.0</v>
      </c>
      <c r="H2219" s="95" t="s">
        <v>530</v>
      </c>
      <c r="I2219" s="13">
        <f t="shared" si="141"/>
        <v>15000</v>
      </c>
      <c r="J2219" s="97" t="s">
        <v>2481</v>
      </c>
      <c r="K2219" s="98"/>
      <c r="L2219" s="98"/>
    </row>
    <row r="2220">
      <c r="B2220" s="95" t="s">
        <v>526</v>
      </c>
      <c r="C2220" s="95" t="s">
        <v>2485</v>
      </c>
      <c r="D2220" s="95" t="s">
        <v>85</v>
      </c>
      <c r="E2220" s="95" t="s">
        <v>361</v>
      </c>
      <c r="F2220" s="95" t="s">
        <v>537</v>
      </c>
      <c r="G2220" s="9">
        <v>270000.0</v>
      </c>
      <c r="H2220" s="95" t="s">
        <v>530</v>
      </c>
      <c r="I2220" s="13">
        <f t="shared" si="141"/>
        <v>27000</v>
      </c>
      <c r="J2220" s="97" t="s">
        <v>2481</v>
      </c>
      <c r="K2220" s="98"/>
      <c r="L2220" s="98"/>
    </row>
    <row r="2221">
      <c r="B2221" s="95" t="s">
        <v>526</v>
      </c>
      <c r="C2221" s="95" t="s">
        <v>2486</v>
      </c>
      <c r="D2221" s="95" t="s">
        <v>85</v>
      </c>
      <c r="E2221" s="95" t="s">
        <v>361</v>
      </c>
      <c r="F2221" s="95" t="s">
        <v>537</v>
      </c>
      <c r="G2221" s="9">
        <v>400000.0</v>
      </c>
      <c r="H2221" s="95" t="s">
        <v>530</v>
      </c>
      <c r="I2221" s="13">
        <f t="shared" si="141"/>
        <v>40000</v>
      </c>
      <c r="J2221" s="97" t="s">
        <v>2481</v>
      </c>
      <c r="K2221" s="98"/>
      <c r="L2221" s="98"/>
    </row>
    <row r="2222">
      <c r="B2222" s="95" t="s">
        <v>526</v>
      </c>
      <c r="C2222" s="95" t="s">
        <v>2487</v>
      </c>
      <c r="D2222" s="95" t="s">
        <v>85</v>
      </c>
      <c r="E2222" s="95" t="s">
        <v>361</v>
      </c>
      <c r="F2222" s="95" t="s">
        <v>537</v>
      </c>
      <c r="G2222" s="9">
        <v>300000.0</v>
      </c>
      <c r="H2222" s="95" t="s">
        <v>530</v>
      </c>
      <c r="I2222" s="13">
        <f t="shared" si="141"/>
        <v>30000</v>
      </c>
      <c r="J2222" s="97" t="s">
        <v>2481</v>
      </c>
      <c r="K2222" s="98"/>
      <c r="L2222" s="98"/>
    </row>
    <row r="2223">
      <c r="B2223" s="95" t="s">
        <v>526</v>
      </c>
      <c r="C2223" s="95" t="s">
        <v>2488</v>
      </c>
      <c r="D2223" s="95" t="s">
        <v>85</v>
      </c>
      <c r="E2223" s="95" t="s">
        <v>361</v>
      </c>
      <c r="F2223" s="95" t="s">
        <v>537</v>
      </c>
      <c r="G2223" s="9">
        <v>300000.0</v>
      </c>
      <c r="H2223" s="95" t="s">
        <v>530</v>
      </c>
      <c r="I2223" s="13">
        <f t="shared" si="141"/>
        <v>30000</v>
      </c>
      <c r="J2223" s="97" t="s">
        <v>2481</v>
      </c>
      <c r="K2223" s="98"/>
      <c r="L2223" s="98"/>
    </row>
    <row r="2224">
      <c r="B2224" s="95" t="s">
        <v>526</v>
      </c>
      <c r="C2224" s="95" t="s">
        <v>1157</v>
      </c>
      <c r="D2224" s="95" t="s">
        <v>88</v>
      </c>
      <c r="E2224" s="95" t="s">
        <v>425</v>
      </c>
      <c r="F2224" s="95" t="s">
        <v>537</v>
      </c>
      <c r="G2224" s="9">
        <v>310000.0</v>
      </c>
      <c r="H2224" s="95" t="s">
        <v>530</v>
      </c>
      <c r="I2224" s="13">
        <f t="shared" si="141"/>
        <v>31000</v>
      </c>
      <c r="J2224" s="97" t="s">
        <v>2481</v>
      </c>
      <c r="K2224" s="98"/>
      <c r="L2224" s="98"/>
    </row>
    <row r="2225">
      <c r="B2225" s="95" t="s">
        <v>526</v>
      </c>
      <c r="C2225" s="95" t="s">
        <v>788</v>
      </c>
      <c r="D2225" s="95" t="s">
        <v>222</v>
      </c>
      <c r="E2225" s="95" t="s">
        <v>2489</v>
      </c>
      <c r="F2225" s="95" t="s">
        <v>643</v>
      </c>
      <c r="G2225" s="9">
        <v>20000.0</v>
      </c>
      <c r="H2225" s="95" t="s">
        <v>530</v>
      </c>
      <c r="I2225" s="13">
        <f t="shared" si="141"/>
        <v>2000</v>
      </c>
      <c r="J2225" s="105" t="s">
        <v>2490</v>
      </c>
      <c r="K2225" s="98"/>
      <c r="L2225" s="98"/>
    </row>
    <row r="2226">
      <c r="B2226" s="95" t="s">
        <v>526</v>
      </c>
      <c r="C2226" s="95" t="s">
        <v>2491</v>
      </c>
      <c r="D2226" s="95" t="s">
        <v>69</v>
      </c>
      <c r="E2226" s="95" t="s">
        <v>542</v>
      </c>
      <c r="F2226" s="95" t="s">
        <v>643</v>
      </c>
      <c r="G2226" s="9">
        <v>110000.0</v>
      </c>
      <c r="H2226" s="95" t="s">
        <v>530</v>
      </c>
      <c r="I2226" s="13">
        <f t="shared" si="141"/>
        <v>11000</v>
      </c>
      <c r="J2226" s="98" t="s">
        <v>1310</v>
      </c>
      <c r="K2226" s="98"/>
      <c r="L2226" s="98"/>
    </row>
    <row r="2227">
      <c r="B2227" s="95" t="s">
        <v>526</v>
      </c>
      <c r="C2227" s="95" t="s">
        <v>988</v>
      </c>
      <c r="D2227" s="95" t="s">
        <v>69</v>
      </c>
      <c r="E2227" s="95" t="s">
        <v>542</v>
      </c>
      <c r="F2227" s="95" t="s">
        <v>643</v>
      </c>
      <c r="G2227" s="9">
        <v>100000.0</v>
      </c>
      <c r="H2227" s="95" t="s">
        <v>530</v>
      </c>
      <c r="I2227" s="13">
        <f t="shared" si="141"/>
        <v>10000</v>
      </c>
      <c r="J2227" s="98" t="s">
        <v>1310</v>
      </c>
      <c r="K2227" s="98"/>
      <c r="L2227" s="98"/>
    </row>
    <row r="2228">
      <c r="B2228" s="95" t="s">
        <v>526</v>
      </c>
      <c r="C2228" s="95" t="s">
        <v>1314</v>
      </c>
      <c r="D2228" s="95" t="s">
        <v>69</v>
      </c>
      <c r="E2228" s="95" t="s">
        <v>542</v>
      </c>
      <c r="F2228" s="95" t="s">
        <v>643</v>
      </c>
      <c r="G2228" s="9">
        <v>110000.0</v>
      </c>
      <c r="H2228" s="95" t="s">
        <v>530</v>
      </c>
      <c r="I2228" s="13">
        <f t="shared" si="141"/>
        <v>11000</v>
      </c>
      <c r="J2228" s="98" t="s">
        <v>1310</v>
      </c>
      <c r="K2228" s="98"/>
      <c r="L2228" s="98"/>
    </row>
    <row r="2229">
      <c r="B2229" s="95" t="s">
        <v>526</v>
      </c>
      <c r="C2229" s="95" t="s">
        <v>2492</v>
      </c>
      <c r="D2229" s="95" t="s">
        <v>69</v>
      </c>
      <c r="E2229" s="95" t="s">
        <v>542</v>
      </c>
      <c r="F2229" s="95" t="s">
        <v>586</v>
      </c>
      <c r="G2229" s="9">
        <v>100000.0</v>
      </c>
      <c r="H2229" s="95" t="s">
        <v>530</v>
      </c>
      <c r="I2229" s="13">
        <f t="shared" si="141"/>
        <v>10000</v>
      </c>
      <c r="J2229" s="98" t="s">
        <v>1310</v>
      </c>
      <c r="K2229" s="98"/>
      <c r="L2229" s="98"/>
    </row>
    <row r="2230">
      <c r="B2230" s="95" t="s">
        <v>641</v>
      </c>
      <c r="C2230" s="95" t="s">
        <v>1646</v>
      </c>
      <c r="D2230" s="95" t="s">
        <v>114</v>
      </c>
      <c r="E2230" s="95" t="s">
        <v>389</v>
      </c>
      <c r="F2230" s="95" t="s">
        <v>650</v>
      </c>
      <c r="G2230" s="9">
        <v>1100000.0</v>
      </c>
      <c r="H2230" s="95" t="s">
        <v>530</v>
      </c>
      <c r="I2230" s="13">
        <f t="shared" si="141"/>
        <v>110000</v>
      </c>
      <c r="J2230" s="97" t="s">
        <v>2493</v>
      </c>
      <c r="K2230" s="98"/>
      <c r="L2230" s="98"/>
    </row>
    <row r="2231">
      <c r="B2231" s="95" t="s">
        <v>641</v>
      </c>
      <c r="C2231" s="95" t="s">
        <v>1646</v>
      </c>
      <c r="D2231" s="95" t="s">
        <v>114</v>
      </c>
      <c r="E2231" s="95" t="s">
        <v>389</v>
      </c>
      <c r="F2231" s="95" t="s">
        <v>685</v>
      </c>
      <c r="G2231" s="9">
        <v>2000000.0</v>
      </c>
      <c r="H2231" s="95" t="s">
        <v>530</v>
      </c>
      <c r="I2231" s="13">
        <f t="shared" si="141"/>
        <v>200000</v>
      </c>
      <c r="J2231" s="97" t="s">
        <v>2493</v>
      </c>
      <c r="K2231" s="98" t="s">
        <v>2494</v>
      </c>
      <c r="L2231" s="98"/>
    </row>
    <row r="2232">
      <c r="B2232" s="95" t="s">
        <v>641</v>
      </c>
      <c r="C2232" s="95" t="s">
        <v>1647</v>
      </c>
      <c r="D2232" s="95" t="s">
        <v>114</v>
      </c>
      <c r="E2232" s="5" t="s">
        <v>157</v>
      </c>
      <c r="F2232" s="95" t="s">
        <v>643</v>
      </c>
      <c r="G2232" s="9">
        <v>250000.0</v>
      </c>
      <c r="H2232" s="95" t="s">
        <v>530</v>
      </c>
      <c r="I2232" s="13">
        <f t="shared" si="141"/>
        <v>25000</v>
      </c>
      <c r="J2232" s="97" t="s">
        <v>2495</v>
      </c>
      <c r="K2232" s="98"/>
      <c r="L2232" s="98"/>
    </row>
    <row r="2233">
      <c r="B2233" s="95" t="s">
        <v>526</v>
      </c>
      <c r="C2233" s="95" t="s">
        <v>1736</v>
      </c>
      <c r="D2233" s="95" t="s">
        <v>88</v>
      </c>
      <c r="E2233" s="95" t="s">
        <v>425</v>
      </c>
      <c r="F2233" s="95" t="s">
        <v>650</v>
      </c>
      <c r="G2233" s="9">
        <f>1600000*0.85</f>
        <v>1360000</v>
      </c>
      <c r="H2233" s="95" t="s">
        <v>530</v>
      </c>
      <c r="I2233" s="13">
        <f t="shared" si="141"/>
        <v>136000</v>
      </c>
      <c r="J2233" s="118" t="s">
        <v>1737</v>
      </c>
      <c r="K2233" s="98"/>
      <c r="L2233" s="98"/>
    </row>
    <row r="2234">
      <c r="B2234" s="95" t="s">
        <v>526</v>
      </c>
      <c r="C2234" s="95" t="s">
        <v>1736</v>
      </c>
      <c r="D2234" s="95" t="s">
        <v>114</v>
      </c>
      <c r="E2234" s="95" t="s">
        <v>389</v>
      </c>
      <c r="F2234" s="95" t="s">
        <v>685</v>
      </c>
      <c r="G2234" s="9">
        <v>2500000.0</v>
      </c>
      <c r="H2234" s="95" t="s">
        <v>530</v>
      </c>
      <c r="I2234" s="13">
        <f t="shared" si="141"/>
        <v>250000</v>
      </c>
      <c r="J2234" s="118" t="s">
        <v>2496</v>
      </c>
      <c r="K2234" s="97" t="s">
        <v>2497</v>
      </c>
      <c r="L2234" s="97" t="s">
        <v>2498</v>
      </c>
    </row>
    <row r="2235">
      <c r="B2235" s="95" t="s">
        <v>526</v>
      </c>
      <c r="C2235" s="95" t="s">
        <v>1379</v>
      </c>
      <c r="D2235" s="95" t="s">
        <v>114</v>
      </c>
      <c r="E2235" s="95" t="s">
        <v>396</v>
      </c>
      <c r="F2235" s="95" t="s">
        <v>920</v>
      </c>
      <c r="G2235" s="9">
        <v>1000000.0</v>
      </c>
      <c r="H2235" s="95" t="s">
        <v>530</v>
      </c>
      <c r="I2235" s="13">
        <f t="shared" si="141"/>
        <v>100000</v>
      </c>
      <c r="J2235" s="97" t="s">
        <v>2499</v>
      </c>
      <c r="K2235" s="98"/>
      <c r="L2235" s="98"/>
    </row>
    <row r="2236">
      <c r="B2236" s="95" t="s">
        <v>641</v>
      </c>
      <c r="C2236" s="95" t="s">
        <v>1647</v>
      </c>
      <c r="D2236" s="95" t="s">
        <v>13</v>
      </c>
      <c r="E2236" s="5" t="s">
        <v>19</v>
      </c>
      <c r="F2236" s="95" t="s">
        <v>586</v>
      </c>
      <c r="G2236" s="9">
        <v>500000.0</v>
      </c>
      <c r="H2236" s="95" t="s">
        <v>635</v>
      </c>
      <c r="I2236" s="13">
        <f>G2236/6</f>
        <v>83333.33333</v>
      </c>
      <c r="J2236" s="97" t="s">
        <v>2500</v>
      </c>
      <c r="K2236" s="98"/>
      <c r="L2236" s="98"/>
    </row>
    <row r="2237">
      <c r="B2237" s="95" t="s">
        <v>641</v>
      </c>
      <c r="C2237" s="95" t="s">
        <v>1647</v>
      </c>
      <c r="D2237" s="95" t="s">
        <v>13</v>
      </c>
      <c r="E2237" s="5" t="s">
        <v>19</v>
      </c>
      <c r="F2237" s="95" t="s">
        <v>650</v>
      </c>
      <c r="G2237" s="9">
        <v>1000000.0</v>
      </c>
      <c r="H2237" s="95" t="s">
        <v>530</v>
      </c>
      <c r="I2237" s="13">
        <f t="shared" ref="I2237:I2239" si="142">G2237/10</f>
        <v>100000</v>
      </c>
      <c r="J2237" s="97" t="s">
        <v>2500</v>
      </c>
      <c r="K2237" s="98"/>
      <c r="L2237" s="98"/>
    </row>
    <row r="2238">
      <c r="B2238" s="95" t="s">
        <v>526</v>
      </c>
      <c r="C2238" s="95" t="s">
        <v>1196</v>
      </c>
      <c r="D2238" s="95" t="s">
        <v>88</v>
      </c>
      <c r="E2238" s="95" t="s">
        <v>425</v>
      </c>
      <c r="F2238" s="95" t="s">
        <v>650</v>
      </c>
      <c r="G2238" s="9">
        <v>1000000.0</v>
      </c>
      <c r="H2238" s="95" t="s">
        <v>530</v>
      </c>
      <c r="I2238" s="13">
        <f t="shared" si="142"/>
        <v>100000</v>
      </c>
      <c r="J2238" s="97" t="s">
        <v>2501</v>
      </c>
      <c r="K2238" s="98" t="s">
        <v>2502</v>
      </c>
      <c r="L2238" s="98"/>
    </row>
    <row r="2239">
      <c r="B2239" s="95" t="s">
        <v>526</v>
      </c>
      <c r="C2239" s="95" t="s">
        <v>1733</v>
      </c>
      <c r="D2239" s="95" t="s">
        <v>195</v>
      </c>
      <c r="E2239" s="95" t="s">
        <v>1769</v>
      </c>
      <c r="F2239" s="95" t="s">
        <v>685</v>
      </c>
      <c r="G2239" s="9">
        <v>1500000.0</v>
      </c>
      <c r="H2239" s="95" t="s">
        <v>530</v>
      </c>
      <c r="I2239" s="13">
        <f t="shared" si="142"/>
        <v>150000</v>
      </c>
      <c r="J2239" s="97" t="s">
        <v>2503</v>
      </c>
      <c r="K2239" s="98" t="s">
        <v>2504</v>
      </c>
      <c r="L2239" s="98"/>
    </row>
    <row r="2240">
      <c r="B2240" s="95" t="s">
        <v>526</v>
      </c>
      <c r="C2240" s="95" t="s">
        <v>2505</v>
      </c>
      <c r="D2240" s="95" t="s">
        <v>2102</v>
      </c>
      <c r="E2240" s="95" t="s">
        <v>2103</v>
      </c>
      <c r="F2240" s="95" t="s">
        <v>685</v>
      </c>
      <c r="G2240" s="9">
        <f>0.88*700000</f>
        <v>616000</v>
      </c>
      <c r="H2240" s="95" t="s">
        <v>1155</v>
      </c>
      <c r="I2240" s="13">
        <f t="shared" ref="I2240:I2241" si="143">G2240/8</f>
        <v>77000</v>
      </c>
      <c r="J2240" s="97" t="s">
        <v>2506</v>
      </c>
      <c r="K2240" s="98"/>
      <c r="L2240" s="98"/>
    </row>
    <row r="2241">
      <c r="B2241" s="95" t="s">
        <v>526</v>
      </c>
      <c r="C2241" s="95" t="s">
        <v>2505</v>
      </c>
      <c r="D2241" s="95" t="s">
        <v>2102</v>
      </c>
      <c r="E2241" s="95" t="s">
        <v>2103</v>
      </c>
      <c r="F2241" s="95" t="s">
        <v>643</v>
      </c>
      <c r="G2241" s="9">
        <f>0.9*370000</f>
        <v>333000</v>
      </c>
      <c r="H2241" s="95" t="s">
        <v>1155</v>
      </c>
      <c r="I2241" s="13">
        <f t="shared" si="143"/>
        <v>41625</v>
      </c>
      <c r="J2241" s="97" t="s">
        <v>2506</v>
      </c>
      <c r="K2241" s="98"/>
      <c r="L2241" s="98"/>
    </row>
    <row r="2242">
      <c r="B2242" s="95" t="s">
        <v>526</v>
      </c>
      <c r="C2242" s="95" t="s">
        <v>2507</v>
      </c>
      <c r="D2242" s="95" t="s">
        <v>1024</v>
      </c>
      <c r="E2242" s="95" t="s">
        <v>2508</v>
      </c>
      <c r="F2242" s="95" t="s">
        <v>650</v>
      </c>
      <c r="G2242" s="9">
        <f>0.85*2000000</f>
        <v>1700000</v>
      </c>
      <c r="H2242" s="95" t="s">
        <v>728</v>
      </c>
      <c r="I2242" s="13">
        <f>G2242/7</f>
        <v>242857.1429</v>
      </c>
      <c r="J2242" s="97" t="s">
        <v>2509</v>
      </c>
      <c r="K2242" s="98"/>
      <c r="L2242" s="98"/>
    </row>
    <row r="2243">
      <c r="B2243" s="95" t="s">
        <v>526</v>
      </c>
      <c r="C2243" s="95" t="s">
        <v>701</v>
      </c>
      <c r="D2243" s="95" t="s">
        <v>114</v>
      </c>
      <c r="E2243" s="95" t="s">
        <v>389</v>
      </c>
      <c r="F2243" s="95" t="s">
        <v>685</v>
      </c>
      <c r="G2243" s="9">
        <v>2800000.0</v>
      </c>
      <c r="H2243" s="95" t="s">
        <v>530</v>
      </c>
      <c r="I2243" s="13">
        <f t="shared" ref="I2243:I2248" si="144">G2243/10</f>
        <v>280000</v>
      </c>
      <c r="J2243" s="97" t="s">
        <v>2510</v>
      </c>
      <c r="K2243" s="97" t="s">
        <v>2511</v>
      </c>
      <c r="L2243" s="98"/>
    </row>
    <row r="2244">
      <c r="B2244" s="95" t="s">
        <v>526</v>
      </c>
      <c r="C2244" s="95" t="s">
        <v>663</v>
      </c>
      <c r="D2244" s="95" t="s">
        <v>140</v>
      </c>
      <c r="E2244" s="95" t="s">
        <v>178</v>
      </c>
      <c r="F2244" s="95" t="s">
        <v>685</v>
      </c>
      <c r="G2244" s="9">
        <v>2200000.0</v>
      </c>
      <c r="H2244" s="95" t="s">
        <v>530</v>
      </c>
      <c r="I2244" s="13">
        <f t="shared" si="144"/>
        <v>220000</v>
      </c>
      <c r="J2244" s="97" t="s">
        <v>2512</v>
      </c>
      <c r="K2244" s="98" t="s">
        <v>1753</v>
      </c>
      <c r="L2244" s="97" t="s">
        <v>2513</v>
      </c>
    </row>
    <row r="2245">
      <c r="B2245" s="95" t="s">
        <v>526</v>
      </c>
      <c r="C2245" s="95" t="s">
        <v>1195</v>
      </c>
      <c r="D2245" s="95" t="s">
        <v>174</v>
      </c>
      <c r="E2245" s="95" t="s">
        <v>419</v>
      </c>
      <c r="F2245" s="95" t="s">
        <v>685</v>
      </c>
      <c r="G2245" s="9">
        <f>1500000*0.88</f>
        <v>1320000</v>
      </c>
      <c r="H2245" s="95" t="s">
        <v>530</v>
      </c>
      <c r="I2245" s="13">
        <f t="shared" si="144"/>
        <v>132000</v>
      </c>
      <c r="J2245" s="97" t="s">
        <v>2514</v>
      </c>
      <c r="K2245" s="98" t="s">
        <v>1753</v>
      </c>
      <c r="L2245" s="98"/>
    </row>
    <row r="2246">
      <c r="B2246" s="95" t="s">
        <v>526</v>
      </c>
      <c r="C2246" s="95" t="s">
        <v>1383</v>
      </c>
      <c r="D2246" s="95" t="s">
        <v>195</v>
      </c>
      <c r="E2246" s="95" t="s">
        <v>432</v>
      </c>
      <c r="F2246" s="95" t="s">
        <v>685</v>
      </c>
      <c r="G2246" s="9">
        <f>3000000*0.88</f>
        <v>2640000</v>
      </c>
      <c r="H2246" s="95" t="s">
        <v>530</v>
      </c>
      <c r="I2246" s="13">
        <f t="shared" si="144"/>
        <v>264000</v>
      </c>
      <c r="J2246" s="97" t="s">
        <v>2515</v>
      </c>
      <c r="K2246" s="98" t="s">
        <v>2516</v>
      </c>
      <c r="L2246" s="97" t="s">
        <v>1773</v>
      </c>
    </row>
    <row r="2247">
      <c r="B2247" s="95" t="s">
        <v>526</v>
      </c>
      <c r="C2247" s="95" t="s">
        <v>1225</v>
      </c>
      <c r="D2247" s="95" t="s">
        <v>174</v>
      </c>
      <c r="E2247" s="95" t="s">
        <v>411</v>
      </c>
      <c r="F2247" s="95" t="s">
        <v>685</v>
      </c>
      <c r="G2247" s="9">
        <f>1700000*0.88</f>
        <v>1496000</v>
      </c>
      <c r="H2247" s="95" t="s">
        <v>530</v>
      </c>
      <c r="I2247" s="13">
        <f t="shared" si="144"/>
        <v>149600</v>
      </c>
      <c r="J2247" s="97" t="s">
        <v>2517</v>
      </c>
      <c r="K2247" s="97" t="s">
        <v>2518</v>
      </c>
      <c r="L2247" s="98" t="s">
        <v>2519</v>
      </c>
    </row>
    <row r="2248">
      <c r="B2248" s="95" t="s">
        <v>526</v>
      </c>
      <c r="C2248" s="95" t="s">
        <v>849</v>
      </c>
      <c r="D2248" s="95" t="s">
        <v>114</v>
      </c>
      <c r="E2248" s="95" t="s">
        <v>396</v>
      </c>
      <c r="F2248" s="95" t="s">
        <v>685</v>
      </c>
      <c r="G2248" s="9">
        <f>4000000*0.88</f>
        <v>3520000</v>
      </c>
      <c r="H2248" s="95" t="s">
        <v>530</v>
      </c>
      <c r="I2248" s="13">
        <f t="shared" si="144"/>
        <v>352000</v>
      </c>
      <c r="J2248" s="97" t="s">
        <v>2520</v>
      </c>
      <c r="K2248" s="98" t="s">
        <v>2521</v>
      </c>
      <c r="L2248" s="98"/>
    </row>
    <row r="2249">
      <c r="B2249" s="95" t="s">
        <v>526</v>
      </c>
      <c r="C2249" s="95" t="s">
        <v>2522</v>
      </c>
      <c r="D2249" s="95" t="s">
        <v>195</v>
      </c>
      <c r="E2249" s="95" t="s">
        <v>432</v>
      </c>
      <c r="F2249" s="95" t="s">
        <v>586</v>
      </c>
      <c r="G2249" s="9">
        <v>250000.0</v>
      </c>
      <c r="H2249" s="95" t="s">
        <v>745</v>
      </c>
      <c r="I2249" s="13">
        <f>G2249/5</f>
        <v>50000</v>
      </c>
      <c r="J2249" s="97" t="s">
        <v>2523</v>
      </c>
      <c r="K2249" s="97" t="s">
        <v>2524</v>
      </c>
      <c r="L2249" s="98"/>
    </row>
    <row r="2250">
      <c r="B2250" s="95" t="s">
        <v>526</v>
      </c>
      <c r="C2250" s="95" t="s">
        <v>2522</v>
      </c>
      <c r="D2250" s="95" t="s">
        <v>195</v>
      </c>
      <c r="E2250" s="95" t="s">
        <v>432</v>
      </c>
      <c r="F2250" s="95" t="s">
        <v>650</v>
      </c>
      <c r="G2250" s="9">
        <v>600000.0</v>
      </c>
      <c r="H2250" s="95" t="s">
        <v>530</v>
      </c>
      <c r="I2250" s="13">
        <f t="shared" ref="I2250:I2256" si="145">G2250/10</f>
        <v>60000</v>
      </c>
      <c r="J2250" s="97" t="s">
        <v>2523</v>
      </c>
      <c r="K2250" s="97" t="s">
        <v>2524</v>
      </c>
      <c r="L2250" s="98"/>
    </row>
    <row r="2251">
      <c r="B2251" s="95" t="s">
        <v>641</v>
      </c>
      <c r="C2251" s="95" t="s">
        <v>2017</v>
      </c>
      <c r="D2251" s="95" t="s">
        <v>222</v>
      </c>
      <c r="E2251" s="95" t="s">
        <v>1366</v>
      </c>
      <c r="F2251" s="95" t="s">
        <v>650</v>
      </c>
      <c r="G2251" s="9">
        <v>300000.0</v>
      </c>
      <c r="H2251" s="95" t="s">
        <v>530</v>
      </c>
      <c r="I2251" s="13">
        <f t="shared" si="145"/>
        <v>30000</v>
      </c>
      <c r="J2251" s="97" t="s">
        <v>2525</v>
      </c>
      <c r="K2251" s="98"/>
      <c r="L2251" s="98"/>
    </row>
    <row r="2252">
      <c r="B2252" s="95" t="s">
        <v>641</v>
      </c>
      <c r="C2252" s="95" t="s">
        <v>2526</v>
      </c>
      <c r="D2252" s="95" t="s">
        <v>222</v>
      </c>
      <c r="E2252" s="95" t="s">
        <v>313</v>
      </c>
      <c r="F2252" s="95" t="s">
        <v>643</v>
      </c>
      <c r="G2252" s="9">
        <f>0.9*90000</f>
        <v>81000</v>
      </c>
      <c r="H2252" s="95" t="s">
        <v>530</v>
      </c>
      <c r="I2252" s="13">
        <f t="shared" si="145"/>
        <v>8100</v>
      </c>
      <c r="J2252" s="97" t="s">
        <v>2527</v>
      </c>
      <c r="K2252" s="98"/>
      <c r="L2252" s="98"/>
    </row>
    <row r="2253">
      <c r="B2253" s="95" t="s">
        <v>526</v>
      </c>
      <c r="C2253" s="95" t="s">
        <v>2528</v>
      </c>
      <c r="D2253" s="95" t="s">
        <v>195</v>
      </c>
      <c r="E2253" s="95" t="s">
        <v>2005</v>
      </c>
      <c r="F2253" s="95" t="s">
        <v>650</v>
      </c>
      <c r="G2253" s="9">
        <v>550000.0</v>
      </c>
      <c r="H2253" s="95" t="s">
        <v>530</v>
      </c>
      <c r="I2253" s="13">
        <f t="shared" si="145"/>
        <v>55000</v>
      </c>
      <c r="J2253" s="97" t="s">
        <v>2529</v>
      </c>
      <c r="K2253" s="98"/>
      <c r="L2253" s="98"/>
    </row>
    <row r="2254">
      <c r="B2254" s="95" t="s">
        <v>526</v>
      </c>
      <c r="C2254" s="95" t="s">
        <v>1620</v>
      </c>
      <c r="D2254" s="95" t="s">
        <v>222</v>
      </c>
      <c r="E2254" s="95" t="s">
        <v>313</v>
      </c>
      <c r="F2254" s="95" t="s">
        <v>586</v>
      </c>
      <c r="G2254" s="9">
        <v>400000.0</v>
      </c>
      <c r="H2254" s="95" t="s">
        <v>530</v>
      </c>
      <c r="I2254" s="13">
        <f t="shared" si="145"/>
        <v>40000</v>
      </c>
      <c r="J2254" s="97" t="s">
        <v>2530</v>
      </c>
      <c r="K2254" s="97" t="s">
        <v>2531</v>
      </c>
      <c r="L2254" s="98"/>
    </row>
    <row r="2255">
      <c r="B2255" s="95" t="s">
        <v>526</v>
      </c>
      <c r="C2255" s="95" t="s">
        <v>2532</v>
      </c>
      <c r="D2255" s="95" t="s">
        <v>222</v>
      </c>
      <c r="E2255" s="5" t="s">
        <v>313</v>
      </c>
      <c r="F2255" s="95" t="s">
        <v>586</v>
      </c>
      <c r="G2255" s="9">
        <f>0.92*80000</f>
        <v>73600</v>
      </c>
      <c r="H2255" s="95" t="s">
        <v>530</v>
      </c>
      <c r="I2255" s="13">
        <f t="shared" si="145"/>
        <v>7360</v>
      </c>
      <c r="J2255" s="97" t="s">
        <v>2533</v>
      </c>
      <c r="K2255" s="98"/>
      <c r="L2255" s="98"/>
    </row>
    <row r="2256">
      <c r="B2256" s="95" t="s">
        <v>526</v>
      </c>
      <c r="C2256" s="95" t="s">
        <v>2534</v>
      </c>
      <c r="D2256" s="95" t="s">
        <v>222</v>
      </c>
      <c r="E2256" s="95" t="s">
        <v>313</v>
      </c>
      <c r="F2256" s="95" t="s">
        <v>586</v>
      </c>
      <c r="G2256" s="9">
        <f>170000*0.92</f>
        <v>156400</v>
      </c>
      <c r="H2256" s="95" t="s">
        <v>530</v>
      </c>
      <c r="I2256" s="13">
        <f t="shared" si="145"/>
        <v>15640</v>
      </c>
      <c r="J2256" s="97" t="s">
        <v>2535</v>
      </c>
      <c r="K2256" s="98"/>
      <c r="L2256" s="98"/>
    </row>
    <row r="2257">
      <c r="B2257" s="95" t="s">
        <v>526</v>
      </c>
      <c r="C2257" s="95" t="s">
        <v>1407</v>
      </c>
      <c r="D2257" s="95" t="s">
        <v>222</v>
      </c>
      <c r="E2257" s="95" t="s">
        <v>1366</v>
      </c>
      <c r="F2257" s="95" t="s">
        <v>763</v>
      </c>
      <c r="G2257" s="9">
        <v>600000.0</v>
      </c>
      <c r="H2257" s="95" t="s">
        <v>680</v>
      </c>
      <c r="I2257" s="13">
        <f>G2257/4</f>
        <v>150000</v>
      </c>
      <c r="J2257" s="97" t="s">
        <v>2536</v>
      </c>
      <c r="K2257" s="98"/>
      <c r="L2257" s="98"/>
    </row>
    <row r="2258">
      <c r="B2258" s="95" t="s">
        <v>526</v>
      </c>
      <c r="C2258" s="95" t="s">
        <v>2537</v>
      </c>
      <c r="D2258" s="95" t="s">
        <v>222</v>
      </c>
      <c r="E2258" s="95" t="s">
        <v>2538</v>
      </c>
      <c r="F2258" s="95" t="s">
        <v>650</v>
      </c>
      <c r="G2258" s="9">
        <v>500000.0</v>
      </c>
      <c r="H2258" s="95" t="s">
        <v>530</v>
      </c>
      <c r="I2258" s="13">
        <f t="shared" ref="I2258:I2299" si="146">G2258/10</f>
        <v>50000</v>
      </c>
      <c r="J2258" s="97" t="s">
        <v>2539</v>
      </c>
      <c r="K2258" s="98" t="s">
        <v>2540</v>
      </c>
      <c r="L2258" s="97" t="s">
        <v>2541</v>
      </c>
    </row>
    <row r="2259">
      <c r="B2259" s="95" t="s">
        <v>526</v>
      </c>
      <c r="C2259" s="95" t="s">
        <v>2537</v>
      </c>
      <c r="D2259" s="95" t="s">
        <v>222</v>
      </c>
      <c r="E2259" s="95" t="s">
        <v>299</v>
      </c>
      <c r="F2259" s="95" t="s">
        <v>586</v>
      </c>
      <c r="G2259" s="9">
        <v>280000.0</v>
      </c>
      <c r="H2259" s="95" t="s">
        <v>530</v>
      </c>
      <c r="I2259" s="13">
        <f t="shared" si="146"/>
        <v>28000</v>
      </c>
      <c r="J2259" s="97" t="s">
        <v>2541</v>
      </c>
      <c r="K2259" s="98"/>
      <c r="L2259" s="98"/>
    </row>
    <row r="2260">
      <c r="B2260" s="95" t="s">
        <v>526</v>
      </c>
      <c r="C2260" s="95" t="s">
        <v>1831</v>
      </c>
      <c r="D2260" s="95" t="s">
        <v>222</v>
      </c>
      <c r="E2260" s="95" t="s">
        <v>1366</v>
      </c>
      <c r="F2260" s="95" t="s">
        <v>586</v>
      </c>
      <c r="G2260" s="9">
        <v>1200000.0</v>
      </c>
      <c r="H2260" s="95" t="s">
        <v>530</v>
      </c>
      <c r="I2260" s="13">
        <f t="shared" si="146"/>
        <v>120000</v>
      </c>
      <c r="J2260" s="97" t="s">
        <v>2542</v>
      </c>
      <c r="K2260" s="97" t="s">
        <v>1883</v>
      </c>
      <c r="L2260" s="97" t="s">
        <v>2543</v>
      </c>
    </row>
    <row r="2261">
      <c r="B2261" s="95" t="s">
        <v>526</v>
      </c>
      <c r="C2261" s="95" t="s">
        <v>1407</v>
      </c>
      <c r="D2261" s="95" t="s">
        <v>222</v>
      </c>
      <c r="E2261" s="95" t="s">
        <v>1366</v>
      </c>
      <c r="F2261" s="95" t="s">
        <v>586</v>
      </c>
      <c r="G2261" s="9">
        <v>2000000.0</v>
      </c>
      <c r="H2261" s="95" t="s">
        <v>530</v>
      </c>
      <c r="I2261" s="13">
        <f t="shared" si="146"/>
        <v>200000</v>
      </c>
      <c r="J2261" s="97" t="s">
        <v>2542</v>
      </c>
      <c r="K2261" s="98"/>
      <c r="L2261" s="98"/>
    </row>
    <row r="2262">
      <c r="B2262" s="95" t="s">
        <v>526</v>
      </c>
      <c r="C2262" s="95" t="s">
        <v>2544</v>
      </c>
      <c r="D2262" s="95" t="s">
        <v>222</v>
      </c>
      <c r="E2262" s="95" t="s">
        <v>2538</v>
      </c>
      <c r="F2262" s="95" t="s">
        <v>650</v>
      </c>
      <c r="G2262" s="9">
        <v>550000.0</v>
      </c>
      <c r="H2262" s="95" t="s">
        <v>530</v>
      </c>
      <c r="I2262" s="13">
        <f t="shared" si="146"/>
        <v>55000</v>
      </c>
      <c r="J2262" s="97" t="s">
        <v>2545</v>
      </c>
      <c r="K2262" s="98"/>
      <c r="L2262" s="98"/>
    </row>
    <row r="2263">
      <c r="B2263" s="95" t="s">
        <v>526</v>
      </c>
      <c r="C2263" s="95" t="s">
        <v>911</v>
      </c>
      <c r="D2263" s="95" t="s">
        <v>69</v>
      </c>
      <c r="E2263" s="95" t="s">
        <v>542</v>
      </c>
      <c r="F2263" s="95" t="s">
        <v>685</v>
      </c>
      <c r="G2263" s="9">
        <v>120000.0</v>
      </c>
      <c r="H2263" s="95" t="s">
        <v>530</v>
      </c>
      <c r="I2263" s="13">
        <f t="shared" si="146"/>
        <v>12000</v>
      </c>
      <c r="J2263" s="105" t="s">
        <v>2546</v>
      </c>
      <c r="K2263" s="98"/>
      <c r="L2263" s="98"/>
    </row>
    <row r="2264">
      <c r="B2264" s="95" t="s">
        <v>526</v>
      </c>
      <c r="C2264" s="95" t="s">
        <v>2547</v>
      </c>
      <c r="D2264" s="95" t="s">
        <v>69</v>
      </c>
      <c r="E2264" s="95" t="s">
        <v>550</v>
      </c>
      <c r="F2264" s="95" t="s">
        <v>685</v>
      </c>
      <c r="G2264" s="9">
        <v>100000.0</v>
      </c>
      <c r="H2264" s="95" t="s">
        <v>530</v>
      </c>
      <c r="I2264" s="13">
        <f t="shared" si="146"/>
        <v>10000</v>
      </c>
      <c r="J2264" s="105" t="s">
        <v>2546</v>
      </c>
      <c r="K2264" s="98" t="s">
        <v>2548</v>
      </c>
      <c r="L2264" s="98"/>
    </row>
    <row r="2265">
      <c r="B2265" s="95" t="s">
        <v>526</v>
      </c>
      <c r="C2265" s="95" t="s">
        <v>973</v>
      </c>
      <c r="D2265" s="95" t="s">
        <v>69</v>
      </c>
      <c r="E2265" s="95" t="s">
        <v>542</v>
      </c>
      <c r="F2265" s="95" t="s">
        <v>650</v>
      </c>
      <c r="G2265" s="9">
        <v>200000.0</v>
      </c>
      <c r="H2265" s="95" t="s">
        <v>530</v>
      </c>
      <c r="I2265" s="13">
        <f t="shared" si="146"/>
        <v>20000</v>
      </c>
      <c r="J2265" s="105" t="s">
        <v>2546</v>
      </c>
      <c r="K2265" s="98"/>
      <c r="L2265" s="98"/>
    </row>
    <row r="2266">
      <c r="B2266" s="95" t="s">
        <v>641</v>
      </c>
      <c r="C2266" s="95" t="s">
        <v>2526</v>
      </c>
      <c r="D2266" s="95" t="s">
        <v>222</v>
      </c>
      <c r="E2266" s="95" t="s">
        <v>313</v>
      </c>
      <c r="F2266" s="95" t="s">
        <v>586</v>
      </c>
      <c r="G2266" s="9">
        <f>0.92*90000</f>
        <v>82800</v>
      </c>
      <c r="H2266" s="95" t="s">
        <v>530</v>
      </c>
      <c r="I2266" s="13">
        <f t="shared" si="146"/>
        <v>8280</v>
      </c>
      <c r="J2266" s="97" t="s">
        <v>2527</v>
      </c>
      <c r="K2266" s="98"/>
      <c r="L2266" s="98"/>
    </row>
    <row r="2267">
      <c r="B2267" s="95" t="s">
        <v>526</v>
      </c>
      <c r="C2267" s="95" t="s">
        <v>1706</v>
      </c>
      <c r="D2267" s="95" t="s">
        <v>195</v>
      </c>
      <c r="E2267" s="5" t="s">
        <v>402</v>
      </c>
      <c r="F2267" s="95" t="s">
        <v>586</v>
      </c>
      <c r="G2267" s="9">
        <f>0.92*500000</f>
        <v>460000</v>
      </c>
      <c r="H2267" s="95" t="s">
        <v>530</v>
      </c>
      <c r="I2267" s="13">
        <f t="shared" si="146"/>
        <v>46000</v>
      </c>
      <c r="J2267" s="97" t="s">
        <v>2549</v>
      </c>
      <c r="K2267" s="98"/>
      <c r="L2267" s="98"/>
    </row>
    <row r="2268">
      <c r="B2268" s="95" t="s">
        <v>526</v>
      </c>
      <c r="C2268" s="95" t="s">
        <v>2550</v>
      </c>
      <c r="D2268" s="95" t="s">
        <v>59</v>
      </c>
      <c r="E2268" s="5" t="s">
        <v>356</v>
      </c>
      <c r="F2268" s="95" t="s">
        <v>586</v>
      </c>
      <c r="G2268" s="9">
        <v>190000.0</v>
      </c>
      <c r="H2268" s="95" t="s">
        <v>530</v>
      </c>
      <c r="I2268" s="13">
        <f t="shared" si="146"/>
        <v>19000</v>
      </c>
      <c r="J2268" s="97" t="s">
        <v>2551</v>
      </c>
      <c r="K2268" s="98"/>
      <c r="L2268" s="98"/>
    </row>
    <row r="2269">
      <c r="B2269" s="95" t="s">
        <v>526</v>
      </c>
      <c r="C2269" s="95" t="s">
        <v>2550</v>
      </c>
      <c r="D2269" s="95" t="s">
        <v>140</v>
      </c>
      <c r="E2269" s="5" t="s">
        <v>224</v>
      </c>
      <c r="F2269" s="95" t="s">
        <v>906</v>
      </c>
      <c r="G2269" s="9">
        <v>350000.0</v>
      </c>
      <c r="H2269" s="95" t="s">
        <v>530</v>
      </c>
      <c r="I2269" s="13">
        <f t="shared" si="146"/>
        <v>35000</v>
      </c>
      <c r="J2269" s="97" t="s">
        <v>2552</v>
      </c>
      <c r="K2269" s="98"/>
      <c r="L2269" s="98"/>
    </row>
    <row r="2270">
      <c r="B2270" s="95" t="s">
        <v>526</v>
      </c>
      <c r="C2270" s="95" t="s">
        <v>2550</v>
      </c>
      <c r="D2270" s="95" t="s">
        <v>140</v>
      </c>
      <c r="E2270" s="5" t="s">
        <v>221</v>
      </c>
      <c r="F2270" s="95" t="s">
        <v>738</v>
      </c>
      <c r="G2270" s="9">
        <v>300000.0</v>
      </c>
      <c r="H2270" s="95" t="s">
        <v>530</v>
      </c>
      <c r="I2270" s="13">
        <f t="shared" si="146"/>
        <v>30000</v>
      </c>
      <c r="J2270" s="97" t="s">
        <v>2553</v>
      </c>
      <c r="K2270" s="98"/>
      <c r="L2270" s="98"/>
    </row>
    <row r="2271">
      <c r="B2271" s="95" t="s">
        <v>526</v>
      </c>
      <c r="C2271" s="95" t="s">
        <v>2550</v>
      </c>
      <c r="D2271" s="95" t="s">
        <v>140</v>
      </c>
      <c r="E2271" s="5" t="s">
        <v>221</v>
      </c>
      <c r="F2271" s="95" t="s">
        <v>643</v>
      </c>
      <c r="G2271" s="9">
        <v>300000.0</v>
      </c>
      <c r="H2271" s="95" t="s">
        <v>530</v>
      </c>
      <c r="I2271" s="13">
        <f t="shared" si="146"/>
        <v>30000</v>
      </c>
      <c r="J2271" s="97" t="s">
        <v>2553</v>
      </c>
      <c r="K2271" s="97" t="s">
        <v>2554</v>
      </c>
      <c r="L2271" s="98"/>
    </row>
    <row r="2272">
      <c r="B2272" s="95" t="s">
        <v>526</v>
      </c>
      <c r="C2272" s="95" t="s">
        <v>2550</v>
      </c>
      <c r="D2272" s="95" t="s">
        <v>20</v>
      </c>
      <c r="E2272" s="5" t="s">
        <v>2555</v>
      </c>
      <c r="F2272" s="148" t="s">
        <v>2556</v>
      </c>
      <c r="G2272" s="9">
        <v>2000.0</v>
      </c>
      <c r="H2272" s="95" t="s">
        <v>530</v>
      </c>
      <c r="I2272" s="13">
        <f t="shared" si="146"/>
        <v>200</v>
      </c>
      <c r="J2272" s="97" t="s">
        <v>2557</v>
      </c>
      <c r="K2272" s="98"/>
      <c r="L2272" s="98"/>
    </row>
    <row r="2273">
      <c r="B2273" s="95" t="s">
        <v>526</v>
      </c>
      <c r="C2273" s="95" t="s">
        <v>2550</v>
      </c>
      <c r="D2273" s="95" t="s">
        <v>20</v>
      </c>
      <c r="E2273" s="5" t="s">
        <v>2555</v>
      </c>
      <c r="F2273" s="148" t="s">
        <v>2558</v>
      </c>
      <c r="G2273" s="9">
        <v>2000.0</v>
      </c>
      <c r="H2273" s="95" t="s">
        <v>530</v>
      </c>
      <c r="I2273" s="13">
        <f t="shared" si="146"/>
        <v>200</v>
      </c>
      <c r="J2273" s="97" t="s">
        <v>2557</v>
      </c>
      <c r="K2273" s="98"/>
      <c r="L2273" s="98"/>
    </row>
    <row r="2274">
      <c r="B2274" s="95" t="s">
        <v>526</v>
      </c>
      <c r="C2274" s="95" t="s">
        <v>2550</v>
      </c>
      <c r="D2274" s="95" t="s">
        <v>20</v>
      </c>
      <c r="E2274" s="5" t="s">
        <v>2555</v>
      </c>
      <c r="F2274" s="148" t="s">
        <v>2559</v>
      </c>
      <c r="G2274" s="9">
        <v>3000.0</v>
      </c>
      <c r="H2274" s="95" t="s">
        <v>530</v>
      </c>
      <c r="I2274" s="13">
        <f t="shared" si="146"/>
        <v>300</v>
      </c>
      <c r="J2274" s="97" t="s">
        <v>2557</v>
      </c>
      <c r="K2274" s="98"/>
      <c r="L2274" s="98"/>
    </row>
    <row r="2275">
      <c r="B2275" s="95" t="s">
        <v>526</v>
      </c>
      <c r="C2275" s="95" t="s">
        <v>1706</v>
      </c>
      <c r="D2275" s="95" t="s">
        <v>195</v>
      </c>
      <c r="E2275" s="5" t="s">
        <v>1881</v>
      </c>
      <c r="F2275" s="95" t="s">
        <v>643</v>
      </c>
      <c r="G2275" s="9">
        <f>0.9*450000</f>
        <v>405000</v>
      </c>
      <c r="H2275" s="95" t="s">
        <v>530</v>
      </c>
      <c r="I2275" s="13">
        <f t="shared" si="146"/>
        <v>40500</v>
      </c>
      <c r="J2275" s="143" t="s">
        <v>2560</v>
      </c>
      <c r="K2275" s="98"/>
      <c r="L2275" s="98"/>
    </row>
    <row r="2276">
      <c r="B2276" s="95" t="s">
        <v>526</v>
      </c>
      <c r="C2276" s="95" t="s">
        <v>2561</v>
      </c>
      <c r="D2276" s="95" t="s">
        <v>195</v>
      </c>
      <c r="E2276" s="5" t="s">
        <v>402</v>
      </c>
      <c r="F2276" s="95" t="s">
        <v>643</v>
      </c>
      <c r="G2276" s="9">
        <f>400000*0.9</f>
        <v>360000</v>
      </c>
      <c r="H2276" s="95" t="s">
        <v>530</v>
      </c>
      <c r="I2276" s="13">
        <f t="shared" si="146"/>
        <v>36000</v>
      </c>
      <c r="J2276" s="97" t="s">
        <v>2562</v>
      </c>
      <c r="K2276" s="98"/>
      <c r="L2276" s="98"/>
    </row>
    <row r="2277">
      <c r="B2277" s="95" t="s">
        <v>526</v>
      </c>
      <c r="C2277" s="95" t="s">
        <v>1643</v>
      </c>
      <c r="D2277" s="95" t="s">
        <v>195</v>
      </c>
      <c r="E2277" s="5" t="s">
        <v>402</v>
      </c>
      <c r="F2277" s="95" t="s">
        <v>586</v>
      </c>
      <c r="G2277" s="9">
        <f>0.92*450000</f>
        <v>414000</v>
      </c>
      <c r="H2277" s="95" t="s">
        <v>530</v>
      </c>
      <c r="I2277" s="13">
        <f t="shared" si="146"/>
        <v>41400</v>
      </c>
      <c r="J2277" s="97" t="s">
        <v>2562</v>
      </c>
      <c r="K2277" s="98"/>
      <c r="L2277" s="98"/>
    </row>
    <row r="2278">
      <c r="B2278" s="95" t="s">
        <v>526</v>
      </c>
      <c r="C2278" s="95" t="s">
        <v>2563</v>
      </c>
      <c r="D2278" s="95" t="s">
        <v>195</v>
      </c>
      <c r="E2278" s="5" t="s">
        <v>402</v>
      </c>
      <c r="F2278" s="95" t="s">
        <v>586</v>
      </c>
      <c r="G2278" s="9">
        <f>0.92*150000</f>
        <v>138000</v>
      </c>
      <c r="H2278" s="139" t="s">
        <v>530</v>
      </c>
      <c r="I2278" s="124">
        <f t="shared" si="146"/>
        <v>13800</v>
      </c>
      <c r="J2278" s="145" t="s">
        <v>2562</v>
      </c>
      <c r="K2278" s="98"/>
      <c r="L2278" s="98"/>
    </row>
    <row r="2279">
      <c r="B2279" s="95" t="s">
        <v>526</v>
      </c>
      <c r="C2279" s="95" t="s">
        <v>2564</v>
      </c>
      <c r="D2279" s="95" t="s">
        <v>69</v>
      </c>
      <c r="E2279" s="95" t="s">
        <v>542</v>
      </c>
      <c r="F2279" s="95" t="s">
        <v>650</v>
      </c>
      <c r="G2279" s="9">
        <v>180000.0</v>
      </c>
      <c r="H2279" s="95" t="s">
        <v>530</v>
      </c>
      <c r="I2279" s="13">
        <f t="shared" si="146"/>
        <v>18000</v>
      </c>
      <c r="J2279" s="145" t="s">
        <v>2546</v>
      </c>
      <c r="K2279" s="98"/>
      <c r="L2279" s="98"/>
    </row>
    <row r="2280">
      <c r="B2280" s="95" t="s">
        <v>641</v>
      </c>
      <c r="C2280" s="95" t="s">
        <v>1723</v>
      </c>
      <c r="D2280" s="95" t="s">
        <v>195</v>
      </c>
      <c r="E2280" s="95" t="s">
        <v>432</v>
      </c>
      <c r="F2280" s="95" t="s">
        <v>650</v>
      </c>
      <c r="G2280" s="9">
        <v>185000.0</v>
      </c>
      <c r="H2280" s="95" t="s">
        <v>530</v>
      </c>
      <c r="I2280" s="13">
        <f t="shared" si="146"/>
        <v>18500</v>
      </c>
      <c r="J2280" s="145" t="s">
        <v>2546</v>
      </c>
      <c r="K2280" s="98" t="s">
        <v>2565</v>
      </c>
      <c r="L2280" s="98"/>
    </row>
    <row r="2281">
      <c r="B2281" s="95" t="s">
        <v>641</v>
      </c>
      <c r="C2281" s="95" t="s">
        <v>2566</v>
      </c>
      <c r="D2281" s="95" t="s">
        <v>140</v>
      </c>
      <c r="E2281" s="95" t="s">
        <v>141</v>
      </c>
      <c r="F2281" s="95" t="s">
        <v>685</v>
      </c>
      <c r="G2281" s="9">
        <v>1200000.0</v>
      </c>
      <c r="H2281" s="95" t="s">
        <v>530</v>
      </c>
      <c r="I2281" s="13">
        <f t="shared" si="146"/>
        <v>120000</v>
      </c>
      <c r="J2281" s="145" t="s">
        <v>2567</v>
      </c>
      <c r="K2281" s="98" t="s">
        <v>1812</v>
      </c>
      <c r="L2281" s="98"/>
    </row>
    <row r="2282">
      <c r="B2282" s="95" t="s">
        <v>641</v>
      </c>
      <c r="C2282" s="95" t="s">
        <v>2114</v>
      </c>
      <c r="D2282" s="95" t="s">
        <v>427</v>
      </c>
      <c r="E2282" s="95" t="s">
        <v>428</v>
      </c>
      <c r="F2282" s="95" t="s">
        <v>685</v>
      </c>
      <c r="G2282" s="9">
        <v>3000000.0</v>
      </c>
      <c r="H2282" s="95" t="s">
        <v>530</v>
      </c>
      <c r="I2282" s="13">
        <f t="shared" si="146"/>
        <v>300000</v>
      </c>
      <c r="J2282" s="145" t="s">
        <v>169</v>
      </c>
      <c r="K2282" s="98"/>
      <c r="L2282" s="98"/>
    </row>
    <row r="2283">
      <c r="B2283" s="95" t="s">
        <v>526</v>
      </c>
      <c r="C2283" s="95" t="s">
        <v>2568</v>
      </c>
      <c r="D2283" s="95" t="s">
        <v>195</v>
      </c>
      <c r="E2283" s="95" t="s">
        <v>432</v>
      </c>
      <c r="F2283" s="95" t="s">
        <v>650</v>
      </c>
      <c r="G2283" s="9">
        <f>0.021*35000000</f>
        <v>735000</v>
      </c>
      <c r="H2283" s="95" t="s">
        <v>530</v>
      </c>
      <c r="I2283" s="13">
        <f t="shared" si="146"/>
        <v>73500</v>
      </c>
      <c r="J2283" s="145" t="s">
        <v>2569</v>
      </c>
      <c r="K2283" s="98"/>
      <c r="L2283" s="98"/>
    </row>
    <row r="2284">
      <c r="B2284" s="95" t="s">
        <v>526</v>
      </c>
      <c r="C2284" s="95" t="s">
        <v>2568</v>
      </c>
      <c r="D2284" s="95" t="s">
        <v>195</v>
      </c>
      <c r="E2284" s="95" t="s">
        <v>1881</v>
      </c>
      <c r="F2284" s="95" t="s">
        <v>685</v>
      </c>
      <c r="G2284" s="9">
        <f>0.019*45000000</f>
        <v>855000</v>
      </c>
      <c r="H2284" s="95" t="s">
        <v>530</v>
      </c>
      <c r="I2284" s="13">
        <f t="shared" si="146"/>
        <v>85500</v>
      </c>
      <c r="J2284" s="145" t="s">
        <v>2569</v>
      </c>
      <c r="K2284" s="97" t="s">
        <v>2570</v>
      </c>
      <c r="L2284" s="98"/>
    </row>
    <row r="2285">
      <c r="B2285" s="95" t="s">
        <v>526</v>
      </c>
      <c r="C2285" s="95" t="s">
        <v>2571</v>
      </c>
      <c r="D2285" s="95" t="s">
        <v>195</v>
      </c>
      <c r="E2285" s="95" t="s">
        <v>402</v>
      </c>
      <c r="F2285" s="95" t="s">
        <v>685</v>
      </c>
      <c r="G2285" s="9">
        <f>0.019*55000000</f>
        <v>1045000</v>
      </c>
      <c r="H2285" s="95" t="s">
        <v>530</v>
      </c>
      <c r="I2285" s="13">
        <f t="shared" si="146"/>
        <v>104500</v>
      </c>
      <c r="J2285" s="145" t="s">
        <v>2572</v>
      </c>
      <c r="K2285" s="98"/>
      <c r="L2285" s="98"/>
    </row>
    <row r="2286">
      <c r="B2286" s="95" t="s">
        <v>526</v>
      </c>
      <c r="C2286" s="95" t="s">
        <v>2573</v>
      </c>
      <c r="D2286" s="95" t="s">
        <v>195</v>
      </c>
      <c r="E2286" s="95" t="s">
        <v>364</v>
      </c>
      <c r="F2286" s="95" t="s">
        <v>685</v>
      </c>
      <c r="G2286" s="9">
        <f>0.88*600000</f>
        <v>528000</v>
      </c>
      <c r="H2286" s="95" t="s">
        <v>530</v>
      </c>
      <c r="I2286" s="13">
        <f t="shared" si="146"/>
        <v>52800</v>
      </c>
      <c r="J2286" s="145" t="s">
        <v>2574</v>
      </c>
      <c r="K2286" s="98"/>
      <c r="L2286" s="98"/>
    </row>
    <row r="2287">
      <c r="B2287" s="95" t="s">
        <v>641</v>
      </c>
      <c r="C2287" s="95" t="s">
        <v>2575</v>
      </c>
      <c r="D2287" s="95" t="s">
        <v>140</v>
      </c>
      <c r="E2287" s="95" t="s">
        <v>141</v>
      </c>
      <c r="F2287" s="95" t="s">
        <v>650</v>
      </c>
      <c r="G2287" s="9">
        <v>1500000.0</v>
      </c>
      <c r="H2287" s="95" t="s">
        <v>530</v>
      </c>
      <c r="I2287" s="13">
        <f t="shared" si="146"/>
        <v>150000</v>
      </c>
      <c r="J2287" s="145" t="s">
        <v>2576</v>
      </c>
      <c r="K2287" s="98"/>
      <c r="L2287" s="98"/>
    </row>
    <row r="2288">
      <c r="B2288" s="95" t="s">
        <v>526</v>
      </c>
      <c r="C2288" s="95" t="s">
        <v>1820</v>
      </c>
      <c r="D2288" s="95" t="s">
        <v>140</v>
      </c>
      <c r="E2288" s="95" t="s">
        <v>141</v>
      </c>
      <c r="F2288" s="95" t="s">
        <v>650</v>
      </c>
      <c r="G2288" s="9">
        <v>1500000.0</v>
      </c>
      <c r="H2288" s="95" t="s">
        <v>530</v>
      </c>
      <c r="I2288" s="13">
        <f t="shared" si="146"/>
        <v>150000</v>
      </c>
      <c r="J2288" s="97" t="s">
        <v>1521</v>
      </c>
      <c r="K2288" s="98"/>
      <c r="L2288" s="98"/>
    </row>
    <row r="2289">
      <c r="B2289" s="95" t="s">
        <v>526</v>
      </c>
      <c r="C2289" s="95" t="s">
        <v>2577</v>
      </c>
      <c r="D2289" s="95" t="s">
        <v>140</v>
      </c>
      <c r="E2289" s="95" t="s">
        <v>141</v>
      </c>
      <c r="F2289" s="95" t="s">
        <v>650</v>
      </c>
      <c r="G2289" s="9">
        <v>600000.0</v>
      </c>
      <c r="H2289" s="95" t="s">
        <v>530</v>
      </c>
      <c r="I2289" s="13">
        <f t="shared" si="146"/>
        <v>60000</v>
      </c>
      <c r="J2289" s="97" t="s">
        <v>1521</v>
      </c>
      <c r="K2289" s="98"/>
      <c r="L2289" s="98"/>
    </row>
    <row r="2290">
      <c r="B2290" s="95" t="s">
        <v>526</v>
      </c>
      <c r="C2290" s="95" t="s">
        <v>2578</v>
      </c>
      <c r="D2290" s="95" t="s">
        <v>140</v>
      </c>
      <c r="E2290" s="95" t="s">
        <v>141</v>
      </c>
      <c r="F2290" s="95" t="s">
        <v>650</v>
      </c>
      <c r="G2290" s="9">
        <v>800000.0</v>
      </c>
      <c r="H2290" s="95" t="s">
        <v>530</v>
      </c>
      <c r="I2290" s="13">
        <f t="shared" si="146"/>
        <v>80000</v>
      </c>
      <c r="J2290" s="97" t="s">
        <v>1521</v>
      </c>
      <c r="K2290" s="98"/>
      <c r="L2290" s="98"/>
    </row>
    <row r="2291">
      <c r="B2291" s="95" t="s">
        <v>526</v>
      </c>
      <c r="C2291" s="95" t="s">
        <v>2579</v>
      </c>
      <c r="D2291" s="95" t="s">
        <v>140</v>
      </c>
      <c r="E2291" s="95" t="s">
        <v>141</v>
      </c>
      <c r="F2291" s="95" t="s">
        <v>650</v>
      </c>
      <c r="G2291" s="9">
        <v>700000.0</v>
      </c>
      <c r="H2291" s="95" t="s">
        <v>530</v>
      </c>
      <c r="I2291" s="13">
        <f t="shared" si="146"/>
        <v>70000</v>
      </c>
      <c r="J2291" s="97" t="s">
        <v>1521</v>
      </c>
      <c r="K2291" s="98"/>
      <c r="L2291" s="98"/>
    </row>
    <row r="2292">
      <c r="B2292" s="95" t="s">
        <v>526</v>
      </c>
      <c r="C2292" s="95" t="s">
        <v>2580</v>
      </c>
      <c r="D2292" s="95" t="s">
        <v>140</v>
      </c>
      <c r="E2292" s="95" t="s">
        <v>189</v>
      </c>
      <c r="F2292" s="95" t="s">
        <v>650</v>
      </c>
      <c r="G2292" s="9">
        <v>200000.0</v>
      </c>
      <c r="H2292" s="95" t="s">
        <v>530</v>
      </c>
      <c r="I2292" s="13">
        <f t="shared" si="146"/>
        <v>20000</v>
      </c>
      <c r="J2292" s="98" t="s">
        <v>2581</v>
      </c>
      <c r="K2292" s="98"/>
      <c r="L2292" s="98"/>
    </row>
    <row r="2293">
      <c r="B2293" s="95" t="s">
        <v>526</v>
      </c>
      <c r="C2293" s="95" t="s">
        <v>1899</v>
      </c>
      <c r="D2293" s="95" t="s">
        <v>195</v>
      </c>
      <c r="E2293" s="95" t="s">
        <v>432</v>
      </c>
      <c r="F2293" s="95" t="s">
        <v>685</v>
      </c>
      <c r="G2293" s="9">
        <v>400000.0</v>
      </c>
      <c r="H2293" s="95" t="s">
        <v>530</v>
      </c>
      <c r="I2293" s="13">
        <f t="shared" si="146"/>
        <v>40000</v>
      </c>
      <c r="J2293" s="97" t="s">
        <v>2582</v>
      </c>
      <c r="K2293" s="98"/>
      <c r="L2293" s="98"/>
    </row>
    <row r="2294">
      <c r="B2294" s="95" t="s">
        <v>526</v>
      </c>
      <c r="C2294" s="95" t="s">
        <v>2583</v>
      </c>
      <c r="D2294" s="95" t="s">
        <v>222</v>
      </c>
      <c r="E2294" s="95" t="s">
        <v>318</v>
      </c>
      <c r="F2294" s="95" t="s">
        <v>586</v>
      </c>
      <c r="G2294" s="9">
        <v>100000.0</v>
      </c>
      <c r="H2294" s="95" t="s">
        <v>530</v>
      </c>
      <c r="I2294" s="13">
        <f t="shared" si="146"/>
        <v>10000</v>
      </c>
      <c r="J2294" s="97" t="s">
        <v>1456</v>
      </c>
      <c r="K2294" s="98"/>
      <c r="L2294" s="98"/>
    </row>
    <row r="2295">
      <c r="B2295" s="95" t="s">
        <v>526</v>
      </c>
      <c r="C2295" s="95" t="s">
        <v>2583</v>
      </c>
      <c r="D2295" s="95" t="s">
        <v>222</v>
      </c>
      <c r="E2295" s="95" t="s">
        <v>1019</v>
      </c>
      <c r="F2295" s="95" t="s">
        <v>650</v>
      </c>
      <c r="G2295" s="9">
        <v>400000.0</v>
      </c>
      <c r="H2295" s="95" t="s">
        <v>530</v>
      </c>
      <c r="I2295" s="13">
        <f t="shared" si="146"/>
        <v>40000</v>
      </c>
      <c r="J2295" s="97" t="s">
        <v>1456</v>
      </c>
      <c r="K2295" s="98"/>
      <c r="L2295" s="98"/>
    </row>
    <row r="2296">
      <c r="B2296" s="95" t="s">
        <v>526</v>
      </c>
      <c r="C2296" s="95" t="s">
        <v>2584</v>
      </c>
      <c r="D2296" s="95" t="s">
        <v>222</v>
      </c>
      <c r="E2296" s="95" t="s">
        <v>304</v>
      </c>
      <c r="F2296" s="95" t="s">
        <v>650</v>
      </c>
      <c r="G2296" s="9">
        <v>160000.0</v>
      </c>
      <c r="H2296" s="95" t="s">
        <v>530</v>
      </c>
      <c r="I2296" s="13">
        <f t="shared" si="146"/>
        <v>16000</v>
      </c>
      <c r="J2296" s="97" t="s">
        <v>2585</v>
      </c>
      <c r="K2296" s="98"/>
      <c r="L2296" s="98"/>
    </row>
    <row r="2297">
      <c r="B2297" s="95" t="s">
        <v>526</v>
      </c>
      <c r="C2297" s="95" t="s">
        <v>2586</v>
      </c>
      <c r="D2297" s="95" t="s">
        <v>174</v>
      </c>
      <c r="E2297" s="95" t="s">
        <v>2096</v>
      </c>
      <c r="F2297" s="95" t="s">
        <v>685</v>
      </c>
      <c r="G2297" s="9">
        <f>0.88*350000</f>
        <v>308000</v>
      </c>
      <c r="H2297" s="95" t="s">
        <v>530</v>
      </c>
      <c r="I2297" s="13">
        <f t="shared" si="146"/>
        <v>30800</v>
      </c>
      <c r="J2297" s="118" t="s">
        <v>2587</v>
      </c>
      <c r="K2297" s="98"/>
      <c r="L2297" s="98"/>
    </row>
    <row r="2298">
      <c r="B2298" s="95" t="s">
        <v>526</v>
      </c>
      <c r="C2298" s="95" t="s">
        <v>1526</v>
      </c>
      <c r="D2298" s="95" t="s">
        <v>140</v>
      </c>
      <c r="E2298" s="95" t="s">
        <v>141</v>
      </c>
      <c r="F2298" s="95" t="s">
        <v>685</v>
      </c>
      <c r="G2298" s="9">
        <v>1900000.0</v>
      </c>
      <c r="H2298" s="95" t="s">
        <v>530</v>
      </c>
      <c r="I2298" s="13">
        <f t="shared" si="146"/>
        <v>190000</v>
      </c>
      <c r="J2298" s="118" t="s">
        <v>2588</v>
      </c>
      <c r="K2298" s="98" t="s">
        <v>2589</v>
      </c>
      <c r="L2298" s="98"/>
    </row>
    <row r="2299">
      <c r="B2299" s="95" t="s">
        <v>526</v>
      </c>
      <c r="C2299" s="95" t="s">
        <v>1179</v>
      </c>
      <c r="D2299" s="95" t="s">
        <v>174</v>
      </c>
      <c r="E2299" s="95" t="s">
        <v>2096</v>
      </c>
      <c r="F2299" s="95" t="s">
        <v>685</v>
      </c>
      <c r="G2299" s="9">
        <f>450000*0.88</f>
        <v>396000</v>
      </c>
      <c r="H2299" s="95" t="s">
        <v>530</v>
      </c>
      <c r="I2299" s="13">
        <f t="shared" si="146"/>
        <v>39600</v>
      </c>
      <c r="J2299" s="118" t="s">
        <v>2590</v>
      </c>
      <c r="K2299" s="98" t="s">
        <v>1812</v>
      </c>
      <c r="L2299" s="97" t="s">
        <v>2591</v>
      </c>
    </row>
    <row r="2300">
      <c r="B2300" s="95" t="s">
        <v>526</v>
      </c>
      <c r="C2300" s="95" t="s">
        <v>1851</v>
      </c>
      <c r="D2300" s="95" t="s">
        <v>222</v>
      </c>
      <c r="E2300" s="95" t="s">
        <v>313</v>
      </c>
      <c r="F2300" s="95" t="s">
        <v>586</v>
      </c>
      <c r="G2300" s="9">
        <f>7*19000*0.92</f>
        <v>122360</v>
      </c>
      <c r="H2300" s="95" t="s">
        <v>728</v>
      </c>
      <c r="I2300" s="13">
        <f>G2300/7</f>
        <v>17480</v>
      </c>
      <c r="J2300" s="97" t="s">
        <v>2592</v>
      </c>
      <c r="K2300" s="98"/>
      <c r="L2300" s="98"/>
    </row>
    <row r="2301">
      <c r="B2301" s="95" t="s">
        <v>526</v>
      </c>
      <c r="C2301" s="95" t="s">
        <v>1030</v>
      </c>
      <c r="D2301" s="95" t="s">
        <v>174</v>
      </c>
      <c r="E2301" s="95" t="s">
        <v>438</v>
      </c>
      <c r="F2301" s="95" t="s">
        <v>685</v>
      </c>
      <c r="G2301" s="9">
        <f>5800000*0.88</f>
        <v>5104000</v>
      </c>
      <c r="H2301" s="95" t="s">
        <v>530</v>
      </c>
      <c r="I2301" s="13">
        <f>G2301/10</f>
        <v>510400</v>
      </c>
      <c r="J2301" s="97" t="s">
        <v>766</v>
      </c>
      <c r="K2301" s="97" t="s">
        <v>2593</v>
      </c>
      <c r="L2301" s="98"/>
    </row>
    <row r="2302">
      <c r="B2302" s="95" t="s">
        <v>526</v>
      </c>
      <c r="C2302" s="95" t="s">
        <v>2594</v>
      </c>
      <c r="D2302" s="95" t="s">
        <v>222</v>
      </c>
      <c r="E2302" s="95" t="s">
        <v>313</v>
      </c>
      <c r="F2302" s="95" t="s">
        <v>586</v>
      </c>
      <c r="G2302" s="9">
        <f>6*33000*0.92</f>
        <v>182160</v>
      </c>
      <c r="H2302" s="95" t="s">
        <v>635</v>
      </c>
      <c r="I2302" s="13">
        <f>G2302/6</f>
        <v>30360</v>
      </c>
      <c r="J2302" s="97" t="s">
        <v>2595</v>
      </c>
      <c r="K2302" s="97" t="s">
        <v>2596</v>
      </c>
      <c r="L2302" s="98"/>
    </row>
    <row r="2303">
      <c r="B2303" s="95" t="s">
        <v>526</v>
      </c>
      <c r="C2303" s="95" t="s">
        <v>2597</v>
      </c>
      <c r="D2303" s="95" t="s">
        <v>222</v>
      </c>
      <c r="E2303" s="95" t="s">
        <v>313</v>
      </c>
      <c r="F2303" s="95" t="s">
        <v>586</v>
      </c>
      <c r="G2303" s="9">
        <f>8*25000</f>
        <v>200000</v>
      </c>
      <c r="H2303" s="95" t="s">
        <v>1155</v>
      </c>
      <c r="I2303" s="13">
        <f>G2303/8</f>
        <v>25000</v>
      </c>
      <c r="J2303" s="97" t="s">
        <v>2598</v>
      </c>
      <c r="K2303" s="98"/>
      <c r="L2303" s="98"/>
    </row>
    <row r="2304">
      <c r="B2304" s="144" t="s">
        <v>526</v>
      </c>
      <c r="C2304" s="138" t="s">
        <v>2599</v>
      </c>
      <c r="D2304" s="138" t="s">
        <v>222</v>
      </c>
      <c r="E2304" s="138" t="s">
        <v>313</v>
      </c>
      <c r="F2304" s="138" t="s">
        <v>650</v>
      </c>
      <c r="G2304" s="140">
        <f>200000*0.85</f>
        <v>170000</v>
      </c>
      <c r="H2304" s="144" t="s">
        <v>530</v>
      </c>
      <c r="I2304" s="152">
        <f>G2304/10</f>
        <v>17000</v>
      </c>
      <c r="J2304" s="153" t="s">
        <v>2600</v>
      </c>
      <c r="K2304" s="150"/>
      <c r="L2304" s="154"/>
    </row>
    <row r="2305">
      <c r="B2305" s="144" t="s">
        <v>526</v>
      </c>
      <c r="C2305" s="138" t="s">
        <v>2601</v>
      </c>
      <c r="D2305" s="138" t="s">
        <v>222</v>
      </c>
      <c r="E2305" s="138" t="s">
        <v>313</v>
      </c>
      <c r="F2305" s="138" t="s">
        <v>650</v>
      </c>
      <c r="G2305" s="140">
        <v>270000.0</v>
      </c>
      <c r="H2305" s="138" t="s">
        <v>1155</v>
      </c>
      <c r="I2305" s="152">
        <f>G2305/8</f>
        <v>33750</v>
      </c>
      <c r="J2305" s="153" t="s">
        <v>2602</v>
      </c>
      <c r="K2305" s="150"/>
      <c r="L2305" s="154"/>
    </row>
    <row r="2306">
      <c r="B2306" s="95" t="s">
        <v>526</v>
      </c>
      <c r="C2306" s="95" t="s">
        <v>2603</v>
      </c>
      <c r="D2306" s="95" t="s">
        <v>195</v>
      </c>
      <c r="E2306" s="5" t="s">
        <v>1769</v>
      </c>
      <c r="F2306" s="95" t="s">
        <v>685</v>
      </c>
      <c r="G2306" s="9">
        <f>0.88*2000000</f>
        <v>1760000</v>
      </c>
      <c r="H2306" s="95" t="s">
        <v>530</v>
      </c>
      <c r="I2306" s="13">
        <f t="shared" ref="I2306:I2318" si="147">G2306/10</f>
        <v>176000</v>
      </c>
      <c r="J2306" s="97" t="s">
        <v>2604</v>
      </c>
      <c r="K2306" s="98"/>
      <c r="L2306" s="98"/>
    </row>
    <row r="2307">
      <c r="B2307" s="95" t="s">
        <v>526</v>
      </c>
      <c r="C2307" s="95" t="s">
        <v>2603</v>
      </c>
      <c r="D2307" s="95" t="s">
        <v>195</v>
      </c>
      <c r="E2307" s="5" t="s">
        <v>1769</v>
      </c>
      <c r="F2307" s="95" t="s">
        <v>650</v>
      </c>
      <c r="G2307" s="9">
        <v>1000000.0</v>
      </c>
      <c r="H2307" s="95" t="s">
        <v>530</v>
      </c>
      <c r="I2307" s="13">
        <f t="shared" si="147"/>
        <v>100000</v>
      </c>
      <c r="J2307" s="97" t="s">
        <v>2605</v>
      </c>
      <c r="K2307" s="98"/>
      <c r="L2307" s="98"/>
    </row>
    <row r="2308">
      <c r="B2308" s="144" t="s">
        <v>526</v>
      </c>
      <c r="C2308" s="138" t="s">
        <v>2606</v>
      </c>
      <c r="D2308" s="138" t="s">
        <v>222</v>
      </c>
      <c r="E2308" s="138" t="s">
        <v>313</v>
      </c>
      <c r="F2308" s="138" t="s">
        <v>650</v>
      </c>
      <c r="G2308" s="140">
        <v>100000.0</v>
      </c>
      <c r="H2308" s="144" t="s">
        <v>530</v>
      </c>
      <c r="I2308" s="152">
        <f t="shared" si="147"/>
        <v>10000</v>
      </c>
      <c r="J2308" s="153" t="s">
        <v>2607</v>
      </c>
      <c r="K2308" s="155" t="s">
        <v>2602</v>
      </c>
      <c r="L2308" s="154"/>
    </row>
    <row r="2309">
      <c r="B2309" s="95" t="s">
        <v>526</v>
      </c>
      <c r="C2309" s="95" t="s">
        <v>1264</v>
      </c>
      <c r="D2309" s="95" t="s">
        <v>174</v>
      </c>
      <c r="E2309" s="95" t="s">
        <v>438</v>
      </c>
      <c r="F2309" s="95" t="s">
        <v>685</v>
      </c>
      <c r="G2309" s="9">
        <f>5000000*0.88</f>
        <v>4400000</v>
      </c>
      <c r="H2309" s="95" t="s">
        <v>530</v>
      </c>
      <c r="I2309" s="13">
        <f t="shared" si="147"/>
        <v>440000</v>
      </c>
      <c r="J2309" s="97" t="s">
        <v>2608</v>
      </c>
      <c r="K2309" s="97" t="s">
        <v>2593</v>
      </c>
      <c r="L2309" s="98"/>
    </row>
    <row r="2310">
      <c r="B2310" s="95" t="s">
        <v>526</v>
      </c>
      <c r="C2310" s="95" t="s">
        <v>679</v>
      </c>
      <c r="D2310" s="95" t="s">
        <v>114</v>
      </c>
      <c r="E2310" s="95" t="s">
        <v>396</v>
      </c>
      <c r="F2310" s="95" t="s">
        <v>685</v>
      </c>
      <c r="G2310" s="9">
        <v>4500000.0</v>
      </c>
      <c r="H2310" s="95" t="s">
        <v>530</v>
      </c>
      <c r="I2310" s="13">
        <f t="shared" si="147"/>
        <v>450000</v>
      </c>
      <c r="J2310" s="97" t="s">
        <v>549</v>
      </c>
      <c r="K2310" s="98" t="s">
        <v>2609</v>
      </c>
      <c r="L2310" s="97" t="s">
        <v>1772</v>
      </c>
    </row>
    <row r="2311">
      <c r="B2311" s="95" t="s">
        <v>526</v>
      </c>
      <c r="C2311" s="95" t="s">
        <v>606</v>
      </c>
      <c r="D2311" s="95" t="s">
        <v>114</v>
      </c>
      <c r="E2311" s="95" t="s">
        <v>396</v>
      </c>
      <c r="F2311" s="95" t="s">
        <v>685</v>
      </c>
      <c r="G2311" s="9">
        <f>3200000*0.88</f>
        <v>2816000</v>
      </c>
      <c r="H2311" s="95" t="s">
        <v>530</v>
      </c>
      <c r="I2311" s="13">
        <f t="shared" si="147"/>
        <v>281600</v>
      </c>
      <c r="J2311" s="97" t="s">
        <v>2610</v>
      </c>
      <c r="K2311" s="97" t="s">
        <v>1772</v>
      </c>
      <c r="L2311" s="97" t="s">
        <v>1773</v>
      </c>
    </row>
    <row r="2312">
      <c r="B2312" s="95" t="s">
        <v>526</v>
      </c>
      <c r="C2312" s="95" t="s">
        <v>2611</v>
      </c>
      <c r="D2312" s="95" t="s">
        <v>427</v>
      </c>
      <c r="E2312" s="5" t="s">
        <v>428</v>
      </c>
      <c r="F2312" s="95" t="s">
        <v>685</v>
      </c>
      <c r="G2312" s="9">
        <v>275000.0</v>
      </c>
      <c r="H2312" s="95" t="s">
        <v>530</v>
      </c>
      <c r="I2312" s="13">
        <f t="shared" si="147"/>
        <v>27500</v>
      </c>
      <c r="J2312" s="98" t="s">
        <v>1468</v>
      </c>
      <c r="K2312" s="98"/>
      <c r="L2312" s="98"/>
    </row>
    <row r="2313">
      <c r="B2313" s="95" t="s">
        <v>526</v>
      </c>
      <c r="C2313" s="95" t="s">
        <v>1068</v>
      </c>
      <c r="D2313" s="95" t="s">
        <v>69</v>
      </c>
      <c r="E2313" s="5" t="s">
        <v>561</v>
      </c>
      <c r="F2313" s="95" t="s">
        <v>685</v>
      </c>
      <c r="G2313" s="9">
        <v>400000.0</v>
      </c>
      <c r="H2313" s="95" t="s">
        <v>530</v>
      </c>
      <c r="I2313" s="13">
        <f t="shared" si="147"/>
        <v>40000</v>
      </c>
      <c r="J2313" s="98" t="s">
        <v>2612</v>
      </c>
      <c r="K2313" s="98" t="s">
        <v>2613</v>
      </c>
      <c r="L2313" s="98"/>
    </row>
    <row r="2314">
      <c r="B2314" s="95" t="s">
        <v>526</v>
      </c>
      <c r="C2314" s="95" t="s">
        <v>2614</v>
      </c>
      <c r="D2314" s="95" t="s">
        <v>69</v>
      </c>
      <c r="E2314" s="5" t="s">
        <v>561</v>
      </c>
      <c r="F2314" s="95" t="s">
        <v>685</v>
      </c>
      <c r="G2314" s="9">
        <v>400000.0</v>
      </c>
      <c r="H2314" s="95" t="s">
        <v>530</v>
      </c>
      <c r="I2314" s="13">
        <f t="shared" si="147"/>
        <v>40000</v>
      </c>
      <c r="J2314" s="98" t="s">
        <v>1466</v>
      </c>
      <c r="K2314" s="98"/>
      <c r="L2314" s="98"/>
    </row>
    <row r="2315">
      <c r="B2315" s="95" t="s">
        <v>526</v>
      </c>
      <c r="C2315" s="95" t="s">
        <v>1283</v>
      </c>
      <c r="D2315" s="95" t="s">
        <v>69</v>
      </c>
      <c r="E2315" s="5" t="s">
        <v>561</v>
      </c>
      <c r="F2315" s="95" t="s">
        <v>685</v>
      </c>
      <c r="G2315" s="9">
        <v>500000.0</v>
      </c>
      <c r="H2315" s="95" t="s">
        <v>530</v>
      </c>
      <c r="I2315" s="13">
        <f t="shared" si="147"/>
        <v>50000</v>
      </c>
      <c r="J2315" s="98" t="s">
        <v>1466</v>
      </c>
      <c r="K2315" s="98"/>
      <c r="L2315" s="98"/>
    </row>
    <row r="2316">
      <c r="B2316" s="95" t="s">
        <v>526</v>
      </c>
      <c r="C2316" s="95" t="s">
        <v>1307</v>
      </c>
      <c r="D2316" s="95" t="s">
        <v>69</v>
      </c>
      <c r="E2316" s="95" t="s">
        <v>561</v>
      </c>
      <c r="F2316" s="95" t="s">
        <v>685</v>
      </c>
      <c r="G2316" s="9">
        <v>300000.0</v>
      </c>
      <c r="H2316" s="95" t="s">
        <v>530</v>
      </c>
      <c r="I2316" s="13">
        <f t="shared" si="147"/>
        <v>30000</v>
      </c>
      <c r="J2316" s="98" t="s">
        <v>1468</v>
      </c>
      <c r="K2316" s="98"/>
      <c r="L2316" s="98"/>
    </row>
    <row r="2317">
      <c r="B2317" s="95" t="s">
        <v>526</v>
      </c>
      <c r="C2317" s="95" t="s">
        <v>2615</v>
      </c>
      <c r="D2317" s="95" t="s">
        <v>222</v>
      </c>
      <c r="E2317" s="5" t="s">
        <v>313</v>
      </c>
      <c r="F2317" s="95" t="s">
        <v>650</v>
      </c>
      <c r="G2317" s="9">
        <v>180000.0</v>
      </c>
      <c r="H2317" s="95" t="s">
        <v>530</v>
      </c>
      <c r="I2317" s="13">
        <f t="shared" si="147"/>
        <v>18000</v>
      </c>
      <c r="J2317" s="97" t="s">
        <v>2616</v>
      </c>
      <c r="K2317" s="98"/>
      <c r="L2317" s="98"/>
    </row>
    <row r="2318">
      <c r="B2318" s="95" t="s">
        <v>526</v>
      </c>
      <c r="C2318" s="95" t="s">
        <v>2617</v>
      </c>
      <c r="D2318" s="95" t="s">
        <v>222</v>
      </c>
      <c r="E2318" s="5" t="s">
        <v>313</v>
      </c>
      <c r="F2318" s="95" t="s">
        <v>650</v>
      </c>
      <c r="G2318" s="9">
        <f>150000*0.85</f>
        <v>127500</v>
      </c>
      <c r="H2318" s="95" t="s">
        <v>530</v>
      </c>
      <c r="I2318" s="13">
        <f t="shared" si="147"/>
        <v>12750</v>
      </c>
      <c r="J2318" s="97" t="s">
        <v>2618</v>
      </c>
      <c r="K2318" s="98"/>
      <c r="L2318" s="98"/>
    </row>
    <row r="2319">
      <c r="B2319" s="95" t="s">
        <v>526</v>
      </c>
      <c r="C2319" s="95" t="s">
        <v>914</v>
      </c>
      <c r="D2319" s="95" t="s">
        <v>826</v>
      </c>
      <c r="E2319" s="95" t="s">
        <v>841</v>
      </c>
      <c r="F2319" s="95" t="s">
        <v>643</v>
      </c>
      <c r="G2319" s="9">
        <f>0.9*200000</f>
        <v>180000</v>
      </c>
      <c r="H2319" s="95" t="s">
        <v>680</v>
      </c>
      <c r="I2319" s="13">
        <f>G2319/4</f>
        <v>45000</v>
      </c>
      <c r="J2319" s="97" t="s">
        <v>1762</v>
      </c>
      <c r="K2319" s="97" t="s">
        <v>2619</v>
      </c>
      <c r="L2319" s="97" t="s">
        <v>2620</v>
      </c>
    </row>
    <row r="2320">
      <c r="B2320" s="95" t="s">
        <v>526</v>
      </c>
      <c r="C2320" s="95" t="s">
        <v>2621</v>
      </c>
      <c r="D2320" s="95" t="s">
        <v>222</v>
      </c>
      <c r="E2320" s="5" t="s">
        <v>313</v>
      </c>
      <c r="F2320" s="95" t="s">
        <v>650</v>
      </c>
      <c r="G2320" s="9">
        <f>220000*0.85</f>
        <v>187000</v>
      </c>
      <c r="H2320" s="95" t="s">
        <v>530</v>
      </c>
      <c r="I2320" s="13">
        <f t="shared" ref="I2320:I2350" si="148">G2320/10</f>
        <v>18700</v>
      </c>
      <c r="J2320" s="97" t="s">
        <v>2622</v>
      </c>
      <c r="K2320" s="98"/>
      <c r="L2320" s="98"/>
    </row>
    <row r="2321">
      <c r="B2321" s="95" t="s">
        <v>526</v>
      </c>
      <c r="C2321" s="95" t="s">
        <v>2623</v>
      </c>
      <c r="D2321" s="95" t="s">
        <v>222</v>
      </c>
      <c r="E2321" s="5" t="s">
        <v>313</v>
      </c>
      <c r="F2321" s="95" t="s">
        <v>650</v>
      </c>
      <c r="G2321" s="9">
        <f>165000*0.85</f>
        <v>140250</v>
      </c>
      <c r="H2321" s="95" t="s">
        <v>530</v>
      </c>
      <c r="I2321" s="13">
        <f t="shared" si="148"/>
        <v>14025</v>
      </c>
      <c r="J2321" s="97" t="s">
        <v>2624</v>
      </c>
      <c r="K2321" s="98"/>
      <c r="L2321" s="98"/>
    </row>
    <row r="2322">
      <c r="B2322" s="95" t="s">
        <v>526</v>
      </c>
      <c r="C2322" s="95" t="s">
        <v>2625</v>
      </c>
      <c r="D2322" s="95" t="s">
        <v>222</v>
      </c>
      <c r="E2322" s="95" t="s">
        <v>1019</v>
      </c>
      <c r="F2322" s="95" t="s">
        <v>586</v>
      </c>
      <c r="G2322" s="9">
        <f>0.92*500000</f>
        <v>460000</v>
      </c>
      <c r="H2322" s="95" t="s">
        <v>530</v>
      </c>
      <c r="I2322" s="13">
        <f t="shared" si="148"/>
        <v>46000</v>
      </c>
      <c r="J2322" s="97" t="s">
        <v>2626</v>
      </c>
      <c r="K2322" s="98"/>
      <c r="L2322" s="98"/>
    </row>
    <row r="2323">
      <c r="B2323" s="95" t="s">
        <v>526</v>
      </c>
      <c r="C2323" s="95" t="s">
        <v>1603</v>
      </c>
      <c r="D2323" s="95" t="s">
        <v>222</v>
      </c>
      <c r="E2323" s="95" t="s">
        <v>309</v>
      </c>
      <c r="F2323" s="95" t="s">
        <v>586</v>
      </c>
      <c r="G2323" s="9">
        <f>350000*0.92</f>
        <v>322000</v>
      </c>
      <c r="H2323" s="95" t="s">
        <v>530</v>
      </c>
      <c r="I2323" s="13">
        <f t="shared" si="148"/>
        <v>32200</v>
      </c>
      <c r="J2323" s="97" t="s">
        <v>2627</v>
      </c>
      <c r="K2323" s="98"/>
      <c r="L2323" s="98"/>
    </row>
    <row r="2324">
      <c r="B2324" s="95" t="s">
        <v>526</v>
      </c>
      <c r="C2324" s="95" t="s">
        <v>1600</v>
      </c>
      <c r="D2324" s="95" t="s">
        <v>222</v>
      </c>
      <c r="E2324" s="95" t="s">
        <v>313</v>
      </c>
      <c r="F2324" s="95" t="s">
        <v>685</v>
      </c>
      <c r="G2324" s="9">
        <v>350000.0</v>
      </c>
      <c r="H2324" s="95" t="s">
        <v>530</v>
      </c>
      <c r="I2324" s="13">
        <f t="shared" si="148"/>
        <v>35000</v>
      </c>
      <c r="J2324" s="143" t="s">
        <v>1602</v>
      </c>
      <c r="K2324" s="98" t="s">
        <v>2628</v>
      </c>
      <c r="L2324" s="98"/>
    </row>
    <row r="2325">
      <c r="B2325" s="144" t="s">
        <v>526</v>
      </c>
      <c r="C2325" s="138" t="s">
        <v>1666</v>
      </c>
      <c r="D2325" s="138" t="s">
        <v>222</v>
      </c>
      <c r="E2325" s="138" t="s">
        <v>313</v>
      </c>
      <c r="F2325" s="138" t="s">
        <v>685</v>
      </c>
      <c r="G2325" s="140">
        <f>0.88*570000</f>
        <v>501600</v>
      </c>
      <c r="H2325" s="144" t="s">
        <v>530</v>
      </c>
      <c r="I2325" s="152">
        <f t="shared" si="148"/>
        <v>50160</v>
      </c>
      <c r="J2325" s="153" t="s">
        <v>2629</v>
      </c>
      <c r="K2325" s="155" t="s">
        <v>737</v>
      </c>
      <c r="L2325" s="155" t="s">
        <v>2630</v>
      </c>
    </row>
    <row r="2326">
      <c r="B2326" s="95" t="s">
        <v>526</v>
      </c>
      <c r="C2326" s="95" t="s">
        <v>2631</v>
      </c>
      <c r="D2326" s="95" t="s">
        <v>222</v>
      </c>
      <c r="E2326" s="95" t="s">
        <v>2632</v>
      </c>
      <c r="F2326" s="95" t="s">
        <v>586</v>
      </c>
      <c r="G2326" s="9">
        <f>0.92*150000</f>
        <v>138000</v>
      </c>
      <c r="H2326" s="95" t="s">
        <v>530</v>
      </c>
      <c r="I2326" s="13">
        <f t="shared" si="148"/>
        <v>13800</v>
      </c>
      <c r="J2326" s="97" t="s">
        <v>2633</v>
      </c>
      <c r="K2326" s="98"/>
      <c r="L2326" s="98"/>
    </row>
    <row r="2327">
      <c r="B2327" s="95" t="s">
        <v>526</v>
      </c>
      <c r="C2327" s="95" t="s">
        <v>2615</v>
      </c>
      <c r="D2327" s="95" t="s">
        <v>222</v>
      </c>
      <c r="E2327" s="5" t="s">
        <v>313</v>
      </c>
      <c r="F2327" s="95" t="s">
        <v>685</v>
      </c>
      <c r="G2327" s="9">
        <v>225000.0</v>
      </c>
      <c r="H2327" s="95" t="s">
        <v>530</v>
      </c>
      <c r="I2327" s="13">
        <f t="shared" si="148"/>
        <v>22500</v>
      </c>
      <c r="J2327" s="97" t="s">
        <v>2634</v>
      </c>
      <c r="K2327" s="97" t="s">
        <v>2635</v>
      </c>
      <c r="L2327" s="98"/>
    </row>
    <row r="2328">
      <c r="B2328" s="95" t="s">
        <v>526</v>
      </c>
      <c r="C2328" s="95" t="s">
        <v>2471</v>
      </c>
      <c r="D2328" s="95" t="s">
        <v>195</v>
      </c>
      <c r="E2328" s="95" t="s">
        <v>466</v>
      </c>
      <c r="F2328" s="95" t="s">
        <v>586</v>
      </c>
      <c r="G2328" s="9">
        <f>0.92*250000</f>
        <v>230000</v>
      </c>
      <c r="H2328" s="95" t="s">
        <v>530</v>
      </c>
      <c r="I2328" s="13">
        <f t="shared" si="148"/>
        <v>23000</v>
      </c>
      <c r="J2328" s="97" t="s">
        <v>2636</v>
      </c>
      <c r="K2328" s="98"/>
      <c r="L2328" s="98"/>
    </row>
    <row r="2329">
      <c r="B2329" s="95" t="s">
        <v>526</v>
      </c>
      <c r="C2329" s="95" t="s">
        <v>2617</v>
      </c>
      <c r="D2329" s="95" t="s">
        <v>222</v>
      </c>
      <c r="E2329" s="5" t="s">
        <v>313</v>
      </c>
      <c r="F2329" s="95" t="s">
        <v>685</v>
      </c>
      <c r="G2329" s="9">
        <f>160000*0.88</f>
        <v>140800</v>
      </c>
      <c r="H2329" s="95" t="s">
        <v>530</v>
      </c>
      <c r="I2329" s="13">
        <f t="shared" si="148"/>
        <v>14080</v>
      </c>
      <c r="J2329" s="97" t="s">
        <v>2618</v>
      </c>
      <c r="K2329" s="98"/>
      <c r="L2329" s="98"/>
    </row>
    <row r="2330">
      <c r="B2330" s="139" t="s">
        <v>526</v>
      </c>
      <c r="C2330" s="138" t="s">
        <v>2194</v>
      </c>
      <c r="D2330" s="138" t="s">
        <v>222</v>
      </c>
      <c r="E2330" s="138" t="s">
        <v>313</v>
      </c>
      <c r="F2330" s="138" t="s">
        <v>685</v>
      </c>
      <c r="G2330" s="140">
        <f>0.88*650000</f>
        <v>572000</v>
      </c>
      <c r="H2330" s="139" t="s">
        <v>530</v>
      </c>
      <c r="I2330" s="124">
        <f t="shared" si="148"/>
        <v>57200</v>
      </c>
      <c r="J2330" s="155" t="s">
        <v>2637</v>
      </c>
      <c r="K2330" s="155" t="s">
        <v>737</v>
      </c>
      <c r="L2330" s="154"/>
    </row>
    <row r="2331">
      <c r="B2331" s="139" t="s">
        <v>526</v>
      </c>
      <c r="C2331" s="95" t="s">
        <v>2638</v>
      </c>
      <c r="D2331" s="95" t="s">
        <v>174</v>
      </c>
      <c r="E2331" s="5" t="s">
        <v>419</v>
      </c>
      <c r="F2331" s="135">
        <v>46243.0</v>
      </c>
      <c r="G2331" s="9">
        <f>0.65*2500000</f>
        <v>1625000</v>
      </c>
      <c r="H2331" s="139" t="s">
        <v>530</v>
      </c>
      <c r="I2331" s="124">
        <f t="shared" si="148"/>
        <v>162500</v>
      </c>
      <c r="J2331" s="97" t="s">
        <v>2639</v>
      </c>
      <c r="K2331" s="98"/>
      <c r="L2331" s="98"/>
    </row>
    <row r="2332">
      <c r="B2332" s="139" t="s">
        <v>526</v>
      </c>
      <c r="C2332" s="138" t="s">
        <v>2640</v>
      </c>
      <c r="D2332" s="95" t="s">
        <v>174</v>
      </c>
      <c r="E2332" s="5" t="s">
        <v>419</v>
      </c>
      <c r="F2332" s="156">
        <v>46211.0</v>
      </c>
      <c r="G2332" s="140">
        <f>0.72*1700000</f>
        <v>1224000</v>
      </c>
      <c r="H2332" s="139" t="s">
        <v>530</v>
      </c>
      <c r="I2332" s="124">
        <f t="shared" si="148"/>
        <v>122400</v>
      </c>
      <c r="J2332" s="151" t="s">
        <v>2641</v>
      </c>
      <c r="K2332" s="97" t="s">
        <v>2639</v>
      </c>
      <c r="L2332" s="154"/>
    </row>
    <row r="2333">
      <c r="B2333" s="139" t="s">
        <v>526</v>
      </c>
      <c r="C2333" s="95" t="s">
        <v>2642</v>
      </c>
      <c r="D2333" s="95" t="s">
        <v>174</v>
      </c>
      <c r="E2333" s="5" t="s">
        <v>419</v>
      </c>
      <c r="F2333" s="135">
        <v>46275.0</v>
      </c>
      <c r="G2333" s="9">
        <f>0.7*1500000</f>
        <v>1050000</v>
      </c>
      <c r="H2333" s="139" t="s">
        <v>530</v>
      </c>
      <c r="I2333" s="124">
        <f t="shared" si="148"/>
        <v>105000</v>
      </c>
      <c r="J2333" s="97" t="s">
        <v>2639</v>
      </c>
      <c r="K2333" s="98"/>
      <c r="L2333" s="98"/>
    </row>
    <row r="2334">
      <c r="B2334" s="139" t="s">
        <v>526</v>
      </c>
      <c r="C2334" s="138" t="s">
        <v>2643</v>
      </c>
      <c r="D2334" s="95" t="s">
        <v>174</v>
      </c>
      <c r="E2334" s="5" t="s">
        <v>419</v>
      </c>
      <c r="F2334" s="156">
        <v>46148.0</v>
      </c>
      <c r="G2334" s="140">
        <f t="shared" ref="G2334:G2335" si="149">0.81*1500000</f>
        <v>1215000</v>
      </c>
      <c r="H2334" s="139" t="s">
        <v>530</v>
      </c>
      <c r="I2334" s="124">
        <f t="shared" si="148"/>
        <v>121500</v>
      </c>
      <c r="J2334" s="97" t="s">
        <v>2639</v>
      </c>
      <c r="K2334" s="154"/>
      <c r="L2334" s="154"/>
    </row>
    <row r="2335">
      <c r="B2335" s="139" t="s">
        <v>526</v>
      </c>
      <c r="C2335" s="95" t="s">
        <v>2644</v>
      </c>
      <c r="D2335" s="95" t="s">
        <v>174</v>
      </c>
      <c r="E2335" s="5" t="s">
        <v>419</v>
      </c>
      <c r="F2335" s="156">
        <v>46148.0</v>
      </c>
      <c r="G2335" s="140">
        <f t="shared" si="149"/>
        <v>1215000</v>
      </c>
      <c r="H2335" s="139" t="s">
        <v>530</v>
      </c>
      <c r="I2335" s="124">
        <f t="shared" si="148"/>
        <v>121500</v>
      </c>
      <c r="J2335" s="97" t="s">
        <v>2639</v>
      </c>
      <c r="K2335" s="97" t="s">
        <v>2645</v>
      </c>
      <c r="L2335" s="98"/>
    </row>
    <row r="2336">
      <c r="B2336" s="139" t="s">
        <v>526</v>
      </c>
      <c r="C2336" s="138" t="s">
        <v>2646</v>
      </c>
      <c r="D2336" s="95" t="s">
        <v>174</v>
      </c>
      <c r="E2336" s="5" t="s">
        <v>419</v>
      </c>
      <c r="F2336" s="135">
        <v>46275.0</v>
      </c>
      <c r="G2336" s="9">
        <f>0.7*1300000</f>
        <v>910000</v>
      </c>
      <c r="H2336" s="139" t="s">
        <v>530</v>
      </c>
      <c r="I2336" s="124">
        <f t="shared" si="148"/>
        <v>91000</v>
      </c>
      <c r="J2336" s="155" t="s">
        <v>2639</v>
      </c>
      <c r="K2336" s="154"/>
      <c r="L2336" s="154"/>
    </row>
    <row r="2337">
      <c r="B2337" s="139" t="s">
        <v>526</v>
      </c>
      <c r="C2337" s="95" t="s">
        <v>2647</v>
      </c>
      <c r="D2337" s="95" t="s">
        <v>174</v>
      </c>
      <c r="E2337" s="5" t="s">
        <v>419</v>
      </c>
      <c r="F2337" s="135">
        <v>46211.0</v>
      </c>
      <c r="G2337" s="9">
        <f>1100000*0.72</f>
        <v>792000</v>
      </c>
      <c r="H2337" s="139" t="s">
        <v>530</v>
      </c>
      <c r="I2337" s="124">
        <f t="shared" si="148"/>
        <v>79200</v>
      </c>
      <c r="J2337" s="97" t="s">
        <v>2639</v>
      </c>
      <c r="K2337" s="98"/>
      <c r="L2337" s="98"/>
    </row>
    <row r="2338">
      <c r="B2338" s="95" t="s">
        <v>526</v>
      </c>
      <c r="C2338" s="95" t="s">
        <v>1971</v>
      </c>
      <c r="D2338" s="95" t="s">
        <v>114</v>
      </c>
      <c r="E2338" s="95" t="s">
        <v>389</v>
      </c>
      <c r="F2338" s="135">
        <v>46275.0</v>
      </c>
      <c r="G2338" s="9">
        <v>850000.0</v>
      </c>
      <c r="H2338" s="95" t="s">
        <v>530</v>
      </c>
      <c r="I2338" s="13">
        <f t="shared" si="148"/>
        <v>85000</v>
      </c>
      <c r="J2338" s="97" t="s">
        <v>2648</v>
      </c>
      <c r="K2338" s="98"/>
      <c r="L2338" s="98"/>
    </row>
    <row r="2339">
      <c r="B2339" s="139" t="s">
        <v>526</v>
      </c>
      <c r="C2339" s="95" t="s">
        <v>536</v>
      </c>
      <c r="D2339" s="95" t="s">
        <v>140</v>
      </c>
      <c r="E2339" s="5" t="s">
        <v>203</v>
      </c>
      <c r="F2339" s="135">
        <v>46275.0</v>
      </c>
      <c r="G2339" s="9">
        <v>830000.0</v>
      </c>
      <c r="H2339" s="95" t="s">
        <v>530</v>
      </c>
      <c r="I2339" s="13">
        <f t="shared" si="148"/>
        <v>83000</v>
      </c>
      <c r="J2339" s="97" t="s">
        <v>2648</v>
      </c>
      <c r="K2339" s="98"/>
      <c r="L2339" s="98"/>
    </row>
    <row r="2340">
      <c r="B2340" s="139" t="s">
        <v>526</v>
      </c>
      <c r="C2340" s="138" t="s">
        <v>2649</v>
      </c>
      <c r="D2340" s="138" t="s">
        <v>174</v>
      </c>
      <c r="E2340" s="138" t="s">
        <v>419</v>
      </c>
      <c r="F2340" s="135">
        <v>46275.0</v>
      </c>
      <c r="G2340" s="140">
        <f>0.7*600000</f>
        <v>420000</v>
      </c>
      <c r="H2340" s="95" t="s">
        <v>530</v>
      </c>
      <c r="I2340" s="13">
        <f t="shared" si="148"/>
        <v>42000</v>
      </c>
      <c r="J2340" s="97" t="s">
        <v>2648</v>
      </c>
      <c r="K2340" s="154"/>
      <c r="L2340" s="154"/>
    </row>
    <row r="2341">
      <c r="B2341" s="139" t="s">
        <v>526</v>
      </c>
      <c r="C2341" s="138" t="s">
        <v>2649</v>
      </c>
      <c r="D2341" s="95" t="s">
        <v>826</v>
      </c>
      <c r="E2341" s="5" t="s">
        <v>2650</v>
      </c>
      <c r="F2341" s="135">
        <v>46211.0</v>
      </c>
      <c r="G2341" s="140">
        <f>0.72*800000</f>
        <v>576000</v>
      </c>
      <c r="H2341" s="95" t="s">
        <v>530</v>
      </c>
      <c r="I2341" s="13">
        <f t="shared" si="148"/>
        <v>57600</v>
      </c>
      <c r="J2341" s="97" t="s">
        <v>2648</v>
      </c>
      <c r="K2341" s="98"/>
      <c r="L2341" s="98"/>
    </row>
    <row r="2342">
      <c r="B2342" s="139" t="s">
        <v>526</v>
      </c>
      <c r="C2342" s="138" t="s">
        <v>2651</v>
      </c>
      <c r="D2342" s="138" t="s">
        <v>140</v>
      </c>
      <c r="E2342" s="138" t="s">
        <v>2652</v>
      </c>
      <c r="F2342" s="135">
        <v>46275.0</v>
      </c>
      <c r="G2342" s="140">
        <v>300000.0</v>
      </c>
      <c r="H2342" s="95" t="s">
        <v>530</v>
      </c>
      <c r="I2342" s="13">
        <f t="shared" si="148"/>
        <v>30000</v>
      </c>
      <c r="J2342" s="97" t="s">
        <v>2648</v>
      </c>
      <c r="K2342" s="154"/>
      <c r="L2342" s="154"/>
    </row>
    <row r="2343">
      <c r="B2343" s="139" t="s">
        <v>526</v>
      </c>
      <c r="C2343" s="95" t="s">
        <v>2651</v>
      </c>
      <c r="D2343" s="95" t="s">
        <v>174</v>
      </c>
      <c r="E2343" s="5" t="s">
        <v>419</v>
      </c>
      <c r="F2343" s="135">
        <v>46243.0</v>
      </c>
      <c r="G2343" s="9">
        <f>500000*0.65</f>
        <v>325000</v>
      </c>
      <c r="H2343" s="95" t="s">
        <v>530</v>
      </c>
      <c r="I2343" s="13">
        <f t="shared" si="148"/>
        <v>32500</v>
      </c>
      <c r="J2343" s="97" t="s">
        <v>2648</v>
      </c>
      <c r="K2343" s="98"/>
      <c r="L2343" s="98"/>
    </row>
    <row r="2344">
      <c r="B2344" s="139" t="s">
        <v>526</v>
      </c>
      <c r="C2344" s="138" t="s">
        <v>1162</v>
      </c>
      <c r="D2344" s="95" t="s">
        <v>174</v>
      </c>
      <c r="E2344" s="5" t="s">
        <v>419</v>
      </c>
      <c r="F2344" s="135">
        <v>46275.0</v>
      </c>
      <c r="G2344" s="140">
        <f>0.7*350000</f>
        <v>245000</v>
      </c>
      <c r="H2344" s="95" t="s">
        <v>530</v>
      </c>
      <c r="I2344" s="13">
        <f t="shared" si="148"/>
        <v>24500</v>
      </c>
      <c r="J2344" s="97" t="s">
        <v>2648</v>
      </c>
      <c r="K2344" s="154"/>
      <c r="L2344" s="154"/>
    </row>
    <row r="2345">
      <c r="B2345" s="139" t="s">
        <v>526</v>
      </c>
      <c r="C2345" s="138" t="s">
        <v>1972</v>
      </c>
      <c r="D2345" s="95" t="s">
        <v>174</v>
      </c>
      <c r="E2345" s="5" t="s">
        <v>419</v>
      </c>
      <c r="F2345" s="135">
        <v>46275.0</v>
      </c>
      <c r="G2345" s="140">
        <f>0.7*330000</f>
        <v>231000</v>
      </c>
      <c r="H2345" s="95" t="s">
        <v>530</v>
      </c>
      <c r="I2345" s="13">
        <f t="shared" si="148"/>
        <v>23100</v>
      </c>
      <c r="J2345" s="97" t="s">
        <v>2648</v>
      </c>
      <c r="K2345" s="154"/>
      <c r="L2345" s="154"/>
    </row>
    <row r="2346">
      <c r="B2346" s="139" t="s">
        <v>526</v>
      </c>
      <c r="C2346" s="138" t="s">
        <v>2653</v>
      </c>
      <c r="D2346" s="95" t="s">
        <v>174</v>
      </c>
      <c r="E2346" s="5" t="s">
        <v>419</v>
      </c>
      <c r="F2346" s="135">
        <v>46275.0</v>
      </c>
      <c r="G2346" s="140">
        <f>0.7*250000</f>
        <v>175000</v>
      </c>
      <c r="H2346" s="95" t="s">
        <v>530</v>
      </c>
      <c r="I2346" s="13">
        <f t="shared" si="148"/>
        <v>17500</v>
      </c>
      <c r="J2346" s="97" t="s">
        <v>2648</v>
      </c>
      <c r="K2346" s="154"/>
      <c r="L2346" s="154"/>
    </row>
    <row r="2347">
      <c r="B2347" s="139" t="s">
        <v>526</v>
      </c>
      <c r="C2347" s="138" t="s">
        <v>1959</v>
      </c>
      <c r="D2347" s="95" t="s">
        <v>174</v>
      </c>
      <c r="E2347" s="5" t="s">
        <v>1648</v>
      </c>
      <c r="F2347" s="135">
        <v>46275.0</v>
      </c>
      <c r="G2347" s="140">
        <f>0.7*180000</f>
        <v>126000</v>
      </c>
      <c r="H2347" s="95" t="s">
        <v>530</v>
      </c>
      <c r="I2347" s="13">
        <f t="shared" si="148"/>
        <v>12600</v>
      </c>
      <c r="J2347" s="97" t="s">
        <v>2648</v>
      </c>
      <c r="K2347" s="154"/>
      <c r="L2347" s="154"/>
    </row>
    <row r="2348">
      <c r="B2348" s="139" t="s">
        <v>526</v>
      </c>
      <c r="C2348" s="138" t="s">
        <v>2654</v>
      </c>
      <c r="D2348" s="95" t="s">
        <v>174</v>
      </c>
      <c r="E2348" s="138" t="s">
        <v>411</v>
      </c>
      <c r="F2348" s="135">
        <v>46275.0</v>
      </c>
      <c r="G2348" s="140">
        <f>0.7*150000</f>
        <v>105000</v>
      </c>
      <c r="H2348" s="95" t="s">
        <v>530</v>
      </c>
      <c r="I2348" s="13">
        <f t="shared" si="148"/>
        <v>10500</v>
      </c>
      <c r="J2348" s="97" t="s">
        <v>2648</v>
      </c>
      <c r="K2348" s="154"/>
      <c r="L2348" s="154"/>
    </row>
    <row r="2349">
      <c r="B2349" s="139" t="s">
        <v>526</v>
      </c>
      <c r="C2349" s="138" t="s">
        <v>2655</v>
      </c>
      <c r="D2349" s="95" t="s">
        <v>174</v>
      </c>
      <c r="E2349" s="138" t="s">
        <v>419</v>
      </c>
      <c r="F2349" s="135">
        <v>46275.0</v>
      </c>
      <c r="G2349" s="140">
        <f>210000*0.7</f>
        <v>147000</v>
      </c>
      <c r="H2349" s="95" t="s">
        <v>530</v>
      </c>
      <c r="I2349" s="13">
        <f t="shared" si="148"/>
        <v>14700</v>
      </c>
      <c r="J2349" s="97" t="s">
        <v>595</v>
      </c>
      <c r="K2349" s="154"/>
      <c r="L2349" s="154"/>
    </row>
    <row r="2350">
      <c r="B2350" s="139" t="s">
        <v>526</v>
      </c>
      <c r="C2350" s="138" t="s">
        <v>2656</v>
      </c>
      <c r="D2350" s="95" t="s">
        <v>71</v>
      </c>
      <c r="E2350" s="138" t="s">
        <v>1027</v>
      </c>
      <c r="F2350" s="95" t="s">
        <v>643</v>
      </c>
      <c r="G2350" s="140">
        <v>350000.0</v>
      </c>
      <c r="H2350" s="95" t="s">
        <v>530</v>
      </c>
      <c r="I2350" s="13">
        <f t="shared" si="148"/>
        <v>35000</v>
      </c>
      <c r="J2350" s="97" t="s">
        <v>2657</v>
      </c>
      <c r="K2350" s="154"/>
      <c r="L2350" s="154"/>
    </row>
    <row r="2351">
      <c r="B2351" s="139" t="s">
        <v>526</v>
      </c>
      <c r="C2351" s="138" t="s">
        <v>2656</v>
      </c>
      <c r="D2351" s="95" t="s">
        <v>237</v>
      </c>
      <c r="E2351" s="138" t="s">
        <v>2658</v>
      </c>
      <c r="F2351" s="95" t="s">
        <v>586</v>
      </c>
      <c r="G2351" s="140">
        <v>1000000.0</v>
      </c>
      <c r="H2351" s="95" t="s">
        <v>610</v>
      </c>
      <c r="I2351" s="13">
        <f>G2351/9</f>
        <v>111111.1111</v>
      </c>
      <c r="J2351" s="97" t="s">
        <v>2657</v>
      </c>
      <c r="K2351" s="154"/>
      <c r="L2351" s="154"/>
    </row>
    <row r="2352">
      <c r="B2352" s="139" t="s">
        <v>526</v>
      </c>
      <c r="C2352" s="138" t="s">
        <v>1217</v>
      </c>
      <c r="D2352" s="95" t="s">
        <v>174</v>
      </c>
      <c r="E2352" s="138" t="s">
        <v>1693</v>
      </c>
      <c r="F2352" s="95" t="s">
        <v>586</v>
      </c>
      <c r="G2352" s="140">
        <f>130000*0.9</f>
        <v>117000</v>
      </c>
      <c r="H2352" s="95" t="s">
        <v>745</v>
      </c>
      <c r="I2352" s="13">
        <f>G2352/5</f>
        <v>23400</v>
      </c>
      <c r="J2352" s="97" t="s">
        <v>2659</v>
      </c>
      <c r="K2352" s="154"/>
      <c r="L2352" s="154"/>
    </row>
    <row r="2353">
      <c r="B2353" s="139" t="s">
        <v>526</v>
      </c>
      <c r="C2353" s="138" t="s">
        <v>2660</v>
      </c>
      <c r="D2353" s="95" t="s">
        <v>174</v>
      </c>
      <c r="E2353" s="138" t="s">
        <v>2661</v>
      </c>
      <c r="F2353" s="95" t="s">
        <v>586</v>
      </c>
      <c r="G2353" s="140">
        <f>100000*0.9</f>
        <v>90000</v>
      </c>
      <c r="H2353" s="95" t="s">
        <v>680</v>
      </c>
      <c r="I2353" s="13">
        <f>G2353/4</f>
        <v>22500</v>
      </c>
      <c r="J2353" s="97" t="s">
        <v>2659</v>
      </c>
      <c r="K2353" s="154"/>
      <c r="L2353" s="154"/>
    </row>
    <row r="2354">
      <c r="B2354" s="95" t="s">
        <v>526</v>
      </c>
      <c r="C2354" s="95" t="s">
        <v>1275</v>
      </c>
      <c r="D2354" s="95" t="s">
        <v>174</v>
      </c>
      <c r="E2354" s="95" t="s">
        <v>419</v>
      </c>
      <c r="F2354" s="95" t="s">
        <v>685</v>
      </c>
      <c r="G2354" s="9">
        <f>0.88*1500000</f>
        <v>1320000</v>
      </c>
      <c r="H2354" s="95" t="s">
        <v>530</v>
      </c>
      <c r="I2354" s="13">
        <f t="shared" ref="I2354:I2368" si="150">G2354/10</f>
        <v>132000</v>
      </c>
      <c r="J2354" s="97" t="s">
        <v>2662</v>
      </c>
      <c r="K2354" s="98"/>
      <c r="L2354" s="98"/>
    </row>
    <row r="2355">
      <c r="B2355" s="95" t="s">
        <v>526</v>
      </c>
      <c r="C2355" s="138" t="s">
        <v>1556</v>
      </c>
      <c r="D2355" s="95" t="s">
        <v>195</v>
      </c>
      <c r="E2355" s="138" t="s">
        <v>402</v>
      </c>
      <c r="F2355" s="95" t="s">
        <v>685</v>
      </c>
      <c r="G2355" s="140">
        <f>0.88*850000</f>
        <v>748000</v>
      </c>
      <c r="H2355" s="95" t="s">
        <v>530</v>
      </c>
      <c r="I2355" s="13">
        <f t="shared" si="150"/>
        <v>74800</v>
      </c>
      <c r="J2355" s="97" t="s">
        <v>2663</v>
      </c>
      <c r="K2355" s="154"/>
      <c r="L2355" s="154"/>
    </row>
    <row r="2356">
      <c r="B2356" s="95" t="s">
        <v>526</v>
      </c>
      <c r="C2356" s="138" t="s">
        <v>2664</v>
      </c>
      <c r="D2356" s="95" t="s">
        <v>69</v>
      </c>
      <c r="E2356" s="138" t="s">
        <v>123</v>
      </c>
      <c r="F2356" s="95" t="s">
        <v>650</v>
      </c>
      <c r="G2356" s="140">
        <v>40000.0</v>
      </c>
      <c r="H2356" s="95" t="s">
        <v>530</v>
      </c>
      <c r="I2356" s="13">
        <f t="shared" si="150"/>
        <v>4000</v>
      </c>
      <c r="J2356" s="98" t="s">
        <v>2665</v>
      </c>
      <c r="K2356" s="154" t="s">
        <v>1828</v>
      </c>
      <c r="L2356" s="154"/>
    </row>
    <row r="2357">
      <c r="B2357" s="95" t="s">
        <v>526</v>
      </c>
      <c r="C2357" s="138" t="s">
        <v>852</v>
      </c>
      <c r="D2357" s="95" t="s">
        <v>222</v>
      </c>
      <c r="E2357" s="138" t="s">
        <v>1019</v>
      </c>
      <c r="F2357" s="95" t="s">
        <v>685</v>
      </c>
      <c r="G2357" s="140">
        <v>2400000.0</v>
      </c>
      <c r="H2357" s="95" t="s">
        <v>530</v>
      </c>
      <c r="I2357" s="13">
        <f t="shared" si="150"/>
        <v>240000</v>
      </c>
      <c r="J2357" s="97" t="s">
        <v>2666</v>
      </c>
      <c r="K2357" s="155" t="s">
        <v>2667</v>
      </c>
      <c r="L2357" s="155" t="s">
        <v>2668</v>
      </c>
    </row>
    <row r="2358">
      <c r="B2358" s="95" t="s">
        <v>526</v>
      </c>
      <c r="C2358" s="95" t="s">
        <v>705</v>
      </c>
      <c r="D2358" s="95" t="s">
        <v>114</v>
      </c>
      <c r="E2358" s="95" t="s">
        <v>389</v>
      </c>
      <c r="F2358" s="95" t="s">
        <v>685</v>
      </c>
      <c r="G2358" s="140">
        <v>800000.0</v>
      </c>
      <c r="H2358" s="95" t="s">
        <v>530</v>
      </c>
      <c r="I2358" s="13">
        <f t="shared" si="150"/>
        <v>80000</v>
      </c>
      <c r="J2358" s="97" t="s">
        <v>2669</v>
      </c>
      <c r="K2358" s="155" t="s">
        <v>2670</v>
      </c>
      <c r="L2358" s="154"/>
    </row>
    <row r="2359">
      <c r="B2359" s="95" t="s">
        <v>526</v>
      </c>
      <c r="C2359" s="138" t="s">
        <v>2671</v>
      </c>
      <c r="D2359" s="95" t="s">
        <v>140</v>
      </c>
      <c r="E2359" s="138" t="s">
        <v>224</v>
      </c>
      <c r="F2359" s="95" t="s">
        <v>650</v>
      </c>
      <c r="G2359" s="140">
        <v>1250000.0</v>
      </c>
      <c r="H2359" s="95" t="s">
        <v>530</v>
      </c>
      <c r="I2359" s="13">
        <f t="shared" si="150"/>
        <v>125000</v>
      </c>
      <c r="J2359" s="97" t="s">
        <v>2672</v>
      </c>
      <c r="K2359" s="150"/>
      <c r="L2359" s="150"/>
    </row>
    <row r="2360">
      <c r="B2360" s="95" t="s">
        <v>526</v>
      </c>
      <c r="C2360" s="95" t="s">
        <v>1262</v>
      </c>
      <c r="D2360" s="95" t="s">
        <v>174</v>
      </c>
      <c r="E2360" s="95" t="s">
        <v>438</v>
      </c>
      <c r="F2360" s="95" t="s">
        <v>685</v>
      </c>
      <c r="G2360" s="9">
        <f>2500000*0.88</f>
        <v>2200000</v>
      </c>
      <c r="H2360" s="95" t="s">
        <v>530</v>
      </c>
      <c r="I2360" s="13">
        <f t="shared" si="150"/>
        <v>220000</v>
      </c>
      <c r="J2360" s="97" t="s">
        <v>1263</v>
      </c>
      <c r="K2360" s="97" t="s">
        <v>2673</v>
      </c>
      <c r="L2360" s="97" t="s">
        <v>2593</v>
      </c>
    </row>
    <row r="2361">
      <c r="B2361" s="95" t="s">
        <v>526</v>
      </c>
      <c r="C2361" s="138" t="s">
        <v>1244</v>
      </c>
      <c r="D2361" s="95" t="s">
        <v>174</v>
      </c>
      <c r="E2361" s="138" t="s">
        <v>419</v>
      </c>
      <c r="F2361" s="95" t="s">
        <v>685</v>
      </c>
      <c r="G2361" s="140">
        <f>2000000*0.88</f>
        <v>1760000</v>
      </c>
      <c r="H2361" s="95" t="s">
        <v>530</v>
      </c>
      <c r="I2361" s="13">
        <f t="shared" si="150"/>
        <v>176000</v>
      </c>
      <c r="J2361" s="97" t="s">
        <v>2674</v>
      </c>
      <c r="K2361" s="155" t="s">
        <v>2675</v>
      </c>
      <c r="L2361" s="155" t="s">
        <v>2676</v>
      </c>
    </row>
    <row r="2362">
      <c r="B2362" s="95" t="s">
        <v>526</v>
      </c>
      <c r="C2362" s="138" t="s">
        <v>2677</v>
      </c>
      <c r="D2362" s="95" t="s">
        <v>174</v>
      </c>
      <c r="E2362" s="138" t="s">
        <v>419</v>
      </c>
      <c r="F2362" s="95" t="s">
        <v>529</v>
      </c>
      <c r="G2362" s="140">
        <f>850000*0.9</f>
        <v>765000</v>
      </c>
      <c r="H2362" s="95" t="s">
        <v>530</v>
      </c>
      <c r="I2362" s="13">
        <f t="shared" si="150"/>
        <v>76500</v>
      </c>
      <c r="J2362" s="97" t="s">
        <v>2678</v>
      </c>
      <c r="K2362" s="150"/>
      <c r="L2362" s="150"/>
    </row>
    <row r="2363">
      <c r="B2363" s="95" t="s">
        <v>526</v>
      </c>
      <c r="C2363" s="138" t="s">
        <v>2679</v>
      </c>
      <c r="D2363" s="95" t="s">
        <v>174</v>
      </c>
      <c r="E2363" s="138" t="s">
        <v>438</v>
      </c>
      <c r="F2363" s="95" t="s">
        <v>685</v>
      </c>
      <c r="G2363" s="140">
        <f>0.88*2800000</f>
        <v>2464000</v>
      </c>
      <c r="H2363" s="95" t="s">
        <v>530</v>
      </c>
      <c r="I2363" s="13">
        <f t="shared" si="150"/>
        <v>246400</v>
      </c>
      <c r="J2363" s="97" t="s">
        <v>2680</v>
      </c>
      <c r="K2363" s="150" t="s">
        <v>1753</v>
      </c>
      <c r="L2363" s="97" t="s">
        <v>2593</v>
      </c>
    </row>
    <row r="2364">
      <c r="B2364" s="95" t="s">
        <v>526</v>
      </c>
      <c r="C2364" s="138" t="s">
        <v>2681</v>
      </c>
      <c r="D2364" s="95" t="s">
        <v>69</v>
      </c>
      <c r="E2364" s="138" t="s">
        <v>542</v>
      </c>
      <c r="F2364" s="95" t="s">
        <v>650</v>
      </c>
      <c r="G2364" s="140">
        <v>120000.0</v>
      </c>
      <c r="H2364" s="95" t="s">
        <v>530</v>
      </c>
      <c r="I2364" s="13">
        <f t="shared" si="150"/>
        <v>12000</v>
      </c>
      <c r="J2364" s="98" t="s">
        <v>1722</v>
      </c>
      <c r="K2364" s="150"/>
      <c r="L2364" s="150"/>
    </row>
    <row r="2365">
      <c r="B2365" s="95" t="s">
        <v>526</v>
      </c>
      <c r="C2365" s="95" t="s">
        <v>1522</v>
      </c>
      <c r="D2365" s="95" t="s">
        <v>114</v>
      </c>
      <c r="E2365" s="95" t="s">
        <v>389</v>
      </c>
      <c r="F2365" s="95" t="s">
        <v>685</v>
      </c>
      <c r="G2365" s="9">
        <f>2700000</f>
        <v>2700000</v>
      </c>
      <c r="H2365" s="95" t="s">
        <v>530</v>
      </c>
      <c r="I2365" s="13">
        <f t="shared" si="150"/>
        <v>270000</v>
      </c>
      <c r="J2365" s="97" t="s">
        <v>2682</v>
      </c>
      <c r="K2365" s="97" t="s">
        <v>2683</v>
      </c>
      <c r="L2365" s="97" t="s">
        <v>1772</v>
      </c>
    </row>
    <row r="2366">
      <c r="B2366" s="95" t="s">
        <v>526</v>
      </c>
      <c r="C2366" s="95" t="s">
        <v>608</v>
      </c>
      <c r="D2366" s="95" t="s">
        <v>114</v>
      </c>
      <c r="E2366" s="95" t="s">
        <v>377</v>
      </c>
      <c r="F2366" s="95" t="s">
        <v>685</v>
      </c>
      <c r="G2366" s="9">
        <v>3000000.0</v>
      </c>
      <c r="H2366" s="95" t="s">
        <v>530</v>
      </c>
      <c r="I2366" s="13">
        <f t="shared" si="150"/>
        <v>300000</v>
      </c>
      <c r="J2366" s="97" t="s">
        <v>2684</v>
      </c>
      <c r="K2366" s="98" t="s">
        <v>2685</v>
      </c>
      <c r="L2366" s="98"/>
    </row>
    <row r="2367">
      <c r="B2367" s="95" t="s">
        <v>526</v>
      </c>
      <c r="C2367" s="95" t="s">
        <v>1265</v>
      </c>
      <c r="D2367" s="95" t="s">
        <v>174</v>
      </c>
      <c r="E2367" s="95" t="s">
        <v>438</v>
      </c>
      <c r="F2367" s="95" t="s">
        <v>685</v>
      </c>
      <c r="G2367" s="9">
        <f>0.88*2200000</f>
        <v>1936000</v>
      </c>
      <c r="H2367" s="95" t="s">
        <v>530</v>
      </c>
      <c r="I2367" s="13">
        <f t="shared" si="150"/>
        <v>193600</v>
      </c>
      <c r="J2367" s="97" t="s">
        <v>2686</v>
      </c>
      <c r="K2367" s="97" t="s">
        <v>2593</v>
      </c>
      <c r="L2367" s="98"/>
    </row>
    <row r="2368">
      <c r="B2368" s="95" t="s">
        <v>526</v>
      </c>
      <c r="C2368" s="138" t="s">
        <v>2687</v>
      </c>
      <c r="D2368" s="95" t="s">
        <v>69</v>
      </c>
      <c r="E2368" s="138" t="s">
        <v>542</v>
      </c>
      <c r="F2368" s="95" t="s">
        <v>650</v>
      </c>
      <c r="G2368" s="140">
        <v>120000.0</v>
      </c>
      <c r="H2368" s="95" t="s">
        <v>530</v>
      </c>
      <c r="I2368" s="13">
        <f t="shared" si="150"/>
        <v>12000</v>
      </c>
      <c r="J2368" s="98" t="s">
        <v>1722</v>
      </c>
      <c r="K2368" s="150"/>
      <c r="L2368" s="150"/>
    </row>
    <row r="2369">
      <c r="B2369" s="95" t="s">
        <v>526</v>
      </c>
      <c r="C2369" s="138" t="s">
        <v>2688</v>
      </c>
      <c r="D2369" s="95" t="s">
        <v>69</v>
      </c>
      <c r="E2369" s="138" t="s">
        <v>542</v>
      </c>
      <c r="F2369" s="95" t="s">
        <v>650</v>
      </c>
      <c r="G2369" s="140">
        <v>70000.0</v>
      </c>
      <c r="H2369" s="95" t="s">
        <v>745</v>
      </c>
      <c r="I2369" s="13">
        <f>G2369/5</f>
        <v>14000</v>
      </c>
      <c r="J2369" s="98" t="s">
        <v>1722</v>
      </c>
      <c r="K2369" s="150"/>
      <c r="L2369" s="150"/>
    </row>
    <row r="2370">
      <c r="B2370" s="95" t="s">
        <v>526</v>
      </c>
      <c r="C2370" s="138" t="s">
        <v>2689</v>
      </c>
      <c r="D2370" s="95" t="s">
        <v>69</v>
      </c>
      <c r="E2370" s="138" t="s">
        <v>542</v>
      </c>
      <c r="F2370" s="95" t="s">
        <v>650</v>
      </c>
      <c r="G2370" s="140">
        <v>50000.0</v>
      </c>
      <c r="H2370" s="95" t="s">
        <v>530</v>
      </c>
      <c r="I2370" s="13">
        <f t="shared" ref="I2370:I2410" si="151">G2370/10</f>
        <v>5000</v>
      </c>
      <c r="J2370" s="98" t="s">
        <v>1722</v>
      </c>
      <c r="K2370" s="150"/>
      <c r="L2370" s="150"/>
    </row>
    <row r="2371">
      <c r="B2371" s="95" t="s">
        <v>526</v>
      </c>
      <c r="C2371" s="95" t="s">
        <v>672</v>
      </c>
      <c r="D2371" s="95" t="s">
        <v>114</v>
      </c>
      <c r="E2371" s="95" t="s">
        <v>380</v>
      </c>
      <c r="F2371" s="95" t="s">
        <v>586</v>
      </c>
      <c r="G2371" s="9">
        <v>160000.0</v>
      </c>
      <c r="H2371" s="95" t="s">
        <v>530</v>
      </c>
      <c r="I2371" s="13">
        <f t="shared" si="151"/>
        <v>16000</v>
      </c>
      <c r="J2371" s="97" t="s">
        <v>1015</v>
      </c>
      <c r="K2371" s="98"/>
      <c r="L2371" s="98"/>
    </row>
    <row r="2372">
      <c r="B2372" s="95" t="s">
        <v>526</v>
      </c>
      <c r="C2372" s="95" t="s">
        <v>2690</v>
      </c>
      <c r="D2372" s="95" t="s">
        <v>140</v>
      </c>
      <c r="E2372" s="95" t="s">
        <v>178</v>
      </c>
      <c r="F2372" s="95" t="s">
        <v>685</v>
      </c>
      <c r="G2372" s="9">
        <v>1550000.0</v>
      </c>
      <c r="H2372" s="95" t="s">
        <v>530</v>
      </c>
      <c r="I2372" s="13">
        <f t="shared" si="151"/>
        <v>155000</v>
      </c>
      <c r="J2372" s="97" t="s">
        <v>2691</v>
      </c>
      <c r="K2372" s="97" t="s">
        <v>2692</v>
      </c>
      <c r="L2372" s="97" t="s">
        <v>2693</v>
      </c>
    </row>
    <row r="2373">
      <c r="B2373" s="95" t="s">
        <v>526</v>
      </c>
      <c r="C2373" s="95" t="s">
        <v>1836</v>
      </c>
      <c r="D2373" s="95" t="s">
        <v>140</v>
      </c>
      <c r="E2373" s="95" t="s">
        <v>178</v>
      </c>
      <c r="F2373" s="95" t="s">
        <v>685</v>
      </c>
      <c r="G2373" s="9">
        <v>2000000.0</v>
      </c>
      <c r="H2373" s="95" t="s">
        <v>530</v>
      </c>
      <c r="I2373" s="13">
        <f t="shared" si="151"/>
        <v>200000</v>
      </c>
      <c r="J2373" s="97" t="s">
        <v>2513</v>
      </c>
      <c r="K2373" s="98"/>
      <c r="L2373" s="98"/>
    </row>
    <row r="2374">
      <c r="B2374" s="95" t="s">
        <v>526</v>
      </c>
      <c r="C2374" s="95" t="s">
        <v>744</v>
      </c>
      <c r="D2374" s="95" t="s">
        <v>114</v>
      </c>
      <c r="E2374" s="95" t="s">
        <v>389</v>
      </c>
      <c r="F2374" s="95" t="s">
        <v>685</v>
      </c>
      <c r="G2374" s="9">
        <f>0.88*1000000</f>
        <v>880000</v>
      </c>
      <c r="H2374" s="95" t="s">
        <v>530</v>
      </c>
      <c r="I2374" s="13">
        <f t="shared" si="151"/>
        <v>88000</v>
      </c>
      <c r="J2374" s="97" t="s">
        <v>2694</v>
      </c>
      <c r="K2374" s="98"/>
      <c r="L2374" s="98"/>
    </row>
    <row r="2375">
      <c r="B2375" s="95" t="s">
        <v>526</v>
      </c>
      <c r="C2375" s="95" t="s">
        <v>1322</v>
      </c>
      <c r="D2375" s="95" t="s">
        <v>815</v>
      </c>
      <c r="E2375" s="95" t="s">
        <v>2695</v>
      </c>
      <c r="F2375" s="95" t="s">
        <v>685</v>
      </c>
      <c r="G2375" s="9">
        <f>0.88*1600000</f>
        <v>1408000</v>
      </c>
      <c r="H2375" s="95" t="s">
        <v>530</v>
      </c>
      <c r="I2375" s="13">
        <f t="shared" si="151"/>
        <v>140800</v>
      </c>
      <c r="J2375" s="97" t="s">
        <v>2696</v>
      </c>
      <c r="K2375" s="98" t="s">
        <v>2697</v>
      </c>
      <c r="L2375" s="97" t="s">
        <v>2698</v>
      </c>
    </row>
    <row r="2376">
      <c r="B2376" s="95" t="s">
        <v>526</v>
      </c>
      <c r="C2376" s="95" t="s">
        <v>2283</v>
      </c>
      <c r="D2376" s="95" t="s">
        <v>815</v>
      </c>
      <c r="E2376" s="95" t="s">
        <v>2057</v>
      </c>
      <c r="F2376" s="95" t="s">
        <v>685</v>
      </c>
      <c r="G2376" s="9">
        <f>730000*0.88</f>
        <v>642400</v>
      </c>
      <c r="H2376" s="95" t="s">
        <v>530</v>
      </c>
      <c r="I2376" s="13">
        <f t="shared" si="151"/>
        <v>64240</v>
      </c>
      <c r="J2376" s="97" t="s">
        <v>2699</v>
      </c>
      <c r="K2376" s="97" t="s">
        <v>2700</v>
      </c>
      <c r="L2376" s="98"/>
    </row>
    <row r="2377">
      <c r="B2377" s="95" t="s">
        <v>641</v>
      </c>
      <c r="C2377" s="95" t="s">
        <v>1104</v>
      </c>
      <c r="D2377" s="95" t="s">
        <v>195</v>
      </c>
      <c r="E2377" s="95" t="s">
        <v>432</v>
      </c>
      <c r="F2377" s="95" t="s">
        <v>650</v>
      </c>
      <c r="G2377" s="9">
        <v>1000000.0</v>
      </c>
      <c r="H2377" s="95" t="s">
        <v>530</v>
      </c>
      <c r="I2377" s="13">
        <f t="shared" si="151"/>
        <v>100000</v>
      </c>
      <c r="J2377" s="97" t="s">
        <v>2701</v>
      </c>
      <c r="K2377" s="98"/>
      <c r="L2377" s="98"/>
    </row>
    <row r="2378">
      <c r="B2378" s="95" t="s">
        <v>526</v>
      </c>
      <c r="C2378" s="95" t="s">
        <v>686</v>
      </c>
      <c r="D2378" s="95" t="s">
        <v>114</v>
      </c>
      <c r="E2378" s="95" t="s">
        <v>389</v>
      </c>
      <c r="F2378" s="95" t="s">
        <v>685</v>
      </c>
      <c r="G2378" s="9">
        <f>3150000*0.88</f>
        <v>2772000</v>
      </c>
      <c r="H2378" s="95" t="s">
        <v>530</v>
      </c>
      <c r="I2378" s="13">
        <f t="shared" si="151"/>
        <v>277200</v>
      </c>
      <c r="J2378" s="97" t="s">
        <v>539</v>
      </c>
      <c r="K2378" s="98" t="s">
        <v>691</v>
      </c>
      <c r="L2378" s="98"/>
    </row>
    <row r="2379">
      <c r="B2379" s="95" t="s">
        <v>526</v>
      </c>
      <c r="C2379" s="95" t="s">
        <v>554</v>
      </c>
      <c r="D2379" s="95" t="s">
        <v>71</v>
      </c>
      <c r="E2379" s="95" t="s">
        <v>798</v>
      </c>
      <c r="F2379" s="95" t="s">
        <v>650</v>
      </c>
      <c r="G2379" s="9">
        <v>1100000.0</v>
      </c>
      <c r="H2379" s="95" t="s">
        <v>530</v>
      </c>
      <c r="I2379" s="13">
        <f t="shared" si="151"/>
        <v>110000</v>
      </c>
      <c r="J2379" s="97" t="s">
        <v>2702</v>
      </c>
      <c r="K2379" s="98"/>
      <c r="L2379" s="98"/>
    </row>
    <row r="2380">
      <c r="B2380" s="95" t="s">
        <v>526</v>
      </c>
      <c r="C2380" s="95" t="s">
        <v>2703</v>
      </c>
      <c r="D2380" s="95" t="s">
        <v>114</v>
      </c>
      <c r="E2380" s="95" t="s">
        <v>396</v>
      </c>
      <c r="F2380" s="95" t="s">
        <v>650</v>
      </c>
      <c r="G2380" s="9">
        <v>150000.0</v>
      </c>
      <c r="H2380" s="95" t="s">
        <v>530</v>
      </c>
      <c r="I2380" s="13">
        <f t="shared" si="151"/>
        <v>15000</v>
      </c>
      <c r="J2380" s="97" t="s">
        <v>2704</v>
      </c>
      <c r="K2380" s="98"/>
      <c r="L2380" s="98"/>
    </row>
    <row r="2381">
      <c r="B2381" s="95" t="s">
        <v>526</v>
      </c>
      <c r="C2381" s="95" t="s">
        <v>1379</v>
      </c>
      <c r="D2381" s="95" t="s">
        <v>195</v>
      </c>
      <c r="E2381" s="95" t="s">
        <v>434</v>
      </c>
      <c r="F2381" s="95" t="s">
        <v>685</v>
      </c>
      <c r="G2381" s="9">
        <f>0.88*3300000</f>
        <v>2904000</v>
      </c>
      <c r="H2381" s="95" t="s">
        <v>530</v>
      </c>
      <c r="I2381" s="13">
        <f t="shared" si="151"/>
        <v>290400</v>
      </c>
      <c r="J2381" s="97" t="s">
        <v>1772</v>
      </c>
      <c r="K2381" s="97" t="s">
        <v>2705</v>
      </c>
      <c r="L2381" s="97" t="s">
        <v>1773</v>
      </c>
    </row>
    <row r="2382">
      <c r="B2382" s="95" t="s">
        <v>526</v>
      </c>
      <c r="C2382" s="95" t="s">
        <v>1183</v>
      </c>
      <c r="D2382" s="95" t="s">
        <v>174</v>
      </c>
      <c r="E2382" s="95" t="s">
        <v>438</v>
      </c>
      <c r="F2382" s="95" t="s">
        <v>685</v>
      </c>
      <c r="G2382" s="9">
        <f>0.88*1700000</f>
        <v>1496000</v>
      </c>
      <c r="H2382" s="95" t="s">
        <v>530</v>
      </c>
      <c r="I2382" s="13">
        <f t="shared" si="151"/>
        <v>149600</v>
      </c>
      <c r="J2382" s="97" t="s">
        <v>2706</v>
      </c>
      <c r="K2382" s="98" t="s">
        <v>1812</v>
      </c>
      <c r="L2382" s="97" t="s">
        <v>2593</v>
      </c>
    </row>
    <row r="2383">
      <c r="B2383" s="139" t="s">
        <v>526</v>
      </c>
      <c r="C2383" s="139" t="s">
        <v>1132</v>
      </c>
      <c r="D2383" s="139" t="s">
        <v>174</v>
      </c>
      <c r="E2383" s="138" t="s">
        <v>438</v>
      </c>
      <c r="F2383" s="138" t="s">
        <v>685</v>
      </c>
      <c r="G2383" s="124">
        <f>0.88*1600000</f>
        <v>1408000</v>
      </c>
      <c r="H2383" s="139" t="s">
        <v>530</v>
      </c>
      <c r="I2383" s="124">
        <f t="shared" si="151"/>
        <v>140800</v>
      </c>
      <c r="J2383" s="145" t="s">
        <v>2707</v>
      </c>
      <c r="K2383" s="97" t="s">
        <v>2593</v>
      </c>
      <c r="L2383" s="98"/>
    </row>
    <row r="2384">
      <c r="B2384" s="95" t="s">
        <v>526</v>
      </c>
      <c r="C2384" s="95" t="s">
        <v>1411</v>
      </c>
      <c r="D2384" s="95" t="s">
        <v>174</v>
      </c>
      <c r="E2384" s="95" t="s">
        <v>438</v>
      </c>
      <c r="F2384" s="95" t="s">
        <v>685</v>
      </c>
      <c r="G2384" s="9">
        <f>0.88*1500000</f>
        <v>1320000</v>
      </c>
      <c r="H2384" s="95" t="s">
        <v>530</v>
      </c>
      <c r="I2384" s="13">
        <f t="shared" si="151"/>
        <v>132000</v>
      </c>
      <c r="J2384" s="97" t="s">
        <v>2708</v>
      </c>
      <c r="K2384" s="98" t="s">
        <v>1306</v>
      </c>
      <c r="L2384" s="97" t="s">
        <v>2593</v>
      </c>
    </row>
    <row r="2385">
      <c r="B2385" s="95" t="s">
        <v>526</v>
      </c>
      <c r="C2385" s="138" t="s">
        <v>2709</v>
      </c>
      <c r="D2385" s="95" t="s">
        <v>174</v>
      </c>
      <c r="E2385" s="138" t="s">
        <v>438</v>
      </c>
      <c r="F2385" s="95" t="s">
        <v>685</v>
      </c>
      <c r="G2385" s="140">
        <f>0.88*1200000</f>
        <v>1056000</v>
      </c>
      <c r="H2385" s="95" t="s">
        <v>530</v>
      </c>
      <c r="I2385" s="13">
        <f t="shared" si="151"/>
        <v>105600</v>
      </c>
      <c r="J2385" s="97" t="s">
        <v>2710</v>
      </c>
      <c r="K2385" s="155" t="s">
        <v>2711</v>
      </c>
      <c r="L2385" s="97" t="s">
        <v>2593</v>
      </c>
    </row>
    <row r="2386">
      <c r="B2386" s="95" t="s">
        <v>526</v>
      </c>
      <c r="C2386" s="95" t="s">
        <v>1357</v>
      </c>
      <c r="D2386" s="95" t="s">
        <v>114</v>
      </c>
      <c r="E2386" s="5" t="s">
        <v>396</v>
      </c>
      <c r="F2386" s="95" t="s">
        <v>685</v>
      </c>
      <c r="G2386" s="9">
        <v>2150000.0</v>
      </c>
      <c r="H2386" s="95" t="s">
        <v>530</v>
      </c>
      <c r="I2386" s="13">
        <f t="shared" si="151"/>
        <v>215000</v>
      </c>
      <c r="J2386" s="97" t="s">
        <v>1353</v>
      </c>
      <c r="K2386" s="98" t="s">
        <v>2712</v>
      </c>
      <c r="L2386" s="98"/>
    </row>
    <row r="2387">
      <c r="B2387" s="95" t="s">
        <v>526</v>
      </c>
      <c r="C2387" s="95" t="s">
        <v>585</v>
      </c>
      <c r="D2387" s="95" t="s">
        <v>114</v>
      </c>
      <c r="E2387" s="95" t="s">
        <v>396</v>
      </c>
      <c r="F2387" s="95" t="s">
        <v>685</v>
      </c>
      <c r="G2387" s="9">
        <v>2000000.0</v>
      </c>
      <c r="H2387" s="95" t="s">
        <v>530</v>
      </c>
      <c r="I2387" s="13">
        <f t="shared" si="151"/>
        <v>200000</v>
      </c>
      <c r="J2387" s="97" t="s">
        <v>2713</v>
      </c>
      <c r="K2387" s="97" t="s">
        <v>2610</v>
      </c>
      <c r="L2387" s="98"/>
    </row>
    <row r="2388">
      <c r="B2388" s="95" t="s">
        <v>526</v>
      </c>
      <c r="C2388" s="95" t="s">
        <v>699</v>
      </c>
      <c r="D2388" s="95" t="s">
        <v>114</v>
      </c>
      <c r="E2388" s="95" t="s">
        <v>396</v>
      </c>
      <c r="F2388" s="95" t="s">
        <v>685</v>
      </c>
      <c r="G2388" s="9">
        <v>1600000.0</v>
      </c>
      <c r="H2388" s="95" t="s">
        <v>530</v>
      </c>
      <c r="I2388" s="13">
        <f t="shared" si="151"/>
        <v>160000</v>
      </c>
      <c r="J2388" s="97" t="s">
        <v>2714</v>
      </c>
      <c r="K2388" s="98" t="s">
        <v>2715</v>
      </c>
      <c r="L2388" s="97" t="s">
        <v>2716</v>
      </c>
    </row>
    <row r="2389">
      <c r="B2389" s="95" t="s">
        <v>526</v>
      </c>
      <c r="C2389" s="95" t="s">
        <v>622</v>
      </c>
      <c r="D2389" s="95" t="s">
        <v>114</v>
      </c>
      <c r="E2389" s="95" t="s">
        <v>396</v>
      </c>
      <c r="F2389" s="95" t="s">
        <v>685</v>
      </c>
      <c r="G2389" s="9">
        <v>1500000.0</v>
      </c>
      <c r="H2389" s="95" t="s">
        <v>530</v>
      </c>
      <c r="I2389" s="13">
        <f t="shared" si="151"/>
        <v>150000</v>
      </c>
      <c r="J2389" s="97" t="s">
        <v>2713</v>
      </c>
      <c r="K2389" s="97" t="s">
        <v>2610</v>
      </c>
      <c r="L2389" s="98"/>
    </row>
    <row r="2390">
      <c r="B2390" s="95" t="s">
        <v>526</v>
      </c>
      <c r="C2390" s="95" t="s">
        <v>617</v>
      </c>
      <c r="D2390" s="95" t="s">
        <v>114</v>
      </c>
      <c r="E2390" s="95" t="s">
        <v>396</v>
      </c>
      <c r="F2390" s="95" t="s">
        <v>685</v>
      </c>
      <c r="G2390" s="9">
        <v>1400000.0</v>
      </c>
      <c r="H2390" s="95" t="s">
        <v>530</v>
      </c>
      <c r="I2390" s="13">
        <f t="shared" si="151"/>
        <v>140000</v>
      </c>
      <c r="J2390" s="97" t="s">
        <v>2713</v>
      </c>
      <c r="K2390" s="97" t="s">
        <v>2610</v>
      </c>
      <c r="L2390" s="98"/>
    </row>
    <row r="2391">
      <c r="B2391" s="144" t="s">
        <v>526</v>
      </c>
      <c r="C2391" s="138" t="s">
        <v>2717</v>
      </c>
      <c r="D2391" s="138" t="s">
        <v>114</v>
      </c>
      <c r="E2391" s="138" t="s">
        <v>396</v>
      </c>
      <c r="F2391" s="138" t="s">
        <v>685</v>
      </c>
      <c r="G2391" s="140">
        <v>1300000.0</v>
      </c>
      <c r="H2391" s="144" t="s">
        <v>530</v>
      </c>
      <c r="I2391" s="152">
        <f t="shared" si="151"/>
        <v>130000</v>
      </c>
      <c r="J2391" s="151" t="s">
        <v>2718</v>
      </c>
      <c r="K2391" s="150" t="s">
        <v>2719</v>
      </c>
      <c r="L2391" s="155" t="s">
        <v>2720</v>
      </c>
    </row>
    <row r="2392">
      <c r="B2392" s="95" t="s">
        <v>526</v>
      </c>
      <c r="C2392" s="95" t="s">
        <v>667</v>
      </c>
      <c r="D2392" s="95" t="s">
        <v>114</v>
      </c>
      <c r="E2392" s="95" t="s">
        <v>396</v>
      </c>
      <c r="F2392" s="95" t="s">
        <v>685</v>
      </c>
      <c r="G2392" s="9">
        <v>1100000.0</v>
      </c>
      <c r="H2392" s="95" t="s">
        <v>530</v>
      </c>
      <c r="I2392" s="13">
        <f t="shared" si="151"/>
        <v>110000</v>
      </c>
      <c r="J2392" s="97" t="s">
        <v>2713</v>
      </c>
      <c r="K2392" s="97" t="s">
        <v>2610</v>
      </c>
      <c r="L2392" s="98"/>
    </row>
    <row r="2393">
      <c r="B2393" s="95" t="s">
        <v>526</v>
      </c>
      <c r="C2393" s="95" t="s">
        <v>627</v>
      </c>
      <c r="D2393" s="95" t="s">
        <v>114</v>
      </c>
      <c r="E2393" s="95" t="s">
        <v>396</v>
      </c>
      <c r="F2393" s="95" t="s">
        <v>685</v>
      </c>
      <c r="G2393" s="9">
        <v>450000.0</v>
      </c>
      <c r="H2393" s="95" t="s">
        <v>530</v>
      </c>
      <c r="I2393" s="13">
        <f t="shared" si="151"/>
        <v>45000</v>
      </c>
      <c r="J2393" s="97" t="s">
        <v>2713</v>
      </c>
      <c r="K2393" s="97" t="s">
        <v>2610</v>
      </c>
      <c r="L2393" s="98"/>
    </row>
    <row r="2394">
      <c r="B2394" s="95" t="s">
        <v>526</v>
      </c>
      <c r="C2394" s="95" t="s">
        <v>628</v>
      </c>
      <c r="D2394" s="95" t="s">
        <v>114</v>
      </c>
      <c r="E2394" s="95" t="s">
        <v>396</v>
      </c>
      <c r="F2394" s="95" t="s">
        <v>685</v>
      </c>
      <c r="G2394" s="9">
        <v>350000.0</v>
      </c>
      <c r="H2394" s="95" t="s">
        <v>530</v>
      </c>
      <c r="I2394" s="13">
        <f t="shared" si="151"/>
        <v>35000</v>
      </c>
      <c r="J2394" s="97" t="s">
        <v>2713</v>
      </c>
      <c r="K2394" s="97" t="s">
        <v>2610</v>
      </c>
      <c r="L2394" s="98"/>
    </row>
    <row r="2395">
      <c r="B2395" s="95" t="s">
        <v>526</v>
      </c>
      <c r="C2395" s="95" t="s">
        <v>2721</v>
      </c>
      <c r="D2395" s="95" t="s">
        <v>114</v>
      </c>
      <c r="E2395" s="95" t="s">
        <v>396</v>
      </c>
      <c r="F2395" s="95" t="s">
        <v>685</v>
      </c>
      <c r="G2395" s="9">
        <v>300000.0</v>
      </c>
      <c r="H2395" s="95" t="s">
        <v>530</v>
      </c>
      <c r="I2395" s="13">
        <f t="shared" si="151"/>
        <v>30000</v>
      </c>
      <c r="J2395" s="97" t="s">
        <v>2713</v>
      </c>
      <c r="K2395" s="97" t="s">
        <v>2610</v>
      </c>
      <c r="L2395" s="98"/>
    </row>
    <row r="2396">
      <c r="B2396" s="95" t="s">
        <v>526</v>
      </c>
      <c r="C2396" s="95" t="s">
        <v>2703</v>
      </c>
      <c r="D2396" s="95" t="s">
        <v>114</v>
      </c>
      <c r="E2396" s="95" t="s">
        <v>396</v>
      </c>
      <c r="F2396" s="95" t="s">
        <v>685</v>
      </c>
      <c r="G2396" s="9">
        <v>150000.0</v>
      </c>
      <c r="H2396" s="95" t="s">
        <v>530</v>
      </c>
      <c r="I2396" s="13">
        <f t="shared" si="151"/>
        <v>15000</v>
      </c>
      <c r="J2396" s="97" t="s">
        <v>2713</v>
      </c>
      <c r="K2396" s="97" t="s">
        <v>2610</v>
      </c>
      <c r="L2396" s="98"/>
    </row>
    <row r="2397">
      <c r="B2397" s="95" t="s">
        <v>526</v>
      </c>
      <c r="C2397" s="95" t="s">
        <v>1354</v>
      </c>
      <c r="D2397" s="95" t="s">
        <v>195</v>
      </c>
      <c r="E2397" s="95" t="s">
        <v>434</v>
      </c>
      <c r="F2397" s="95" t="s">
        <v>685</v>
      </c>
      <c r="G2397" s="9">
        <f>2000000*0.88</f>
        <v>1760000</v>
      </c>
      <c r="H2397" s="95" t="s">
        <v>530</v>
      </c>
      <c r="I2397" s="13">
        <f t="shared" si="151"/>
        <v>176000</v>
      </c>
      <c r="J2397" s="97" t="s">
        <v>2722</v>
      </c>
      <c r="K2397" s="98" t="s">
        <v>1753</v>
      </c>
      <c r="L2397" s="98"/>
    </row>
    <row r="2398">
      <c r="B2398" s="95" t="s">
        <v>526</v>
      </c>
      <c r="C2398" s="95" t="s">
        <v>1266</v>
      </c>
      <c r="D2398" s="95" t="s">
        <v>88</v>
      </c>
      <c r="E2398" s="95" t="s">
        <v>425</v>
      </c>
      <c r="F2398" s="95" t="s">
        <v>685</v>
      </c>
      <c r="G2398" s="9">
        <f>0.88*1500000</f>
        <v>1320000</v>
      </c>
      <c r="H2398" s="95" t="s">
        <v>530</v>
      </c>
      <c r="I2398" s="13">
        <f t="shared" si="151"/>
        <v>132000</v>
      </c>
      <c r="J2398" s="97" t="s">
        <v>2723</v>
      </c>
      <c r="K2398" s="97" t="s">
        <v>2724</v>
      </c>
      <c r="L2398" s="98"/>
    </row>
    <row r="2399">
      <c r="B2399" s="144" t="s">
        <v>526</v>
      </c>
      <c r="C2399" s="138" t="s">
        <v>2601</v>
      </c>
      <c r="D2399" s="138" t="s">
        <v>826</v>
      </c>
      <c r="E2399" s="95" t="s">
        <v>833</v>
      </c>
      <c r="F2399" s="138" t="s">
        <v>685</v>
      </c>
      <c r="G2399" s="140">
        <f>0.88*600000</f>
        <v>528000</v>
      </c>
      <c r="H2399" s="95" t="s">
        <v>530</v>
      </c>
      <c r="I2399" s="13">
        <f t="shared" si="151"/>
        <v>52800</v>
      </c>
      <c r="J2399" s="153" t="s">
        <v>2725</v>
      </c>
      <c r="K2399" s="150"/>
      <c r="L2399" s="154"/>
    </row>
    <row r="2400">
      <c r="B2400" s="95" t="s">
        <v>526</v>
      </c>
      <c r="C2400" s="95" t="s">
        <v>1084</v>
      </c>
      <c r="D2400" s="95" t="s">
        <v>140</v>
      </c>
      <c r="E2400" s="95" t="s">
        <v>194</v>
      </c>
      <c r="F2400" s="95" t="s">
        <v>685</v>
      </c>
      <c r="G2400" s="9">
        <f>2700000*0.88</f>
        <v>2376000</v>
      </c>
      <c r="H2400" s="95" t="s">
        <v>530</v>
      </c>
      <c r="I2400" s="13">
        <f t="shared" si="151"/>
        <v>237600</v>
      </c>
      <c r="J2400" s="97" t="s">
        <v>2726</v>
      </c>
      <c r="K2400" s="97" t="s">
        <v>2727</v>
      </c>
      <c r="L2400" s="97" t="s">
        <v>2728</v>
      </c>
    </row>
    <row r="2401">
      <c r="B2401" s="95" t="s">
        <v>526</v>
      </c>
      <c r="C2401" s="95" t="s">
        <v>432</v>
      </c>
      <c r="D2401" s="95" t="s">
        <v>195</v>
      </c>
      <c r="E2401" s="95" t="s">
        <v>434</v>
      </c>
      <c r="F2401" s="95" t="s">
        <v>685</v>
      </c>
      <c r="G2401" s="9">
        <v>1000000.0</v>
      </c>
      <c r="H2401" s="95" t="s">
        <v>530</v>
      </c>
      <c r="I2401" s="13">
        <f t="shared" si="151"/>
        <v>100000</v>
      </c>
      <c r="J2401" s="97" t="s">
        <v>2729</v>
      </c>
      <c r="K2401" s="98"/>
      <c r="L2401" s="98"/>
    </row>
    <row r="2402">
      <c r="B2402" s="95" t="s">
        <v>526</v>
      </c>
      <c r="C2402" s="95" t="s">
        <v>683</v>
      </c>
      <c r="D2402" s="95" t="s">
        <v>114</v>
      </c>
      <c r="E2402" s="95" t="s">
        <v>389</v>
      </c>
      <c r="F2402" s="95" t="s">
        <v>685</v>
      </c>
      <c r="G2402" s="9">
        <v>3700000.0</v>
      </c>
      <c r="H2402" s="95" t="s">
        <v>530</v>
      </c>
      <c r="I2402" s="13">
        <f t="shared" si="151"/>
        <v>370000</v>
      </c>
      <c r="J2402" s="97" t="s">
        <v>539</v>
      </c>
      <c r="K2402" s="97" t="s">
        <v>1772</v>
      </c>
      <c r="L2402" s="97" t="s">
        <v>1773</v>
      </c>
    </row>
    <row r="2403">
      <c r="B2403" s="95" t="s">
        <v>526</v>
      </c>
      <c r="C2403" s="95" t="s">
        <v>1550</v>
      </c>
      <c r="D2403" s="95" t="s">
        <v>140</v>
      </c>
      <c r="E2403" s="95" t="s">
        <v>194</v>
      </c>
      <c r="F2403" s="95" t="s">
        <v>685</v>
      </c>
      <c r="G2403" s="9">
        <v>1000000.0</v>
      </c>
      <c r="H2403" s="95" t="s">
        <v>530</v>
      </c>
      <c r="I2403" s="13">
        <f t="shared" si="151"/>
        <v>100000</v>
      </c>
      <c r="J2403" s="97" t="s">
        <v>729</v>
      </c>
      <c r="K2403" s="98"/>
      <c r="L2403" s="98"/>
    </row>
    <row r="2404">
      <c r="B2404" s="95" t="s">
        <v>526</v>
      </c>
      <c r="C2404" s="95" t="s">
        <v>1551</v>
      </c>
      <c r="D2404" s="95" t="s">
        <v>140</v>
      </c>
      <c r="E2404" s="95" t="s">
        <v>194</v>
      </c>
      <c r="F2404" s="95" t="s">
        <v>685</v>
      </c>
      <c r="G2404" s="9">
        <v>800000.0</v>
      </c>
      <c r="H2404" s="95" t="s">
        <v>530</v>
      </c>
      <c r="I2404" s="13">
        <f t="shared" si="151"/>
        <v>80000</v>
      </c>
      <c r="J2404" s="97" t="s">
        <v>2730</v>
      </c>
      <c r="K2404" s="98"/>
      <c r="L2404" s="98"/>
    </row>
    <row r="2405">
      <c r="B2405" s="95" t="s">
        <v>526</v>
      </c>
      <c r="C2405" s="138" t="s">
        <v>2731</v>
      </c>
      <c r="D2405" s="95" t="s">
        <v>222</v>
      </c>
      <c r="E2405" s="138" t="s">
        <v>1019</v>
      </c>
      <c r="F2405" s="95" t="s">
        <v>685</v>
      </c>
      <c r="G2405" s="140">
        <v>1000000.0</v>
      </c>
      <c r="H2405" s="95" t="s">
        <v>530</v>
      </c>
      <c r="I2405" s="13">
        <f t="shared" si="151"/>
        <v>100000</v>
      </c>
      <c r="J2405" s="97" t="s">
        <v>2732</v>
      </c>
      <c r="K2405" s="154"/>
      <c r="L2405" s="154"/>
    </row>
    <row r="2406">
      <c r="B2406" s="95" t="s">
        <v>526</v>
      </c>
      <c r="C2406" s="95" t="s">
        <v>2733</v>
      </c>
      <c r="D2406" s="95" t="s">
        <v>69</v>
      </c>
      <c r="E2406" s="95" t="s">
        <v>555</v>
      </c>
      <c r="F2406" s="95" t="s">
        <v>685</v>
      </c>
      <c r="G2406" s="9">
        <v>2500000.0</v>
      </c>
      <c r="H2406" s="95" t="s">
        <v>530</v>
      </c>
      <c r="I2406" s="13">
        <f t="shared" si="151"/>
        <v>250000</v>
      </c>
      <c r="J2406" s="97" t="s">
        <v>2734</v>
      </c>
      <c r="K2406" s="98"/>
      <c r="L2406" s="98"/>
    </row>
    <row r="2407">
      <c r="B2407" s="95" t="s">
        <v>526</v>
      </c>
      <c r="C2407" s="95" t="s">
        <v>599</v>
      </c>
      <c r="D2407" s="95" t="s">
        <v>114</v>
      </c>
      <c r="E2407" s="95" t="s">
        <v>396</v>
      </c>
      <c r="F2407" s="95" t="s">
        <v>685</v>
      </c>
      <c r="G2407" s="9">
        <v>2500000.0</v>
      </c>
      <c r="H2407" s="95" t="s">
        <v>530</v>
      </c>
      <c r="I2407" s="13">
        <f t="shared" si="151"/>
        <v>250000</v>
      </c>
      <c r="J2407" s="97" t="s">
        <v>2735</v>
      </c>
      <c r="K2407" s="98" t="s">
        <v>2736</v>
      </c>
      <c r="L2407" s="98"/>
    </row>
    <row r="2408">
      <c r="B2408" s="139" t="s">
        <v>526</v>
      </c>
      <c r="C2408" s="138" t="s">
        <v>2737</v>
      </c>
      <c r="D2408" s="139" t="s">
        <v>114</v>
      </c>
      <c r="E2408" s="138" t="s">
        <v>380</v>
      </c>
      <c r="F2408" s="139" t="s">
        <v>685</v>
      </c>
      <c r="G2408" s="140">
        <v>2000000.0</v>
      </c>
      <c r="H2408" s="139" t="s">
        <v>530</v>
      </c>
      <c r="I2408" s="124">
        <f t="shared" si="151"/>
        <v>200000</v>
      </c>
      <c r="J2408" s="145" t="s">
        <v>2738</v>
      </c>
      <c r="K2408" s="155" t="s">
        <v>2739</v>
      </c>
      <c r="L2408" s="150" t="s">
        <v>2740</v>
      </c>
    </row>
    <row r="2409">
      <c r="B2409" s="95" t="s">
        <v>526</v>
      </c>
      <c r="C2409" s="95" t="s">
        <v>672</v>
      </c>
      <c r="D2409" s="95" t="s">
        <v>114</v>
      </c>
      <c r="E2409" s="95" t="s">
        <v>380</v>
      </c>
      <c r="F2409" s="95" t="s">
        <v>685</v>
      </c>
      <c r="G2409" s="9">
        <v>1100000.0</v>
      </c>
      <c r="H2409" s="95" t="s">
        <v>530</v>
      </c>
      <c r="I2409" s="13">
        <f t="shared" si="151"/>
        <v>110000</v>
      </c>
      <c r="J2409" s="97" t="s">
        <v>2741</v>
      </c>
      <c r="K2409" s="97" t="s">
        <v>2742</v>
      </c>
      <c r="L2409" s="97" t="s">
        <v>2743</v>
      </c>
    </row>
    <row r="2410">
      <c r="B2410" s="95" t="s">
        <v>526</v>
      </c>
      <c r="C2410" s="95" t="s">
        <v>1408</v>
      </c>
      <c r="D2410" s="95" t="s">
        <v>195</v>
      </c>
      <c r="E2410" s="95" t="s">
        <v>432</v>
      </c>
      <c r="F2410" s="95" t="s">
        <v>685</v>
      </c>
      <c r="G2410" s="9">
        <f>0.88*1000000</f>
        <v>880000</v>
      </c>
      <c r="H2410" s="95" t="s">
        <v>530</v>
      </c>
      <c r="I2410" s="13">
        <f t="shared" si="151"/>
        <v>88000</v>
      </c>
      <c r="J2410" s="97" t="s">
        <v>2744</v>
      </c>
      <c r="K2410" s="98"/>
      <c r="L2410" s="98"/>
    </row>
    <row r="2411">
      <c r="B2411" s="95" t="s">
        <v>526</v>
      </c>
      <c r="C2411" s="95" t="s">
        <v>2745</v>
      </c>
      <c r="D2411" s="95" t="s">
        <v>2102</v>
      </c>
      <c r="E2411" s="95" t="s">
        <v>2746</v>
      </c>
      <c r="F2411" s="95" t="s">
        <v>650</v>
      </c>
      <c r="G2411" s="9">
        <f>0.85*600000</f>
        <v>510000</v>
      </c>
      <c r="H2411" s="95" t="s">
        <v>1155</v>
      </c>
      <c r="I2411" s="13">
        <f t="shared" ref="I2411:I2421" si="152">G2411/8</f>
        <v>63750</v>
      </c>
      <c r="J2411" s="97" t="s">
        <v>2747</v>
      </c>
      <c r="K2411" s="98"/>
      <c r="L2411" s="98"/>
    </row>
    <row r="2412">
      <c r="B2412" s="95" t="s">
        <v>526</v>
      </c>
      <c r="C2412" s="95" t="s">
        <v>2748</v>
      </c>
      <c r="D2412" s="95" t="s">
        <v>2102</v>
      </c>
      <c r="E2412" s="95" t="s">
        <v>2749</v>
      </c>
      <c r="F2412" s="95" t="s">
        <v>685</v>
      </c>
      <c r="G2412" s="9">
        <f>700000*0.88</f>
        <v>616000</v>
      </c>
      <c r="H2412" s="95" t="s">
        <v>1155</v>
      </c>
      <c r="I2412" s="13">
        <f t="shared" si="152"/>
        <v>77000</v>
      </c>
      <c r="J2412" s="97" t="s">
        <v>2750</v>
      </c>
      <c r="K2412" s="98"/>
      <c r="L2412" s="98"/>
    </row>
    <row r="2413">
      <c r="B2413" s="95" t="s">
        <v>526</v>
      </c>
      <c r="C2413" s="95" t="s">
        <v>1037</v>
      </c>
      <c r="D2413" s="95" t="s">
        <v>2102</v>
      </c>
      <c r="E2413" s="95" t="s">
        <v>2751</v>
      </c>
      <c r="F2413" s="95" t="s">
        <v>685</v>
      </c>
      <c r="G2413" s="9">
        <f>0.88*550000</f>
        <v>484000</v>
      </c>
      <c r="H2413" s="95" t="s">
        <v>1155</v>
      </c>
      <c r="I2413" s="13">
        <f t="shared" si="152"/>
        <v>60500</v>
      </c>
      <c r="J2413" s="97" t="s">
        <v>2750</v>
      </c>
      <c r="K2413" s="98"/>
      <c r="L2413" s="98"/>
    </row>
    <row r="2414">
      <c r="B2414" s="95" t="s">
        <v>526</v>
      </c>
      <c r="C2414" s="95" t="s">
        <v>2752</v>
      </c>
      <c r="D2414" s="95" t="s">
        <v>2102</v>
      </c>
      <c r="E2414" s="95" t="s">
        <v>2753</v>
      </c>
      <c r="F2414" s="95" t="s">
        <v>685</v>
      </c>
      <c r="G2414" s="9">
        <f>0.88*500000</f>
        <v>440000</v>
      </c>
      <c r="H2414" s="95" t="s">
        <v>1155</v>
      </c>
      <c r="I2414" s="13">
        <f t="shared" si="152"/>
        <v>55000</v>
      </c>
      <c r="J2414" s="97" t="s">
        <v>2750</v>
      </c>
      <c r="K2414" s="98"/>
      <c r="L2414" s="98"/>
    </row>
    <row r="2415">
      <c r="B2415" s="95" t="s">
        <v>526</v>
      </c>
      <c r="C2415" s="95" t="s">
        <v>2745</v>
      </c>
      <c r="D2415" s="95" t="s">
        <v>2102</v>
      </c>
      <c r="E2415" s="95" t="s">
        <v>2754</v>
      </c>
      <c r="F2415" s="95" t="s">
        <v>685</v>
      </c>
      <c r="G2415" s="9">
        <f>0.88*300000</f>
        <v>264000</v>
      </c>
      <c r="H2415" s="95" t="s">
        <v>1155</v>
      </c>
      <c r="I2415" s="13">
        <f t="shared" si="152"/>
        <v>33000</v>
      </c>
      <c r="J2415" s="97" t="s">
        <v>2747</v>
      </c>
      <c r="K2415" s="98"/>
      <c r="L2415" s="98"/>
    </row>
    <row r="2416">
      <c r="B2416" s="95" t="s">
        <v>526</v>
      </c>
      <c r="C2416" s="95" t="s">
        <v>2755</v>
      </c>
      <c r="D2416" s="95" t="s">
        <v>2102</v>
      </c>
      <c r="E2416" s="95" t="s">
        <v>2756</v>
      </c>
      <c r="F2416" s="95" t="s">
        <v>685</v>
      </c>
      <c r="G2416" s="9">
        <f>0.88*700000</f>
        <v>616000</v>
      </c>
      <c r="H2416" s="95" t="s">
        <v>1155</v>
      </c>
      <c r="I2416" s="13">
        <f t="shared" si="152"/>
        <v>77000</v>
      </c>
      <c r="J2416" s="97" t="s">
        <v>2757</v>
      </c>
      <c r="K2416" s="97" t="s">
        <v>2758</v>
      </c>
      <c r="L2416" s="98"/>
    </row>
    <row r="2417">
      <c r="B2417" s="95" t="s">
        <v>526</v>
      </c>
      <c r="C2417" s="95" t="s">
        <v>2759</v>
      </c>
      <c r="D2417" s="95" t="s">
        <v>2102</v>
      </c>
      <c r="E2417" s="95" t="s">
        <v>2760</v>
      </c>
      <c r="F2417" s="95" t="s">
        <v>685</v>
      </c>
      <c r="G2417" s="9">
        <f>0.88*696000</f>
        <v>612480</v>
      </c>
      <c r="H2417" s="95" t="s">
        <v>1155</v>
      </c>
      <c r="I2417" s="13">
        <f t="shared" si="152"/>
        <v>76560</v>
      </c>
      <c r="J2417" s="97" t="s">
        <v>2757</v>
      </c>
      <c r="K2417" s="98"/>
      <c r="L2417" s="98"/>
    </row>
    <row r="2418">
      <c r="B2418" s="95" t="s">
        <v>526</v>
      </c>
      <c r="C2418" s="95" t="s">
        <v>2761</v>
      </c>
      <c r="D2418" s="95" t="s">
        <v>2102</v>
      </c>
      <c r="E2418" s="95" t="s">
        <v>2762</v>
      </c>
      <c r="F2418" s="95" t="s">
        <v>685</v>
      </c>
      <c r="G2418" s="9">
        <f>0.88*560000</f>
        <v>492800</v>
      </c>
      <c r="H2418" s="95" t="s">
        <v>1155</v>
      </c>
      <c r="I2418" s="13">
        <f t="shared" si="152"/>
        <v>61600</v>
      </c>
      <c r="J2418" s="97" t="s">
        <v>2757</v>
      </c>
      <c r="K2418" s="98"/>
      <c r="L2418" s="98"/>
    </row>
    <row r="2419">
      <c r="B2419" s="95" t="s">
        <v>526</v>
      </c>
      <c r="C2419" s="95" t="s">
        <v>2763</v>
      </c>
      <c r="D2419" s="95" t="s">
        <v>2102</v>
      </c>
      <c r="E2419" s="95" t="s">
        <v>2751</v>
      </c>
      <c r="F2419" s="95" t="s">
        <v>685</v>
      </c>
      <c r="G2419" s="9">
        <f>0.88*430000</f>
        <v>378400</v>
      </c>
      <c r="H2419" s="95" t="s">
        <v>1155</v>
      </c>
      <c r="I2419" s="13">
        <f t="shared" si="152"/>
        <v>47300</v>
      </c>
      <c r="J2419" s="97" t="s">
        <v>2757</v>
      </c>
      <c r="K2419" s="97" t="s">
        <v>2764</v>
      </c>
      <c r="L2419" s="98"/>
    </row>
    <row r="2420">
      <c r="B2420" s="95" t="s">
        <v>526</v>
      </c>
      <c r="C2420" s="95" t="s">
        <v>1687</v>
      </c>
      <c r="D2420" s="95" t="s">
        <v>2102</v>
      </c>
      <c r="E2420" s="95" t="s">
        <v>2756</v>
      </c>
      <c r="F2420" s="95" t="s">
        <v>685</v>
      </c>
      <c r="G2420" s="9">
        <f>0.88*300000</f>
        <v>264000</v>
      </c>
      <c r="H2420" s="95" t="s">
        <v>1155</v>
      </c>
      <c r="I2420" s="13">
        <f t="shared" si="152"/>
        <v>33000</v>
      </c>
      <c r="J2420" s="97" t="s">
        <v>2757</v>
      </c>
      <c r="K2420" s="98"/>
      <c r="L2420" s="98"/>
    </row>
    <row r="2421">
      <c r="B2421" s="95" t="s">
        <v>526</v>
      </c>
      <c r="C2421" s="95" t="s">
        <v>2763</v>
      </c>
      <c r="D2421" s="95" t="s">
        <v>2102</v>
      </c>
      <c r="E2421" s="95" t="s">
        <v>2751</v>
      </c>
      <c r="F2421" s="95" t="s">
        <v>650</v>
      </c>
      <c r="G2421" s="9">
        <f>0.85*381000</f>
        <v>323850</v>
      </c>
      <c r="H2421" s="95" t="s">
        <v>1155</v>
      </c>
      <c r="I2421" s="13">
        <f t="shared" si="152"/>
        <v>40481.25</v>
      </c>
      <c r="J2421" s="97" t="s">
        <v>2757</v>
      </c>
      <c r="K2421" s="97" t="s">
        <v>2764</v>
      </c>
      <c r="L2421" s="98"/>
    </row>
    <row r="2422">
      <c r="B2422" s="95" t="s">
        <v>526</v>
      </c>
      <c r="C2422" s="95" t="s">
        <v>2765</v>
      </c>
      <c r="D2422" s="95" t="s">
        <v>237</v>
      </c>
      <c r="E2422" s="95" t="s">
        <v>2766</v>
      </c>
      <c r="F2422" s="95" t="s">
        <v>685</v>
      </c>
      <c r="G2422" s="9">
        <f>0.88*600000</f>
        <v>528000</v>
      </c>
      <c r="H2422" s="95" t="s">
        <v>610</v>
      </c>
      <c r="I2422" s="13">
        <f>G2422/9</f>
        <v>58666.66667</v>
      </c>
      <c r="J2422" s="97" t="s">
        <v>2767</v>
      </c>
      <c r="K2422" s="97" t="s">
        <v>2768</v>
      </c>
      <c r="L2422" s="98"/>
    </row>
    <row r="2423">
      <c r="B2423" s="95" t="s">
        <v>526</v>
      </c>
      <c r="C2423" s="95" t="s">
        <v>2769</v>
      </c>
      <c r="D2423" s="95" t="s">
        <v>2102</v>
      </c>
      <c r="E2423" s="95" t="s">
        <v>2749</v>
      </c>
      <c r="F2423" s="95" t="s">
        <v>685</v>
      </c>
      <c r="G2423" s="9">
        <f>0.88*300000</f>
        <v>264000</v>
      </c>
      <c r="H2423" s="95" t="s">
        <v>1155</v>
      </c>
      <c r="I2423" s="13">
        <f t="shared" ref="I2423:I2429" si="153">G2423/8</f>
        <v>33000</v>
      </c>
      <c r="J2423" s="97" t="s">
        <v>2770</v>
      </c>
      <c r="K2423" s="98"/>
      <c r="L2423" s="98"/>
    </row>
    <row r="2424">
      <c r="B2424" s="95" t="s">
        <v>526</v>
      </c>
      <c r="C2424" s="95" t="s">
        <v>2771</v>
      </c>
      <c r="D2424" s="95" t="s">
        <v>2102</v>
      </c>
      <c r="E2424" s="95" t="s">
        <v>2756</v>
      </c>
      <c r="F2424" s="95" t="s">
        <v>685</v>
      </c>
      <c r="G2424" s="9">
        <f t="shared" ref="G2424:G2425" si="154">0.88*520000</f>
        <v>457600</v>
      </c>
      <c r="H2424" s="95" t="s">
        <v>1155</v>
      </c>
      <c r="I2424" s="13">
        <f t="shared" si="153"/>
        <v>57200</v>
      </c>
      <c r="J2424" s="97" t="s">
        <v>2772</v>
      </c>
      <c r="K2424" s="98"/>
      <c r="L2424" s="98"/>
    </row>
    <row r="2425">
      <c r="B2425" s="95" t="s">
        <v>526</v>
      </c>
      <c r="C2425" s="95" t="s">
        <v>2773</v>
      </c>
      <c r="D2425" s="95" t="s">
        <v>2102</v>
      </c>
      <c r="E2425" s="95" t="s">
        <v>2760</v>
      </c>
      <c r="F2425" s="95" t="s">
        <v>685</v>
      </c>
      <c r="G2425" s="9">
        <f t="shared" si="154"/>
        <v>457600</v>
      </c>
      <c r="H2425" s="95" t="s">
        <v>1155</v>
      </c>
      <c r="I2425" s="13">
        <f t="shared" si="153"/>
        <v>57200</v>
      </c>
      <c r="J2425" s="97" t="s">
        <v>2772</v>
      </c>
      <c r="K2425" s="98"/>
      <c r="L2425" s="98"/>
    </row>
    <row r="2426">
      <c r="B2426" s="95" t="s">
        <v>526</v>
      </c>
      <c r="C2426" s="95" t="s">
        <v>2774</v>
      </c>
      <c r="D2426" s="95" t="s">
        <v>2102</v>
      </c>
      <c r="E2426" s="95" t="s">
        <v>2775</v>
      </c>
      <c r="F2426" s="95" t="s">
        <v>685</v>
      </c>
      <c r="G2426" s="9">
        <f t="shared" ref="G2426:G2427" si="155">0.88*490000</f>
        <v>431200</v>
      </c>
      <c r="H2426" s="95" t="s">
        <v>1155</v>
      </c>
      <c r="I2426" s="13">
        <f t="shared" si="153"/>
        <v>53900</v>
      </c>
      <c r="J2426" s="118" t="s">
        <v>2772</v>
      </c>
      <c r="K2426" s="98"/>
      <c r="L2426" s="98"/>
    </row>
    <row r="2427">
      <c r="B2427" s="95" t="s">
        <v>526</v>
      </c>
      <c r="C2427" s="95" t="s">
        <v>2776</v>
      </c>
      <c r="D2427" s="95" t="s">
        <v>2102</v>
      </c>
      <c r="E2427" s="95" t="s">
        <v>2777</v>
      </c>
      <c r="F2427" s="95" t="s">
        <v>685</v>
      </c>
      <c r="G2427" s="9">
        <f t="shared" si="155"/>
        <v>431200</v>
      </c>
      <c r="H2427" s="95" t="s">
        <v>1155</v>
      </c>
      <c r="I2427" s="13">
        <f t="shared" si="153"/>
        <v>53900</v>
      </c>
      <c r="J2427" s="97" t="s">
        <v>2772</v>
      </c>
      <c r="K2427" s="98"/>
      <c r="L2427" s="98"/>
    </row>
    <row r="2428">
      <c r="B2428" s="95" t="s">
        <v>526</v>
      </c>
      <c r="C2428" s="95" t="s">
        <v>2778</v>
      </c>
      <c r="D2428" s="95" t="s">
        <v>2102</v>
      </c>
      <c r="E2428" s="95" t="s">
        <v>2749</v>
      </c>
      <c r="F2428" s="95" t="s">
        <v>685</v>
      </c>
      <c r="G2428" s="9">
        <f>0.88*470000</f>
        <v>413600</v>
      </c>
      <c r="H2428" s="95" t="s">
        <v>1155</v>
      </c>
      <c r="I2428" s="13">
        <f t="shared" si="153"/>
        <v>51700</v>
      </c>
      <c r="J2428" s="97" t="s">
        <v>2772</v>
      </c>
      <c r="K2428" s="98"/>
      <c r="L2428" s="98"/>
    </row>
    <row r="2429">
      <c r="B2429" s="95" t="s">
        <v>526</v>
      </c>
      <c r="C2429" s="95" t="s">
        <v>2779</v>
      </c>
      <c r="D2429" s="95" t="s">
        <v>2102</v>
      </c>
      <c r="E2429" s="95" t="s">
        <v>2777</v>
      </c>
      <c r="F2429" s="95" t="s">
        <v>685</v>
      </c>
      <c r="G2429" s="9">
        <f>0.88*300000</f>
        <v>264000</v>
      </c>
      <c r="H2429" s="95" t="s">
        <v>1155</v>
      </c>
      <c r="I2429" s="13">
        <f t="shared" si="153"/>
        <v>33000</v>
      </c>
      <c r="J2429" s="97" t="s">
        <v>2780</v>
      </c>
      <c r="K2429" s="98"/>
      <c r="L2429" s="98"/>
    </row>
    <row r="2430">
      <c r="B2430" s="95" t="s">
        <v>526</v>
      </c>
      <c r="C2430" s="95" t="s">
        <v>2781</v>
      </c>
      <c r="D2430" s="95" t="s">
        <v>237</v>
      </c>
      <c r="E2430" s="95" t="s">
        <v>2782</v>
      </c>
      <c r="F2430" s="95" t="s">
        <v>650</v>
      </c>
      <c r="G2430" s="9">
        <f>0.0058*6500000</f>
        <v>37700</v>
      </c>
      <c r="H2430" s="95" t="s">
        <v>610</v>
      </c>
      <c r="I2430" s="13">
        <f t="shared" ref="I2430:I2431" si="156">G2430/9</f>
        <v>4188.888889</v>
      </c>
      <c r="J2430" s="97" t="s">
        <v>2783</v>
      </c>
      <c r="K2430" s="98"/>
      <c r="L2430" s="98"/>
    </row>
    <row r="2431">
      <c r="B2431" s="95" t="s">
        <v>526</v>
      </c>
      <c r="C2431" s="95" t="s">
        <v>2781</v>
      </c>
      <c r="D2431" s="95" t="s">
        <v>237</v>
      </c>
      <c r="E2431" s="95" t="s">
        <v>2784</v>
      </c>
      <c r="F2431" s="95" t="s">
        <v>685</v>
      </c>
      <c r="G2431" s="9">
        <f>0.0054*10000000</f>
        <v>54000</v>
      </c>
      <c r="H2431" s="95" t="s">
        <v>610</v>
      </c>
      <c r="I2431" s="13">
        <f t="shared" si="156"/>
        <v>6000</v>
      </c>
      <c r="J2431" s="97" t="s">
        <v>2783</v>
      </c>
      <c r="K2431" s="98"/>
      <c r="L2431" s="98"/>
    </row>
    <row r="2432">
      <c r="B2432" s="95" t="s">
        <v>526</v>
      </c>
      <c r="C2432" s="95" t="s">
        <v>2785</v>
      </c>
      <c r="D2432" s="95" t="s">
        <v>2102</v>
      </c>
      <c r="E2432" s="95" t="s">
        <v>2103</v>
      </c>
      <c r="F2432" s="95" t="s">
        <v>685</v>
      </c>
      <c r="G2432" s="9">
        <f>0.88*300000</f>
        <v>264000</v>
      </c>
      <c r="H2432" s="95" t="s">
        <v>1155</v>
      </c>
      <c r="I2432" s="13">
        <f>G2432/8</f>
        <v>33000</v>
      </c>
      <c r="J2432" s="97" t="s">
        <v>2786</v>
      </c>
      <c r="K2432" s="98"/>
      <c r="L2432" s="98"/>
    </row>
    <row r="2433">
      <c r="B2433" s="95" t="s">
        <v>526</v>
      </c>
      <c r="C2433" s="95" t="s">
        <v>1246</v>
      </c>
      <c r="D2433" s="95" t="s">
        <v>88</v>
      </c>
      <c r="E2433" s="95" t="s">
        <v>425</v>
      </c>
      <c r="F2433" s="95" t="s">
        <v>685</v>
      </c>
      <c r="G2433" s="9">
        <f>0.88*2300000</f>
        <v>2024000</v>
      </c>
      <c r="H2433" s="95" t="s">
        <v>530</v>
      </c>
      <c r="I2433" s="13">
        <f t="shared" ref="I2433:I2450" si="157">G2433/10</f>
        <v>202400</v>
      </c>
      <c r="J2433" s="97" t="s">
        <v>2787</v>
      </c>
      <c r="K2433" s="97" t="s">
        <v>2788</v>
      </c>
      <c r="L2433" s="98"/>
    </row>
    <row r="2434">
      <c r="B2434" s="139" t="s">
        <v>526</v>
      </c>
      <c r="C2434" s="138" t="s">
        <v>2352</v>
      </c>
      <c r="D2434" s="138" t="s">
        <v>174</v>
      </c>
      <c r="E2434" s="138" t="s">
        <v>2096</v>
      </c>
      <c r="F2434" s="138" t="s">
        <v>685</v>
      </c>
      <c r="G2434" s="140">
        <f>0.88*400000</f>
        <v>352000</v>
      </c>
      <c r="H2434" s="139" t="s">
        <v>530</v>
      </c>
      <c r="I2434" s="124">
        <f t="shared" si="157"/>
        <v>35200</v>
      </c>
      <c r="J2434" s="97" t="s">
        <v>2789</v>
      </c>
      <c r="K2434" s="98"/>
      <c r="L2434" s="98"/>
    </row>
    <row r="2435">
      <c r="B2435" s="139" t="s">
        <v>526</v>
      </c>
      <c r="C2435" s="95" t="s">
        <v>2790</v>
      </c>
      <c r="D2435" s="95" t="s">
        <v>222</v>
      </c>
      <c r="E2435" s="95" t="s">
        <v>313</v>
      </c>
      <c r="F2435" s="95" t="s">
        <v>685</v>
      </c>
      <c r="G2435" s="9">
        <f>250000*0.88</f>
        <v>220000</v>
      </c>
      <c r="H2435" s="139" t="s">
        <v>530</v>
      </c>
      <c r="I2435" s="124">
        <f t="shared" si="157"/>
        <v>22000</v>
      </c>
      <c r="J2435" s="97" t="s">
        <v>2791</v>
      </c>
      <c r="K2435" s="98"/>
      <c r="L2435" s="98"/>
    </row>
    <row r="2436">
      <c r="B2436" s="139" t="s">
        <v>526</v>
      </c>
      <c r="C2436" s="95" t="s">
        <v>2792</v>
      </c>
      <c r="D2436" s="95" t="s">
        <v>71</v>
      </c>
      <c r="E2436" s="95" t="s">
        <v>116</v>
      </c>
      <c r="F2436" s="95" t="s">
        <v>650</v>
      </c>
      <c r="G2436" s="9">
        <v>85000.0</v>
      </c>
      <c r="H2436" s="139" t="s">
        <v>530</v>
      </c>
      <c r="I2436" s="124">
        <f t="shared" si="157"/>
        <v>8500</v>
      </c>
      <c r="J2436" s="97" t="s">
        <v>2793</v>
      </c>
      <c r="K2436" s="98"/>
      <c r="L2436" s="98"/>
    </row>
    <row r="2437">
      <c r="B2437" s="139" t="s">
        <v>526</v>
      </c>
      <c r="C2437" s="95" t="s">
        <v>2794</v>
      </c>
      <c r="D2437" s="95" t="s">
        <v>174</v>
      </c>
      <c r="E2437" s="95" t="s">
        <v>411</v>
      </c>
      <c r="F2437" s="95" t="s">
        <v>685</v>
      </c>
      <c r="G2437" s="9">
        <f>0.88*1500000</f>
        <v>1320000</v>
      </c>
      <c r="H2437" s="139" t="s">
        <v>530</v>
      </c>
      <c r="I2437" s="124">
        <f t="shared" si="157"/>
        <v>132000</v>
      </c>
      <c r="J2437" s="97" t="s">
        <v>2795</v>
      </c>
      <c r="K2437" s="98" t="s">
        <v>1306</v>
      </c>
      <c r="L2437" s="98"/>
    </row>
    <row r="2438">
      <c r="B2438" s="95" t="s">
        <v>526</v>
      </c>
      <c r="C2438" s="95" t="s">
        <v>1362</v>
      </c>
      <c r="D2438" s="95" t="s">
        <v>174</v>
      </c>
      <c r="E2438" s="95" t="s">
        <v>419</v>
      </c>
      <c r="F2438" s="95" t="s">
        <v>685</v>
      </c>
      <c r="G2438" s="9">
        <f>0.88*1800000</f>
        <v>1584000</v>
      </c>
      <c r="H2438" s="139" t="s">
        <v>530</v>
      </c>
      <c r="I2438" s="124">
        <f t="shared" si="157"/>
        <v>158400</v>
      </c>
      <c r="J2438" s="97" t="s">
        <v>2796</v>
      </c>
      <c r="K2438" s="97" t="s">
        <v>2797</v>
      </c>
      <c r="L2438" s="97" t="s">
        <v>2797</v>
      </c>
    </row>
    <row r="2439">
      <c r="B2439" s="95" t="s">
        <v>526</v>
      </c>
      <c r="C2439" s="95" t="s">
        <v>2798</v>
      </c>
      <c r="D2439" s="95" t="s">
        <v>222</v>
      </c>
      <c r="E2439" s="95" t="s">
        <v>1366</v>
      </c>
      <c r="F2439" s="95" t="s">
        <v>685</v>
      </c>
      <c r="G2439" s="9">
        <f>700000*0.88</f>
        <v>616000</v>
      </c>
      <c r="H2439" s="139" t="s">
        <v>530</v>
      </c>
      <c r="I2439" s="124">
        <f t="shared" si="157"/>
        <v>61600</v>
      </c>
      <c r="J2439" s="97" t="s">
        <v>2799</v>
      </c>
      <c r="K2439" s="97" t="s">
        <v>2800</v>
      </c>
      <c r="L2439" s="98"/>
    </row>
    <row r="2440">
      <c r="B2440" s="95" t="s">
        <v>526</v>
      </c>
      <c r="C2440" s="138" t="s">
        <v>1621</v>
      </c>
      <c r="D2440" s="138" t="s">
        <v>88</v>
      </c>
      <c r="E2440" s="138" t="s">
        <v>422</v>
      </c>
      <c r="F2440" s="138" t="s">
        <v>685</v>
      </c>
      <c r="G2440" s="140">
        <v>900000.0</v>
      </c>
      <c r="H2440" s="139" t="s">
        <v>530</v>
      </c>
      <c r="I2440" s="124">
        <f t="shared" si="157"/>
        <v>90000</v>
      </c>
      <c r="J2440" s="97" t="s">
        <v>2801</v>
      </c>
      <c r="K2440" s="97" t="s">
        <v>2802</v>
      </c>
      <c r="L2440" s="98"/>
    </row>
    <row r="2441">
      <c r="B2441" s="95" t="s">
        <v>526</v>
      </c>
      <c r="C2441" s="138" t="s">
        <v>1244</v>
      </c>
      <c r="D2441" s="95" t="s">
        <v>88</v>
      </c>
      <c r="E2441" s="95" t="s">
        <v>422</v>
      </c>
      <c r="F2441" s="95" t="s">
        <v>763</v>
      </c>
      <c r="G2441" s="9">
        <f>400000*0.85</f>
        <v>340000</v>
      </c>
      <c r="H2441" s="95" t="s">
        <v>530</v>
      </c>
      <c r="I2441" s="13">
        <f t="shared" si="157"/>
        <v>34000</v>
      </c>
      <c r="J2441" s="97" t="s">
        <v>1200</v>
      </c>
      <c r="K2441" s="98"/>
      <c r="L2441" s="98"/>
    </row>
    <row r="2442">
      <c r="B2442" s="95" t="s">
        <v>526</v>
      </c>
      <c r="C2442" s="138" t="s">
        <v>1244</v>
      </c>
      <c r="D2442" s="95" t="s">
        <v>88</v>
      </c>
      <c r="E2442" s="95" t="s">
        <v>422</v>
      </c>
      <c r="F2442" s="138" t="s">
        <v>738</v>
      </c>
      <c r="G2442" s="140">
        <v>400000.0</v>
      </c>
      <c r="H2442" s="95" t="s">
        <v>530</v>
      </c>
      <c r="I2442" s="13">
        <f t="shared" si="157"/>
        <v>40000</v>
      </c>
      <c r="J2442" s="97" t="s">
        <v>1200</v>
      </c>
      <c r="K2442" s="98"/>
      <c r="L2442" s="98"/>
    </row>
    <row r="2443">
      <c r="B2443" s="139" t="s">
        <v>526</v>
      </c>
      <c r="C2443" s="138" t="s">
        <v>1472</v>
      </c>
      <c r="D2443" s="138" t="s">
        <v>174</v>
      </c>
      <c r="E2443" s="138" t="s">
        <v>2096</v>
      </c>
      <c r="F2443" s="138" t="s">
        <v>685</v>
      </c>
      <c r="G2443" s="140">
        <v>350000.0</v>
      </c>
      <c r="H2443" s="139" t="s">
        <v>530</v>
      </c>
      <c r="I2443" s="124">
        <f t="shared" si="157"/>
        <v>35000</v>
      </c>
      <c r="J2443" s="105" t="s">
        <v>1468</v>
      </c>
      <c r="K2443" s="98" t="s">
        <v>1753</v>
      </c>
      <c r="L2443" s="98"/>
    </row>
    <row r="2444">
      <c r="B2444" s="95" t="s">
        <v>526</v>
      </c>
      <c r="C2444" s="95" t="s">
        <v>2578</v>
      </c>
      <c r="D2444" s="95" t="s">
        <v>140</v>
      </c>
      <c r="E2444" s="95" t="s">
        <v>141</v>
      </c>
      <c r="F2444" s="95" t="s">
        <v>685</v>
      </c>
      <c r="G2444" s="9">
        <v>900000.0</v>
      </c>
      <c r="H2444" s="95" t="s">
        <v>530</v>
      </c>
      <c r="I2444" s="13">
        <f t="shared" si="157"/>
        <v>90000</v>
      </c>
      <c r="J2444" s="97" t="s">
        <v>2803</v>
      </c>
      <c r="K2444" s="98"/>
      <c r="L2444" s="98"/>
    </row>
    <row r="2445">
      <c r="B2445" s="95" t="s">
        <v>526</v>
      </c>
      <c r="C2445" s="138" t="s">
        <v>1244</v>
      </c>
      <c r="D2445" s="95" t="s">
        <v>195</v>
      </c>
      <c r="E2445" s="95" t="s">
        <v>432</v>
      </c>
      <c r="F2445" s="95" t="s">
        <v>643</v>
      </c>
      <c r="G2445" s="9">
        <f>800000*0.9</f>
        <v>720000</v>
      </c>
      <c r="H2445" s="95" t="s">
        <v>530</v>
      </c>
      <c r="I2445" s="13">
        <f t="shared" si="157"/>
        <v>72000</v>
      </c>
      <c r="J2445" s="97" t="s">
        <v>1200</v>
      </c>
      <c r="K2445" s="98"/>
      <c r="L2445" s="98"/>
    </row>
    <row r="2446">
      <c r="B2446" s="95" t="s">
        <v>526</v>
      </c>
      <c r="C2446" s="138" t="s">
        <v>1244</v>
      </c>
      <c r="D2446" s="95" t="s">
        <v>71</v>
      </c>
      <c r="E2446" s="95" t="s">
        <v>798</v>
      </c>
      <c r="F2446" s="138" t="s">
        <v>586</v>
      </c>
      <c r="G2446" s="140">
        <f>700000*0.92</f>
        <v>644000</v>
      </c>
      <c r="H2446" s="95" t="s">
        <v>530</v>
      </c>
      <c r="I2446" s="13">
        <f t="shared" si="157"/>
        <v>64400</v>
      </c>
      <c r="J2446" s="97" t="s">
        <v>1200</v>
      </c>
      <c r="K2446" s="98"/>
      <c r="L2446" s="98"/>
    </row>
    <row r="2447">
      <c r="B2447" s="139" t="s">
        <v>526</v>
      </c>
      <c r="C2447" s="138" t="s">
        <v>2317</v>
      </c>
      <c r="D2447" s="138" t="s">
        <v>88</v>
      </c>
      <c r="E2447" s="138" t="s">
        <v>422</v>
      </c>
      <c r="F2447" s="138" t="s">
        <v>685</v>
      </c>
      <c r="G2447" s="140">
        <v>700000.0</v>
      </c>
      <c r="H2447" s="139" t="s">
        <v>530</v>
      </c>
      <c r="I2447" s="124">
        <f t="shared" si="157"/>
        <v>70000</v>
      </c>
      <c r="J2447" s="145" t="s">
        <v>2804</v>
      </c>
      <c r="K2447" s="145" t="s">
        <v>1753</v>
      </c>
      <c r="L2447" s="142"/>
    </row>
    <row r="2448">
      <c r="B2448" s="139" t="s">
        <v>526</v>
      </c>
      <c r="C2448" s="138" t="s">
        <v>2805</v>
      </c>
      <c r="D2448" s="138" t="s">
        <v>174</v>
      </c>
      <c r="E2448" s="138" t="s">
        <v>438</v>
      </c>
      <c r="F2448" s="138" t="s">
        <v>685</v>
      </c>
      <c r="G2448" s="140">
        <f>0.88*1500000</f>
        <v>1320000</v>
      </c>
      <c r="H2448" s="139" t="s">
        <v>530</v>
      </c>
      <c r="I2448" s="124">
        <f t="shared" si="157"/>
        <v>132000</v>
      </c>
      <c r="J2448" s="157" t="s">
        <v>2806</v>
      </c>
      <c r="K2448" s="98" t="s">
        <v>1812</v>
      </c>
      <c r="L2448" s="97" t="s">
        <v>2593</v>
      </c>
    </row>
    <row r="2449">
      <c r="B2449" s="139" t="s">
        <v>526</v>
      </c>
      <c r="C2449" s="95" t="s">
        <v>2807</v>
      </c>
      <c r="D2449" s="95" t="s">
        <v>69</v>
      </c>
      <c r="E2449" s="95" t="s">
        <v>123</v>
      </c>
      <c r="F2449" s="95" t="s">
        <v>685</v>
      </c>
      <c r="G2449" s="9">
        <v>150000.0</v>
      </c>
      <c r="H2449" s="139" t="s">
        <v>530</v>
      </c>
      <c r="I2449" s="124">
        <f t="shared" si="157"/>
        <v>15000</v>
      </c>
      <c r="J2449" s="98" t="s">
        <v>2808</v>
      </c>
      <c r="K2449" s="98"/>
      <c r="L2449" s="98"/>
    </row>
    <row r="2450">
      <c r="B2450" s="95" t="s">
        <v>526</v>
      </c>
      <c r="C2450" s="95" t="s">
        <v>1365</v>
      </c>
      <c r="D2450" s="95" t="s">
        <v>174</v>
      </c>
      <c r="E2450" s="95" t="s">
        <v>411</v>
      </c>
      <c r="F2450" s="95" t="s">
        <v>685</v>
      </c>
      <c r="G2450" s="9">
        <f>0.88*1000000</f>
        <v>880000</v>
      </c>
      <c r="H2450" s="95" t="s">
        <v>530</v>
      </c>
      <c r="I2450" s="13">
        <f t="shared" si="157"/>
        <v>88000</v>
      </c>
      <c r="J2450" s="97" t="s">
        <v>2809</v>
      </c>
      <c r="K2450" s="98"/>
      <c r="L2450" s="98"/>
    </row>
    <row r="2451">
      <c r="B2451" s="95" t="s">
        <v>526</v>
      </c>
      <c r="C2451" s="138" t="s">
        <v>2810</v>
      </c>
      <c r="D2451" s="95" t="s">
        <v>1024</v>
      </c>
      <c r="E2451" s="95" t="s">
        <v>2811</v>
      </c>
      <c r="F2451" s="138" t="s">
        <v>799</v>
      </c>
      <c r="G2451" s="140">
        <f>1000000*0.9</f>
        <v>900000</v>
      </c>
      <c r="H2451" s="95" t="s">
        <v>635</v>
      </c>
      <c r="I2451" s="13">
        <f>G2451/6</f>
        <v>150000</v>
      </c>
      <c r="J2451" s="97" t="s">
        <v>2812</v>
      </c>
      <c r="K2451" s="98"/>
      <c r="L2451" s="98"/>
    </row>
    <row r="2452">
      <c r="B2452" s="95" t="s">
        <v>526</v>
      </c>
      <c r="C2452" s="95" t="s">
        <v>1211</v>
      </c>
      <c r="D2452" s="95" t="s">
        <v>174</v>
      </c>
      <c r="E2452" s="95" t="s">
        <v>438</v>
      </c>
      <c r="F2452" s="95" t="s">
        <v>685</v>
      </c>
      <c r="G2452" s="9">
        <f>0.88*1100000</f>
        <v>968000</v>
      </c>
      <c r="H2452" s="95" t="s">
        <v>530</v>
      </c>
      <c r="I2452" s="13">
        <f t="shared" ref="I2452:I2494" si="158">G2452/10</f>
        <v>96800</v>
      </c>
      <c r="J2452" s="97" t="s">
        <v>2813</v>
      </c>
      <c r="K2452" s="98" t="s">
        <v>1863</v>
      </c>
      <c r="L2452" s="97" t="s">
        <v>2814</v>
      </c>
    </row>
    <row r="2453">
      <c r="B2453" s="95" t="s">
        <v>526</v>
      </c>
      <c r="C2453" s="95" t="s">
        <v>2507</v>
      </c>
      <c r="D2453" s="95" t="s">
        <v>174</v>
      </c>
      <c r="E2453" s="95" t="s">
        <v>411</v>
      </c>
      <c r="F2453" s="95" t="s">
        <v>685</v>
      </c>
      <c r="G2453" s="9">
        <f>0.88*1300000</f>
        <v>1144000</v>
      </c>
      <c r="H2453" s="139" t="s">
        <v>530</v>
      </c>
      <c r="I2453" s="124">
        <f t="shared" si="158"/>
        <v>114400</v>
      </c>
      <c r="J2453" s="97" t="s">
        <v>2809</v>
      </c>
      <c r="K2453" s="97" t="s">
        <v>2815</v>
      </c>
      <c r="L2453" s="98"/>
    </row>
    <row r="2454">
      <c r="B2454" s="95" t="s">
        <v>526</v>
      </c>
      <c r="C2454" s="95" t="s">
        <v>2816</v>
      </c>
      <c r="D2454" s="95" t="s">
        <v>195</v>
      </c>
      <c r="E2454" s="95" t="s">
        <v>432</v>
      </c>
      <c r="F2454" s="95" t="s">
        <v>685</v>
      </c>
      <c r="G2454" s="9">
        <f>0.88*500000</f>
        <v>440000</v>
      </c>
      <c r="H2454" s="139" t="s">
        <v>530</v>
      </c>
      <c r="I2454" s="124">
        <f t="shared" si="158"/>
        <v>44000</v>
      </c>
      <c r="J2454" s="97" t="s">
        <v>2817</v>
      </c>
      <c r="K2454" s="98"/>
      <c r="L2454" s="98"/>
    </row>
    <row r="2455">
      <c r="B2455" s="95" t="s">
        <v>526</v>
      </c>
      <c r="C2455" s="138" t="s">
        <v>2818</v>
      </c>
      <c r="D2455" s="95" t="s">
        <v>222</v>
      </c>
      <c r="E2455" s="95" t="s">
        <v>309</v>
      </c>
      <c r="F2455" s="138" t="s">
        <v>650</v>
      </c>
      <c r="G2455" s="140">
        <f>+0.85*450000</f>
        <v>382500</v>
      </c>
      <c r="H2455" s="139" t="s">
        <v>530</v>
      </c>
      <c r="I2455" s="124">
        <f t="shared" si="158"/>
        <v>38250</v>
      </c>
      <c r="J2455" s="97" t="s">
        <v>2819</v>
      </c>
      <c r="K2455" s="98"/>
      <c r="L2455" s="98"/>
    </row>
    <row r="2456">
      <c r="B2456" s="95" t="s">
        <v>526</v>
      </c>
      <c r="C2456" s="138" t="s">
        <v>2820</v>
      </c>
      <c r="D2456" s="138" t="s">
        <v>427</v>
      </c>
      <c r="E2456" s="138" t="s">
        <v>428</v>
      </c>
      <c r="F2456" s="138" t="s">
        <v>685</v>
      </c>
      <c r="G2456" s="140">
        <v>1700000.0</v>
      </c>
      <c r="H2456" s="139" t="s">
        <v>530</v>
      </c>
      <c r="I2456" s="124">
        <f t="shared" si="158"/>
        <v>170000</v>
      </c>
      <c r="J2456" s="157" t="s">
        <v>2821</v>
      </c>
      <c r="K2456" s="98" t="s">
        <v>2822</v>
      </c>
      <c r="L2456" s="98"/>
    </row>
    <row r="2457">
      <c r="B2457" s="95" t="s">
        <v>526</v>
      </c>
      <c r="C2457" s="95" t="s">
        <v>2823</v>
      </c>
      <c r="D2457" s="95" t="s">
        <v>69</v>
      </c>
      <c r="E2457" s="95" t="s">
        <v>131</v>
      </c>
      <c r="F2457" s="95" t="s">
        <v>685</v>
      </c>
      <c r="G2457" s="9">
        <v>50000.0</v>
      </c>
      <c r="H2457" s="139" t="s">
        <v>530</v>
      </c>
      <c r="I2457" s="124">
        <f t="shared" si="158"/>
        <v>5000</v>
      </c>
      <c r="J2457" s="98" t="s">
        <v>1468</v>
      </c>
      <c r="K2457" s="98" t="s">
        <v>2824</v>
      </c>
      <c r="L2457" s="98"/>
    </row>
    <row r="2458">
      <c r="B2458" s="95" t="s">
        <v>526</v>
      </c>
      <c r="C2458" s="95" t="s">
        <v>2825</v>
      </c>
      <c r="D2458" s="95" t="s">
        <v>222</v>
      </c>
      <c r="E2458" s="95" t="s">
        <v>313</v>
      </c>
      <c r="F2458" s="95" t="s">
        <v>685</v>
      </c>
      <c r="G2458" s="9">
        <v>500000.0</v>
      </c>
      <c r="H2458" s="139" t="s">
        <v>530</v>
      </c>
      <c r="I2458" s="124">
        <f t="shared" si="158"/>
        <v>50000</v>
      </c>
      <c r="J2458" s="97" t="s">
        <v>2826</v>
      </c>
      <c r="K2458" s="98"/>
      <c r="L2458" s="98"/>
    </row>
    <row r="2459">
      <c r="B2459" s="95" t="s">
        <v>526</v>
      </c>
      <c r="C2459" s="138" t="s">
        <v>2827</v>
      </c>
      <c r="D2459" s="95" t="s">
        <v>195</v>
      </c>
      <c r="E2459" s="95" t="s">
        <v>402</v>
      </c>
      <c r="F2459" s="138" t="s">
        <v>685</v>
      </c>
      <c r="G2459" s="140">
        <v>800000.0</v>
      </c>
      <c r="H2459" s="139" t="s">
        <v>530</v>
      </c>
      <c r="I2459" s="124">
        <f t="shared" si="158"/>
        <v>80000</v>
      </c>
      <c r="J2459" s="97" t="s">
        <v>2828</v>
      </c>
      <c r="K2459" s="98"/>
      <c r="L2459" s="98"/>
    </row>
    <row r="2460">
      <c r="B2460" s="95" t="s">
        <v>526</v>
      </c>
      <c r="C2460" s="95" t="s">
        <v>1198</v>
      </c>
      <c r="D2460" s="95" t="s">
        <v>174</v>
      </c>
      <c r="E2460" s="95" t="s">
        <v>419</v>
      </c>
      <c r="F2460" s="95" t="s">
        <v>685</v>
      </c>
      <c r="G2460" s="9">
        <f>1000000*0.88</f>
        <v>880000</v>
      </c>
      <c r="H2460" s="95" t="s">
        <v>530</v>
      </c>
      <c r="I2460" s="13">
        <f t="shared" si="158"/>
        <v>88000</v>
      </c>
      <c r="J2460" s="97" t="s">
        <v>1199</v>
      </c>
      <c r="K2460" s="98"/>
      <c r="L2460" s="98"/>
    </row>
    <row r="2461">
      <c r="B2461" s="95" t="s">
        <v>526</v>
      </c>
      <c r="C2461" s="138" t="s">
        <v>846</v>
      </c>
      <c r="D2461" s="95" t="s">
        <v>69</v>
      </c>
      <c r="E2461" s="95" t="s">
        <v>542</v>
      </c>
      <c r="F2461" s="138" t="s">
        <v>685</v>
      </c>
      <c r="G2461" s="140">
        <v>150000.0</v>
      </c>
      <c r="H2461" s="95" t="s">
        <v>530</v>
      </c>
      <c r="I2461" s="13">
        <f t="shared" si="158"/>
        <v>15000</v>
      </c>
      <c r="J2461" s="98" t="s">
        <v>2546</v>
      </c>
      <c r="K2461" s="98"/>
      <c r="L2461" s="98"/>
    </row>
    <row r="2462">
      <c r="B2462" s="95" t="s">
        <v>526</v>
      </c>
      <c r="C2462" s="95" t="s">
        <v>2825</v>
      </c>
      <c r="D2462" s="95" t="s">
        <v>195</v>
      </c>
      <c r="E2462" s="95" t="s">
        <v>1881</v>
      </c>
      <c r="F2462" s="95" t="s">
        <v>650</v>
      </c>
      <c r="G2462" s="9">
        <v>675000.0</v>
      </c>
      <c r="H2462" s="139" t="s">
        <v>530</v>
      </c>
      <c r="I2462" s="124">
        <f t="shared" si="158"/>
        <v>67500</v>
      </c>
      <c r="J2462" s="97" t="s">
        <v>2829</v>
      </c>
      <c r="K2462" s="98"/>
      <c r="L2462" s="98"/>
    </row>
    <row r="2463">
      <c r="B2463" s="95" t="s">
        <v>526</v>
      </c>
      <c r="C2463" s="95" t="s">
        <v>849</v>
      </c>
      <c r="D2463" s="95" t="s">
        <v>13</v>
      </c>
      <c r="E2463" s="95" t="s">
        <v>2203</v>
      </c>
      <c r="F2463" s="95" t="s">
        <v>543</v>
      </c>
      <c r="G2463" s="9">
        <v>75000.0</v>
      </c>
      <c r="H2463" s="95" t="s">
        <v>530</v>
      </c>
      <c r="I2463" s="13">
        <f t="shared" si="158"/>
        <v>7500</v>
      </c>
      <c r="J2463" s="98" t="s">
        <v>1795</v>
      </c>
      <c r="K2463" s="98"/>
      <c r="L2463" s="98"/>
    </row>
    <row r="2464">
      <c r="B2464" s="95" t="s">
        <v>526</v>
      </c>
      <c r="C2464" s="138" t="s">
        <v>2830</v>
      </c>
      <c r="D2464" s="95" t="s">
        <v>174</v>
      </c>
      <c r="E2464" s="95" t="s">
        <v>419</v>
      </c>
      <c r="F2464" s="95" t="s">
        <v>685</v>
      </c>
      <c r="G2464" s="140">
        <f>0.88*1150000</f>
        <v>1012000</v>
      </c>
      <c r="H2464" s="95" t="s">
        <v>530</v>
      </c>
      <c r="I2464" s="13">
        <f t="shared" si="158"/>
        <v>101200</v>
      </c>
      <c r="J2464" s="97" t="s">
        <v>2831</v>
      </c>
      <c r="K2464" s="155" t="s">
        <v>2832</v>
      </c>
      <c r="L2464" s="154"/>
    </row>
    <row r="2465">
      <c r="B2465" s="95" t="s">
        <v>526</v>
      </c>
      <c r="C2465" s="95" t="s">
        <v>2285</v>
      </c>
      <c r="D2465" s="95" t="s">
        <v>174</v>
      </c>
      <c r="E2465" s="95" t="s">
        <v>419</v>
      </c>
      <c r="F2465" s="95" t="s">
        <v>685</v>
      </c>
      <c r="G2465" s="9">
        <f>0.88*2200000</f>
        <v>1936000</v>
      </c>
      <c r="H2465" s="95" t="s">
        <v>530</v>
      </c>
      <c r="I2465" s="13">
        <f t="shared" si="158"/>
        <v>193600</v>
      </c>
      <c r="J2465" s="97" t="s">
        <v>2831</v>
      </c>
      <c r="K2465" s="97" t="s">
        <v>2833</v>
      </c>
      <c r="L2465" s="98"/>
    </row>
    <row r="2466">
      <c r="B2466" s="95" t="s">
        <v>526</v>
      </c>
      <c r="C2466" s="95" t="s">
        <v>1274</v>
      </c>
      <c r="D2466" s="95" t="s">
        <v>174</v>
      </c>
      <c r="E2466" s="95" t="s">
        <v>419</v>
      </c>
      <c r="F2466" s="95" t="s">
        <v>685</v>
      </c>
      <c r="G2466" s="9">
        <f>0.88*1100000</f>
        <v>968000</v>
      </c>
      <c r="H2466" s="95" t="s">
        <v>530</v>
      </c>
      <c r="I2466" s="13">
        <f t="shared" si="158"/>
        <v>96800</v>
      </c>
      <c r="J2466" s="97" t="s">
        <v>2831</v>
      </c>
      <c r="K2466" s="97" t="s">
        <v>2833</v>
      </c>
      <c r="L2466" s="98"/>
    </row>
    <row r="2467">
      <c r="B2467" s="95" t="s">
        <v>526</v>
      </c>
      <c r="C2467" s="138" t="s">
        <v>2834</v>
      </c>
      <c r="D2467" s="95" t="s">
        <v>174</v>
      </c>
      <c r="E2467" s="95" t="s">
        <v>419</v>
      </c>
      <c r="F2467" s="95" t="s">
        <v>685</v>
      </c>
      <c r="G2467" s="140">
        <f>625000*0.88</f>
        <v>550000</v>
      </c>
      <c r="H2467" s="95" t="s">
        <v>530</v>
      </c>
      <c r="I2467" s="13">
        <f t="shared" si="158"/>
        <v>55000</v>
      </c>
      <c r="J2467" s="97" t="s">
        <v>2831</v>
      </c>
      <c r="K2467" s="155" t="s">
        <v>2833</v>
      </c>
      <c r="L2467" s="154"/>
    </row>
    <row r="2468">
      <c r="B2468" s="95" t="s">
        <v>526</v>
      </c>
      <c r="C2468" s="95" t="s">
        <v>1277</v>
      </c>
      <c r="D2468" s="95" t="s">
        <v>174</v>
      </c>
      <c r="E2468" s="95" t="s">
        <v>419</v>
      </c>
      <c r="F2468" s="95" t="s">
        <v>685</v>
      </c>
      <c r="G2468" s="140">
        <f>600000*0.88</f>
        <v>528000</v>
      </c>
      <c r="H2468" s="95" t="s">
        <v>530</v>
      </c>
      <c r="I2468" s="13">
        <f t="shared" si="158"/>
        <v>52800</v>
      </c>
      <c r="J2468" s="97" t="s">
        <v>2831</v>
      </c>
      <c r="K2468" s="97" t="s">
        <v>2833</v>
      </c>
      <c r="L2468" s="98"/>
    </row>
    <row r="2469">
      <c r="B2469" s="95" t="s">
        <v>526</v>
      </c>
      <c r="C2469" s="95" t="s">
        <v>1780</v>
      </c>
      <c r="D2469" s="95" t="s">
        <v>174</v>
      </c>
      <c r="E2469" s="95" t="s">
        <v>419</v>
      </c>
      <c r="F2469" s="95" t="s">
        <v>685</v>
      </c>
      <c r="G2469" s="9">
        <f>500000*0.88</f>
        <v>440000</v>
      </c>
      <c r="H2469" s="95" t="s">
        <v>530</v>
      </c>
      <c r="I2469" s="13">
        <f t="shared" si="158"/>
        <v>44000</v>
      </c>
      <c r="J2469" s="97" t="s">
        <v>2831</v>
      </c>
      <c r="K2469" s="97" t="s">
        <v>2835</v>
      </c>
      <c r="L2469" s="98"/>
    </row>
    <row r="2470">
      <c r="B2470" s="95" t="s">
        <v>526</v>
      </c>
      <c r="C2470" s="138" t="s">
        <v>1260</v>
      </c>
      <c r="D2470" s="95" t="s">
        <v>174</v>
      </c>
      <c r="E2470" s="95" t="s">
        <v>419</v>
      </c>
      <c r="F2470" s="95" t="s">
        <v>685</v>
      </c>
      <c r="G2470" s="140">
        <f>400000*0.88</f>
        <v>352000</v>
      </c>
      <c r="H2470" s="95" t="s">
        <v>530</v>
      </c>
      <c r="I2470" s="13">
        <f t="shared" si="158"/>
        <v>35200</v>
      </c>
      <c r="J2470" s="97" t="s">
        <v>2831</v>
      </c>
      <c r="K2470" s="155" t="s">
        <v>2833</v>
      </c>
      <c r="L2470" s="154"/>
    </row>
    <row r="2471">
      <c r="B2471" s="95" t="s">
        <v>526</v>
      </c>
      <c r="C2471" s="95" t="s">
        <v>1117</v>
      </c>
      <c r="D2471" s="95" t="s">
        <v>174</v>
      </c>
      <c r="E2471" s="95" t="s">
        <v>419</v>
      </c>
      <c r="F2471" s="95" t="s">
        <v>685</v>
      </c>
      <c r="G2471" s="9">
        <f>210000*0.88</f>
        <v>184800</v>
      </c>
      <c r="H2471" s="95" t="s">
        <v>530</v>
      </c>
      <c r="I2471" s="13">
        <f t="shared" si="158"/>
        <v>18480</v>
      </c>
      <c r="J2471" s="97" t="s">
        <v>2831</v>
      </c>
      <c r="K2471" s="97" t="s">
        <v>2833</v>
      </c>
      <c r="L2471" s="98"/>
    </row>
    <row r="2472">
      <c r="B2472" s="95" t="s">
        <v>526</v>
      </c>
      <c r="C2472" s="95" t="s">
        <v>2836</v>
      </c>
      <c r="D2472" s="95" t="s">
        <v>174</v>
      </c>
      <c r="E2472" s="95" t="s">
        <v>438</v>
      </c>
      <c r="F2472" s="95" t="s">
        <v>685</v>
      </c>
      <c r="G2472" s="140">
        <f>0.88*1500000</f>
        <v>1320000</v>
      </c>
      <c r="H2472" s="95" t="s">
        <v>530</v>
      </c>
      <c r="I2472" s="13">
        <f t="shared" si="158"/>
        <v>132000</v>
      </c>
      <c r="J2472" s="97" t="s">
        <v>2593</v>
      </c>
      <c r="K2472" s="97" t="s">
        <v>2833</v>
      </c>
      <c r="L2472" s="98"/>
    </row>
    <row r="2473">
      <c r="B2473" s="95" t="s">
        <v>526</v>
      </c>
      <c r="C2473" s="95" t="s">
        <v>1268</v>
      </c>
      <c r="D2473" s="95" t="s">
        <v>174</v>
      </c>
      <c r="E2473" s="95" t="s">
        <v>438</v>
      </c>
      <c r="F2473" s="95" t="s">
        <v>685</v>
      </c>
      <c r="G2473" s="9">
        <f>0.88*1000000</f>
        <v>880000</v>
      </c>
      <c r="H2473" s="95" t="s">
        <v>530</v>
      </c>
      <c r="I2473" s="13">
        <f t="shared" si="158"/>
        <v>88000</v>
      </c>
      <c r="J2473" s="97" t="s">
        <v>2593</v>
      </c>
      <c r="K2473" s="97" t="s">
        <v>2833</v>
      </c>
      <c r="L2473" s="98"/>
    </row>
    <row r="2474">
      <c r="B2474" s="95" t="s">
        <v>526</v>
      </c>
      <c r="C2474" s="95" t="s">
        <v>2837</v>
      </c>
      <c r="D2474" s="95" t="s">
        <v>174</v>
      </c>
      <c r="E2474" s="95" t="s">
        <v>438</v>
      </c>
      <c r="F2474" s="95" t="s">
        <v>685</v>
      </c>
      <c r="G2474" s="9">
        <f>0.88*750000</f>
        <v>660000</v>
      </c>
      <c r="H2474" s="95" t="s">
        <v>530</v>
      </c>
      <c r="I2474" s="13">
        <f t="shared" si="158"/>
        <v>66000</v>
      </c>
      <c r="J2474" s="97" t="s">
        <v>2593</v>
      </c>
      <c r="K2474" s="97" t="s">
        <v>2833</v>
      </c>
      <c r="L2474" s="98"/>
    </row>
    <row r="2475">
      <c r="B2475" s="95" t="s">
        <v>526</v>
      </c>
      <c r="C2475" s="95" t="s">
        <v>1221</v>
      </c>
      <c r="D2475" s="95" t="s">
        <v>174</v>
      </c>
      <c r="E2475" s="95" t="s">
        <v>438</v>
      </c>
      <c r="F2475" s="95" t="s">
        <v>685</v>
      </c>
      <c r="G2475" s="9">
        <f>0.88*500000</f>
        <v>440000</v>
      </c>
      <c r="H2475" s="95" t="s">
        <v>530</v>
      </c>
      <c r="I2475" s="13">
        <f t="shared" si="158"/>
        <v>44000</v>
      </c>
      <c r="J2475" s="97" t="s">
        <v>2593</v>
      </c>
      <c r="K2475" s="97" t="s">
        <v>2833</v>
      </c>
      <c r="L2475" s="98"/>
    </row>
    <row r="2476">
      <c r="B2476" s="95" t="s">
        <v>526</v>
      </c>
      <c r="C2476" s="95" t="s">
        <v>1128</v>
      </c>
      <c r="D2476" s="95" t="s">
        <v>174</v>
      </c>
      <c r="E2476" s="95" t="s">
        <v>438</v>
      </c>
      <c r="F2476" s="95" t="s">
        <v>685</v>
      </c>
      <c r="G2476" s="9">
        <f>0.88*400000</f>
        <v>352000</v>
      </c>
      <c r="H2476" s="95" t="s">
        <v>530</v>
      </c>
      <c r="I2476" s="13">
        <f t="shared" si="158"/>
        <v>35200</v>
      </c>
      <c r="J2476" s="97" t="s">
        <v>2593</v>
      </c>
      <c r="K2476" s="97" t="s">
        <v>2833</v>
      </c>
      <c r="L2476" s="98"/>
    </row>
    <row r="2477">
      <c r="B2477" s="95" t="s">
        <v>526</v>
      </c>
      <c r="C2477" s="95" t="s">
        <v>1251</v>
      </c>
      <c r="D2477" s="95" t="s">
        <v>174</v>
      </c>
      <c r="E2477" s="95" t="s">
        <v>438</v>
      </c>
      <c r="F2477" s="95" t="s">
        <v>685</v>
      </c>
      <c r="G2477" s="9">
        <f>0.88*350000</f>
        <v>308000</v>
      </c>
      <c r="H2477" s="95" t="s">
        <v>530</v>
      </c>
      <c r="I2477" s="13">
        <f t="shared" si="158"/>
        <v>30800</v>
      </c>
      <c r="J2477" s="97" t="s">
        <v>2593</v>
      </c>
      <c r="K2477" s="97" t="s">
        <v>2833</v>
      </c>
      <c r="L2477" s="98"/>
    </row>
    <row r="2478">
      <c r="B2478" s="95" t="s">
        <v>526</v>
      </c>
      <c r="C2478" s="95" t="s">
        <v>1180</v>
      </c>
      <c r="D2478" s="95" t="s">
        <v>174</v>
      </c>
      <c r="E2478" s="95" t="s">
        <v>438</v>
      </c>
      <c r="F2478" s="95" t="s">
        <v>685</v>
      </c>
      <c r="G2478" s="9">
        <f>300000*0.88</f>
        <v>264000</v>
      </c>
      <c r="H2478" s="95" t="s">
        <v>530</v>
      </c>
      <c r="I2478" s="13">
        <f t="shared" si="158"/>
        <v>26400</v>
      </c>
      <c r="J2478" s="97" t="s">
        <v>2593</v>
      </c>
      <c r="K2478" s="97" t="s">
        <v>2833</v>
      </c>
      <c r="L2478" s="98"/>
    </row>
    <row r="2479">
      <c r="B2479" s="95" t="s">
        <v>526</v>
      </c>
      <c r="C2479" s="95" t="s">
        <v>1187</v>
      </c>
      <c r="D2479" s="95" t="s">
        <v>174</v>
      </c>
      <c r="E2479" s="95" t="s">
        <v>438</v>
      </c>
      <c r="F2479" s="95" t="s">
        <v>685</v>
      </c>
      <c r="G2479" s="9">
        <f>130000*0.88</f>
        <v>114400</v>
      </c>
      <c r="H2479" s="95" t="s">
        <v>530</v>
      </c>
      <c r="I2479" s="13">
        <f t="shared" si="158"/>
        <v>11440</v>
      </c>
      <c r="J2479" s="97" t="s">
        <v>2593</v>
      </c>
      <c r="K2479" s="97" t="s">
        <v>2833</v>
      </c>
      <c r="L2479" s="98"/>
    </row>
    <row r="2480">
      <c r="B2480" s="95" t="s">
        <v>526</v>
      </c>
      <c r="C2480" s="95" t="s">
        <v>1161</v>
      </c>
      <c r="D2480" s="95" t="s">
        <v>174</v>
      </c>
      <c r="E2480" s="95" t="s">
        <v>438</v>
      </c>
      <c r="F2480" s="95" t="s">
        <v>685</v>
      </c>
      <c r="G2480" s="9">
        <f>150000*0.88</f>
        <v>132000</v>
      </c>
      <c r="H2480" s="95" t="s">
        <v>530</v>
      </c>
      <c r="I2480" s="13">
        <f t="shared" si="158"/>
        <v>13200</v>
      </c>
      <c r="J2480" s="97" t="s">
        <v>2593</v>
      </c>
      <c r="K2480" s="97" t="s">
        <v>2833</v>
      </c>
      <c r="L2480" s="98"/>
    </row>
    <row r="2481">
      <c r="B2481" s="95" t="s">
        <v>526</v>
      </c>
      <c r="C2481" s="95" t="s">
        <v>2838</v>
      </c>
      <c r="D2481" s="95" t="s">
        <v>174</v>
      </c>
      <c r="E2481" s="95" t="s">
        <v>411</v>
      </c>
      <c r="F2481" s="95" t="s">
        <v>685</v>
      </c>
      <c r="G2481" s="9">
        <f>0.88*1000000</f>
        <v>880000</v>
      </c>
      <c r="H2481" s="95" t="s">
        <v>530</v>
      </c>
      <c r="I2481" s="13">
        <f t="shared" si="158"/>
        <v>88000</v>
      </c>
      <c r="J2481" s="97" t="s">
        <v>2833</v>
      </c>
      <c r="K2481" s="98"/>
      <c r="L2481" s="98"/>
    </row>
    <row r="2482">
      <c r="B2482" s="95" t="s">
        <v>526</v>
      </c>
      <c r="C2482" s="95" t="s">
        <v>2839</v>
      </c>
      <c r="D2482" s="95" t="s">
        <v>174</v>
      </c>
      <c r="E2482" s="95" t="s">
        <v>411</v>
      </c>
      <c r="F2482" s="95" t="s">
        <v>685</v>
      </c>
      <c r="G2482" s="9">
        <f t="shared" ref="G2482:G2483" si="159">0.88*850000</f>
        <v>748000</v>
      </c>
      <c r="H2482" s="95" t="s">
        <v>530</v>
      </c>
      <c r="I2482" s="13">
        <f t="shared" si="158"/>
        <v>74800</v>
      </c>
      <c r="J2482" s="97" t="s">
        <v>2833</v>
      </c>
      <c r="K2482" s="98"/>
      <c r="L2482" s="98"/>
    </row>
    <row r="2483">
      <c r="B2483" s="95" t="s">
        <v>526</v>
      </c>
      <c r="C2483" s="95" t="s">
        <v>2840</v>
      </c>
      <c r="D2483" s="95" t="s">
        <v>174</v>
      </c>
      <c r="E2483" s="95" t="s">
        <v>411</v>
      </c>
      <c r="F2483" s="95" t="s">
        <v>685</v>
      </c>
      <c r="G2483" s="9">
        <f t="shared" si="159"/>
        <v>748000</v>
      </c>
      <c r="H2483" s="95" t="s">
        <v>530</v>
      </c>
      <c r="I2483" s="13">
        <f t="shared" si="158"/>
        <v>74800</v>
      </c>
      <c r="J2483" s="97" t="s">
        <v>2833</v>
      </c>
      <c r="K2483" s="98"/>
      <c r="L2483" s="98"/>
    </row>
    <row r="2484">
      <c r="B2484" s="95" t="s">
        <v>526</v>
      </c>
      <c r="C2484" s="95" t="s">
        <v>1191</v>
      </c>
      <c r="D2484" s="95" t="s">
        <v>174</v>
      </c>
      <c r="E2484" s="95" t="s">
        <v>411</v>
      </c>
      <c r="F2484" s="95" t="s">
        <v>685</v>
      </c>
      <c r="G2484" s="9">
        <f>850000*0.88</f>
        <v>748000</v>
      </c>
      <c r="H2484" s="95" t="s">
        <v>530</v>
      </c>
      <c r="I2484" s="13">
        <f t="shared" si="158"/>
        <v>74800</v>
      </c>
      <c r="J2484" s="97" t="s">
        <v>2833</v>
      </c>
      <c r="K2484" s="98"/>
      <c r="L2484" s="98"/>
    </row>
    <row r="2485">
      <c r="B2485" s="95" t="s">
        <v>526</v>
      </c>
      <c r="C2485" s="95" t="s">
        <v>1226</v>
      </c>
      <c r="D2485" s="95" t="s">
        <v>174</v>
      </c>
      <c r="E2485" s="95" t="s">
        <v>411</v>
      </c>
      <c r="F2485" s="95" t="s">
        <v>685</v>
      </c>
      <c r="G2485" s="9">
        <f>650000*0.88</f>
        <v>572000</v>
      </c>
      <c r="H2485" s="95" t="s">
        <v>530</v>
      </c>
      <c r="I2485" s="13">
        <f t="shared" si="158"/>
        <v>57200</v>
      </c>
      <c r="J2485" s="97" t="s">
        <v>2833</v>
      </c>
      <c r="K2485" s="98"/>
      <c r="L2485" s="98"/>
    </row>
    <row r="2486">
      <c r="B2486" s="95" t="s">
        <v>526</v>
      </c>
      <c r="C2486" s="95" t="s">
        <v>2841</v>
      </c>
      <c r="D2486" s="95" t="s">
        <v>174</v>
      </c>
      <c r="E2486" s="95" t="s">
        <v>411</v>
      </c>
      <c r="F2486" s="95" t="s">
        <v>685</v>
      </c>
      <c r="G2486" s="9">
        <f t="shared" ref="G2486:G2487" si="160">300000*0.88</f>
        <v>264000</v>
      </c>
      <c r="H2486" s="95" t="s">
        <v>530</v>
      </c>
      <c r="I2486" s="13">
        <f t="shared" si="158"/>
        <v>26400</v>
      </c>
      <c r="J2486" s="143" t="s">
        <v>2833</v>
      </c>
      <c r="K2486" s="98"/>
      <c r="L2486" s="98"/>
    </row>
    <row r="2487">
      <c r="B2487" s="95" t="s">
        <v>526</v>
      </c>
      <c r="C2487" s="95" t="s">
        <v>1284</v>
      </c>
      <c r="D2487" s="95" t="s">
        <v>174</v>
      </c>
      <c r="E2487" s="95" t="s">
        <v>411</v>
      </c>
      <c r="F2487" s="95" t="s">
        <v>685</v>
      </c>
      <c r="G2487" s="9">
        <f t="shared" si="160"/>
        <v>264000</v>
      </c>
      <c r="H2487" s="95" t="s">
        <v>530</v>
      </c>
      <c r="I2487" s="13">
        <f t="shared" si="158"/>
        <v>26400</v>
      </c>
      <c r="J2487" s="97" t="s">
        <v>2833</v>
      </c>
      <c r="K2487" s="98"/>
      <c r="L2487" s="98"/>
    </row>
    <row r="2488">
      <c r="B2488" s="95" t="s">
        <v>526</v>
      </c>
      <c r="C2488" s="95" t="s">
        <v>1230</v>
      </c>
      <c r="D2488" s="95" t="s">
        <v>174</v>
      </c>
      <c r="E2488" s="95" t="s">
        <v>411</v>
      </c>
      <c r="F2488" s="95" t="s">
        <v>685</v>
      </c>
      <c r="G2488" s="9">
        <f>180000*0.88</f>
        <v>158400</v>
      </c>
      <c r="H2488" s="95" t="s">
        <v>530</v>
      </c>
      <c r="I2488" s="13">
        <f t="shared" si="158"/>
        <v>15840</v>
      </c>
      <c r="J2488" s="97" t="s">
        <v>2833</v>
      </c>
      <c r="K2488" s="98"/>
      <c r="L2488" s="98"/>
    </row>
    <row r="2489">
      <c r="B2489" s="95" t="s">
        <v>641</v>
      </c>
      <c r="C2489" s="95" t="s">
        <v>2842</v>
      </c>
      <c r="D2489" s="95" t="s">
        <v>174</v>
      </c>
      <c r="E2489" s="95" t="s">
        <v>419</v>
      </c>
      <c r="F2489" s="95" t="s">
        <v>685</v>
      </c>
      <c r="G2489" s="9">
        <f>0.88*1000000</f>
        <v>880000</v>
      </c>
      <c r="H2489" s="95" t="s">
        <v>530</v>
      </c>
      <c r="I2489" s="13">
        <f t="shared" si="158"/>
        <v>88000</v>
      </c>
      <c r="J2489" s="97" t="s">
        <v>2843</v>
      </c>
      <c r="K2489" s="98"/>
      <c r="L2489" s="98"/>
    </row>
    <row r="2490">
      <c r="B2490" s="95" t="s">
        <v>641</v>
      </c>
      <c r="C2490" s="95" t="s">
        <v>2842</v>
      </c>
      <c r="D2490" s="95" t="s">
        <v>174</v>
      </c>
      <c r="E2490" s="95" t="s">
        <v>419</v>
      </c>
      <c r="F2490" s="95" t="s">
        <v>650</v>
      </c>
      <c r="G2490" s="9">
        <f>500000*0.85</f>
        <v>425000</v>
      </c>
      <c r="H2490" s="95" t="s">
        <v>530</v>
      </c>
      <c r="I2490" s="13">
        <f t="shared" si="158"/>
        <v>42500</v>
      </c>
      <c r="J2490" s="97" t="s">
        <v>2843</v>
      </c>
      <c r="K2490" s="98"/>
      <c r="L2490" s="98"/>
    </row>
    <row r="2491">
      <c r="B2491" s="95" t="s">
        <v>526</v>
      </c>
      <c r="C2491" s="95" t="s">
        <v>870</v>
      </c>
      <c r="D2491" s="95" t="s">
        <v>222</v>
      </c>
      <c r="E2491" s="95" t="s">
        <v>313</v>
      </c>
      <c r="F2491" s="134">
        <v>46369.0</v>
      </c>
      <c r="G2491" s="9">
        <f>0.8*225000</f>
        <v>180000</v>
      </c>
      <c r="H2491" s="139" t="s">
        <v>530</v>
      </c>
      <c r="I2491" s="124">
        <f t="shared" si="158"/>
        <v>18000</v>
      </c>
      <c r="J2491" s="97" t="s">
        <v>737</v>
      </c>
      <c r="K2491" s="98"/>
      <c r="L2491" s="98"/>
    </row>
    <row r="2492">
      <c r="B2492" s="95" t="s">
        <v>526</v>
      </c>
      <c r="C2492" s="95" t="s">
        <v>2844</v>
      </c>
      <c r="D2492" s="95" t="s">
        <v>222</v>
      </c>
      <c r="E2492" s="95" t="s">
        <v>313</v>
      </c>
      <c r="F2492" s="134">
        <v>46369.0</v>
      </c>
      <c r="G2492" s="9">
        <f>0.8*210000</f>
        <v>168000</v>
      </c>
      <c r="H2492" s="139" t="s">
        <v>530</v>
      </c>
      <c r="I2492" s="124">
        <f t="shared" si="158"/>
        <v>16800</v>
      </c>
      <c r="J2492" s="97" t="s">
        <v>737</v>
      </c>
      <c r="K2492" s="98"/>
      <c r="L2492" s="98"/>
    </row>
    <row r="2493">
      <c r="B2493" s="95" t="s">
        <v>526</v>
      </c>
      <c r="C2493" s="95" t="s">
        <v>2845</v>
      </c>
      <c r="D2493" s="95" t="s">
        <v>222</v>
      </c>
      <c r="E2493" s="95" t="s">
        <v>313</v>
      </c>
      <c r="F2493" s="134">
        <v>46369.0</v>
      </c>
      <c r="G2493" s="9">
        <f>0.8*170000</f>
        <v>136000</v>
      </c>
      <c r="H2493" s="139" t="s">
        <v>530</v>
      </c>
      <c r="I2493" s="124">
        <f t="shared" si="158"/>
        <v>13600</v>
      </c>
      <c r="J2493" s="97" t="s">
        <v>737</v>
      </c>
      <c r="K2493" s="98"/>
      <c r="L2493" s="98"/>
    </row>
    <row r="2494">
      <c r="B2494" s="95" t="s">
        <v>526</v>
      </c>
      <c r="C2494" s="95" t="s">
        <v>2597</v>
      </c>
      <c r="D2494" s="95" t="s">
        <v>222</v>
      </c>
      <c r="E2494" s="95" t="s">
        <v>313</v>
      </c>
      <c r="F2494" s="95" t="s">
        <v>738</v>
      </c>
      <c r="G2494" s="9">
        <v>200000.0</v>
      </c>
      <c r="H2494" s="139" t="s">
        <v>530</v>
      </c>
      <c r="I2494" s="124">
        <f t="shared" si="158"/>
        <v>20000</v>
      </c>
      <c r="J2494" s="97" t="s">
        <v>737</v>
      </c>
      <c r="K2494" s="98"/>
      <c r="L2494" s="98"/>
    </row>
    <row r="2495">
      <c r="B2495" s="95" t="s">
        <v>526</v>
      </c>
      <c r="C2495" s="95" t="s">
        <v>782</v>
      </c>
      <c r="D2495" s="95" t="s">
        <v>2846</v>
      </c>
      <c r="E2495" s="95" t="s">
        <v>2847</v>
      </c>
      <c r="F2495" s="95" t="s">
        <v>738</v>
      </c>
      <c r="G2495" s="9">
        <f>0.9*75000</f>
        <v>67500</v>
      </c>
      <c r="H2495" s="95" t="s">
        <v>872</v>
      </c>
      <c r="I2495" s="13">
        <f>G2495/3</f>
        <v>22500</v>
      </c>
      <c r="J2495" s="97" t="s">
        <v>2848</v>
      </c>
      <c r="K2495" s="98"/>
      <c r="L2495" s="98"/>
    </row>
    <row r="2496">
      <c r="B2496" s="95" t="s">
        <v>526</v>
      </c>
      <c r="C2496" s="138" t="s">
        <v>861</v>
      </c>
      <c r="D2496" s="95" t="s">
        <v>195</v>
      </c>
      <c r="E2496" s="95" t="s">
        <v>402</v>
      </c>
      <c r="F2496" s="138" t="s">
        <v>685</v>
      </c>
      <c r="G2496" s="140">
        <f>0.88*900000</f>
        <v>792000</v>
      </c>
      <c r="H2496" s="139" t="s">
        <v>530</v>
      </c>
      <c r="I2496" s="124">
        <f>G2496/10</f>
        <v>79200</v>
      </c>
      <c r="J2496" s="97" t="s">
        <v>2849</v>
      </c>
      <c r="K2496" s="98"/>
      <c r="L2496" s="98"/>
    </row>
    <row r="2497">
      <c r="B2497" s="95" t="s">
        <v>526</v>
      </c>
      <c r="C2497" s="95" t="s">
        <v>2798</v>
      </c>
      <c r="D2497" s="95" t="s">
        <v>826</v>
      </c>
      <c r="E2497" s="95" t="s">
        <v>833</v>
      </c>
      <c r="F2497" s="95" t="s">
        <v>738</v>
      </c>
      <c r="G2497" s="9">
        <f>0.9*130000</f>
        <v>117000</v>
      </c>
      <c r="H2497" s="138" t="s">
        <v>680</v>
      </c>
      <c r="I2497" s="124">
        <f>G2497/4</f>
        <v>29250</v>
      </c>
      <c r="J2497" s="97" t="s">
        <v>2850</v>
      </c>
      <c r="K2497" s="98"/>
      <c r="L2497" s="98"/>
    </row>
    <row r="2498">
      <c r="B2498" s="95" t="s">
        <v>526</v>
      </c>
      <c r="C2498" s="95" t="s">
        <v>2798</v>
      </c>
      <c r="D2498" s="95" t="s">
        <v>826</v>
      </c>
      <c r="E2498" s="95" t="s">
        <v>833</v>
      </c>
      <c r="F2498" s="95" t="s">
        <v>643</v>
      </c>
      <c r="G2498" s="9">
        <f>0.9*500000</f>
        <v>450000</v>
      </c>
      <c r="H2498" s="139" t="s">
        <v>530</v>
      </c>
      <c r="I2498" s="124">
        <f t="shared" ref="I2498:I2499" si="161">G2498/10</f>
        <v>45000</v>
      </c>
      <c r="J2498" s="97" t="s">
        <v>2850</v>
      </c>
      <c r="K2498" s="98"/>
      <c r="L2498" s="98"/>
    </row>
    <row r="2499">
      <c r="B2499" s="95" t="s">
        <v>526</v>
      </c>
      <c r="C2499" s="95" t="s">
        <v>1086</v>
      </c>
      <c r="D2499" s="95" t="s">
        <v>114</v>
      </c>
      <c r="E2499" s="95" t="s">
        <v>370</v>
      </c>
      <c r="F2499" s="95" t="s">
        <v>738</v>
      </c>
      <c r="G2499" s="9">
        <v>200000.0</v>
      </c>
      <c r="H2499" s="95" t="s">
        <v>530</v>
      </c>
      <c r="I2499" s="13">
        <f t="shared" si="161"/>
        <v>20000</v>
      </c>
      <c r="J2499" s="97" t="s">
        <v>2851</v>
      </c>
      <c r="K2499" s="98"/>
      <c r="L2499" s="98"/>
    </row>
    <row r="2500">
      <c r="B2500" s="95" t="s">
        <v>526</v>
      </c>
      <c r="C2500" s="95" t="s">
        <v>1205</v>
      </c>
      <c r="D2500" s="95" t="s">
        <v>195</v>
      </c>
      <c r="E2500" s="95" t="s">
        <v>466</v>
      </c>
      <c r="F2500" s="95" t="s">
        <v>738</v>
      </c>
      <c r="G2500" s="9">
        <v>210000.0</v>
      </c>
      <c r="H2500" s="95" t="s">
        <v>1155</v>
      </c>
      <c r="I2500" s="13">
        <f>G2500/8</f>
        <v>26250</v>
      </c>
      <c r="J2500" s="97" t="s">
        <v>2852</v>
      </c>
      <c r="K2500" s="98"/>
      <c r="L2500" s="98"/>
    </row>
    <row r="2501">
      <c r="B2501" s="95" t="s">
        <v>526</v>
      </c>
      <c r="C2501" s="138" t="s">
        <v>861</v>
      </c>
      <c r="D2501" s="95" t="s">
        <v>88</v>
      </c>
      <c r="E2501" s="95" t="s">
        <v>422</v>
      </c>
      <c r="F2501" s="138" t="s">
        <v>643</v>
      </c>
      <c r="G2501" s="140">
        <v>325000.0</v>
      </c>
      <c r="H2501" s="139" t="s">
        <v>530</v>
      </c>
      <c r="I2501" s="124">
        <f t="shared" ref="I2501:I2514" si="162">G2501/10</f>
        <v>32500</v>
      </c>
      <c r="J2501" s="97" t="s">
        <v>2853</v>
      </c>
      <c r="K2501" s="98"/>
      <c r="L2501" s="98"/>
    </row>
    <row r="2502">
      <c r="B2502" s="139" t="s">
        <v>526</v>
      </c>
      <c r="C2502" s="138" t="s">
        <v>2660</v>
      </c>
      <c r="D2502" s="95" t="s">
        <v>114</v>
      </c>
      <c r="E2502" s="138" t="s">
        <v>370</v>
      </c>
      <c r="F2502" s="95" t="s">
        <v>738</v>
      </c>
      <c r="G2502" s="140">
        <v>200000.0</v>
      </c>
      <c r="H2502" s="95" t="s">
        <v>530</v>
      </c>
      <c r="I2502" s="13">
        <f t="shared" si="162"/>
        <v>20000</v>
      </c>
      <c r="J2502" s="97" t="s">
        <v>2854</v>
      </c>
      <c r="K2502" s="154"/>
      <c r="L2502" s="154"/>
    </row>
    <row r="2503">
      <c r="B2503" s="95" t="s">
        <v>526</v>
      </c>
      <c r="C2503" s="95" t="s">
        <v>2855</v>
      </c>
      <c r="D2503" s="95" t="s">
        <v>114</v>
      </c>
      <c r="E2503" s="95" t="s">
        <v>370</v>
      </c>
      <c r="F2503" s="95" t="s">
        <v>529</v>
      </c>
      <c r="G2503" s="9">
        <v>70000.0</v>
      </c>
      <c r="H2503" s="95" t="s">
        <v>530</v>
      </c>
      <c r="I2503" s="13">
        <f t="shared" si="162"/>
        <v>7000</v>
      </c>
      <c r="J2503" s="97" t="s">
        <v>2856</v>
      </c>
      <c r="K2503" s="98"/>
      <c r="L2503" s="98"/>
    </row>
    <row r="2504">
      <c r="B2504" s="95" t="s">
        <v>526</v>
      </c>
      <c r="C2504" s="95" t="s">
        <v>2857</v>
      </c>
      <c r="D2504" s="95" t="s">
        <v>114</v>
      </c>
      <c r="E2504" s="5" t="s">
        <v>370</v>
      </c>
      <c r="F2504" s="95" t="s">
        <v>537</v>
      </c>
      <c r="G2504" s="9">
        <f>0.85*220000</f>
        <v>187000</v>
      </c>
      <c r="H2504" s="95" t="s">
        <v>530</v>
      </c>
      <c r="I2504" s="13">
        <f t="shared" si="162"/>
        <v>18700</v>
      </c>
      <c r="J2504" s="97" t="s">
        <v>2858</v>
      </c>
      <c r="K2504" s="98"/>
      <c r="L2504" s="98"/>
    </row>
    <row r="2505">
      <c r="B2505" s="95" t="s">
        <v>526</v>
      </c>
      <c r="C2505" s="95" t="s">
        <v>1395</v>
      </c>
      <c r="D2505" s="95" t="s">
        <v>114</v>
      </c>
      <c r="E2505" s="5" t="s">
        <v>370</v>
      </c>
      <c r="F2505" s="95" t="s">
        <v>529</v>
      </c>
      <c r="G2505" s="9">
        <v>150000.0</v>
      </c>
      <c r="H2505" s="95" t="s">
        <v>530</v>
      </c>
      <c r="I2505" s="13">
        <f t="shared" si="162"/>
        <v>15000</v>
      </c>
      <c r="J2505" s="97" t="s">
        <v>2859</v>
      </c>
      <c r="K2505" s="98"/>
      <c r="L2505" s="98"/>
    </row>
    <row r="2506">
      <c r="B2506" s="95" t="s">
        <v>641</v>
      </c>
      <c r="C2506" s="95" t="s">
        <v>2860</v>
      </c>
      <c r="D2506" s="95" t="s">
        <v>114</v>
      </c>
      <c r="E2506" s="5" t="s">
        <v>370</v>
      </c>
      <c r="F2506" s="95" t="s">
        <v>537</v>
      </c>
      <c r="G2506" s="9">
        <v>175000.0</v>
      </c>
      <c r="H2506" s="95" t="s">
        <v>530</v>
      </c>
      <c r="I2506" s="13">
        <f t="shared" si="162"/>
        <v>17500</v>
      </c>
      <c r="J2506" s="97" t="s">
        <v>2861</v>
      </c>
      <c r="K2506" s="98"/>
      <c r="L2506" s="98"/>
    </row>
    <row r="2507">
      <c r="B2507" s="95" t="s">
        <v>526</v>
      </c>
      <c r="C2507" s="95" t="s">
        <v>2862</v>
      </c>
      <c r="D2507" s="95" t="s">
        <v>114</v>
      </c>
      <c r="E2507" s="5" t="s">
        <v>370</v>
      </c>
      <c r="F2507" s="95" t="s">
        <v>920</v>
      </c>
      <c r="G2507" s="9">
        <v>250000.0</v>
      </c>
      <c r="H2507" s="95" t="s">
        <v>530</v>
      </c>
      <c r="I2507" s="13">
        <f t="shared" si="162"/>
        <v>25000</v>
      </c>
      <c r="J2507" s="97" t="s">
        <v>2863</v>
      </c>
      <c r="K2507" s="98"/>
      <c r="L2507" s="98"/>
    </row>
    <row r="2508">
      <c r="B2508" s="95" t="s">
        <v>526</v>
      </c>
      <c r="C2508" s="138" t="s">
        <v>2864</v>
      </c>
      <c r="D2508" s="95" t="s">
        <v>195</v>
      </c>
      <c r="E2508" s="95" t="s">
        <v>402</v>
      </c>
      <c r="F2508" s="138" t="s">
        <v>738</v>
      </c>
      <c r="G2508" s="140">
        <v>340000.0</v>
      </c>
      <c r="H2508" s="139" t="s">
        <v>530</v>
      </c>
      <c r="I2508" s="124">
        <f t="shared" si="162"/>
        <v>34000</v>
      </c>
      <c r="J2508" s="97" t="s">
        <v>2865</v>
      </c>
      <c r="K2508" s="98"/>
      <c r="L2508" s="98"/>
    </row>
    <row r="2509">
      <c r="B2509" s="95" t="s">
        <v>526</v>
      </c>
      <c r="C2509" s="95" t="s">
        <v>1238</v>
      </c>
      <c r="D2509" s="95" t="s">
        <v>174</v>
      </c>
      <c r="E2509" s="95" t="s">
        <v>373</v>
      </c>
      <c r="F2509" s="95" t="s">
        <v>685</v>
      </c>
      <c r="G2509" s="9">
        <f>0.88*180000</f>
        <v>158400</v>
      </c>
      <c r="H2509" s="95" t="s">
        <v>530</v>
      </c>
      <c r="I2509" s="13">
        <f t="shared" si="162"/>
        <v>15840</v>
      </c>
      <c r="J2509" s="97" t="s">
        <v>2135</v>
      </c>
      <c r="K2509" s="98"/>
      <c r="L2509" s="98"/>
    </row>
    <row r="2510">
      <c r="B2510" s="95" t="s">
        <v>526</v>
      </c>
      <c r="C2510" s="95" t="s">
        <v>1148</v>
      </c>
      <c r="D2510" s="95" t="s">
        <v>174</v>
      </c>
      <c r="E2510" s="95" t="s">
        <v>373</v>
      </c>
      <c r="F2510" s="95" t="s">
        <v>685</v>
      </c>
      <c r="G2510" s="9">
        <f>0.88*170000</f>
        <v>149600</v>
      </c>
      <c r="H2510" s="95" t="s">
        <v>530</v>
      </c>
      <c r="I2510" s="13">
        <f t="shared" si="162"/>
        <v>14960</v>
      </c>
      <c r="J2510" s="97" t="s">
        <v>2135</v>
      </c>
      <c r="K2510" s="98"/>
      <c r="L2510" s="98"/>
    </row>
    <row r="2511">
      <c r="B2511" s="95" t="s">
        <v>526</v>
      </c>
      <c r="C2511" s="95" t="s">
        <v>2866</v>
      </c>
      <c r="D2511" s="95" t="s">
        <v>174</v>
      </c>
      <c r="E2511" s="95" t="s">
        <v>373</v>
      </c>
      <c r="F2511" s="95" t="s">
        <v>685</v>
      </c>
      <c r="G2511" s="9">
        <f t="shared" ref="G2511:G2512" si="163">0.88*150000</f>
        <v>132000</v>
      </c>
      <c r="H2511" s="95" t="s">
        <v>530</v>
      </c>
      <c r="I2511" s="13">
        <f t="shared" si="162"/>
        <v>13200</v>
      </c>
      <c r="J2511" s="97" t="s">
        <v>2135</v>
      </c>
      <c r="K2511" s="98"/>
      <c r="L2511" s="98"/>
    </row>
    <row r="2512">
      <c r="B2512" s="95" t="s">
        <v>526</v>
      </c>
      <c r="C2512" s="95" t="s">
        <v>1298</v>
      </c>
      <c r="D2512" s="95" t="s">
        <v>174</v>
      </c>
      <c r="E2512" s="95" t="s">
        <v>373</v>
      </c>
      <c r="F2512" s="95" t="s">
        <v>685</v>
      </c>
      <c r="G2512" s="9">
        <f t="shared" si="163"/>
        <v>132000</v>
      </c>
      <c r="H2512" s="95" t="s">
        <v>530</v>
      </c>
      <c r="I2512" s="13">
        <f t="shared" si="162"/>
        <v>13200</v>
      </c>
      <c r="J2512" s="97" t="s">
        <v>2135</v>
      </c>
      <c r="K2512" s="98"/>
      <c r="L2512" s="98"/>
    </row>
    <row r="2513">
      <c r="B2513" s="95" t="s">
        <v>526</v>
      </c>
      <c r="C2513" s="95" t="s">
        <v>2867</v>
      </c>
      <c r="D2513" s="95" t="s">
        <v>174</v>
      </c>
      <c r="E2513" s="95" t="s">
        <v>373</v>
      </c>
      <c r="F2513" s="95" t="s">
        <v>685</v>
      </c>
      <c r="G2513" s="9">
        <f>0.88*140000</f>
        <v>123200</v>
      </c>
      <c r="H2513" s="95" t="s">
        <v>530</v>
      </c>
      <c r="I2513" s="13">
        <f t="shared" si="162"/>
        <v>12320</v>
      </c>
      <c r="J2513" s="97" t="s">
        <v>2135</v>
      </c>
      <c r="K2513" s="98"/>
      <c r="L2513" s="98"/>
    </row>
    <row r="2514">
      <c r="B2514" s="95" t="s">
        <v>526</v>
      </c>
      <c r="C2514" s="95" t="s">
        <v>2868</v>
      </c>
      <c r="D2514" s="95" t="s">
        <v>174</v>
      </c>
      <c r="E2514" s="95" t="s">
        <v>373</v>
      </c>
      <c r="F2514" s="95" t="s">
        <v>685</v>
      </c>
      <c r="G2514" s="9">
        <f>0.88*130000</f>
        <v>114400</v>
      </c>
      <c r="H2514" s="95" t="s">
        <v>530</v>
      </c>
      <c r="I2514" s="13">
        <f t="shared" si="162"/>
        <v>11440</v>
      </c>
      <c r="J2514" s="97" t="s">
        <v>2135</v>
      </c>
      <c r="K2514" s="98"/>
      <c r="L2514" s="98"/>
    </row>
    <row r="2515">
      <c r="B2515" s="95" t="s">
        <v>526</v>
      </c>
      <c r="C2515" s="95" t="s">
        <v>2869</v>
      </c>
      <c r="D2515" s="95" t="s">
        <v>174</v>
      </c>
      <c r="E2515" s="95" t="s">
        <v>373</v>
      </c>
      <c r="F2515" s="95" t="s">
        <v>685</v>
      </c>
      <c r="G2515" s="9">
        <f t="shared" ref="G2515:G2516" si="164">0.88*120000</f>
        <v>105600</v>
      </c>
      <c r="H2515" s="95" t="s">
        <v>530</v>
      </c>
      <c r="I2515" s="13">
        <f>G2514/10</f>
        <v>11440</v>
      </c>
      <c r="J2515" s="97" t="s">
        <v>2135</v>
      </c>
      <c r="K2515" s="98"/>
      <c r="L2515" s="98"/>
    </row>
    <row r="2516">
      <c r="B2516" s="95" t="s">
        <v>526</v>
      </c>
      <c r="C2516" s="95" t="s">
        <v>2260</v>
      </c>
      <c r="D2516" s="95" t="s">
        <v>174</v>
      </c>
      <c r="E2516" s="95" t="s">
        <v>373</v>
      </c>
      <c r="F2516" s="95" t="s">
        <v>685</v>
      </c>
      <c r="G2516" s="9">
        <f t="shared" si="164"/>
        <v>105600</v>
      </c>
      <c r="H2516" s="95" t="s">
        <v>530</v>
      </c>
      <c r="I2516" s="13">
        <f t="shared" ref="I2516:I2525" si="165">G2516/10</f>
        <v>10560</v>
      </c>
      <c r="J2516" s="97" t="s">
        <v>2135</v>
      </c>
      <c r="K2516" s="98"/>
      <c r="L2516" s="98"/>
    </row>
    <row r="2517">
      <c r="B2517" s="95" t="s">
        <v>526</v>
      </c>
      <c r="C2517" s="95" t="s">
        <v>2870</v>
      </c>
      <c r="D2517" s="95" t="s">
        <v>174</v>
      </c>
      <c r="E2517" s="95" t="s">
        <v>373</v>
      </c>
      <c r="F2517" s="95" t="s">
        <v>685</v>
      </c>
      <c r="G2517" s="9">
        <f>0.88*70000</f>
        <v>61600</v>
      </c>
      <c r="H2517" s="95" t="s">
        <v>530</v>
      </c>
      <c r="I2517" s="13">
        <f t="shared" si="165"/>
        <v>6160</v>
      </c>
      <c r="J2517" s="97" t="s">
        <v>2135</v>
      </c>
      <c r="K2517" s="98"/>
      <c r="L2517" s="98"/>
    </row>
    <row r="2518">
      <c r="B2518" s="95" t="s">
        <v>526</v>
      </c>
      <c r="C2518" s="95" t="s">
        <v>2159</v>
      </c>
      <c r="D2518" s="95" t="s">
        <v>114</v>
      </c>
      <c r="E2518" s="95" t="s">
        <v>389</v>
      </c>
      <c r="F2518" s="95" t="s">
        <v>685</v>
      </c>
      <c r="G2518" s="9">
        <f>900000*0.88</f>
        <v>792000</v>
      </c>
      <c r="H2518" s="95" t="s">
        <v>530</v>
      </c>
      <c r="I2518" s="13">
        <f t="shared" si="165"/>
        <v>79200</v>
      </c>
      <c r="J2518" s="97" t="s">
        <v>2871</v>
      </c>
      <c r="K2518" s="98"/>
      <c r="L2518" s="98"/>
    </row>
    <row r="2519">
      <c r="B2519" s="95" t="s">
        <v>526</v>
      </c>
      <c r="C2519" s="95" t="s">
        <v>1739</v>
      </c>
      <c r="D2519" s="95" t="s">
        <v>13</v>
      </c>
      <c r="E2519" s="95" t="s">
        <v>30</v>
      </c>
      <c r="F2519" s="95" t="s">
        <v>685</v>
      </c>
      <c r="G2519" s="9">
        <v>1800000.0</v>
      </c>
      <c r="H2519" s="95" t="s">
        <v>530</v>
      </c>
      <c r="I2519" s="13">
        <f t="shared" si="165"/>
        <v>180000</v>
      </c>
      <c r="J2519" s="97" t="s">
        <v>2872</v>
      </c>
      <c r="K2519" s="98"/>
      <c r="L2519" s="98"/>
    </row>
    <row r="2520">
      <c r="B2520" s="95" t="s">
        <v>526</v>
      </c>
      <c r="C2520" s="95" t="s">
        <v>2873</v>
      </c>
      <c r="D2520" s="95" t="s">
        <v>88</v>
      </c>
      <c r="E2520" s="95" t="s">
        <v>425</v>
      </c>
      <c r="F2520" s="95" t="s">
        <v>685</v>
      </c>
      <c r="G2520" s="9">
        <f>2500000*0.88</f>
        <v>2200000</v>
      </c>
      <c r="H2520" s="139" t="s">
        <v>530</v>
      </c>
      <c r="I2520" s="124">
        <f t="shared" si="165"/>
        <v>220000</v>
      </c>
      <c r="J2520" s="97" t="s">
        <v>2874</v>
      </c>
      <c r="K2520" s="98"/>
      <c r="L2520" s="98"/>
    </row>
    <row r="2521">
      <c r="B2521" s="144" t="s">
        <v>526</v>
      </c>
      <c r="C2521" s="138" t="s">
        <v>2875</v>
      </c>
      <c r="D2521" s="144" t="s">
        <v>13</v>
      </c>
      <c r="E2521" s="138" t="s">
        <v>30</v>
      </c>
      <c r="F2521" s="138" t="s">
        <v>643</v>
      </c>
      <c r="G2521" s="140">
        <v>400000.0</v>
      </c>
      <c r="H2521" s="144" t="s">
        <v>530</v>
      </c>
      <c r="I2521" s="152">
        <f t="shared" si="165"/>
        <v>40000</v>
      </c>
      <c r="J2521" s="146" t="s">
        <v>1351</v>
      </c>
      <c r="K2521" s="146"/>
      <c r="L2521" s="146"/>
    </row>
    <row r="2522">
      <c r="B2522" s="144" t="s">
        <v>526</v>
      </c>
      <c r="C2522" s="138" t="s">
        <v>1071</v>
      </c>
      <c r="D2522" s="144" t="s">
        <v>13</v>
      </c>
      <c r="E2522" s="138" t="s">
        <v>30</v>
      </c>
      <c r="F2522" s="138" t="s">
        <v>643</v>
      </c>
      <c r="G2522" s="140">
        <v>1000000.0</v>
      </c>
      <c r="H2522" s="144" t="s">
        <v>530</v>
      </c>
      <c r="I2522" s="152">
        <f t="shared" si="165"/>
        <v>100000</v>
      </c>
      <c r="J2522" s="146" t="s">
        <v>1351</v>
      </c>
      <c r="K2522" s="146"/>
      <c r="L2522" s="146"/>
    </row>
    <row r="2523">
      <c r="B2523" s="144" t="s">
        <v>526</v>
      </c>
      <c r="C2523" s="138" t="s">
        <v>2352</v>
      </c>
      <c r="D2523" s="144" t="s">
        <v>13</v>
      </c>
      <c r="E2523" s="138" t="s">
        <v>30</v>
      </c>
      <c r="F2523" s="138" t="s">
        <v>643</v>
      </c>
      <c r="G2523" s="140">
        <v>500000.0</v>
      </c>
      <c r="H2523" s="144" t="s">
        <v>530</v>
      </c>
      <c r="I2523" s="152">
        <f t="shared" si="165"/>
        <v>50000</v>
      </c>
      <c r="J2523" s="146" t="s">
        <v>1351</v>
      </c>
      <c r="K2523" s="146"/>
      <c r="L2523" s="146"/>
    </row>
    <row r="2524">
      <c r="B2524" s="144" t="s">
        <v>526</v>
      </c>
      <c r="C2524" s="138" t="s">
        <v>2876</v>
      </c>
      <c r="D2524" s="144" t="s">
        <v>13</v>
      </c>
      <c r="E2524" s="138" t="s">
        <v>30</v>
      </c>
      <c r="F2524" s="138" t="s">
        <v>643</v>
      </c>
      <c r="G2524" s="140">
        <v>800000.0</v>
      </c>
      <c r="H2524" s="144" t="s">
        <v>530</v>
      </c>
      <c r="I2524" s="152">
        <f t="shared" si="165"/>
        <v>80000</v>
      </c>
      <c r="J2524" s="146" t="s">
        <v>1351</v>
      </c>
      <c r="K2524" s="146"/>
      <c r="L2524" s="146"/>
    </row>
    <row r="2525">
      <c r="B2525" s="144" t="s">
        <v>526</v>
      </c>
      <c r="C2525" s="138" t="s">
        <v>1434</v>
      </c>
      <c r="D2525" s="144" t="s">
        <v>13</v>
      </c>
      <c r="E2525" s="138" t="s">
        <v>30</v>
      </c>
      <c r="F2525" s="138" t="s">
        <v>643</v>
      </c>
      <c r="G2525" s="140">
        <v>1500000.0</v>
      </c>
      <c r="H2525" s="144" t="s">
        <v>530</v>
      </c>
      <c r="I2525" s="152">
        <f t="shared" si="165"/>
        <v>150000</v>
      </c>
      <c r="J2525" s="146" t="s">
        <v>1351</v>
      </c>
      <c r="K2525" s="146"/>
      <c r="L2525" s="146"/>
    </row>
    <row r="2526">
      <c r="B2526" s="144" t="s">
        <v>526</v>
      </c>
      <c r="C2526" s="138" t="s">
        <v>2439</v>
      </c>
      <c r="D2526" s="144" t="s">
        <v>13</v>
      </c>
      <c r="E2526" s="138" t="s">
        <v>30</v>
      </c>
      <c r="F2526" s="138" t="s">
        <v>643</v>
      </c>
      <c r="G2526" s="140">
        <v>90000.0</v>
      </c>
      <c r="H2526" s="138" t="s">
        <v>680</v>
      </c>
      <c r="I2526" s="152">
        <f>G2526/4</f>
        <v>22500</v>
      </c>
      <c r="J2526" s="146" t="s">
        <v>1351</v>
      </c>
      <c r="K2526" s="146"/>
      <c r="L2526" s="146"/>
    </row>
    <row r="2527">
      <c r="B2527" s="144" t="s">
        <v>526</v>
      </c>
      <c r="C2527" s="138" t="s">
        <v>2877</v>
      </c>
      <c r="D2527" s="144" t="s">
        <v>13</v>
      </c>
      <c r="E2527" s="138" t="s">
        <v>30</v>
      </c>
      <c r="F2527" s="138" t="s">
        <v>643</v>
      </c>
      <c r="G2527" s="140">
        <v>280000.0</v>
      </c>
      <c r="H2527" s="144" t="s">
        <v>530</v>
      </c>
      <c r="I2527" s="152">
        <f t="shared" ref="I2527:I2529" si="166">G2527/10</f>
        <v>28000</v>
      </c>
      <c r="J2527" s="146" t="s">
        <v>1351</v>
      </c>
      <c r="K2527" s="146"/>
      <c r="L2527" s="146"/>
    </row>
    <row r="2528">
      <c r="B2528" s="144" t="s">
        <v>526</v>
      </c>
      <c r="C2528" s="138" t="s">
        <v>2162</v>
      </c>
      <c r="D2528" s="144" t="s">
        <v>13</v>
      </c>
      <c r="E2528" s="138" t="s">
        <v>30</v>
      </c>
      <c r="F2528" s="138" t="s">
        <v>643</v>
      </c>
      <c r="G2528" s="140">
        <v>100000.0</v>
      </c>
      <c r="H2528" s="144" t="s">
        <v>530</v>
      </c>
      <c r="I2528" s="152">
        <f t="shared" si="166"/>
        <v>10000</v>
      </c>
      <c r="J2528" s="146" t="s">
        <v>1351</v>
      </c>
      <c r="K2528" s="146"/>
      <c r="L2528" s="146"/>
    </row>
    <row r="2529">
      <c r="B2529" s="144" t="s">
        <v>526</v>
      </c>
      <c r="C2529" s="138" t="s">
        <v>2159</v>
      </c>
      <c r="D2529" s="144" t="s">
        <v>13</v>
      </c>
      <c r="E2529" s="138" t="s">
        <v>30</v>
      </c>
      <c r="F2529" s="138" t="s">
        <v>643</v>
      </c>
      <c r="G2529" s="140">
        <v>150000.0</v>
      </c>
      <c r="H2529" s="144" t="s">
        <v>530</v>
      </c>
      <c r="I2529" s="152">
        <f t="shared" si="166"/>
        <v>15000</v>
      </c>
      <c r="J2529" s="146" t="s">
        <v>1351</v>
      </c>
      <c r="K2529" s="146"/>
      <c r="L2529" s="146"/>
    </row>
    <row r="2530">
      <c r="B2530" s="144" t="s">
        <v>526</v>
      </c>
      <c r="C2530" s="138" t="s">
        <v>1965</v>
      </c>
      <c r="D2530" s="144" t="s">
        <v>13</v>
      </c>
      <c r="E2530" s="138" t="s">
        <v>30</v>
      </c>
      <c r="F2530" s="138" t="s">
        <v>643</v>
      </c>
      <c r="G2530" s="140">
        <v>175000.0</v>
      </c>
      <c r="H2530" s="138" t="s">
        <v>635</v>
      </c>
      <c r="I2530" s="152">
        <f>G2530/6</f>
        <v>29166.66667</v>
      </c>
      <c r="J2530" s="146" t="s">
        <v>1351</v>
      </c>
      <c r="K2530" s="146"/>
      <c r="L2530" s="146"/>
    </row>
    <row r="2531">
      <c r="B2531" s="144" t="s">
        <v>526</v>
      </c>
      <c r="C2531" s="138" t="s">
        <v>2168</v>
      </c>
      <c r="D2531" s="144" t="s">
        <v>13</v>
      </c>
      <c r="E2531" s="138" t="s">
        <v>30</v>
      </c>
      <c r="F2531" s="138" t="s">
        <v>643</v>
      </c>
      <c r="G2531" s="140">
        <v>250000.0</v>
      </c>
      <c r="H2531" s="144" t="s">
        <v>530</v>
      </c>
      <c r="I2531" s="152">
        <f t="shared" ref="I2531:I2533" si="167">G2531/10</f>
        <v>25000</v>
      </c>
      <c r="J2531" s="146" t="s">
        <v>1351</v>
      </c>
      <c r="K2531" s="146"/>
      <c r="L2531" s="146"/>
    </row>
    <row r="2532">
      <c r="B2532" s="144" t="s">
        <v>526</v>
      </c>
      <c r="C2532" s="138" t="s">
        <v>2356</v>
      </c>
      <c r="D2532" s="144" t="s">
        <v>13</v>
      </c>
      <c r="E2532" s="138" t="s">
        <v>30</v>
      </c>
      <c r="F2532" s="138" t="s">
        <v>643</v>
      </c>
      <c r="G2532" s="140">
        <v>180000.0</v>
      </c>
      <c r="H2532" s="144" t="s">
        <v>530</v>
      </c>
      <c r="I2532" s="152">
        <f t="shared" si="167"/>
        <v>18000</v>
      </c>
      <c r="J2532" s="146" t="s">
        <v>1351</v>
      </c>
      <c r="K2532" s="146"/>
      <c r="L2532" s="146"/>
    </row>
    <row r="2533">
      <c r="B2533" s="144" t="s">
        <v>526</v>
      </c>
      <c r="C2533" s="138" t="s">
        <v>1250</v>
      </c>
      <c r="D2533" s="144" t="s">
        <v>13</v>
      </c>
      <c r="E2533" s="138" t="s">
        <v>30</v>
      </c>
      <c r="F2533" s="138" t="s">
        <v>643</v>
      </c>
      <c r="G2533" s="140">
        <v>50000.0</v>
      </c>
      <c r="H2533" s="144" t="s">
        <v>530</v>
      </c>
      <c r="I2533" s="152">
        <f t="shared" si="167"/>
        <v>5000</v>
      </c>
      <c r="J2533" s="146" t="s">
        <v>1351</v>
      </c>
      <c r="K2533" s="146"/>
      <c r="L2533" s="146"/>
    </row>
    <row r="2534">
      <c r="B2534" s="144" t="s">
        <v>526</v>
      </c>
      <c r="C2534" s="138" t="s">
        <v>2878</v>
      </c>
      <c r="D2534" s="144" t="s">
        <v>13</v>
      </c>
      <c r="E2534" s="138" t="s">
        <v>30</v>
      </c>
      <c r="F2534" s="138" t="s">
        <v>643</v>
      </c>
      <c r="G2534" s="140">
        <v>150000.0</v>
      </c>
      <c r="H2534" s="138" t="s">
        <v>728</v>
      </c>
      <c r="I2534" s="152">
        <f>G2534/7</f>
        <v>21428.57143</v>
      </c>
      <c r="J2534" s="146" t="s">
        <v>1351</v>
      </c>
      <c r="K2534" s="146"/>
      <c r="L2534" s="146"/>
    </row>
    <row r="2535">
      <c r="B2535" s="144" t="s">
        <v>526</v>
      </c>
      <c r="C2535" s="138" t="s">
        <v>2337</v>
      </c>
      <c r="D2535" s="144" t="s">
        <v>13</v>
      </c>
      <c r="E2535" s="138" t="s">
        <v>30</v>
      </c>
      <c r="F2535" s="138" t="s">
        <v>643</v>
      </c>
      <c r="G2535" s="140">
        <v>160000.0</v>
      </c>
      <c r="H2535" s="144" t="s">
        <v>530</v>
      </c>
      <c r="I2535" s="152">
        <f t="shared" ref="I2535:I2538" si="168">G2535/10</f>
        <v>16000</v>
      </c>
      <c r="J2535" s="146" t="s">
        <v>1351</v>
      </c>
      <c r="K2535" s="146"/>
      <c r="L2535" s="146"/>
    </row>
    <row r="2536">
      <c r="B2536" s="144" t="s">
        <v>526</v>
      </c>
      <c r="C2536" s="138" t="s">
        <v>2441</v>
      </c>
      <c r="D2536" s="144" t="s">
        <v>13</v>
      </c>
      <c r="E2536" s="138" t="s">
        <v>2166</v>
      </c>
      <c r="F2536" s="138" t="s">
        <v>643</v>
      </c>
      <c r="G2536" s="140">
        <v>100000.0</v>
      </c>
      <c r="H2536" s="144" t="s">
        <v>530</v>
      </c>
      <c r="I2536" s="152">
        <f t="shared" si="168"/>
        <v>10000</v>
      </c>
      <c r="J2536" s="146" t="s">
        <v>1351</v>
      </c>
      <c r="K2536" s="146"/>
      <c r="L2536" s="146"/>
    </row>
    <row r="2537">
      <c r="B2537" s="144" t="s">
        <v>526</v>
      </c>
      <c r="C2537" s="138" t="s">
        <v>2879</v>
      </c>
      <c r="D2537" s="144" t="s">
        <v>13</v>
      </c>
      <c r="E2537" s="138" t="s">
        <v>2166</v>
      </c>
      <c r="F2537" s="138" t="s">
        <v>643</v>
      </c>
      <c r="G2537" s="140">
        <v>130000.0</v>
      </c>
      <c r="H2537" s="144" t="s">
        <v>530</v>
      </c>
      <c r="I2537" s="152">
        <f t="shared" si="168"/>
        <v>13000</v>
      </c>
      <c r="J2537" s="146" t="s">
        <v>1351</v>
      </c>
      <c r="K2537" s="146"/>
      <c r="L2537" s="146"/>
    </row>
    <row r="2538">
      <c r="B2538" s="144" t="s">
        <v>526</v>
      </c>
      <c r="C2538" s="138" t="s">
        <v>2880</v>
      </c>
      <c r="D2538" s="144" t="s">
        <v>13</v>
      </c>
      <c r="E2538" s="138" t="s">
        <v>2166</v>
      </c>
      <c r="F2538" s="138" t="s">
        <v>643</v>
      </c>
      <c r="G2538" s="140">
        <v>105000.0</v>
      </c>
      <c r="H2538" s="144" t="s">
        <v>530</v>
      </c>
      <c r="I2538" s="152">
        <f t="shared" si="168"/>
        <v>10500</v>
      </c>
      <c r="J2538" s="146" t="s">
        <v>1351</v>
      </c>
      <c r="K2538" s="146"/>
      <c r="L2538" s="146"/>
    </row>
    <row r="2539">
      <c r="B2539" s="144" t="s">
        <v>526</v>
      </c>
      <c r="C2539" s="138" t="s">
        <v>2881</v>
      </c>
      <c r="D2539" s="144" t="s">
        <v>13</v>
      </c>
      <c r="E2539" s="138" t="s">
        <v>2166</v>
      </c>
      <c r="F2539" s="138" t="s">
        <v>643</v>
      </c>
      <c r="G2539" s="140">
        <v>80000.0</v>
      </c>
      <c r="H2539" s="138" t="s">
        <v>635</v>
      </c>
      <c r="I2539" s="152">
        <f>G2539/6</f>
        <v>13333.33333</v>
      </c>
      <c r="J2539" s="146" t="s">
        <v>1351</v>
      </c>
      <c r="K2539" s="146"/>
      <c r="L2539" s="146"/>
    </row>
    <row r="2540">
      <c r="B2540" s="144" t="s">
        <v>526</v>
      </c>
      <c r="C2540" s="138" t="s">
        <v>2882</v>
      </c>
      <c r="D2540" s="144" t="s">
        <v>13</v>
      </c>
      <c r="E2540" s="138" t="s">
        <v>2166</v>
      </c>
      <c r="F2540" s="138" t="s">
        <v>643</v>
      </c>
      <c r="G2540" s="140">
        <v>45000.0</v>
      </c>
      <c r="H2540" s="138" t="s">
        <v>745</v>
      </c>
      <c r="I2540" s="152">
        <f t="shared" ref="I2540:I2541" si="169">G2540/5</f>
        <v>9000</v>
      </c>
      <c r="J2540" s="146" t="s">
        <v>1351</v>
      </c>
      <c r="K2540" s="146"/>
      <c r="L2540" s="146"/>
    </row>
    <row r="2541">
      <c r="B2541" s="144" t="s">
        <v>526</v>
      </c>
      <c r="C2541" s="138" t="s">
        <v>2883</v>
      </c>
      <c r="D2541" s="144" t="s">
        <v>13</v>
      </c>
      <c r="E2541" s="138" t="s">
        <v>2166</v>
      </c>
      <c r="F2541" s="138" t="s">
        <v>643</v>
      </c>
      <c r="G2541" s="140">
        <v>45000.0</v>
      </c>
      <c r="H2541" s="138" t="s">
        <v>745</v>
      </c>
      <c r="I2541" s="152">
        <f t="shared" si="169"/>
        <v>9000</v>
      </c>
      <c r="J2541" s="146" t="s">
        <v>1351</v>
      </c>
      <c r="K2541" s="146"/>
      <c r="L2541" s="146"/>
    </row>
    <row r="2542">
      <c r="B2542" s="144" t="s">
        <v>526</v>
      </c>
      <c r="C2542" s="138" t="s">
        <v>2456</v>
      </c>
      <c r="D2542" s="144" t="s">
        <v>13</v>
      </c>
      <c r="E2542" s="138" t="s">
        <v>2166</v>
      </c>
      <c r="F2542" s="138" t="s">
        <v>643</v>
      </c>
      <c r="G2542" s="140">
        <v>55000.0</v>
      </c>
      <c r="H2542" s="144" t="s">
        <v>530</v>
      </c>
      <c r="I2542" s="152">
        <f t="shared" ref="I2542:I2545" si="170">G2542/10</f>
        <v>5500</v>
      </c>
      <c r="J2542" s="146" t="s">
        <v>1351</v>
      </c>
      <c r="K2542" s="146"/>
      <c r="L2542" s="146"/>
    </row>
    <row r="2543">
      <c r="B2543" s="144" t="s">
        <v>526</v>
      </c>
      <c r="C2543" s="138" t="s">
        <v>2884</v>
      </c>
      <c r="D2543" s="144" t="s">
        <v>13</v>
      </c>
      <c r="E2543" s="138" t="s">
        <v>2166</v>
      </c>
      <c r="F2543" s="138" t="s">
        <v>643</v>
      </c>
      <c r="G2543" s="140">
        <v>60000.0</v>
      </c>
      <c r="H2543" s="144" t="s">
        <v>530</v>
      </c>
      <c r="I2543" s="152">
        <f t="shared" si="170"/>
        <v>6000</v>
      </c>
      <c r="J2543" s="146" t="s">
        <v>1351</v>
      </c>
      <c r="K2543" s="146"/>
      <c r="L2543" s="146"/>
    </row>
    <row r="2544">
      <c r="B2544" s="144" t="s">
        <v>526</v>
      </c>
      <c r="C2544" s="138" t="s">
        <v>2885</v>
      </c>
      <c r="D2544" s="144" t="s">
        <v>13</v>
      </c>
      <c r="E2544" s="138" t="s">
        <v>2166</v>
      </c>
      <c r="F2544" s="138" t="s">
        <v>643</v>
      </c>
      <c r="G2544" s="140">
        <v>58000.0</v>
      </c>
      <c r="H2544" s="144" t="s">
        <v>530</v>
      </c>
      <c r="I2544" s="152">
        <f t="shared" si="170"/>
        <v>5800</v>
      </c>
      <c r="J2544" s="146" t="s">
        <v>1351</v>
      </c>
      <c r="K2544" s="146"/>
      <c r="L2544" s="146"/>
    </row>
    <row r="2545">
      <c r="B2545" s="144" t="s">
        <v>526</v>
      </c>
      <c r="C2545" s="138" t="s">
        <v>2886</v>
      </c>
      <c r="D2545" s="144" t="s">
        <v>13</v>
      </c>
      <c r="E2545" s="138" t="s">
        <v>2166</v>
      </c>
      <c r="F2545" s="138" t="s">
        <v>643</v>
      </c>
      <c r="G2545" s="140">
        <v>20000.0</v>
      </c>
      <c r="H2545" s="144" t="s">
        <v>530</v>
      </c>
      <c r="I2545" s="152">
        <f t="shared" si="170"/>
        <v>2000</v>
      </c>
      <c r="J2545" s="146" t="s">
        <v>1351</v>
      </c>
      <c r="K2545" s="146"/>
      <c r="L2545" s="146"/>
    </row>
    <row r="2546">
      <c r="B2546" s="144" t="s">
        <v>526</v>
      </c>
      <c r="C2546" s="138" t="s">
        <v>2887</v>
      </c>
      <c r="D2546" s="144" t="s">
        <v>13</v>
      </c>
      <c r="E2546" s="138" t="s">
        <v>2167</v>
      </c>
      <c r="F2546" s="138" t="s">
        <v>643</v>
      </c>
      <c r="G2546" s="140">
        <v>195000.0</v>
      </c>
      <c r="H2546" s="138" t="s">
        <v>1155</v>
      </c>
      <c r="I2546" s="152">
        <f>G2546/8</f>
        <v>24375</v>
      </c>
      <c r="J2546" s="146" t="s">
        <v>1351</v>
      </c>
      <c r="K2546" s="146"/>
      <c r="L2546" s="146"/>
    </row>
    <row r="2547">
      <c r="B2547" s="144" t="s">
        <v>526</v>
      </c>
      <c r="C2547" s="138" t="s">
        <v>2888</v>
      </c>
      <c r="D2547" s="144" t="s">
        <v>13</v>
      </c>
      <c r="E2547" s="138" t="s">
        <v>2167</v>
      </c>
      <c r="F2547" s="138" t="s">
        <v>643</v>
      </c>
      <c r="G2547" s="140">
        <v>180000.0</v>
      </c>
      <c r="H2547" s="144" t="s">
        <v>530</v>
      </c>
      <c r="I2547" s="152">
        <f>G2547/10</f>
        <v>18000</v>
      </c>
      <c r="J2547" s="146" t="s">
        <v>1351</v>
      </c>
      <c r="K2547" s="146"/>
      <c r="L2547" s="146"/>
    </row>
    <row r="2548">
      <c r="B2548" s="144" t="s">
        <v>526</v>
      </c>
      <c r="C2548" s="138" t="s">
        <v>2889</v>
      </c>
      <c r="D2548" s="144" t="s">
        <v>13</v>
      </c>
      <c r="E2548" s="138" t="s">
        <v>2167</v>
      </c>
      <c r="F2548" s="138" t="s">
        <v>643</v>
      </c>
      <c r="G2548" s="140">
        <v>21000.0</v>
      </c>
      <c r="H2548" s="138" t="s">
        <v>677</v>
      </c>
      <c r="I2548" s="152">
        <f>G2548/2</f>
        <v>10500</v>
      </c>
      <c r="J2548" s="146" t="s">
        <v>1351</v>
      </c>
      <c r="K2548" s="146"/>
      <c r="L2548" s="146"/>
    </row>
    <row r="2549">
      <c r="B2549" s="144" t="s">
        <v>526</v>
      </c>
      <c r="C2549" s="138" t="s">
        <v>1029</v>
      </c>
      <c r="D2549" s="144" t="s">
        <v>13</v>
      </c>
      <c r="E2549" s="138" t="s">
        <v>2167</v>
      </c>
      <c r="F2549" s="138" t="s">
        <v>643</v>
      </c>
      <c r="G2549" s="140">
        <v>160000.0</v>
      </c>
      <c r="H2549" s="144" t="s">
        <v>530</v>
      </c>
      <c r="I2549" s="152">
        <f>G2549/10</f>
        <v>16000</v>
      </c>
      <c r="J2549" s="146" t="s">
        <v>1351</v>
      </c>
      <c r="K2549" s="146"/>
      <c r="L2549" s="146"/>
    </row>
    <row r="2550">
      <c r="B2550" s="144" t="s">
        <v>526</v>
      </c>
      <c r="C2550" s="138" t="s">
        <v>1028</v>
      </c>
      <c r="D2550" s="144" t="s">
        <v>13</v>
      </c>
      <c r="E2550" s="138" t="s">
        <v>2167</v>
      </c>
      <c r="F2550" s="138" t="s">
        <v>643</v>
      </c>
      <c r="G2550" s="140">
        <v>22000.0</v>
      </c>
      <c r="H2550" s="138" t="s">
        <v>1082</v>
      </c>
      <c r="I2550" s="152">
        <f>G2550/1</f>
        <v>22000</v>
      </c>
      <c r="J2550" s="146" t="s">
        <v>1351</v>
      </c>
      <c r="K2550" s="146"/>
      <c r="L2550" s="146"/>
    </row>
    <row r="2551">
      <c r="B2551" s="144" t="s">
        <v>526</v>
      </c>
      <c r="C2551" s="138" t="s">
        <v>2890</v>
      </c>
      <c r="D2551" s="144" t="s">
        <v>13</v>
      </c>
      <c r="E2551" s="138" t="s">
        <v>2167</v>
      </c>
      <c r="F2551" s="138" t="s">
        <v>643</v>
      </c>
      <c r="G2551" s="140">
        <v>55000.0</v>
      </c>
      <c r="H2551" s="138" t="s">
        <v>680</v>
      </c>
      <c r="I2551" s="152">
        <f t="shared" ref="I2551:I2552" si="171">G2551/4</f>
        <v>13750</v>
      </c>
      <c r="J2551" s="146" t="s">
        <v>1351</v>
      </c>
      <c r="K2551" s="146"/>
      <c r="L2551" s="146"/>
    </row>
    <row r="2552">
      <c r="B2552" s="144" t="s">
        <v>526</v>
      </c>
      <c r="C2552" s="138" t="s">
        <v>2891</v>
      </c>
      <c r="D2552" s="144" t="s">
        <v>13</v>
      </c>
      <c r="E2552" s="138" t="s">
        <v>2167</v>
      </c>
      <c r="F2552" s="138" t="s">
        <v>643</v>
      </c>
      <c r="G2552" s="140">
        <v>25000.0</v>
      </c>
      <c r="H2552" s="138" t="s">
        <v>680</v>
      </c>
      <c r="I2552" s="152">
        <f t="shared" si="171"/>
        <v>6250</v>
      </c>
      <c r="J2552" s="146" t="s">
        <v>1351</v>
      </c>
      <c r="K2552" s="146"/>
      <c r="L2552" s="146"/>
    </row>
    <row r="2553">
      <c r="B2553" s="144" t="s">
        <v>526</v>
      </c>
      <c r="C2553" s="138" t="s">
        <v>2892</v>
      </c>
      <c r="D2553" s="144" t="s">
        <v>13</v>
      </c>
      <c r="E2553" s="138" t="s">
        <v>2167</v>
      </c>
      <c r="F2553" s="138" t="s">
        <v>643</v>
      </c>
      <c r="G2553" s="140">
        <v>80000.0</v>
      </c>
      <c r="H2553" s="144" t="s">
        <v>530</v>
      </c>
      <c r="I2553" s="152">
        <f t="shared" ref="I2553:I2554" si="172">G2553/10</f>
        <v>8000</v>
      </c>
      <c r="J2553" s="146" t="s">
        <v>1351</v>
      </c>
      <c r="K2553" s="146"/>
      <c r="L2553" s="146"/>
    </row>
    <row r="2554">
      <c r="B2554" s="144" t="s">
        <v>526</v>
      </c>
      <c r="C2554" s="138" t="s">
        <v>2893</v>
      </c>
      <c r="D2554" s="144" t="s">
        <v>13</v>
      </c>
      <c r="E2554" s="138" t="s">
        <v>2167</v>
      </c>
      <c r="F2554" s="138" t="s">
        <v>643</v>
      </c>
      <c r="G2554" s="140">
        <v>75000.0</v>
      </c>
      <c r="H2554" s="144" t="s">
        <v>530</v>
      </c>
      <c r="I2554" s="152">
        <f t="shared" si="172"/>
        <v>7500</v>
      </c>
      <c r="J2554" s="146" t="s">
        <v>1351</v>
      </c>
      <c r="K2554" s="146"/>
      <c r="L2554" s="146"/>
    </row>
    <row r="2555">
      <c r="B2555" s="144" t="s">
        <v>526</v>
      </c>
      <c r="C2555" s="138" t="s">
        <v>2436</v>
      </c>
      <c r="D2555" s="144" t="s">
        <v>13</v>
      </c>
      <c r="E2555" s="138" t="s">
        <v>2167</v>
      </c>
      <c r="F2555" s="138" t="s">
        <v>643</v>
      </c>
      <c r="G2555" s="140">
        <v>55000.0</v>
      </c>
      <c r="H2555" s="138" t="s">
        <v>610</v>
      </c>
      <c r="I2555" s="152">
        <f>G2555/9</f>
        <v>6111.111111</v>
      </c>
      <c r="J2555" s="146" t="s">
        <v>1351</v>
      </c>
      <c r="K2555" s="146"/>
      <c r="L2555" s="146"/>
    </row>
    <row r="2556">
      <c r="B2556" s="144" t="s">
        <v>526</v>
      </c>
      <c r="C2556" s="138" t="s">
        <v>2268</v>
      </c>
      <c r="D2556" s="144" t="s">
        <v>13</v>
      </c>
      <c r="E2556" s="138" t="s">
        <v>2167</v>
      </c>
      <c r="F2556" s="138" t="s">
        <v>643</v>
      </c>
      <c r="G2556" s="140">
        <v>180000.0</v>
      </c>
      <c r="H2556" s="144" t="s">
        <v>530</v>
      </c>
      <c r="I2556" s="152">
        <f t="shared" ref="I2556:I2570" si="173">G2556/10</f>
        <v>18000</v>
      </c>
      <c r="J2556" s="146" t="s">
        <v>1351</v>
      </c>
      <c r="K2556" s="146"/>
      <c r="L2556" s="146"/>
    </row>
    <row r="2557">
      <c r="B2557" s="144" t="s">
        <v>526</v>
      </c>
      <c r="C2557" s="138" t="s">
        <v>2894</v>
      </c>
      <c r="D2557" s="144" t="s">
        <v>13</v>
      </c>
      <c r="E2557" s="138" t="s">
        <v>2167</v>
      </c>
      <c r="F2557" s="138" t="s">
        <v>643</v>
      </c>
      <c r="G2557" s="140">
        <v>125000.0</v>
      </c>
      <c r="H2557" s="144" t="s">
        <v>530</v>
      </c>
      <c r="I2557" s="152">
        <f t="shared" si="173"/>
        <v>12500</v>
      </c>
      <c r="J2557" s="146" t="s">
        <v>1351</v>
      </c>
      <c r="K2557" s="146"/>
      <c r="L2557" s="146"/>
    </row>
    <row r="2558">
      <c r="B2558" s="144" t="s">
        <v>526</v>
      </c>
      <c r="C2558" s="138" t="s">
        <v>2895</v>
      </c>
      <c r="D2558" s="144" t="s">
        <v>13</v>
      </c>
      <c r="E2558" s="138" t="s">
        <v>2167</v>
      </c>
      <c r="F2558" s="138" t="s">
        <v>643</v>
      </c>
      <c r="G2558" s="140">
        <v>60000.0</v>
      </c>
      <c r="H2558" s="144" t="s">
        <v>530</v>
      </c>
      <c r="I2558" s="152">
        <f t="shared" si="173"/>
        <v>6000</v>
      </c>
      <c r="J2558" s="146" t="s">
        <v>1351</v>
      </c>
      <c r="K2558" s="146"/>
      <c r="L2558" s="146"/>
    </row>
    <row r="2559">
      <c r="B2559" s="144" t="s">
        <v>526</v>
      </c>
      <c r="C2559" s="138" t="s">
        <v>2896</v>
      </c>
      <c r="D2559" s="144" t="s">
        <v>13</v>
      </c>
      <c r="E2559" s="138" t="s">
        <v>2167</v>
      </c>
      <c r="F2559" s="138" t="s">
        <v>643</v>
      </c>
      <c r="G2559" s="140">
        <v>20000.0</v>
      </c>
      <c r="H2559" s="144" t="s">
        <v>530</v>
      </c>
      <c r="I2559" s="152">
        <f t="shared" si="173"/>
        <v>2000</v>
      </c>
      <c r="J2559" s="146" t="s">
        <v>1351</v>
      </c>
      <c r="K2559" s="146"/>
      <c r="L2559" s="146"/>
    </row>
    <row r="2560">
      <c r="B2560" s="144" t="s">
        <v>526</v>
      </c>
      <c r="C2560" s="138" t="s">
        <v>1733</v>
      </c>
      <c r="D2560" s="144" t="s">
        <v>13</v>
      </c>
      <c r="E2560" s="138" t="s">
        <v>2184</v>
      </c>
      <c r="F2560" s="138" t="s">
        <v>643</v>
      </c>
      <c r="G2560" s="140">
        <v>165000.0</v>
      </c>
      <c r="H2560" s="144" t="s">
        <v>530</v>
      </c>
      <c r="I2560" s="152">
        <f t="shared" si="173"/>
        <v>16500</v>
      </c>
      <c r="J2560" s="146" t="s">
        <v>1351</v>
      </c>
      <c r="K2560" s="146"/>
      <c r="L2560" s="146"/>
    </row>
    <row r="2561">
      <c r="B2561" s="144" t="s">
        <v>526</v>
      </c>
      <c r="C2561" s="138" t="s">
        <v>2897</v>
      </c>
      <c r="D2561" s="144" t="s">
        <v>13</v>
      </c>
      <c r="E2561" s="138" t="s">
        <v>2184</v>
      </c>
      <c r="F2561" s="138" t="s">
        <v>643</v>
      </c>
      <c r="G2561" s="140">
        <v>90000.0</v>
      </c>
      <c r="H2561" s="144" t="s">
        <v>530</v>
      </c>
      <c r="I2561" s="152">
        <f t="shared" si="173"/>
        <v>9000</v>
      </c>
      <c r="J2561" s="146" t="s">
        <v>1351</v>
      </c>
      <c r="K2561" s="146"/>
      <c r="L2561" s="146"/>
    </row>
    <row r="2562">
      <c r="B2562" s="144" t="s">
        <v>526</v>
      </c>
      <c r="C2562" s="138" t="s">
        <v>2898</v>
      </c>
      <c r="D2562" s="144" t="s">
        <v>13</v>
      </c>
      <c r="E2562" s="138" t="s">
        <v>2184</v>
      </c>
      <c r="F2562" s="138" t="s">
        <v>643</v>
      </c>
      <c r="G2562" s="140">
        <v>110000.0</v>
      </c>
      <c r="H2562" s="144" t="s">
        <v>530</v>
      </c>
      <c r="I2562" s="152">
        <f t="shared" si="173"/>
        <v>11000</v>
      </c>
      <c r="J2562" s="146" t="s">
        <v>1351</v>
      </c>
      <c r="K2562" s="146"/>
      <c r="L2562" s="146"/>
    </row>
    <row r="2563">
      <c r="B2563" s="144" t="s">
        <v>526</v>
      </c>
      <c r="C2563" s="138" t="s">
        <v>2169</v>
      </c>
      <c r="D2563" s="144" t="s">
        <v>13</v>
      </c>
      <c r="E2563" s="138" t="s">
        <v>2184</v>
      </c>
      <c r="F2563" s="138" t="s">
        <v>643</v>
      </c>
      <c r="G2563" s="140">
        <v>140000.0</v>
      </c>
      <c r="H2563" s="144" t="s">
        <v>530</v>
      </c>
      <c r="I2563" s="152">
        <f t="shared" si="173"/>
        <v>14000</v>
      </c>
      <c r="J2563" s="146" t="s">
        <v>1351</v>
      </c>
      <c r="K2563" s="146"/>
      <c r="L2563" s="146"/>
    </row>
    <row r="2564">
      <c r="B2564" s="144" t="s">
        <v>526</v>
      </c>
      <c r="C2564" s="138" t="s">
        <v>2359</v>
      </c>
      <c r="D2564" s="144" t="s">
        <v>13</v>
      </c>
      <c r="E2564" s="138" t="s">
        <v>2184</v>
      </c>
      <c r="F2564" s="138" t="s">
        <v>643</v>
      </c>
      <c r="G2564" s="140">
        <v>150000.0</v>
      </c>
      <c r="H2564" s="144" t="s">
        <v>530</v>
      </c>
      <c r="I2564" s="152">
        <f t="shared" si="173"/>
        <v>15000</v>
      </c>
      <c r="J2564" s="146" t="s">
        <v>1351</v>
      </c>
      <c r="K2564" s="146"/>
      <c r="L2564" s="146"/>
    </row>
    <row r="2565">
      <c r="B2565" s="144" t="s">
        <v>526</v>
      </c>
      <c r="C2565" s="138" t="s">
        <v>1228</v>
      </c>
      <c r="D2565" s="144" t="s">
        <v>13</v>
      </c>
      <c r="E2565" s="138" t="s">
        <v>2184</v>
      </c>
      <c r="F2565" s="138" t="s">
        <v>643</v>
      </c>
      <c r="G2565" s="140">
        <v>165000.0</v>
      </c>
      <c r="H2565" s="144" t="s">
        <v>530</v>
      </c>
      <c r="I2565" s="152">
        <f t="shared" si="173"/>
        <v>16500</v>
      </c>
      <c r="J2565" s="146" t="s">
        <v>1351</v>
      </c>
      <c r="K2565" s="146"/>
      <c r="L2565" s="146"/>
    </row>
    <row r="2566">
      <c r="B2566" s="144" t="s">
        <v>526</v>
      </c>
      <c r="C2566" s="138" t="s">
        <v>2899</v>
      </c>
      <c r="D2566" s="144" t="s">
        <v>13</v>
      </c>
      <c r="E2566" s="138" t="s">
        <v>2184</v>
      </c>
      <c r="F2566" s="138" t="s">
        <v>643</v>
      </c>
      <c r="G2566" s="140">
        <v>130000.0</v>
      </c>
      <c r="H2566" s="144" t="s">
        <v>530</v>
      </c>
      <c r="I2566" s="152">
        <f t="shared" si="173"/>
        <v>13000</v>
      </c>
      <c r="J2566" s="146" t="s">
        <v>1351</v>
      </c>
      <c r="K2566" s="146"/>
      <c r="L2566" s="146"/>
    </row>
    <row r="2567">
      <c r="B2567" s="144" t="s">
        <v>526</v>
      </c>
      <c r="C2567" s="138" t="s">
        <v>2360</v>
      </c>
      <c r="D2567" s="144" t="s">
        <v>13</v>
      </c>
      <c r="E2567" s="138" t="s">
        <v>2184</v>
      </c>
      <c r="F2567" s="138" t="s">
        <v>643</v>
      </c>
      <c r="G2567" s="140">
        <v>110000.0</v>
      </c>
      <c r="H2567" s="144" t="s">
        <v>530</v>
      </c>
      <c r="I2567" s="152">
        <f t="shared" si="173"/>
        <v>11000</v>
      </c>
      <c r="J2567" s="146" t="s">
        <v>1351</v>
      </c>
      <c r="K2567" s="146"/>
      <c r="L2567" s="146"/>
    </row>
    <row r="2568">
      <c r="B2568" s="144" t="s">
        <v>526</v>
      </c>
      <c r="C2568" s="138" t="s">
        <v>2190</v>
      </c>
      <c r="D2568" s="144" t="s">
        <v>13</v>
      </c>
      <c r="E2568" s="138" t="s">
        <v>2184</v>
      </c>
      <c r="F2568" s="138" t="s">
        <v>643</v>
      </c>
      <c r="G2568" s="140">
        <v>50000.0</v>
      </c>
      <c r="H2568" s="144" t="s">
        <v>530</v>
      </c>
      <c r="I2568" s="152">
        <f t="shared" si="173"/>
        <v>5000</v>
      </c>
      <c r="J2568" s="146" t="s">
        <v>1351</v>
      </c>
      <c r="K2568" s="146"/>
      <c r="L2568" s="146"/>
    </row>
    <row r="2569">
      <c r="B2569" s="144" t="s">
        <v>526</v>
      </c>
      <c r="C2569" s="138" t="s">
        <v>2900</v>
      </c>
      <c r="D2569" s="144" t="s">
        <v>13</v>
      </c>
      <c r="E2569" s="138" t="s">
        <v>2184</v>
      </c>
      <c r="F2569" s="138" t="s">
        <v>643</v>
      </c>
      <c r="G2569" s="140">
        <v>60000.0</v>
      </c>
      <c r="H2569" s="144" t="s">
        <v>530</v>
      </c>
      <c r="I2569" s="152">
        <f t="shared" si="173"/>
        <v>6000</v>
      </c>
      <c r="J2569" s="146" t="s">
        <v>1351</v>
      </c>
      <c r="K2569" s="146"/>
      <c r="L2569" s="146"/>
    </row>
    <row r="2570">
      <c r="B2570" s="144" t="s">
        <v>526</v>
      </c>
      <c r="C2570" s="138" t="s">
        <v>2232</v>
      </c>
      <c r="D2570" s="144" t="s">
        <v>13</v>
      </c>
      <c r="E2570" s="138" t="s">
        <v>2184</v>
      </c>
      <c r="F2570" s="138" t="s">
        <v>643</v>
      </c>
      <c r="G2570" s="140">
        <v>180000.0</v>
      </c>
      <c r="H2570" s="144" t="s">
        <v>530</v>
      </c>
      <c r="I2570" s="152">
        <f t="shared" si="173"/>
        <v>18000</v>
      </c>
      <c r="J2570" s="146" t="s">
        <v>1351</v>
      </c>
      <c r="K2570" s="146"/>
      <c r="L2570" s="146"/>
    </row>
    <row r="2571">
      <c r="B2571" s="144" t="s">
        <v>526</v>
      </c>
      <c r="C2571" s="138" t="s">
        <v>2901</v>
      </c>
      <c r="D2571" s="144" t="s">
        <v>13</v>
      </c>
      <c r="E2571" s="138" t="s">
        <v>2184</v>
      </c>
      <c r="F2571" s="138" t="s">
        <v>643</v>
      </c>
      <c r="G2571" s="140">
        <v>62000.0</v>
      </c>
      <c r="H2571" s="138" t="s">
        <v>610</v>
      </c>
      <c r="I2571" s="152">
        <f>G2571/9</f>
        <v>6888.888889</v>
      </c>
      <c r="J2571" s="146" t="s">
        <v>1351</v>
      </c>
      <c r="K2571" s="146"/>
      <c r="L2571" s="146"/>
    </row>
    <row r="2572">
      <c r="B2572" s="144" t="s">
        <v>526</v>
      </c>
      <c r="C2572" s="138" t="s">
        <v>2365</v>
      </c>
      <c r="D2572" s="144" t="s">
        <v>13</v>
      </c>
      <c r="E2572" s="138" t="s">
        <v>2184</v>
      </c>
      <c r="F2572" s="138" t="s">
        <v>643</v>
      </c>
      <c r="G2572" s="140">
        <v>120000.0</v>
      </c>
      <c r="H2572" s="144" t="s">
        <v>530</v>
      </c>
      <c r="I2572" s="152">
        <f t="shared" ref="I2572:I2573" si="174">G2572/10</f>
        <v>12000</v>
      </c>
      <c r="J2572" s="146" t="s">
        <v>1351</v>
      </c>
      <c r="K2572" s="146"/>
      <c r="L2572" s="146"/>
    </row>
    <row r="2573">
      <c r="B2573" s="144" t="s">
        <v>526</v>
      </c>
      <c r="C2573" s="138" t="s">
        <v>2902</v>
      </c>
      <c r="D2573" s="144" t="s">
        <v>13</v>
      </c>
      <c r="E2573" s="138" t="s">
        <v>1443</v>
      </c>
      <c r="F2573" s="138" t="s">
        <v>643</v>
      </c>
      <c r="G2573" s="140">
        <v>120000.0</v>
      </c>
      <c r="H2573" s="144" t="s">
        <v>530</v>
      </c>
      <c r="I2573" s="152">
        <f t="shared" si="174"/>
        <v>12000</v>
      </c>
      <c r="J2573" s="146" t="s">
        <v>1351</v>
      </c>
      <c r="K2573" s="146"/>
      <c r="L2573" s="146"/>
    </row>
    <row r="2574">
      <c r="B2574" s="144" t="s">
        <v>526</v>
      </c>
      <c r="C2574" s="138" t="s">
        <v>2903</v>
      </c>
      <c r="D2574" s="144" t="s">
        <v>13</v>
      </c>
      <c r="E2574" s="138" t="s">
        <v>1443</v>
      </c>
      <c r="F2574" s="138" t="s">
        <v>643</v>
      </c>
      <c r="G2574" s="140">
        <v>100000.0</v>
      </c>
      <c r="H2574" s="138" t="s">
        <v>1155</v>
      </c>
      <c r="I2574" s="152">
        <f>G2574/8</f>
        <v>12500</v>
      </c>
      <c r="J2574" s="146" t="s">
        <v>1351</v>
      </c>
      <c r="K2574" s="146"/>
      <c r="L2574" s="146"/>
    </row>
    <row r="2575">
      <c r="B2575" s="144" t="s">
        <v>526</v>
      </c>
      <c r="C2575" s="138" t="s">
        <v>2179</v>
      </c>
      <c r="D2575" s="144" t="s">
        <v>13</v>
      </c>
      <c r="E2575" s="138" t="s">
        <v>1443</v>
      </c>
      <c r="F2575" s="138" t="s">
        <v>643</v>
      </c>
      <c r="G2575" s="140">
        <v>120000.0</v>
      </c>
      <c r="H2575" s="144" t="s">
        <v>530</v>
      </c>
      <c r="I2575" s="152">
        <f t="shared" ref="I2575:I2576" si="175">G2575/10</f>
        <v>12000</v>
      </c>
      <c r="J2575" s="146" t="s">
        <v>1351</v>
      </c>
      <c r="K2575" s="146"/>
      <c r="L2575" s="146"/>
    </row>
    <row r="2576">
      <c r="B2576" s="144" t="s">
        <v>526</v>
      </c>
      <c r="C2576" s="138" t="s">
        <v>2201</v>
      </c>
      <c r="D2576" s="144" t="s">
        <v>13</v>
      </c>
      <c r="E2576" s="138" t="s">
        <v>1443</v>
      </c>
      <c r="F2576" s="138" t="s">
        <v>643</v>
      </c>
      <c r="G2576" s="140">
        <v>96000.0</v>
      </c>
      <c r="H2576" s="144" t="s">
        <v>530</v>
      </c>
      <c r="I2576" s="152">
        <f t="shared" si="175"/>
        <v>9600</v>
      </c>
      <c r="J2576" s="146" t="s">
        <v>1351</v>
      </c>
      <c r="K2576" s="146"/>
      <c r="L2576" s="146"/>
    </row>
    <row r="2577">
      <c r="B2577" s="144" t="s">
        <v>526</v>
      </c>
      <c r="C2577" s="138" t="s">
        <v>2904</v>
      </c>
      <c r="D2577" s="144" t="s">
        <v>13</v>
      </c>
      <c r="E2577" s="138" t="s">
        <v>1443</v>
      </c>
      <c r="F2577" s="138" t="s">
        <v>643</v>
      </c>
      <c r="G2577" s="140">
        <v>72000.0</v>
      </c>
      <c r="H2577" s="138" t="s">
        <v>728</v>
      </c>
      <c r="I2577" s="152">
        <f>G2577/7</f>
        <v>10285.71429</v>
      </c>
      <c r="J2577" s="146" t="s">
        <v>1351</v>
      </c>
      <c r="K2577" s="146"/>
      <c r="L2577" s="146"/>
    </row>
    <row r="2578">
      <c r="B2578" s="144" t="s">
        <v>526</v>
      </c>
      <c r="C2578" s="138" t="s">
        <v>2905</v>
      </c>
      <c r="D2578" s="144" t="s">
        <v>13</v>
      </c>
      <c r="E2578" s="138" t="s">
        <v>1443</v>
      </c>
      <c r="F2578" s="138" t="s">
        <v>643</v>
      </c>
      <c r="G2578" s="140">
        <v>50000.0</v>
      </c>
      <c r="H2578" s="138" t="s">
        <v>745</v>
      </c>
      <c r="I2578" s="152">
        <f>G2578/5</f>
        <v>10000</v>
      </c>
      <c r="J2578" s="146" t="s">
        <v>1351</v>
      </c>
      <c r="K2578" s="146"/>
      <c r="L2578" s="146"/>
    </row>
    <row r="2579">
      <c r="B2579" s="144" t="s">
        <v>526</v>
      </c>
      <c r="C2579" s="138" t="s">
        <v>2906</v>
      </c>
      <c r="D2579" s="144" t="s">
        <v>13</v>
      </c>
      <c r="E2579" s="138" t="s">
        <v>1443</v>
      </c>
      <c r="F2579" s="138" t="s">
        <v>643</v>
      </c>
      <c r="G2579" s="140">
        <v>60000.0</v>
      </c>
      <c r="H2579" s="144" t="s">
        <v>530</v>
      </c>
      <c r="I2579" s="152">
        <f t="shared" ref="I2579:I2581" si="176">G2579/10</f>
        <v>6000</v>
      </c>
      <c r="J2579" s="146" t="s">
        <v>1351</v>
      </c>
      <c r="K2579" s="146"/>
      <c r="L2579" s="146"/>
    </row>
    <row r="2580">
      <c r="B2580" s="144" t="s">
        <v>526</v>
      </c>
      <c r="C2580" s="138" t="s">
        <v>2370</v>
      </c>
      <c r="D2580" s="144" t="s">
        <v>13</v>
      </c>
      <c r="E2580" s="138" t="s">
        <v>1443</v>
      </c>
      <c r="F2580" s="138" t="s">
        <v>643</v>
      </c>
      <c r="G2580" s="140">
        <v>85000.0</v>
      </c>
      <c r="H2580" s="144" t="s">
        <v>530</v>
      </c>
      <c r="I2580" s="152">
        <f t="shared" si="176"/>
        <v>8500</v>
      </c>
      <c r="J2580" s="146" t="s">
        <v>1351</v>
      </c>
      <c r="K2580" s="146"/>
      <c r="L2580" s="146"/>
    </row>
    <row r="2581">
      <c r="B2581" s="144" t="s">
        <v>526</v>
      </c>
      <c r="C2581" s="138" t="s">
        <v>2421</v>
      </c>
      <c r="D2581" s="144" t="s">
        <v>13</v>
      </c>
      <c r="E2581" s="138" t="s">
        <v>1443</v>
      </c>
      <c r="F2581" s="138" t="s">
        <v>643</v>
      </c>
      <c r="G2581" s="140">
        <v>72000.0</v>
      </c>
      <c r="H2581" s="144" t="s">
        <v>530</v>
      </c>
      <c r="I2581" s="152">
        <f t="shared" si="176"/>
        <v>7200</v>
      </c>
      <c r="J2581" s="146" t="s">
        <v>1351</v>
      </c>
      <c r="K2581" s="146"/>
      <c r="L2581" s="146"/>
    </row>
    <row r="2582">
      <c r="B2582" s="144" t="s">
        <v>526</v>
      </c>
      <c r="C2582" s="138" t="s">
        <v>2907</v>
      </c>
      <c r="D2582" s="144" t="s">
        <v>13</v>
      </c>
      <c r="E2582" s="138" t="s">
        <v>2908</v>
      </c>
      <c r="F2582" s="138" t="s">
        <v>643</v>
      </c>
      <c r="G2582" s="140">
        <v>40000.0</v>
      </c>
      <c r="H2582" s="138" t="s">
        <v>745</v>
      </c>
      <c r="I2582" s="152">
        <f>G2582/5</f>
        <v>8000</v>
      </c>
      <c r="J2582" s="146" t="s">
        <v>1351</v>
      </c>
      <c r="K2582" s="146"/>
      <c r="L2582" s="146"/>
    </row>
    <row r="2583">
      <c r="B2583" s="144" t="s">
        <v>526</v>
      </c>
      <c r="C2583" s="138" t="s">
        <v>2907</v>
      </c>
      <c r="D2583" s="144" t="s">
        <v>13</v>
      </c>
      <c r="E2583" s="138" t="s">
        <v>1443</v>
      </c>
      <c r="F2583" s="138" t="s">
        <v>643</v>
      </c>
      <c r="G2583" s="140">
        <v>100000.0</v>
      </c>
      <c r="H2583" s="144" t="s">
        <v>530</v>
      </c>
      <c r="I2583" s="152">
        <f t="shared" ref="I2583:I2585" si="177">G2583/10</f>
        <v>10000</v>
      </c>
      <c r="J2583" s="146" t="s">
        <v>1351</v>
      </c>
      <c r="K2583" s="146"/>
      <c r="L2583" s="146"/>
    </row>
    <row r="2584">
      <c r="B2584" s="144" t="s">
        <v>526</v>
      </c>
      <c r="C2584" s="138" t="s">
        <v>2909</v>
      </c>
      <c r="D2584" s="144" t="s">
        <v>13</v>
      </c>
      <c r="E2584" s="138" t="s">
        <v>1443</v>
      </c>
      <c r="F2584" s="138" t="s">
        <v>643</v>
      </c>
      <c r="G2584" s="140">
        <v>80000.0</v>
      </c>
      <c r="H2584" s="144" t="s">
        <v>530</v>
      </c>
      <c r="I2584" s="152">
        <f t="shared" si="177"/>
        <v>8000</v>
      </c>
      <c r="J2584" s="146" t="s">
        <v>1351</v>
      </c>
      <c r="K2584" s="146"/>
      <c r="L2584" s="146"/>
    </row>
    <row r="2585">
      <c r="B2585" s="144" t="s">
        <v>526</v>
      </c>
      <c r="C2585" s="138" t="s">
        <v>2910</v>
      </c>
      <c r="D2585" s="144" t="s">
        <v>13</v>
      </c>
      <c r="E2585" s="138" t="s">
        <v>1443</v>
      </c>
      <c r="F2585" s="138" t="s">
        <v>643</v>
      </c>
      <c r="G2585" s="140">
        <v>43000.0</v>
      </c>
      <c r="H2585" s="144" t="s">
        <v>530</v>
      </c>
      <c r="I2585" s="152">
        <f t="shared" si="177"/>
        <v>4300</v>
      </c>
      <c r="J2585" s="146" t="s">
        <v>1351</v>
      </c>
      <c r="K2585" s="146"/>
      <c r="L2585" s="146"/>
    </row>
    <row r="2586">
      <c r="B2586" s="144" t="s">
        <v>526</v>
      </c>
      <c r="C2586" s="138" t="s">
        <v>2911</v>
      </c>
      <c r="D2586" s="144" t="s">
        <v>13</v>
      </c>
      <c r="E2586" s="138" t="s">
        <v>31</v>
      </c>
      <c r="F2586" s="138" t="s">
        <v>643</v>
      </c>
      <c r="G2586" s="140">
        <v>77000.0</v>
      </c>
      <c r="H2586" s="138" t="s">
        <v>728</v>
      </c>
      <c r="I2586" s="152">
        <f>G2586/7</f>
        <v>11000</v>
      </c>
      <c r="J2586" s="146" t="s">
        <v>1351</v>
      </c>
      <c r="K2586" s="146"/>
      <c r="L2586" s="146"/>
    </row>
    <row r="2587">
      <c r="B2587" s="144" t="s">
        <v>526</v>
      </c>
      <c r="C2587" s="138" t="s">
        <v>2355</v>
      </c>
      <c r="D2587" s="144" t="s">
        <v>13</v>
      </c>
      <c r="E2587" s="138" t="s">
        <v>31</v>
      </c>
      <c r="F2587" s="138" t="s">
        <v>643</v>
      </c>
      <c r="G2587" s="140">
        <v>120000.0</v>
      </c>
      <c r="H2587" s="144" t="s">
        <v>530</v>
      </c>
      <c r="I2587" s="152">
        <f t="shared" ref="I2587:I2588" si="178">G2587/10</f>
        <v>12000</v>
      </c>
      <c r="J2587" s="146" t="s">
        <v>1351</v>
      </c>
      <c r="K2587" s="146"/>
      <c r="L2587" s="146"/>
    </row>
    <row r="2588">
      <c r="B2588" s="144" t="s">
        <v>526</v>
      </c>
      <c r="C2588" s="138" t="s">
        <v>2912</v>
      </c>
      <c r="D2588" s="144" t="s">
        <v>13</v>
      </c>
      <c r="E2588" s="138" t="s">
        <v>31</v>
      </c>
      <c r="F2588" s="138" t="s">
        <v>643</v>
      </c>
      <c r="G2588" s="140">
        <v>36000.0</v>
      </c>
      <c r="H2588" s="144" t="s">
        <v>530</v>
      </c>
      <c r="I2588" s="152">
        <f t="shared" si="178"/>
        <v>3600</v>
      </c>
      <c r="J2588" s="146" t="s">
        <v>1351</v>
      </c>
      <c r="K2588" s="146"/>
      <c r="L2588" s="146"/>
    </row>
    <row r="2589">
      <c r="B2589" s="144" t="s">
        <v>526</v>
      </c>
      <c r="C2589" s="138" t="s">
        <v>2913</v>
      </c>
      <c r="D2589" s="144" t="s">
        <v>13</v>
      </c>
      <c r="E2589" s="138" t="s">
        <v>31</v>
      </c>
      <c r="F2589" s="138" t="s">
        <v>643</v>
      </c>
      <c r="G2589" s="140">
        <v>40000.0</v>
      </c>
      <c r="H2589" s="138" t="s">
        <v>745</v>
      </c>
      <c r="I2589" s="152">
        <f>G2589/5</f>
        <v>8000</v>
      </c>
      <c r="J2589" s="146" t="s">
        <v>1351</v>
      </c>
      <c r="K2589" s="146"/>
      <c r="L2589" s="146"/>
    </row>
    <row r="2590">
      <c r="B2590" s="144" t="s">
        <v>526</v>
      </c>
      <c r="C2590" s="138" t="s">
        <v>2914</v>
      </c>
      <c r="D2590" s="144" t="s">
        <v>13</v>
      </c>
      <c r="E2590" s="138" t="s">
        <v>31</v>
      </c>
      <c r="F2590" s="138" t="s">
        <v>643</v>
      </c>
      <c r="G2590" s="140">
        <v>120000.0</v>
      </c>
      <c r="H2590" s="144" t="s">
        <v>530</v>
      </c>
      <c r="I2590" s="152">
        <f t="shared" ref="I2590:I2594" si="179">G2590/10</f>
        <v>12000</v>
      </c>
      <c r="J2590" s="146" t="s">
        <v>1351</v>
      </c>
      <c r="K2590" s="146"/>
      <c r="L2590" s="146"/>
    </row>
    <row r="2591">
      <c r="B2591" s="144" t="s">
        <v>526</v>
      </c>
      <c r="C2591" s="138" t="s">
        <v>2915</v>
      </c>
      <c r="D2591" s="144" t="s">
        <v>13</v>
      </c>
      <c r="E2591" s="138" t="s">
        <v>31</v>
      </c>
      <c r="F2591" s="138" t="s">
        <v>643</v>
      </c>
      <c r="G2591" s="140">
        <v>130000.0</v>
      </c>
      <c r="H2591" s="144" t="s">
        <v>530</v>
      </c>
      <c r="I2591" s="152">
        <f t="shared" si="179"/>
        <v>13000</v>
      </c>
      <c r="J2591" s="146" t="s">
        <v>1351</v>
      </c>
      <c r="K2591" s="146"/>
      <c r="L2591" s="146"/>
    </row>
    <row r="2592">
      <c r="B2592" s="144" t="s">
        <v>526</v>
      </c>
      <c r="C2592" s="138" t="s">
        <v>2213</v>
      </c>
      <c r="D2592" s="144" t="s">
        <v>13</v>
      </c>
      <c r="E2592" s="138" t="s">
        <v>31</v>
      </c>
      <c r="F2592" s="138" t="s">
        <v>643</v>
      </c>
      <c r="G2592" s="140">
        <v>60000.0</v>
      </c>
      <c r="H2592" s="144" t="s">
        <v>530</v>
      </c>
      <c r="I2592" s="152">
        <f t="shared" si="179"/>
        <v>6000</v>
      </c>
      <c r="J2592" s="146" t="s">
        <v>1351</v>
      </c>
      <c r="K2592" s="146"/>
      <c r="L2592" s="146"/>
    </row>
    <row r="2593">
      <c r="B2593" s="144" t="s">
        <v>526</v>
      </c>
      <c r="C2593" s="138" t="s">
        <v>2220</v>
      </c>
      <c r="D2593" s="144" t="s">
        <v>13</v>
      </c>
      <c r="E2593" s="138" t="s">
        <v>31</v>
      </c>
      <c r="F2593" s="138" t="s">
        <v>643</v>
      </c>
      <c r="G2593" s="140">
        <v>142500.0</v>
      </c>
      <c r="H2593" s="144" t="s">
        <v>530</v>
      </c>
      <c r="I2593" s="152">
        <f t="shared" si="179"/>
        <v>14250</v>
      </c>
      <c r="J2593" s="146" t="s">
        <v>1351</v>
      </c>
      <c r="K2593" s="146"/>
      <c r="L2593" s="146"/>
    </row>
    <row r="2594">
      <c r="B2594" s="144" t="s">
        <v>526</v>
      </c>
      <c r="C2594" s="138" t="s">
        <v>2293</v>
      </c>
      <c r="D2594" s="144" t="s">
        <v>13</v>
      </c>
      <c r="E2594" s="138" t="s">
        <v>31</v>
      </c>
      <c r="F2594" s="138" t="s">
        <v>643</v>
      </c>
      <c r="G2594" s="140">
        <v>75000.0</v>
      </c>
      <c r="H2594" s="144" t="s">
        <v>530</v>
      </c>
      <c r="I2594" s="152">
        <f t="shared" si="179"/>
        <v>7500</v>
      </c>
      <c r="J2594" s="146" t="s">
        <v>1351</v>
      </c>
      <c r="K2594" s="146"/>
      <c r="L2594" s="146"/>
    </row>
    <row r="2595">
      <c r="B2595" s="144" t="s">
        <v>526</v>
      </c>
      <c r="C2595" s="138" t="s">
        <v>2916</v>
      </c>
      <c r="D2595" s="144" t="s">
        <v>13</v>
      </c>
      <c r="E2595" s="138" t="s">
        <v>31</v>
      </c>
      <c r="F2595" s="138" t="s">
        <v>643</v>
      </c>
      <c r="G2595" s="140">
        <v>20000.0</v>
      </c>
      <c r="H2595" s="138" t="s">
        <v>677</v>
      </c>
      <c r="I2595" s="152">
        <f>G2595/2</f>
        <v>10000</v>
      </c>
      <c r="J2595" s="146" t="s">
        <v>1351</v>
      </c>
      <c r="K2595" s="146"/>
      <c r="L2595" s="146"/>
    </row>
    <row r="2596">
      <c r="B2596" s="144" t="s">
        <v>526</v>
      </c>
      <c r="C2596" s="138" t="s">
        <v>2215</v>
      </c>
      <c r="D2596" s="144" t="s">
        <v>13</v>
      </c>
      <c r="E2596" s="138" t="s">
        <v>31</v>
      </c>
      <c r="F2596" s="138" t="s">
        <v>643</v>
      </c>
      <c r="G2596" s="140">
        <v>27000.0</v>
      </c>
      <c r="H2596" s="144" t="s">
        <v>530</v>
      </c>
      <c r="I2596" s="152">
        <f t="shared" ref="I2596:I2602" si="180">G2596/10</f>
        <v>2700</v>
      </c>
      <c r="J2596" s="146" t="s">
        <v>1351</v>
      </c>
      <c r="K2596" s="146"/>
      <c r="L2596" s="146"/>
    </row>
    <row r="2597">
      <c r="B2597" s="144" t="s">
        <v>526</v>
      </c>
      <c r="C2597" s="138" t="s">
        <v>2215</v>
      </c>
      <c r="D2597" s="144" t="s">
        <v>13</v>
      </c>
      <c r="E2597" s="138" t="s">
        <v>2197</v>
      </c>
      <c r="F2597" s="138" t="s">
        <v>738</v>
      </c>
      <c r="G2597" s="140">
        <v>27500.0</v>
      </c>
      <c r="H2597" s="144" t="s">
        <v>530</v>
      </c>
      <c r="I2597" s="152">
        <f t="shared" si="180"/>
        <v>2750</v>
      </c>
      <c r="J2597" s="146" t="s">
        <v>1351</v>
      </c>
      <c r="K2597" s="146"/>
      <c r="L2597" s="146"/>
    </row>
    <row r="2598">
      <c r="B2598" s="144" t="s">
        <v>526</v>
      </c>
      <c r="C2598" s="138" t="s">
        <v>2215</v>
      </c>
      <c r="D2598" s="144" t="s">
        <v>13</v>
      </c>
      <c r="E2598" s="138" t="s">
        <v>31</v>
      </c>
      <c r="F2598" s="138" t="s">
        <v>763</v>
      </c>
      <c r="G2598" s="140">
        <v>21000.0</v>
      </c>
      <c r="H2598" s="144" t="s">
        <v>530</v>
      </c>
      <c r="I2598" s="152">
        <f t="shared" si="180"/>
        <v>2100</v>
      </c>
      <c r="J2598" s="146" t="s">
        <v>1351</v>
      </c>
      <c r="K2598" s="146"/>
      <c r="L2598" s="146"/>
    </row>
    <row r="2599">
      <c r="B2599" s="144" t="s">
        <v>526</v>
      </c>
      <c r="C2599" s="138" t="s">
        <v>2917</v>
      </c>
      <c r="D2599" s="144" t="s">
        <v>13</v>
      </c>
      <c r="E2599" s="138" t="s">
        <v>31</v>
      </c>
      <c r="F2599" s="138" t="s">
        <v>643</v>
      </c>
      <c r="G2599" s="140">
        <v>115000.0</v>
      </c>
      <c r="H2599" s="144" t="s">
        <v>530</v>
      </c>
      <c r="I2599" s="152">
        <f t="shared" si="180"/>
        <v>11500</v>
      </c>
      <c r="J2599" s="146" t="s">
        <v>1351</v>
      </c>
      <c r="K2599" s="146"/>
      <c r="L2599" s="146"/>
    </row>
    <row r="2600">
      <c r="B2600" s="144" t="s">
        <v>526</v>
      </c>
      <c r="C2600" s="138" t="s">
        <v>2224</v>
      </c>
      <c r="D2600" s="144" t="s">
        <v>13</v>
      </c>
      <c r="E2600" s="138" t="s">
        <v>44</v>
      </c>
      <c r="F2600" s="138" t="s">
        <v>643</v>
      </c>
      <c r="G2600" s="140">
        <v>160000.0</v>
      </c>
      <c r="H2600" s="144" t="s">
        <v>530</v>
      </c>
      <c r="I2600" s="152">
        <f t="shared" si="180"/>
        <v>16000</v>
      </c>
      <c r="J2600" s="146" t="s">
        <v>1351</v>
      </c>
      <c r="K2600" s="146"/>
      <c r="L2600" s="146"/>
    </row>
    <row r="2601">
      <c r="B2601" s="144" t="s">
        <v>526</v>
      </c>
      <c r="C2601" s="138" t="s">
        <v>2226</v>
      </c>
      <c r="D2601" s="144" t="s">
        <v>13</v>
      </c>
      <c r="E2601" s="138" t="s">
        <v>44</v>
      </c>
      <c r="F2601" s="138" t="s">
        <v>643</v>
      </c>
      <c r="G2601" s="140">
        <v>190000.0</v>
      </c>
      <c r="H2601" s="144" t="s">
        <v>530</v>
      </c>
      <c r="I2601" s="152">
        <f t="shared" si="180"/>
        <v>19000</v>
      </c>
      <c r="J2601" s="146" t="s">
        <v>1351</v>
      </c>
      <c r="K2601" s="146"/>
      <c r="L2601" s="146"/>
    </row>
    <row r="2602">
      <c r="B2602" s="144" t="s">
        <v>526</v>
      </c>
      <c r="C2602" s="138" t="s">
        <v>2918</v>
      </c>
      <c r="D2602" s="144" t="s">
        <v>13</v>
      </c>
      <c r="E2602" s="138" t="s">
        <v>44</v>
      </c>
      <c r="F2602" s="138" t="s">
        <v>643</v>
      </c>
      <c r="G2602" s="140">
        <v>135000.0</v>
      </c>
      <c r="H2602" s="144" t="s">
        <v>530</v>
      </c>
      <c r="I2602" s="152">
        <f t="shared" si="180"/>
        <v>13500</v>
      </c>
      <c r="J2602" s="146" t="s">
        <v>1351</v>
      </c>
      <c r="K2602" s="146"/>
      <c r="L2602" s="146"/>
    </row>
    <row r="2603">
      <c r="B2603" s="144" t="s">
        <v>526</v>
      </c>
      <c r="C2603" s="138" t="s">
        <v>2919</v>
      </c>
      <c r="D2603" s="144" t="s">
        <v>13</v>
      </c>
      <c r="E2603" s="138" t="s">
        <v>44</v>
      </c>
      <c r="F2603" s="138" t="s">
        <v>643</v>
      </c>
      <c r="G2603" s="140">
        <v>85000.0</v>
      </c>
      <c r="H2603" s="138" t="s">
        <v>635</v>
      </c>
      <c r="I2603" s="152">
        <f>G2603/6</f>
        <v>14166.66667</v>
      </c>
      <c r="J2603" s="146" t="s">
        <v>1351</v>
      </c>
      <c r="K2603" s="146"/>
      <c r="L2603" s="146"/>
    </row>
    <row r="2604">
      <c r="B2604" s="144" t="s">
        <v>526</v>
      </c>
      <c r="C2604" s="138" t="s">
        <v>2457</v>
      </c>
      <c r="D2604" s="144" t="s">
        <v>13</v>
      </c>
      <c r="E2604" s="138" t="s">
        <v>44</v>
      </c>
      <c r="F2604" s="138" t="s">
        <v>643</v>
      </c>
      <c r="G2604" s="140">
        <v>170000.0</v>
      </c>
      <c r="H2604" s="144" t="s">
        <v>530</v>
      </c>
      <c r="I2604" s="152">
        <f>G2604/10</f>
        <v>17000</v>
      </c>
      <c r="J2604" s="146" t="s">
        <v>1351</v>
      </c>
      <c r="K2604" s="146"/>
      <c r="L2604" s="146"/>
    </row>
    <row r="2605">
      <c r="B2605" s="144" t="s">
        <v>526</v>
      </c>
      <c r="C2605" s="138" t="s">
        <v>1937</v>
      </c>
      <c r="D2605" s="144" t="s">
        <v>13</v>
      </c>
      <c r="E2605" s="138" t="s">
        <v>44</v>
      </c>
      <c r="F2605" s="138" t="s">
        <v>643</v>
      </c>
      <c r="G2605" s="140">
        <v>130000.0</v>
      </c>
      <c r="H2605" s="138" t="s">
        <v>1155</v>
      </c>
      <c r="I2605" s="152">
        <f>G2605/8</f>
        <v>16250</v>
      </c>
      <c r="J2605" s="146" t="s">
        <v>1351</v>
      </c>
      <c r="K2605" s="146"/>
      <c r="L2605" s="146"/>
    </row>
    <row r="2606">
      <c r="B2606" s="144" t="s">
        <v>526</v>
      </c>
      <c r="C2606" s="138" t="s">
        <v>2920</v>
      </c>
      <c r="D2606" s="144" t="s">
        <v>13</v>
      </c>
      <c r="E2606" s="138" t="s">
        <v>44</v>
      </c>
      <c r="F2606" s="138" t="s">
        <v>643</v>
      </c>
      <c r="G2606" s="140">
        <v>48000.0</v>
      </c>
      <c r="H2606" s="138" t="s">
        <v>635</v>
      </c>
      <c r="I2606" s="152">
        <f>G2606/6</f>
        <v>8000</v>
      </c>
      <c r="J2606" s="146" t="s">
        <v>1351</v>
      </c>
      <c r="K2606" s="146"/>
      <c r="L2606" s="146"/>
    </row>
    <row r="2607">
      <c r="B2607" s="144" t="s">
        <v>526</v>
      </c>
      <c r="C2607" s="138" t="s">
        <v>2335</v>
      </c>
      <c r="D2607" s="144" t="s">
        <v>13</v>
      </c>
      <c r="E2607" s="138" t="s">
        <v>44</v>
      </c>
      <c r="F2607" s="138" t="s">
        <v>643</v>
      </c>
      <c r="G2607" s="140">
        <v>70000.0</v>
      </c>
      <c r="H2607" s="138" t="s">
        <v>1155</v>
      </c>
      <c r="I2607" s="152">
        <f>G2607/8</f>
        <v>8750</v>
      </c>
      <c r="J2607" s="146" t="s">
        <v>1351</v>
      </c>
      <c r="K2607" s="146"/>
      <c r="L2607" s="146"/>
    </row>
    <row r="2608">
      <c r="B2608" s="144" t="s">
        <v>526</v>
      </c>
      <c r="C2608" s="138" t="s">
        <v>2327</v>
      </c>
      <c r="D2608" s="144" t="s">
        <v>13</v>
      </c>
      <c r="E2608" s="138" t="s">
        <v>44</v>
      </c>
      <c r="F2608" s="138" t="s">
        <v>643</v>
      </c>
      <c r="G2608" s="140">
        <v>92000.0</v>
      </c>
      <c r="H2608" s="144" t="s">
        <v>530</v>
      </c>
      <c r="I2608" s="152">
        <f t="shared" ref="I2608:I2612" si="181">G2608/10</f>
        <v>9200</v>
      </c>
      <c r="J2608" s="146" t="s">
        <v>1351</v>
      </c>
      <c r="K2608" s="146"/>
      <c r="L2608" s="146"/>
    </row>
    <row r="2609">
      <c r="B2609" s="144" t="s">
        <v>526</v>
      </c>
      <c r="C2609" s="138" t="s">
        <v>2327</v>
      </c>
      <c r="D2609" s="144" t="s">
        <v>13</v>
      </c>
      <c r="E2609" s="138" t="s">
        <v>2908</v>
      </c>
      <c r="F2609" s="138" t="s">
        <v>738</v>
      </c>
      <c r="G2609" s="140">
        <v>65000.0</v>
      </c>
      <c r="H2609" s="144" t="s">
        <v>530</v>
      </c>
      <c r="I2609" s="152">
        <f t="shared" si="181"/>
        <v>6500</v>
      </c>
      <c r="J2609" s="146" t="s">
        <v>1351</v>
      </c>
      <c r="K2609" s="146"/>
      <c r="L2609" s="146"/>
    </row>
    <row r="2610">
      <c r="B2610" s="144" t="s">
        <v>526</v>
      </c>
      <c r="C2610" s="138" t="s">
        <v>2327</v>
      </c>
      <c r="D2610" s="144" t="s">
        <v>13</v>
      </c>
      <c r="E2610" s="138" t="s">
        <v>2908</v>
      </c>
      <c r="F2610" s="138" t="s">
        <v>763</v>
      </c>
      <c r="G2610" s="140">
        <v>45000.0</v>
      </c>
      <c r="H2610" s="144" t="s">
        <v>530</v>
      </c>
      <c r="I2610" s="152">
        <f t="shared" si="181"/>
        <v>4500</v>
      </c>
      <c r="J2610" s="146" t="s">
        <v>1351</v>
      </c>
      <c r="K2610" s="146"/>
      <c r="L2610" s="146"/>
    </row>
    <row r="2611">
      <c r="B2611" s="144" t="s">
        <v>526</v>
      </c>
      <c r="C2611" s="138" t="s">
        <v>2921</v>
      </c>
      <c r="D2611" s="144" t="s">
        <v>13</v>
      </c>
      <c r="E2611" s="138" t="s">
        <v>44</v>
      </c>
      <c r="F2611" s="138" t="s">
        <v>643</v>
      </c>
      <c r="G2611" s="140">
        <v>130000.0</v>
      </c>
      <c r="H2611" s="144" t="s">
        <v>530</v>
      </c>
      <c r="I2611" s="152">
        <f t="shared" si="181"/>
        <v>13000</v>
      </c>
      <c r="J2611" s="146" t="s">
        <v>1351</v>
      </c>
      <c r="K2611" s="146"/>
      <c r="L2611" s="146"/>
    </row>
    <row r="2612">
      <c r="B2612" s="144" t="s">
        <v>526</v>
      </c>
      <c r="C2612" s="138" t="s">
        <v>2233</v>
      </c>
      <c r="D2612" s="144" t="s">
        <v>13</v>
      </c>
      <c r="E2612" s="138" t="s">
        <v>44</v>
      </c>
      <c r="F2612" s="138" t="s">
        <v>643</v>
      </c>
      <c r="G2612" s="140">
        <v>60000.0</v>
      </c>
      <c r="H2612" s="144" t="s">
        <v>530</v>
      </c>
      <c r="I2612" s="152">
        <f t="shared" si="181"/>
        <v>6000</v>
      </c>
      <c r="J2612" s="146" t="s">
        <v>1351</v>
      </c>
      <c r="K2612" s="146"/>
      <c r="L2612" s="146"/>
    </row>
    <row r="2613">
      <c r="B2613" s="144" t="s">
        <v>526</v>
      </c>
      <c r="C2613" s="138" t="s">
        <v>2922</v>
      </c>
      <c r="D2613" s="144" t="s">
        <v>13</v>
      </c>
      <c r="E2613" s="138" t="s">
        <v>44</v>
      </c>
      <c r="F2613" s="138" t="s">
        <v>643</v>
      </c>
      <c r="G2613" s="140">
        <v>25000.0</v>
      </c>
      <c r="H2613" s="138" t="s">
        <v>680</v>
      </c>
      <c r="I2613" s="152">
        <f>G2613/4</f>
        <v>6250</v>
      </c>
      <c r="J2613" s="146" t="s">
        <v>1351</v>
      </c>
      <c r="K2613" s="146"/>
      <c r="L2613" s="146"/>
    </row>
    <row r="2614">
      <c r="B2614" s="144" t="s">
        <v>526</v>
      </c>
      <c r="C2614" s="138" t="s">
        <v>2922</v>
      </c>
      <c r="D2614" s="144" t="s">
        <v>13</v>
      </c>
      <c r="E2614" s="138" t="s">
        <v>2295</v>
      </c>
      <c r="F2614" s="138" t="s">
        <v>643</v>
      </c>
      <c r="G2614" s="140">
        <v>40000.0</v>
      </c>
      <c r="H2614" s="138" t="s">
        <v>1155</v>
      </c>
      <c r="I2614" s="152">
        <f>G2614/8</f>
        <v>5000</v>
      </c>
      <c r="J2614" s="146" t="s">
        <v>1351</v>
      </c>
      <c r="K2614" s="146"/>
      <c r="L2614" s="146"/>
    </row>
    <row r="2615">
      <c r="B2615" s="144" t="s">
        <v>526</v>
      </c>
      <c r="C2615" s="138" t="s">
        <v>2922</v>
      </c>
      <c r="D2615" s="144" t="s">
        <v>13</v>
      </c>
      <c r="E2615" s="138" t="s">
        <v>2908</v>
      </c>
      <c r="F2615" s="138" t="s">
        <v>738</v>
      </c>
      <c r="G2615" s="140">
        <v>55000.0</v>
      </c>
      <c r="H2615" s="144" t="s">
        <v>530</v>
      </c>
      <c r="I2615" s="152">
        <f>G2615/10</f>
        <v>5500</v>
      </c>
      <c r="J2615" s="146" t="s">
        <v>1351</v>
      </c>
      <c r="K2615" s="146"/>
      <c r="L2615" s="146"/>
    </row>
    <row r="2616">
      <c r="B2616" s="144" t="s">
        <v>526</v>
      </c>
      <c r="C2616" s="138" t="s">
        <v>2923</v>
      </c>
      <c r="D2616" s="144" t="s">
        <v>13</v>
      </c>
      <c r="E2616" s="138" t="s">
        <v>44</v>
      </c>
      <c r="F2616" s="138" t="s">
        <v>643</v>
      </c>
      <c r="G2616" s="140">
        <v>55000.0</v>
      </c>
      <c r="H2616" s="138" t="s">
        <v>745</v>
      </c>
      <c r="I2616" s="152">
        <f>G2616/5</f>
        <v>11000</v>
      </c>
      <c r="J2616" s="146" t="s">
        <v>1351</v>
      </c>
      <c r="K2616" s="146"/>
      <c r="L2616" s="146"/>
    </row>
    <row r="2617">
      <c r="B2617" s="144" t="s">
        <v>526</v>
      </c>
      <c r="C2617" s="138" t="s">
        <v>2924</v>
      </c>
      <c r="D2617" s="144" t="s">
        <v>13</v>
      </c>
      <c r="E2617" s="138" t="s">
        <v>2052</v>
      </c>
      <c r="F2617" s="138" t="s">
        <v>586</v>
      </c>
      <c r="G2617" s="140">
        <v>16500.0</v>
      </c>
      <c r="H2617" s="144" t="s">
        <v>530</v>
      </c>
      <c r="I2617" s="152">
        <f t="shared" ref="I2617:I2619" si="182">G2617/10</f>
        <v>1650</v>
      </c>
      <c r="J2617" s="146" t="s">
        <v>1351</v>
      </c>
      <c r="K2617" s="146"/>
      <c r="L2617" s="146"/>
    </row>
    <row r="2618">
      <c r="B2618" s="144" t="s">
        <v>526</v>
      </c>
      <c r="C2618" s="138" t="s">
        <v>2924</v>
      </c>
      <c r="D2618" s="144" t="s">
        <v>13</v>
      </c>
      <c r="E2618" s="138" t="s">
        <v>2052</v>
      </c>
      <c r="F2618" s="138" t="s">
        <v>650</v>
      </c>
      <c r="G2618" s="140">
        <v>27038.0</v>
      </c>
      <c r="H2618" s="144" t="s">
        <v>530</v>
      </c>
      <c r="I2618" s="152">
        <f t="shared" si="182"/>
        <v>2703.8</v>
      </c>
      <c r="J2618" s="146" t="s">
        <v>1351</v>
      </c>
      <c r="K2618" s="146"/>
      <c r="L2618" s="146"/>
    </row>
    <row r="2619">
      <c r="B2619" s="144" t="s">
        <v>526</v>
      </c>
      <c r="C2619" s="138" t="s">
        <v>2249</v>
      </c>
      <c r="D2619" s="144" t="s">
        <v>13</v>
      </c>
      <c r="E2619" s="138" t="s">
        <v>53</v>
      </c>
      <c r="F2619" s="138" t="s">
        <v>643</v>
      </c>
      <c r="G2619" s="140">
        <v>155000.0</v>
      </c>
      <c r="H2619" s="144" t="s">
        <v>530</v>
      </c>
      <c r="I2619" s="152">
        <f t="shared" si="182"/>
        <v>15500</v>
      </c>
      <c r="J2619" s="146" t="s">
        <v>1351</v>
      </c>
      <c r="K2619" s="146"/>
      <c r="L2619" s="146"/>
    </row>
    <row r="2620">
      <c r="B2620" s="144" t="s">
        <v>526</v>
      </c>
      <c r="C2620" s="138" t="s">
        <v>2925</v>
      </c>
      <c r="D2620" s="144" t="s">
        <v>13</v>
      </c>
      <c r="E2620" s="138" t="s">
        <v>53</v>
      </c>
      <c r="F2620" s="138" t="s">
        <v>643</v>
      </c>
      <c r="G2620" s="140">
        <v>55000.0</v>
      </c>
      <c r="H2620" s="138" t="s">
        <v>745</v>
      </c>
      <c r="I2620" s="152">
        <f>G2620/5</f>
        <v>11000</v>
      </c>
      <c r="J2620" s="146" t="s">
        <v>1351</v>
      </c>
      <c r="K2620" s="146"/>
      <c r="L2620" s="146"/>
    </row>
    <row r="2621">
      <c r="B2621" s="144" t="s">
        <v>526</v>
      </c>
      <c r="C2621" s="138" t="s">
        <v>2432</v>
      </c>
      <c r="D2621" s="144" t="s">
        <v>13</v>
      </c>
      <c r="E2621" s="138" t="s">
        <v>53</v>
      </c>
      <c r="F2621" s="138" t="s">
        <v>643</v>
      </c>
      <c r="G2621" s="140">
        <v>30000.0</v>
      </c>
      <c r="H2621" s="138" t="s">
        <v>872</v>
      </c>
      <c r="I2621" s="152">
        <f>G2621/3</f>
        <v>10000</v>
      </c>
      <c r="J2621" s="146" t="s">
        <v>1351</v>
      </c>
      <c r="K2621" s="146"/>
      <c r="L2621" s="146"/>
    </row>
    <row r="2622">
      <c r="B2622" s="144" t="s">
        <v>526</v>
      </c>
      <c r="C2622" s="138" t="s">
        <v>2237</v>
      </c>
      <c r="D2622" s="144" t="s">
        <v>13</v>
      </c>
      <c r="E2622" s="138" t="s">
        <v>53</v>
      </c>
      <c r="F2622" s="138" t="s">
        <v>643</v>
      </c>
      <c r="G2622" s="140">
        <v>100000.0</v>
      </c>
      <c r="H2622" s="138" t="s">
        <v>728</v>
      </c>
      <c r="I2622" s="152">
        <f>G2622/7</f>
        <v>14285.71429</v>
      </c>
      <c r="J2622" s="146" t="s">
        <v>1351</v>
      </c>
      <c r="K2622" s="146"/>
      <c r="L2622" s="146"/>
    </row>
    <row r="2623">
      <c r="B2623" s="144" t="s">
        <v>526</v>
      </c>
      <c r="C2623" s="138" t="s">
        <v>2926</v>
      </c>
      <c r="D2623" s="144" t="s">
        <v>13</v>
      </c>
      <c r="E2623" s="138" t="s">
        <v>53</v>
      </c>
      <c r="F2623" s="138" t="s">
        <v>643</v>
      </c>
      <c r="G2623" s="140">
        <v>180000.0</v>
      </c>
      <c r="H2623" s="144" t="s">
        <v>530</v>
      </c>
      <c r="I2623" s="152">
        <f>G2623/10</f>
        <v>18000</v>
      </c>
      <c r="J2623" s="146" t="s">
        <v>1351</v>
      </c>
      <c r="K2623" s="146"/>
      <c r="L2623" s="146"/>
    </row>
    <row r="2624">
      <c r="B2624" s="144" t="s">
        <v>526</v>
      </c>
      <c r="C2624" s="138" t="s">
        <v>2234</v>
      </c>
      <c r="D2624" s="144" t="s">
        <v>13</v>
      </c>
      <c r="E2624" s="138" t="s">
        <v>53</v>
      </c>
      <c r="F2624" s="138" t="s">
        <v>643</v>
      </c>
      <c r="G2624" s="140">
        <v>100000.0</v>
      </c>
      <c r="H2624" s="138" t="s">
        <v>1155</v>
      </c>
      <c r="I2624" s="152">
        <f>G2624/8</f>
        <v>12500</v>
      </c>
      <c r="J2624" s="146" t="s">
        <v>1351</v>
      </c>
      <c r="K2624" s="146"/>
      <c r="L2624" s="146"/>
    </row>
    <row r="2625">
      <c r="B2625" s="144" t="s">
        <v>526</v>
      </c>
      <c r="C2625" s="138" t="s">
        <v>2927</v>
      </c>
      <c r="D2625" s="144" t="s">
        <v>13</v>
      </c>
      <c r="E2625" s="138" t="s">
        <v>53</v>
      </c>
      <c r="F2625" s="138" t="s">
        <v>643</v>
      </c>
      <c r="G2625" s="140">
        <v>155000.0</v>
      </c>
      <c r="H2625" s="144" t="s">
        <v>530</v>
      </c>
      <c r="I2625" s="152">
        <f t="shared" ref="I2625:I2629" si="183">G2625/10</f>
        <v>15500</v>
      </c>
      <c r="J2625" s="146" t="s">
        <v>1351</v>
      </c>
      <c r="K2625" s="146"/>
      <c r="L2625" s="146"/>
    </row>
    <row r="2626">
      <c r="B2626" s="144" t="s">
        <v>526</v>
      </c>
      <c r="C2626" s="138" t="s">
        <v>2195</v>
      </c>
      <c r="D2626" s="144" t="s">
        <v>13</v>
      </c>
      <c r="E2626" s="138" t="s">
        <v>53</v>
      </c>
      <c r="F2626" s="138" t="s">
        <v>643</v>
      </c>
      <c r="G2626" s="140">
        <v>60000.0</v>
      </c>
      <c r="H2626" s="144" t="s">
        <v>530</v>
      </c>
      <c r="I2626" s="152">
        <f t="shared" si="183"/>
        <v>6000</v>
      </c>
      <c r="J2626" s="146" t="s">
        <v>1351</v>
      </c>
      <c r="K2626" s="146"/>
      <c r="L2626" s="146"/>
    </row>
    <row r="2627">
      <c r="B2627" s="144" t="s">
        <v>526</v>
      </c>
      <c r="C2627" s="138" t="s">
        <v>2240</v>
      </c>
      <c r="D2627" s="144" t="s">
        <v>13</v>
      </c>
      <c r="E2627" s="138" t="s">
        <v>53</v>
      </c>
      <c r="F2627" s="138" t="s">
        <v>643</v>
      </c>
      <c r="G2627" s="140">
        <v>85000.0</v>
      </c>
      <c r="H2627" s="144" t="s">
        <v>530</v>
      </c>
      <c r="I2627" s="152">
        <f t="shared" si="183"/>
        <v>8500</v>
      </c>
      <c r="J2627" s="146" t="s">
        <v>1351</v>
      </c>
      <c r="K2627" s="146"/>
      <c r="L2627" s="146"/>
    </row>
    <row r="2628">
      <c r="B2628" s="144" t="s">
        <v>526</v>
      </c>
      <c r="C2628" s="138" t="s">
        <v>2239</v>
      </c>
      <c r="D2628" s="144" t="s">
        <v>13</v>
      </c>
      <c r="E2628" s="138" t="s">
        <v>53</v>
      </c>
      <c r="F2628" s="138" t="s">
        <v>643</v>
      </c>
      <c r="G2628" s="140">
        <v>110000.0</v>
      </c>
      <c r="H2628" s="144" t="s">
        <v>530</v>
      </c>
      <c r="I2628" s="152">
        <f t="shared" si="183"/>
        <v>11000</v>
      </c>
      <c r="J2628" s="146" t="s">
        <v>1351</v>
      </c>
      <c r="K2628" s="146"/>
      <c r="L2628" s="146"/>
    </row>
    <row r="2629">
      <c r="B2629" s="144" t="s">
        <v>526</v>
      </c>
      <c r="C2629" s="138" t="s">
        <v>2386</v>
      </c>
      <c r="D2629" s="144" t="s">
        <v>13</v>
      </c>
      <c r="E2629" s="138" t="s">
        <v>53</v>
      </c>
      <c r="F2629" s="138" t="s">
        <v>643</v>
      </c>
      <c r="G2629" s="140">
        <v>100000.0</v>
      </c>
      <c r="H2629" s="144" t="s">
        <v>530</v>
      </c>
      <c r="I2629" s="152">
        <f t="shared" si="183"/>
        <v>10000</v>
      </c>
      <c r="J2629" s="146" t="s">
        <v>1351</v>
      </c>
      <c r="K2629" s="146"/>
      <c r="L2629" s="146"/>
    </row>
    <row r="2630">
      <c r="B2630" s="144" t="s">
        <v>526</v>
      </c>
      <c r="C2630" s="138" t="s">
        <v>2928</v>
      </c>
      <c r="D2630" s="144" t="s">
        <v>13</v>
      </c>
      <c r="E2630" s="138" t="s">
        <v>53</v>
      </c>
      <c r="F2630" s="138" t="s">
        <v>643</v>
      </c>
      <c r="G2630" s="140">
        <v>35000.0</v>
      </c>
      <c r="H2630" s="138" t="s">
        <v>680</v>
      </c>
      <c r="I2630" s="152">
        <f>G2630/4</f>
        <v>8750</v>
      </c>
      <c r="J2630" s="146" t="s">
        <v>1351</v>
      </c>
      <c r="K2630" s="146"/>
      <c r="L2630" s="146"/>
    </row>
    <row r="2631">
      <c r="B2631" s="144" t="s">
        <v>526</v>
      </c>
      <c r="C2631" s="138" t="s">
        <v>2929</v>
      </c>
      <c r="D2631" s="144" t="s">
        <v>13</v>
      </c>
      <c r="E2631" s="138" t="s">
        <v>34</v>
      </c>
      <c r="F2631" s="138" t="s">
        <v>643</v>
      </c>
      <c r="G2631" s="140">
        <v>140000.0</v>
      </c>
      <c r="H2631" s="144" t="s">
        <v>530</v>
      </c>
      <c r="I2631" s="152">
        <f>G2631/10</f>
        <v>14000</v>
      </c>
      <c r="J2631" s="146" t="s">
        <v>1351</v>
      </c>
      <c r="K2631" s="146"/>
      <c r="L2631" s="146"/>
    </row>
    <row r="2632">
      <c r="B2632" s="144" t="s">
        <v>526</v>
      </c>
      <c r="C2632" s="138" t="s">
        <v>2248</v>
      </c>
      <c r="D2632" s="144" t="s">
        <v>13</v>
      </c>
      <c r="E2632" s="138" t="s">
        <v>34</v>
      </c>
      <c r="F2632" s="138" t="s">
        <v>643</v>
      </c>
      <c r="G2632" s="140">
        <v>140000.0</v>
      </c>
      <c r="H2632" s="138" t="s">
        <v>1155</v>
      </c>
      <c r="I2632" s="152">
        <f>G2632/8</f>
        <v>17500</v>
      </c>
      <c r="J2632" s="146" t="s">
        <v>1351</v>
      </c>
      <c r="K2632" s="146"/>
      <c r="L2632" s="146"/>
    </row>
    <row r="2633">
      <c r="B2633" s="144" t="s">
        <v>526</v>
      </c>
      <c r="C2633" s="138" t="s">
        <v>2930</v>
      </c>
      <c r="D2633" s="144" t="s">
        <v>13</v>
      </c>
      <c r="E2633" s="138" t="s">
        <v>34</v>
      </c>
      <c r="F2633" s="138" t="s">
        <v>643</v>
      </c>
      <c r="G2633" s="140">
        <v>80000.0</v>
      </c>
      <c r="H2633" s="138" t="s">
        <v>680</v>
      </c>
      <c r="I2633" s="152">
        <f>G2633/4</f>
        <v>20000</v>
      </c>
      <c r="J2633" s="146" t="s">
        <v>1351</v>
      </c>
      <c r="K2633" s="146"/>
      <c r="L2633" s="146"/>
    </row>
    <row r="2634">
      <c r="B2634" s="144" t="s">
        <v>526</v>
      </c>
      <c r="C2634" s="138" t="s">
        <v>2227</v>
      </c>
      <c r="D2634" s="144" t="s">
        <v>13</v>
      </c>
      <c r="E2634" s="138" t="s">
        <v>34</v>
      </c>
      <c r="F2634" s="138" t="s">
        <v>643</v>
      </c>
      <c r="G2634" s="140">
        <v>150000.0</v>
      </c>
      <c r="H2634" s="144" t="s">
        <v>530</v>
      </c>
      <c r="I2634" s="152">
        <f>G2634/10</f>
        <v>15000</v>
      </c>
      <c r="J2634" s="146" t="s">
        <v>1351</v>
      </c>
      <c r="K2634" s="146"/>
      <c r="L2634" s="146"/>
    </row>
    <row r="2635">
      <c r="B2635" s="144" t="s">
        <v>526</v>
      </c>
      <c r="C2635" s="138" t="s">
        <v>2931</v>
      </c>
      <c r="D2635" s="144" t="s">
        <v>13</v>
      </c>
      <c r="E2635" s="138" t="s">
        <v>34</v>
      </c>
      <c r="F2635" s="138" t="s">
        <v>643</v>
      </c>
      <c r="G2635" s="140">
        <v>25000.0</v>
      </c>
      <c r="H2635" s="138" t="s">
        <v>872</v>
      </c>
      <c r="I2635" s="152">
        <f>G2635/3</f>
        <v>8333.333333</v>
      </c>
      <c r="J2635" s="146" t="s">
        <v>1351</v>
      </c>
      <c r="K2635" s="146"/>
      <c r="L2635" s="146"/>
    </row>
    <row r="2636">
      <c r="B2636" s="144" t="s">
        <v>526</v>
      </c>
      <c r="C2636" s="138" t="s">
        <v>2931</v>
      </c>
      <c r="D2636" s="144" t="s">
        <v>13</v>
      </c>
      <c r="E2636" s="138" t="s">
        <v>1793</v>
      </c>
      <c r="F2636" s="138" t="s">
        <v>738</v>
      </c>
      <c r="G2636" s="140">
        <v>80000.0</v>
      </c>
      <c r="H2636" s="144" t="s">
        <v>530</v>
      </c>
      <c r="I2636" s="152">
        <f t="shared" ref="I2636:I2648" si="184">G2636/10</f>
        <v>8000</v>
      </c>
      <c r="J2636" s="146" t="s">
        <v>1351</v>
      </c>
      <c r="K2636" s="146"/>
      <c r="L2636" s="146"/>
    </row>
    <row r="2637">
      <c r="B2637" s="144" t="s">
        <v>526</v>
      </c>
      <c r="C2637" s="138" t="s">
        <v>2931</v>
      </c>
      <c r="D2637" s="144" t="s">
        <v>13</v>
      </c>
      <c r="E2637" s="138" t="s">
        <v>2932</v>
      </c>
      <c r="F2637" s="138" t="s">
        <v>763</v>
      </c>
      <c r="G2637" s="140">
        <v>70000.0</v>
      </c>
      <c r="H2637" s="144" t="s">
        <v>530</v>
      </c>
      <c r="I2637" s="152">
        <f t="shared" si="184"/>
        <v>7000</v>
      </c>
      <c r="J2637" s="146" t="s">
        <v>1351</v>
      </c>
      <c r="K2637" s="146"/>
      <c r="L2637" s="146"/>
    </row>
    <row r="2638">
      <c r="B2638" s="144" t="s">
        <v>526</v>
      </c>
      <c r="C2638" s="138" t="s">
        <v>2346</v>
      </c>
      <c r="D2638" s="144" t="s">
        <v>13</v>
      </c>
      <c r="E2638" s="138" t="s">
        <v>34</v>
      </c>
      <c r="F2638" s="138" t="s">
        <v>643</v>
      </c>
      <c r="G2638" s="140">
        <v>140000.0</v>
      </c>
      <c r="H2638" s="144" t="s">
        <v>530</v>
      </c>
      <c r="I2638" s="152">
        <f t="shared" si="184"/>
        <v>14000</v>
      </c>
      <c r="J2638" s="146" t="s">
        <v>1351</v>
      </c>
      <c r="K2638" s="146"/>
      <c r="L2638" s="146"/>
    </row>
    <row r="2639">
      <c r="B2639" s="144" t="s">
        <v>526</v>
      </c>
      <c r="C2639" s="138" t="s">
        <v>2933</v>
      </c>
      <c r="D2639" s="144" t="s">
        <v>13</v>
      </c>
      <c r="E2639" s="138" t="s">
        <v>34</v>
      </c>
      <c r="F2639" s="138" t="s">
        <v>643</v>
      </c>
      <c r="G2639" s="140">
        <v>100000.0</v>
      </c>
      <c r="H2639" s="144" t="s">
        <v>530</v>
      </c>
      <c r="I2639" s="152">
        <f t="shared" si="184"/>
        <v>10000</v>
      </c>
      <c r="J2639" s="146" t="s">
        <v>1351</v>
      </c>
      <c r="K2639" s="146"/>
      <c r="L2639" s="146"/>
    </row>
    <row r="2640">
      <c r="B2640" s="144" t="s">
        <v>526</v>
      </c>
      <c r="C2640" s="138" t="s">
        <v>2934</v>
      </c>
      <c r="D2640" s="144" t="s">
        <v>13</v>
      </c>
      <c r="E2640" s="138" t="s">
        <v>34</v>
      </c>
      <c r="F2640" s="138" t="s">
        <v>643</v>
      </c>
      <c r="G2640" s="140">
        <v>120000.0</v>
      </c>
      <c r="H2640" s="144" t="s">
        <v>530</v>
      </c>
      <c r="I2640" s="152">
        <f t="shared" si="184"/>
        <v>12000</v>
      </c>
      <c r="J2640" s="146" t="s">
        <v>1351</v>
      </c>
      <c r="K2640" s="146"/>
      <c r="L2640" s="146"/>
    </row>
    <row r="2641">
      <c r="B2641" s="144" t="s">
        <v>526</v>
      </c>
      <c r="C2641" s="138" t="s">
        <v>2256</v>
      </c>
      <c r="D2641" s="144" t="s">
        <v>13</v>
      </c>
      <c r="E2641" s="138" t="s">
        <v>34</v>
      </c>
      <c r="F2641" s="138" t="s">
        <v>643</v>
      </c>
      <c r="G2641" s="140">
        <v>140000.0</v>
      </c>
      <c r="H2641" s="144" t="s">
        <v>530</v>
      </c>
      <c r="I2641" s="152">
        <f t="shared" si="184"/>
        <v>14000</v>
      </c>
      <c r="J2641" s="146" t="s">
        <v>1351</v>
      </c>
      <c r="K2641" s="146"/>
      <c r="L2641" s="146"/>
    </row>
    <row r="2642">
      <c r="B2642" s="144" t="s">
        <v>526</v>
      </c>
      <c r="C2642" s="138" t="s">
        <v>2404</v>
      </c>
      <c r="D2642" s="144" t="s">
        <v>13</v>
      </c>
      <c r="E2642" s="138" t="s">
        <v>34</v>
      </c>
      <c r="F2642" s="138" t="s">
        <v>643</v>
      </c>
      <c r="G2642" s="140">
        <v>54000.0</v>
      </c>
      <c r="H2642" s="144" t="s">
        <v>530</v>
      </c>
      <c r="I2642" s="152">
        <f t="shared" si="184"/>
        <v>5400</v>
      </c>
      <c r="J2642" s="146" t="s">
        <v>1351</v>
      </c>
      <c r="K2642" s="146"/>
      <c r="L2642" s="146"/>
    </row>
    <row r="2643">
      <c r="B2643" s="144" t="s">
        <v>526</v>
      </c>
      <c r="C2643" s="138" t="s">
        <v>2404</v>
      </c>
      <c r="D2643" s="144" t="s">
        <v>13</v>
      </c>
      <c r="E2643" s="138" t="s">
        <v>2188</v>
      </c>
      <c r="F2643" s="138" t="s">
        <v>738</v>
      </c>
      <c r="G2643" s="140">
        <v>30000.0</v>
      </c>
      <c r="H2643" s="144" t="s">
        <v>530</v>
      </c>
      <c r="I2643" s="152">
        <f t="shared" si="184"/>
        <v>3000</v>
      </c>
      <c r="J2643" s="146" t="s">
        <v>1351</v>
      </c>
      <c r="K2643" s="146"/>
      <c r="L2643" s="146"/>
    </row>
    <row r="2644">
      <c r="B2644" s="144" t="s">
        <v>526</v>
      </c>
      <c r="C2644" s="138" t="s">
        <v>2404</v>
      </c>
      <c r="D2644" s="144" t="s">
        <v>13</v>
      </c>
      <c r="E2644" s="138" t="s">
        <v>2188</v>
      </c>
      <c r="F2644" s="138" t="s">
        <v>763</v>
      </c>
      <c r="G2644" s="140">
        <v>21000.0</v>
      </c>
      <c r="H2644" s="144" t="s">
        <v>530</v>
      </c>
      <c r="I2644" s="152">
        <f t="shared" si="184"/>
        <v>2100</v>
      </c>
      <c r="J2644" s="146" t="s">
        <v>1351</v>
      </c>
      <c r="K2644" s="146"/>
      <c r="L2644" s="146"/>
    </row>
    <row r="2645">
      <c r="B2645" s="144" t="s">
        <v>526</v>
      </c>
      <c r="C2645" s="138" t="s">
        <v>2935</v>
      </c>
      <c r="D2645" s="144" t="s">
        <v>13</v>
      </c>
      <c r="E2645" s="138" t="s">
        <v>34</v>
      </c>
      <c r="F2645" s="138" t="s">
        <v>643</v>
      </c>
      <c r="G2645" s="140">
        <v>140000.0</v>
      </c>
      <c r="H2645" s="144" t="s">
        <v>530</v>
      </c>
      <c r="I2645" s="152">
        <f t="shared" si="184"/>
        <v>14000</v>
      </c>
      <c r="J2645" s="146" t="s">
        <v>1351</v>
      </c>
      <c r="K2645" s="146"/>
      <c r="L2645" s="146"/>
    </row>
    <row r="2646">
      <c r="B2646" s="144" t="s">
        <v>526</v>
      </c>
      <c r="C2646" s="138" t="s">
        <v>2936</v>
      </c>
      <c r="D2646" s="144" t="s">
        <v>13</v>
      </c>
      <c r="E2646" s="138" t="s">
        <v>34</v>
      </c>
      <c r="F2646" s="138" t="s">
        <v>643</v>
      </c>
      <c r="G2646" s="140">
        <v>20000.0</v>
      </c>
      <c r="H2646" s="144" t="s">
        <v>530</v>
      </c>
      <c r="I2646" s="152">
        <f t="shared" si="184"/>
        <v>2000</v>
      </c>
      <c r="J2646" s="146" t="s">
        <v>1351</v>
      </c>
      <c r="K2646" s="146"/>
      <c r="L2646" s="146"/>
    </row>
    <row r="2647">
      <c r="B2647" s="144" t="s">
        <v>526</v>
      </c>
      <c r="C2647" s="138" t="s">
        <v>2160</v>
      </c>
      <c r="D2647" s="144" t="s">
        <v>13</v>
      </c>
      <c r="E2647" s="138" t="s">
        <v>58</v>
      </c>
      <c r="F2647" s="138" t="s">
        <v>643</v>
      </c>
      <c r="G2647" s="140">
        <v>75000.0</v>
      </c>
      <c r="H2647" s="144" t="s">
        <v>530</v>
      </c>
      <c r="I2647" s="152">
        <f t="shared" si="184"/>
        <v>7500</v>
      </c>
      <c r="J2647" s="146" t="s">
        <v>1351</v>
      </c>
      <c r="K2647" s="146"/>
      <c r="L2647" s="146"/>
    </row>
    <row r="2648">
      <c r="B2648" s="144" t="s">
        <v>526</v>
      </c>
      <c r="C2648" s="138" t="s">
        <v>2160</v>
      </c>
      <c r="D2648" s="144" t="s">
        <v>13</v>
      </c>
      <c r="E2648" s="138" t="s">
        <v>2178</v>
      </c>
      <c r="F2648" s="138" t="s">
        <v>738</v>
      </c>
      <c r="G2648" s="140">
        <v>55000.0</v>
      </c>
      <c r="H2648" s="144" t="s">
        <v>530</v>
      </c>
      <c r="I2648" s="152">
        <f t="shared" si="184"/>
        <v>5500</v>
      </c>
      <c r="J2648" s="146" t="s">
        <v>1351</v>
      </c>
      <c r="K2648" s="146"/>
      <c r="L2648" s="146"/>
    </row>
    <row r="2649">
      <c r="B2649" s="144" t="s">
        <v>526</v>
      </c>
      <c r="C2649" s="138" t="s">
        <v>2160</v>
      </c>
      <c r="D2649" s="144" t="s">
        <v>13</v>
      </c>
      <c r="E2649" s="95" t="s">
        <v>1792</v>
      </c>
      <c r="F2649" s="138" t="s">
        <v>763</v>
      </c>
      <c r="G2649" s="140">
        <v>21000.0</v>
      </c>
      <c r="H2649" s="138" t="s">
        <v>635</v>
      </c>
      <c r="I2649" s="152">
        <f>G2649/6</f>
        <v>3500</v>
      </c>
      <c r="J2649" s="146" t="s">
        <v>1351</v>
      </c>
      <c r="K2649" s="146"/>
      <c r="L2649" s="146"/>
    </row>
    <row r="2650">
      <c r="B2650" s="144" t="s">
        <v>526</v>
      </c>
      <c r="C2650" s="138" t="s">
        <v>2291</v>
      </c>
      <c r="D2650" s="144" t="s">
        <v>13</v>
      </c>
      <c r="E2650" s="138" t="s">
        <v>58</v>
      </c>
      <c r="F2650" s="138" t="s">
        <v>643</v>
      </c>
      <c r="G2650" s="140">
        <v>60000.0</v>
      </c>
      <c r="H2650" s="144" t="s">
        <v>530</v>
      </c>
      <c r="I2650" s="152">
        <f>G2650/10</f>
        <v>6000</v>
      </c>
      <c r="J2650" s="146" t="s">
        <v>1351</v>
      </c>
      <c r="K2650" s="146"/>
      <c r="L2650" s="146"/>
    </row>
    <row r="2651">
      <c r="B2651" s="144" t="s">
        <v>526</v>
      </c>
      <c r="C2651" s="138" t="s">
        <v>2236</v>
      </c>
      <c r="D2651" s="144" t="s">
        <v>13</v>
      </c>
      <c r="E2651" s="138" t="s">
        <v>58</v>
      </c>
      <c r="F2651" s="138" t="s">
        <v>643</v>
      </c>
      <c r="G2651" s="140">
        <v>96000.0</v>
      </c>
      <c r="H2651" s="138" t="s">
        <v>610</v>
      </c>
      <c r="I2651" s="152">
        <f>G2651/9</f>
        <v>10666.66667</v>
      </c>
      <c r="J2651" s="146" t="s">
        <v>1351</v>
      </c>
      <c r="K2651" s="146"/>
      <c r="L2651" s="146"/>
    </row>
    <row r="2652">
      <c r="B2652" s="144" t="s">
        <v>526</v>
      </c>
      <c r="C2652" s="138" t="s">
        <v>2937</v>
      </c>
      <c r="D2652" s="144" t="s">
        <v>13</v>
      </c>
      <c r="E2652" s="138" t="s">
        <v>58</v>
      </c>
      <c r="F2652" s="138" t="s">
        <v>643</v>
      </c>
      <c r="G2652" s="140">
        <v>20000.0</v>
      </c>
      <c r="H2652" s="138" t="s">
        <v>680</v>
      </c>
      <c r="I2652" s="152">
        <f>G2652/4</f>
        <v>5000</v>
      </c>
      <c r="J2652" s="146" t="s">
        <v>1351</v>
      </c>
      <c r="K2652" s="146"/>
      <c r="L2652" s="146"/>
    </row>
    <row r="2653">
      <c r="B2653" s="144" t="s">
        <v>526</v>
      </c>
      <c r="C2653" s="138" t="s">
        <v>2221</v>
      </c>
      <c r="D2653" s="144" t="s">
        <v>13</v>
      </c>
      <c r="E2653" s="138" t="s">
        <v>58</v>
      </c>
      <c r="F2653" s="138" t="s">
        <v>643</v>
      </c>
      <c r="G2653" s="140">
        <v>60000.0</v>
      </c>
      <c r="H2653" s="144" t="s">
        <v>530</v>
      </c>
      <c r="I2653" s="152">
        <f t="shared" ref="I2653:I2658" si="185">G2653/10</f>
        <v>6000</v>
      </c>
      <c r="J2653" s="146" t="s">
        <v>1351</v>
      </c>
      <c r="K2653" s="146"/>
      <c r="L2653" s="146"/>
    </row>
    <row r="2654">
      <c r="B2654" s="144" t="s">
        <v>526</v>
      </c>
      <c r="C2654" s="138" t="s">
        <v>2221</v>
      </c>
      <c r="D2654" s="144" t="s">
        <v>13</v>
      </c>
      <c r="E2654" s="95" t="s">
        <v>1792</v>
      </c>
      <c r="F2654" s="138" t="s">
        <v>738</v>
      </c>
      <c r="G2654" s="140">
        <v>50000.0</v>
      </c>
      <c r="H2654" s="144" t="s">
        <v>530</v>
      </c>
      <c r="I2654" s="152">
        <f t="shared" si="185"/>
        <v>5000</v>
      </c>
      <c r="J2654" s="146" t="s">
        <v>1351</v>
      </c>
      <c r="K2654" s="146"/>
      <c r="L2654" s="146"/>
    </row>
    <row r="2655">
      <c r="B2655" s="144" t="s">
        <v>526</v>
      </c>
      <c r="C2655" s="138" t="s">
        <v>2221</v>
      </c>
      <c r="D2655" s="144" t="s">
        <v>13</v>
      </c>
      <c r="E2655" s="95" t="s">
        <v>1792</v>
      </c>
      <c r="F2655" s="138" t="s">
        <v>763</v>
      </c>
      <c r="G2655" s="140">
        <v>45000.0</v>
      </c>
      <c r="H2655" s="144" t="s">
        <v>530</v>
      </c>
      <c r="I2655" s="152">
        <f t="shared" si="185"/>
        <v>4500</v>
      </c>
      <c r="J2655" s="146" t="s">
        <v>1351</v>
      </c>
      <c r="K2655" s="146"/>
      <c r="L2655" s="146"/>
    </row>
    <row r="2656">
      <c r="B2656" s="144" t="s">
        <v>526</v>
      </c>
      <c r="C2656" s="138" t="s">
        <v>2221</v>
      </c>
      <c r="D2656" s="144" t="s">
        <v>13</v>
      </c>
      <c r="E2656" s="138" t="s">
        <v>2295</v>
      </c>
      <c r="F2656" s="138" t="s">
        <v>543</v>
      </c>
      <c r="G2656" s="140">
        <v>55000.0</v>
      </c>
      <c r="H2656" s="144" t="s">
        <v>530</v>
      </c>
      <c r="I2656" s="152">
        <f t="shared" si="185"/>
        <v>5500</v>
      </c>
      <c r="J2656" s="146" t="s">
        <v>1351</v>
      </c>
      <c r="K2656" s="146"/>
      <c r="L2656" s="146"/>
    </row>
    <row r="2657">
      <c r="B2657" s="144" t="s">
        <v>526</v>
      </c>
      <c r="C2657" s="138" t="s">
        <v>2221</v>
      </c>
      <c r="D2657" s="144" t="s">
        <v>13</v>
      </c>
      <c r="E2657" s="138" t="s">
        <v>2295</v>
      </c>
      <c r="F2657" s="138" t="s">
        <v>529</v>
      </c>
      <c r="G2657" s="140">
        <v>80000.0</v>
      </c>
      <c r="H2657" s="144" t="s">
        <v>530</v>
      </c>
      <c r="I2657" s="152">
        <f t="shared" si="185"/>
        <v>8000</v>
      </c>
      <c r="J2657" s="146" t="s">
        <v>1351</v>
      </c>
      <c r="K2657" s="146"/>
      <c r="L2657" s="146"/>
    </row>
    <row r="2658">
      <c r="B2658" s="144" t="s">
        <v>526</v>
      </c>
      <c r="C2658" s="138" t="s">
        <v>2251</v>
      </c>
      <c r="D2658" s="144" t="s">
        <v>13</v>
      </c>
      <c r="E2658" s="138" t="s">
        <v>58</v>
      </c>
      <c r="F2658" s="138" t="s">
        <v>643</v>
      </c>
      <c r="G2658" s="140">
        <v>80000.0</v>
      </c>
      <c r="H2658" s="144" t="s">
        <v>530</v>
      </c>
      <c r="I2658" s="152">
        <f t="shared" si="185"/>
        <v>8000</v>
      </c>
      <c r="J2658" s="146" t="s">
        <v>1351</v>
      </c>
      <c r="K2658" s="146"/>
      <c r="L2658" s="146"/>
    </row>
    <row r="2659">
      <c r="B2659" s="144" t="s">
        <v>526</v>
      </c>
      <c r="C2659" s="138" t="s">
        <v>2938</v>
      </c>
      <c r="D2659" s="144" t="s">
        <v>13</v>
      </c>
      <c r="E2659" s="138" t="s">
        <v>58</v>
      </c>
      <c r="F2659" s="138" t="s">
        <v>643</v>
      </c>
      <c r="G2659" s="140">
        <v>35000.0</v>
      </c>
      <c r="H2659" s="138" t="s">
        <v>635</v>
      </c>
      <c r="I2659" s="152">
        <f>G2659/6</f>
        <v>5833.333333</v>
      </c>
      <c r="J2659" s="146" t="s">
        <v>1351</v>
      </c>
      <c r="K2659" s="146"/>
      <c r="L2659" s="146"/>
    </row>
    <row r="2660">
      <c r="B2660" s="144" t="s">
        <v>526</v>
      </c>
      <c r="C2660" s="138" t="s">
        <v>2939</v>
      </c>
      <c r="D2660" s="144" t="s">
        <v>13</v>
      </c>
      <c r="E2660" s="138" t="s">
        <v>58</v>
      </c>
      <c r="F2660" s="138" t="s">
        <v>643</v>
      </c>
      <c r="G2660" s="140">
        <v>16500.0</v>
      </c>
      <c r="H2660" s="138" t="s">
        <v>872</v>
      </c>
      <c r="I2660" s="152">
        <f>G2660/3</f>
        <v>5500</v>
      </c>
      <c r="J2660" s="146" t="s">
        <v>1351</v>
      </c>
      <c r="K2660" s="146"/>
      <c r="L2660" s="146"/>
    </row>
    <row r="2661">
      <c r="B2661" s="144" t="s">
        <v>526</v>
      </c>
      <c r="C2661" s="138" t="s">
        <v>2939</v>
      </c>
      <c r="D2661" s="144" t="s">
        <v>13</v>
      </c>
      <c r="E2661" s="138" t="s">
        <v>2908</v>
      </c>
      <c r="F2661" s="138" t="s">
        <v>643</v>
      </c>
      <c r="G2661" s="140">
        <v>40000.0</v>
      </c>
      <c r="H2661" s="138" t="s">
        <v>635</v>
      </c>
      <c r="I2661" s="152">
        <f>G2661/6</f>
        <v>6666.666667</v>
      </c>
      <c r="J2661" s="146" t="s">
        <v>1351</v>
      </c>
      <c r="K2661" s="146"/>
      <c r="L2661" s="146"/>
    </row>
    <row r="2662">
      <c r="B2662" s="144" t="s">
        <v>526</v>
      </c>
      <c r="C2662" s="138" t="s">
        <v>2939</v>
      </c>
      <c r="D2662" s="144" t="s">
        <v>13</v>
      </c>
      <c r="E2662" s="138" t="s">
        <v>2908</v>
      </c>
      <c r="F2662" s="138" t="s">
        <v>586</v>
      </c>
      <c r="G2662" s="140">
        <v>80000.0</v>
      </c>
      <c r="H2662" s="144" t="s">
        <v>530</v>
      </c>
      <c r="I2662" s="152">
        <f t="shared" ref="I2662:I2663" si="186">G2662/10</f>
        <v>8000</v>
      </c>
      <c r="J2662" s="146" t="s">
        <v>1351</v>
      </c>
      <c r="K2662" s="146"/>
      <c r="L2662" s="146"/>
    </row>
    <row r="2663">
      <c r="B2663" s="144" t="s">
        <v>526</v>
      </c>
      <c r="C2663" s="138" t="s">
        <v>2258</v>
      </c>
      <c r="D2663" s="144" t="s">
        <v>13</v>
      </c>
      <c r="E2663" s="138" t="s">
        <v>58</v>
      </c>
      <c r="F2663" s="138" t="s">
        <v>643</v>
      </c>
      <c r="G2663" s="140">
        <v>70000.0</v>
      </c>
      <c r="H2663" s="144" t="s">
        <v>530</v>
      </c>
      <c r="I2663" s="152">
        <f t="shared" si="186"/>
        <v>7000</v>
      </c>
      <c r="J2663" s="146" t="s">
        <v>1351</v>
      </c>
      <c r="K2663" s="146"/>
      <c r="L2663" s="146"/>
    </row>
    <row r="2664">
      <c r="B2664" s="144" t="s">
        <v>526</v>
      </c>
      <c r="C2664" s="138" t="s">
        <v>2258</v>
      </c>
      <c r="D2664" s="144" t="s">
        <v>13</v>
      </c>
      <c r="E2664" s="138" t="s">
        <v>2188</v>
      </c>
      <c r="F2664" s="138" t="s">
        <v>738</v>
      </c>
      <c r="G2664" s="140">
        <v>50000.0</v>
      </c>
      <c r="H2664" s="138" t="s">
        <v>610</v>
      </c>
      <c r="I2664" s="152">
        <f>G2664/9</f>
        <v>5555.555556</v>
      </c>
      <c r="J2664" s="146" t="s">
        <v>1351</v>
      </c>
      <c r="K2664" s="146"/>
      <c r="L2664" s="146"/>
    </row>
    <row r="2665">
      <c r="B2665" s="144" t="s">
        <v>526</v>
      </c>
      <c r="C2665" s="138" t="s">
        <v>2258</v>
      </c>
      <c r="D2665" s="144" t="s">
        <v>13</v>
      </c>
      <c r="E2665" s="138" t="s">
        <v>46</v>
      </c>
      <c r="F2665" s="138" t="s">
        <v>763</v>
      </c>
      <c r="G2665" s="140">
        <v>65000.0</v>
      </c>
      <c r="H2665" s="144" t="s">
        <v>530</v>
      </c>
      <c r="I2665" s="152">
        <f t="shared" ref="I2665:I2672" si="187">G2665/10</f>
        <v>6500</v>
      </c>
      <c r="J2665" s="146" t="s">
        <v>1351</v>
      </c>
      <c r="K2665" s="146"/>
      <c r="L2665" s="146"/>
    </row>
    <row r="2666">
      <c r="B2666" s="144" t="s">
        <v>526</v>
      </c>
      <c r="C2666" s="138" t="s">
        <v>2258</v>
      </c>
      <c r="D2666" s="144" t="s">
        <v>13</v>
      </c>
      <c r="E2666" s="138" t="s">
        <v>27</v>
      </c>
      <c r="F2666" s="138" t="s">
        <v>543</v>
      </c>
      <c r="G2666" s="140">
        <v>75000.0</v>
      </c>
      <c r="H2666" s="144" t="s">
        <v>530</v>
      </c>
      <c r="I2666" s="152">
        <f t="shared" si="187"/>
        <v>7500</v>
      </c>
      <c r="J2666" s="146" t="s">
        <v>1351</v>
      </c>
      <c r="K2666" s="146"/>
      <c r="L2666" s="146"/>
    </row>
    <row r="2667">
      <c r="B2667" s="144" t="s">
        <v>526</v>
      </c>
      <c r="C2667" s="138" t="s">
        <v>2258</v>
      </c>
      <c r="D2667" s="144" t="s">
        <v>13</v>
      </c>
      <c r="E2667" s="138" t="s">
        <v>2167</v>
      </c>
      <c r="F2667" s="138" t="s">
        <v>529</v>
      </c>
      <c r="G2667" s="140">
        <v>70000.0</v>
      </c>
      <c r="H2667" s="144" t="s">
        <v>530</v>
      </c>
      <c r="I2667" s="152">
        <f t="shared" si="187"/>
        <v>7000</v>
      </c>
      <c r="J2667" s="146" t="s">
        <v>1351</v>
      </c>
      <c r="K2667" s="146"/>
      <c r="L2667" s="146"/>
    </row>
    <row r="2668">
      <c r="B2668" s="144" t="s">
        <v>526</v>
      </c>
      <c r="C2668" s="138" t="s">
        <v>2940</v>
      </c>
      <c r="D2668" s="144" t="s">
        <v>13</v>
      </c>
      <c r="E2668" s="138" t="s">
        <v>58</v>
      </c>
      <c r="F2668" s="138" t="s">
        <v>643</v>
      </c>
      <c r="G2668" s="140">
        <v>134000.0</v>
      </c>
      <c r="H2668" s="144" t="s">
        <v>530</v>
      </c>
      <c r="I2668" s="152">
        <f t="shared" si="187"/>
        <v>13400</v>
      </c>
      <c r="J2668" s="146" t="s">
        <v>1351</v>
      </c>
      <c r="K2668" s="146"/>
      <c r="L2668" s="146"/>
    </row>
    <row r="2669">
      <c r="B2669" s="144" t="s">
        <v>526</v>
      </c>
      <c r="C2669" s="138" t="s">
        <v>2941</v>
      </c>
      <c r="D2669" s="144" t="s">
        <v>13</v>
      </c>
      <c r="E2669" s="138" t="s">
        <v>58</v>
      </c>
      <c r="F2669" s="138" t="s">
        <v>643</v>
      </c>
      <c r="G2669" s="140">
        <v>70000.0</v>
      </c>
      <c r="H2669" s="144" t="s">
        <v>530</v>
      </c>
      <c r="I2669" s="152">
        <f t="shared" si="187"/>
        <v>7000</v>
      </c>
      <c r="J2669" s="146" t="s">
        <v>1351</v>
      </c>
      <c r="K2669" s="146"/>
      <c r="L2669" s="146"/>
    </row>
    <row r="2670">
      <c r="B2670" s="144" t="s">
        <v>526</v>
      </c>
      <c r="C2670" s="138" t="s">
        <v>2942</v>
      </c>
      <c r="D2670" s="144" t="s">
        <v>13</v>
      </c>
      <c r="E2670" s="138" t="s">
        <v>58</v>
      </c>
      <c r="F2670" s="138" t="s">
        <v>643</v>
      </c>
      <c r="G2670" s="140">
        <v>100000.0</v>
      </c>
      <c r="H2670" s="144" t="s">
        <v>530</v>
      </c>
      <c r="I2670" s="152">
        <f t="shared" si="187"/>
        <v>10000</v>
      </c>
      <c r="J2670" s="146" t="s">
        <v>1351</v>
      </c>
      <c r="K2670" s="146"/>
      <c r="L2670" s="146"/>
    </row>
    <row r="2671">
      <c r="B2671" s="144" t="s">
        <v>526</v>
      </c>
      <c r="C2671" s="138" t="s">
        <v>2943</v>
      </c>
      <c r="D2671" s="144" t="s">
        <v>13</v>
      </c>
      <c r="E2671" s="138" t="s">
        <v>58</v>
      </c>
      <c r="F2671" s="138" t="s">
        <v>643</v>
      </c>
      <c r="G2671" s="140">
        <v>20000.0</v>
      </c>
      <c r="H2671" s="144" t="s">
        <v>530</v>
      </c>
      <c r="I2671" s="152">
        <f t="shared" si="187"/>
        <v>2000</v>
      </c>
      <c r="J2671" s="146" t="s">
        <v>1351</v>
      </c>
      <c r="K2671" s="146"/>
      <c r="L2671" s="146"/>
    </row>
    <row r="2672">
      <c r="B2672" s="144" t="s">
        <v>526</v>
      </c>
      <c r="C2672" s="138" t="s">
        <v>2270</v>
      </c>
      <c r="D2672" s="144" t="s">
        <v>13</v>
      </c>
      <c r="E2672" s="138" t="s">
        <v>48</v>
      </c>
      <c r="F2672" s="138" t="s">
        <v>643</v>
      </c>
      <c r="G2672" s="140">
        <v>180000.0</v>
      </c>
      <c r="H2672" s="144" t="s">
        <v>530</v>
      </c>
      <c r="I2672" s="152">
        <f t="shared" si="187"/>
        <v>18000</v>
      </c>
      <c r="J2672" s="146" t="s">
        <v>1351</v>
      </c>
      <c r="K2672" s="146"/>
      <c r="L2672" s="146"/>
    </row>
    <row r="2673">
      <c r="B2673" s="144" t="s">
        <v>526</v>
      </c>
      <c r="C2673" s="138" t="s">
        <v>2944</v>
      </c>
      <c r="D2673" s="144" t="s">
        <v>13</v>
      </c>
      <c r="E2673" s="138" t="s">
        <v>48</v>
      </c>
      <c r="F2673" s="138" t="s">
        <v>643</v>
      </c>
      <c r="G2673" s="140">
        <v>100000.0</v>
      </c>
      <c r="H2673" s="138" t="s">
        <v>610</v>
      </c>
      <c r="I2673" s="152">
        <f>G2673/9</f>
        <v>11111.11111</v>
      </c>
      <c r="J2673" s="146" t="s">
        <v>1351</v>
      </c>
      <c r="K2673" s="146"/>
      <c r="L2673" s="146"/>
    </row>
    <row r="2674">
      <c r="B2674" s="144" t="s">
        <v>526</v>
      </c>
      <c r="C2674" s="138" t="s">
        <v>2945</v>
      </c>
      <c r="D2674" s="144" t="s">
        <v>13</v>
      </c>
      <c r="E2674" s="138" t="s">
        <v>48</v>
      </c>
      <c r="F2674" s="138" t="s">
        <v>643</v>
      </c>
      <c r="G2674" s="140">
        <v>90000.0</v>
      </c>
      <c r="H2674" s="144" t="s">
        <v>530</v>
      </c>
      <c r="I2674" s="152">
        <f t="shared" ref="I2674:I2677" si="188">G2674/10</f>
        <v>9000</v>
      </c>
      <c r="J2674" s="146" t="s">
        <v>1351</v>
      </c>
      <c r="K2674" s="146"/>
      <c r="L2674" s="146"/>
    </row>
    <row r="2675">
      <c r="B2675" s="144" t="s">
        <v>526</v>
      </c>
      <c r="C2675" s="138" t="s">
        <v>2946</v>
      </c>
      <c r="D2675" s="144" t="s">
        <v>13</v>
      </c>
      <c r="E2675" s="138" t="s">
        <v>48</v>
      </c>
      <c r="F2675" s="138" t="s">
        <v>643</v>
      </c>
      <c r="G2675" s="140">
        <v>100000.0</v>
      </c>
      <c r="H2675" s="144" t="s">
        <v>530</v>
      </c>
      <c r="I2675" s="152">
        <f t="shared" si="188"/>
        <v>10000</v>
      </c>
      <c r="J2675" s="146" t="s">
        <v>1351</v>
      </c>
      <c r="K2675" s="146"/>
      <c r="L2675" s="146"/>
    </row>
    <row r="2676">
      <c r="B2676" s="144" t="s">
        <v>526</v>
      </c>
      <c r="C2676" s="138" t="s">
        <v>2369</v>
      </c>
      <c r="D2676" s="144" t="s">
        <v>13</v>
      </c>
      <c r="E2676" s="138" t="s">
        <v>48</v>
      </c>
      <c r="F2676" s="138" t="s">
        <v>643</v>
      </c>
      <c r="G2676" s="140">
        <v>130000.0</v>
      </c>
      <c r="H2676" s="144" t="s">
        <v>530</v>
      </c>
      <c r="I2676" s="152">
        <f t="shared" si="188"/>
        <v>13000</v>
      </c>
      <c r="J2676" s="146" t="s">
        <v>1351</v>
      </c>
      <c r="K2676" s="146"/>
      <c r="L2676" s="146"/>
    </row>
    <row r="2677">
      <c r="B2677" s="144" t="s">
        <v>526</v>
      </c>
      <c r="C2677" s="138" t="s">
        <v>2419</v>
      </c>
      <c r="D2677" s="144" t="s">
        <v>13</v>
      </c>
      <c r="E2677" s="138" t="s">
        <v>48</v>
      </c>
      <c r="F2677" s="138" t="s">
        <v>643</v>
      </c>
      <c r="G2677" s="140">
        <v>110000.0</v>
      </c>
      <c r="H2677" s="144" t="s">
        <v>530</v>
      </c>
      <c r="I2677" s="152">
        <f t="shared" si="188"/>
        <v>11000</v>
      </c>
      <c r="J2677" s="146" t="s">
        <v>1351</v>
      </c>
      <c r="K2677" s="146"/>
      <c r="L2677" s="146"/>
    </row>
    <row r="2678">
      <c r="B2678" s="144" t="s">
        <v>526</v>
      </c>
      <c r="C2678" s="138" t="s">
        <v>2947</v>
      </c>
      <c r="D2678" s="144" t="s">
        <v>13</v>
      </c>
      <c r="E2678" s="138" t="s">
        <v>48</v>
      </c>
      <c r="F2678" s="138" t="s">
        <v>643</v>
      </c>
      <c r="G2678" s="140">
        <v>65000.0</v>
      </c>
      <c r="H2678" s="138" t="s">
        <v>728</v>
      </c>
      <c r="I2678" s="152">
        <f>G2678/7</f>
        <v>9285.714286</v>
      </c>
      <c r="J2678" s="146" t="s">
        <v>1351</v>
      </c>
      <c r="K2678" s="146"/>
      <c r="L2678" s="146"/>
    </row>
    <row r="2679">
      <c r="B2679" s="144" t="s">
        <v>526</v>
      </c>
      <c r="C2679" s="138" t="s">
        <v>2948</v>
      </c>
      <c r="D2679" s="144" t="s">
        <v>13</v>
      </c>
      <c r="E2679" s="138" t="s">
        <v>48</v>
      </c>
      <c r="F2679" s="138" t="s">
        <v>643</v>
      </c>
      <c r="G2679" s="140">
        <v>45000.0</v>
      </c>
      <c r="H2679" s="138" t="s">
        <v>745</v>
      </c>
      <c r="I2679" s="152">
        <f>G2679/5</f>
        <v>9000</v>
      </c>
      <c r="J2679" s="146" t="s">
        <v>1351</v>
      </c>
      <c r="K2679" s="146"/>
      <c r="L2679" s="146"/>
    </row>
    <row r="2680">
      <c r="B2680" s="144" t="s">
        <v>526</v>
      </c>
      <c r="C2680" s="138" t="s">
        <v>2422</v>
      </c>
      <c r="D2680" s="144" t="s">
        <v>13</v>
      </c>
      <c r="E2680" s="138" t="s">
        <v>48</v>
      </c>
      <c r="F2680" s="138" t="s">
        <v>643</v>
      </c>
      <c r="G2680" s="140">
        <v>40000.0</v>
      </c>
      <c r="H2680" s="144" t="s">
        <v>530</v>
      </c>
      <c r="I2680" s="152">
        <f t="shared" ref="I2680:I2681" si="189">G2680/10</f>
        <v>4000</v>
      </c>
      <c r="J2680" s="146" t="s">
        <v>1351</v>
      </c>
      <c r="K2680" s="146"/>
      <c r="L2680" s="146"/>
    </row>
    <row r="2681">
      <c r="B2681" s="144" t="s">
        <v>526</v>
      </c>
      <c r="C2681" s="138" t="s">
        <v>2949</v>
      </c>
      <c r="D2681" s="144" t="s">
        <v>13</v>
      </c>
      <c r="E2681" s="138" t="s">
        <v>48</v>
      </c>
      <c r="F2681" s="138" t="s">
        <v>643</v>
      </c>
      <c r="G2681" s="140">
        <v>50000.0</v>
      </c>
      <c r="H2681" s="144" t="s">
        <v>530</v>
      </c>
      <c r="I2681" s="152">
        <f t="shared" si="189"/>
        <v>5000</v>
      </c>
      <c r="J2681" s="146" t="s">
        <v>1351</v>
      </c>
      <c r="K2681" s="146"/>
      <c r="L2681" s="146"/>
    </row>
    <row r="2682">
      <c r="B2682" s="144" t="s">
        <v>526</v>
      </c>
      <c r="C2682" s="138" t="s">
        <v>2950</v>
      </c>
      <c r="D2682" s="144" t="s">
        <v>13</v>
      </c>
      <c r="E2682" s="138" t="s">
        <v>48</v>
      </c>
      <c r="F2682" s="138" t="s">
        <v>643</v>
      </c>
      <c r="G2682" s="140">
        <v>32000.0</v>
      </c>
      <c r="H2682" s="138" t="s">
        <v>1155</v>
      </c>
      <c r="I2682" s="152">
        <f>G2682/8</f>
        <v>4000</v>
      </c>
      <c r="J2682" s="146" t="s">
        <v>1351</v>
      </c>
      <c r="K2682" s="146"/>
      <c r="L2682" s="146"/>
    </row>
    <row r="2683">
      <c r="B2683" s="144" t="s">
        <v>526</v>
      </c>
      <c r="C2683" s="138" t="s">
        <v>2951</v>
      </c>
      <c r="D2683" s="144" t="s">
        <v>13</v>
      </c>
      <c r="E2683" s="138" t="s">
        <v>48</v>
      </c>
      <c r="F2683" s="138" t="s">
        <v>643</v>
      </c>
      <c r="G2683" s="140">
        <v>30000.0</v>
      </c>
      <c r="H2683" s="138" t="s">
        <v>680</v>
      </c>
      <c r="I2683" s="152">
        <f>G2683/4</f>
        <v>7500</v>
      </c>
      <c r="J2683" s="146" t="s">
        <v>1351</v>
      </c>
      <c r="K2683" s="146"/>
      <c r="L2683" s="146"/>
    </row>
    <row r="2684">
      <c r="B2684" s="144" t="s">
        <v>526</v>
      </c>
      <c r="C2684" s="138" t="s">
        <v>2951</v>
      </c>
      <c r="D2684" s="144" t="s">
        <v>13</v>
      </c>
      <c r="E2684" s="138" t="s">
        <v>2908</v>
      </c>
      <c r="F2684" s="138" t="s">
        <v>643</v>
      </c>
      <c r="G2684" s="140">
        <v>40000.0</v>
      </c>
      <c r="H2684" s="138" t="s">
        <v>635</v>
      </c>
      <c r="I2684" s="152">
        <f>G2684/6</f>
        <v>6666.666667</v>
      </c>
      <c r="J2684" s="146" t="s">
        <v>1351</v>
      </c>
      <c r="K2684" s="146"/>
      <c r="L2684" s="146"/>
    </row>
    <row r="2685">
      <c r="B2685" s="144" t="s">
        <v>526</v>
      </c>
      <c r="C2685" s="138" t="s">
        <v>1578</v>
      </c>
      <c r="D2685" s="144" t="s">
        <v>13</v>
      </c>
      <c r="E2685" s="138" t="s">
        <v>19</v>
      </c>
      <c r="F2685" s="138" t="s">
        <v>643</v>
      </c>
      <c r="G2685" s="140">
        <v>700000.0</v>
      </c>
      <c r="H2685" s="144" t="s">
        <v>530</v>
      </c>
      <c r="I2685" s="152">
        <f t="shared" ref="I2685:I2699" si="190">G2685/10</f>
        <v>70000</v>
      </c>
      <c r="J2685" s="146" t="s">
        <v>1351</v>
      </c>
      <c r="K2685" s="146"/>
      <c r="L2685" s="146"/>
    </row>
    <row r="2686">
      <c r="B2686" s="144" t="s">
        <v>526</v>
      </c>
      <c r="C2686" s="138" t="s">
        <v>1253</v>
      </c>
      <c r="D2686" s="144" t="s">
        <v>13</v>
      </c>
      <c r="E2686" s="138" t="s">
        <v>19</v>
      </c>
      <c r="F2686" s="138" t="s">
        <v>643</v>
      </c>
      <c r="G2686" s="140">
        <v>1200000.0</v>
      </c>
      <c r="H2686" s="144" t="s">
        <v>530</v>
      </c>
      <c r="I2686" s="152">
        <f t="shared" si="190"/>
        <v>120000</v>
      </c>
      <c r="J2686" s="146" t="s">
        <v>1351</v>
      </c>
      <c r="K2686" s="146"/>
      <c r="L2686" s="146"/>
    </row>
    <row r="2687">
      <c r="B2687" s="144" t="s">
        <v>526</v>
      </c>
      <c r="C2687" s="138" t="s">
        <v>1713</v>
      </c>
      <c r="D2687" s="144" t="s">
        <v>13</v>
      </c>
      <c r="E2687" s="138" t="s">
        <v>19</v>
      </c>
      <c r="F2687" s="138" t="s">
        <v>643</v>
      </c>
      <c r="G2687" s="140">
        <v>200000.0</v>
      </c>
      <c r="H2687" s="144" t="s">
        <v>530</v>
      </c>
      <c r="I2687" s="152">
        <f t="shared" si="190"/>
        <v>20000</v>
      </c>
      <c r="J2687" s="146" t="s">
        <v>1351</v>
      </c>
      <c r="K2687" s="146"/>
      <c r="L2687" s="146"/>
    </row>
    <row r="2688">
      <c r="B2688" s="144" t="s">
        <v>526</v>
      </c>
      <c r="C2688" s="138" t="s">
        <v>2283</v>
      </c>
      <c r="D2688" s="144" t="s">
        <v>13</v>
      </c>
      <c r="E2688" s="138" t="s">
        <v>19</v>
      </c>
      <c r="F2688" s="138" t="s">
        <v>643</v>
      </c>
      <c r="G2688" s="140">
        <v>825000.0</v>
      </c>
      <c r="H2688" s="144" t="s">
        <v>530</v>
      </c>
      <c r="I2688" s="152">
        <f t="shared" si="190"/>
        <v>82500</v>
      </c>
      <c r="J2688" s="146" t="s">
        <v>1351</v>
      </c>
      <c r="K2688" s="146"/>
      <c r="L2688" s="146"/>
    </row>
    <row r="2689">
      <c r="B2689" s="144" t="s">
        <v>526</v>
      </c>
      <c r="C2689" s="138" t="s">
        <v>1336</v>
      </c>
      <c r="D2689" s="144" t="s">
        <v>13</v>
      </c>
      <c r="E2689" s="138" t="s">
        <v>19</v>
      </c>
      <c r="F2689" s="138" t="s">
        <v>643</v>
      </c>
      <c r="G2689" s="140">
        <v>425000.0</v>
      </c>
      <c r="H2689" s="144" t="s">
        <v>530</v>
      </c>
      <c r="I2689" s="152">
        <f t="shared" si="190"/>
        <v>42500</v>
      </c>
      <c r="J2689" s="146" t="s">
        <v>1351</v>
      </c>
      <c r="K2689" s="146"/>
      <c r="L2689" s="146"/>
    </row>
    <row r="2690">
      <c r="B2690" s="144" t="s">
        <v>526</v>
      </c>
      <c r="C2690" s="138" t="s">
        <v>2425</v>
      </c>
      <c r="D2690" s="144" t="s">
        <v>13</v>
      </c>
      <c r="E2690" s="138" t="s">
        <v>19</v>
      </c>
      <c r="F2690" s="138" t="s">
        <v>643</v>
      </c>
      <c r="G2690" s="140">
        <v>700000.0</v>
      </c>
      <c r="H2690" s="144" t="s">
        <v>530</v>
      </c>
      <c r="I2690" s="152">
        <f t="shared" si="190"/>
        <v>70000</v>
      </c>
      <c r="J2690" s="146" t="s">
        <v>1351</v>
      </c>
      <c r="K2690" s="146"/>
      <c r="L2690" s="146"/>
    </row>
    <row r="2691">
      <c r="B2691" s="144" t="s">
        <v>526</v>
      </c>
      <c r="C2691" s="138" t="s">
        <v>2427</v>
      </c>
      <c r="D2691" s="144" t="s">
        <v>13</v>
      </c>
      <c r="E2691" s="138" t="s">
        <v>19</v>
      </c>
      <c r="F2691" s="138" t="s">
        <v>643</v>
      </c>
      <c r="G2691" s="140">
        <v>700000.0</v>
      </c>
      <c r="H2691" s="144" t="s">
        <v>530</v>
      </c>
      <c r="I2691" s="152">
        <f t="shared" si="190"/>
        <v>70000</v>
      </c>
      <c r="J2691" s="146" t="s">
        <v>1351</v>
      </c>
      <c r="K2691" s="146"/>
      <c r="L2691" s="146"/>
    </row>
    <row r="2692">
      <c r="B2692" s="144" t="s">
        <v>526</v>
      </c>
      <c r="C2692" s="138" t="s">
        <v>2427</v>
      </c>
      <c r="D2692" s="144" t="s">
        <v>13</v>
      </c>
      <c r="E2692" s="138" t="s">
        <v>2295</v>
      </c>
      <c r="F2692" s="138" t="s">
        <v>543</v>
      </c>
      <c r="G2692" s="140">
        <v>108000.0</v>
      </c>
      <c r="H2692" s="144" t="s">
        <v>530</v>
      </c>
      <c r="I2692" s="152">
        <f t="shared" si="190"/>
        <v>10800</v>
      </c>
      <c r="J2692" s="146" t="s">
        <v>1351</v>
      </c>
      <c r="K2692" s="146"/>
      <c r="L2692" s="146"/>
    </row>
    <row r="2693">
      <c r="B2693" s="144" t="s">
        <v>526</v>
      </c>
      <c r="C2693" s="138" t="s">
        <v>2427</v>
      </c>
      <c r="D2693" s="144" t="s">
        <v>13</v>
      </c>
      <c r="E2693" s="138" t="s">
        <v>2295</v>
      </c>
      <c r="F2693" s="138" t="s">
        <v>529</v>
      </c>
      <c r="G2693" s="140">
        <v>110000.0</v>
      </c>
      <c r="H2693" s="144" t="s">
        <v>530</v>
      </c>
      <c r="I2693" s="152">
        <f t="shared" si="190"/>
        <v>11000</v>
      </c>
      <c r="J2693" s="146" t="s">
        <v>1351</v>
      </c>
      <c r="K2693" s="146"/>
      <c r="L2693" s="146"/>
    </row>
    <row r="2694">
      <c r="B2694" s="144" t="s">
        <v>526</v>
      </c>
      <c r="C2694" s="138" t="s">
        <v>2321</v>
      </c>
      <c r="D2694" s="144" t="s">
        <v>13</v>
      </c>
      <c r="E2694" s="138" t="s">
        <v>19</v>
      </c>
      <c r="F2694" s="138" t="s">
        <v>643</v>
      </c>
      <c r="G2694" s="140">
        <v>300000.0</v>
      </c>
      <c r="H2694" s="144" t="s">
        <v>530</v>
      </c>
      <c r="I2694" s="152">
        <f t="shared" si="190"/>
        <v>30000</v>
      </c>
      <c r="J2694" s="146" t="s">
        <v>1351</v>
      </c>
      <c r="K2694" s="146"/>
      <c r="L2694" s="146"/>
    </row>
    <row r="2695">
      <c r="B2695" s="144" t="s">
        <v>526</v>
      </c>
      <c r="C2695" s="138" t="s">
        <v>710</v>
      </c>
      <c r="D2695" s="144" t="s">
        <v>13</v>
      </c>
      <c r="E2695" s="138" t="s">
        <v>19</v>
      </c>
      <c r="F2695" s="138" t="s">
        <v>643</v>
      </c>
      <c r="G2695" s="140">
        <v>800000.0</v>
      </c>
      <c r="H2695" s="144" t="s">
        <v>530</v>
      </c>
      <c r="I2695" s="152">
        <f t="shared" si="190"/>
        <v>80000</v>
      </c>
      <c r="J2695" s="146" t="s">
        <v>1351</v>
      </c>
      <c r="K2695" s="146"/>
      <c r="L2695" s="146"/>
    </row>
    <row r="2696">
      <c r="B2696" s="144" t="s">
        <v>526</v>
      </c>
      <c r="C2696" s="138" t="s">
        <v>2287</v>
      </c>
      <c r="D2696" s="144" t="s">
        <v>13</v>
      </c>
      <c r="E2696" s="138" t="s">
        <v>19</v>
      </c>
      <c r="F2696" s="138" t="s">
        <v>643</v>
      </c>
      <c r="G2696" s="140">
        <v>375000.0</v>
      </c>
      <c r="H2696" s="144" t="s">
        <v>530</v>
      </c>
      <c r="I2696" s="152">
        <f t="shared" si="190"/>
        <v>37500</v>
      </c>
      <c r="J2696" s="146" t="s">
        <v>1351</v>
      </c>
      <c r="K2696" s="146"/>
      <c r="L2696" s="146"/>
    </row>
    <row r="2697">
      <c r="B2697" s="144" t="s">
        <v>526</v>
      </c>
      <c r="C2697" s="138" t="s">
        <v>2952</v>
      </c>
      <c r="D2697" s="144" t="s">
        <v>13</v>
      </c>
      <c r="E2697" s="138" t="s">
        <v>19</v>
      </c>
      <c r="F2697" s="138" t="s">
        <v>643</v>
      </c>
      <c r="G2697" s="140">
        <v>1500000.0</v>
      </c>
      <c r="H2697" s="144" t="s">
        <v>530</v>
      </c>
      <c r="I2697" s="152">
        <f t="shared" si="190"/>
        <v>150000</v>
      </c>
      <c r="J2697" s="146" t="s">
        <v>1351</v>
      </c>
      <c r="K2697" s="146"/>
      <c r="L2697" s="146"/>
    </row>
    <row r="2698">
      <c r="B2698" s="144" t="s">
        <v>526</v>
      </c>
      <c r="C2698" s="138" t="s">
        <v>2271</v>
      </c>
      <c r="D2698" s="144" t="s">
        <v>13</v>
      </c>
      <c r="E2698" s="138" t="s">
        <v>42</v>
      </c>
      <c r="F2698" s="138" t="s">
        <v>643</v>
      </c>
      <c r="G2698" s="140">
        <v>155000.0</v>
      </c>
      <c r="H2698" s="144" t="s">
        <v>530</v>
      </c>
      <c r="I2698" s="152">
        <f t="shared" si="190"/>
        <v>15500</v>
      </c>
      <c r="J2698" s="146" t="s">
        <v>1351</v>
      </c>
      <c r="K2698" s="146"/>
      <c r="L2698" s="146"/>
    </row>
    <row r="2699">
      <c r="B2699" s="144" t="s">
        <v>526</v>
      </c>
      <c r="C2699" s="138" t="s">
        <v>2429</v>
      </c>
      <c r="D2699" s="144" t="s">
        <v>13</v>
      </c>
      <c r="E2699" s="138" t="s">
        <v>42</v>
      </c>
      <c r="F2699" s="138" t="s">
        <v>643</v>
      </c>
      <c r="G2699" s="140">
        <v>150000.0</v>
      </c>
      <c r="H2699" s="144" t="s">
        <v>530</v>
      </c>
      <c r="I2699" s="152">
        <f t="shared" si="190"/>
        <v>15000</v>
      </c>
      <c r="J2699" s="146" t="s">
        <v>1351</v>
      </c>
      <c r="K2699" s="146"/>
      <c r="L2699" s="146"/>
    </row>
    <row r="2700">
      <c r="B2700" s="144" t="s">
        <v>526</v>
      </c>
      <c r="C2700" s="138" t="s">
        <v>2432</v>
      </c>
      <c r="D2700" s="144" t="s">
        <v>13</v>
      </c>
      <c r="E2700" s="138" t="s">
        <v>42</v>
      </c>
      <c r="F2700" s="138" t="s">
        <v>643</v>
      </c>
      <c r="G2700" s="140">
        <v>75000.0</v>
      </c>
      <c r="H2700" s="138" t="s">
        <v>728</v>
      </c>
      <c r="I2700" s="152">
        <f>G2700/7</f>
        <v>10714.28571</v>
      </c>
      <c r="J2700" s="146" t="s">
        <v>1351</v>
      </c>
      <c r="K2700" s="146"/>
      <c r="L2700" s="146"/>
    </row>
    <row r="2701">
      <c r="B2701" s="144" t="s">
        <v>526</v>
      </c>
      <c r="C2701" s="138" t="s">
        <v>2953</v>
      </c>
      <c r="D2701" s="144" t="s">
        <v>13</v>
      </c>
      <c r="E2701" s="138" t="s">
        <v>42</v>
      </c>
      <c r="F2701" s="138" t="s">
        <v>643</v>
      </c>
      <c r="G2701" s="140">
        <v>90000.0</v>
      </c>
      <c r="H2701" s="144" t="s">
        <v>530</v>
      </c>
      <c r="I2701" s="152">
        <f>G2701/10</f>
        <v>9000</v>
      </c>
      <c r="J2701" s="146" t="s">
        <v>1351</v>
      </c>
      <c r="K2701" s="146"/>
      <c r="L2701" s="146"/>
    </row>
    <row r="2702">
      <c r="B2702" s="144" t="s">
        <v>526</v>
      </c>
      <c r="C2702" s="138" t="s">
        <v>2954</v>
      </c>
      <c r="D2702" s="144" t="s">
        <v>13</v>
      </c>
      <c r="E2702" s="138" t="s">
        <v>42</v>
      </c>
      <c r="F2702" s="138" t="s">
        <v>643</v>
      </c>
      <c r="G2702" s="140">
        <v>60000.0</v>
      </c>
      <c r="H2702" s="138" t="s">
        <v>635</v>
      </c>
      <c r="I2702" s="152">
        <f>G2702/6</f>
        <v>10000</v>
      </c>
      <c r="J2702" s="146" t="s">
        <v>1351</v>
      </c>
      <c r="K2702" s="146"/>
      <c r="L2702" s="146"/>
    </row>
    <row r="2703">
      <c r="B2703" s="144" t="s">
        <v>526</v>
      </c>
      <c r="C2703" s="138" t="s">
        <v>2193</v>
      </c>
      <c r="D2703" s="144" t="s">
        <v>13</v>
      </c>
      <c r="E2703" s="138" t="s">
        <v>42</v>
      </c>
      <c r="F2703" s="138" t="s">
        <v>643</v>
      </c>
      <c r="G2703" s="140">
        <v>60000.0</v>
      </c>
      <c r="H2703" s="144" t="s">
        <v>530</v>
      </c>
      <c r="I2703" s="152">
        <f t="shared" ref="I2703:I2706" si="191">G2703/10</f>
        <v>6000</v>
      </c>
      <c r="J2703" s="146" t="s">
        <v>1351</v>
      </c>
      <c r="K2703" s="146"/>
      <c r="L2703" s="146"/>
    </row>
    <row r="2704">
      <c r="B2704" s="144" t="s">
        <v>526</v>
      </c>
      <c r="C2704" s="138" t="s">
        <v>2431</v>
      </c>
      <c r="D2704" s="144" t="s">
        <v>13</v>
      </c>
      <c r="E2704" s="138" t="s">
        <v>42</v>
      </c>
      <c r="F2704" s="138" t="s">
        <v>643</v>
      </c>
      <c r="G2704" s="140">
        <v>55000.0</v>
      </c>
      <c r="H2704" s="144" t="s">
        <v>530</v>
      </c>
      <c r="I2704" s="152">
        <f t="shared" si="191"/>
        <v>5500</v>
      </c>
      <c r="J2704" s="146" t="s">
        <v>1351</v>
      </c>
      <c r="K2704" s="146"/>
      <c r="L2704" s="146"/>
    </row>
    <row r="2705">
      <c r="B2705" s="144" t="s">
        <v>526</v>
      </c>
      <c r="C2705" s="138" t="s">
        <v>2955</v>
      </c>
      <c r="D2705" s="144" t="s">
        <v>13</v>
      </c>
      <c r="E2705" s="138" t="s">
        <v>42</v>
      </c>
      <c r="F2705" s="138" t="s">
        <v>643</v>
      </c>
      <c r="G2705" s="140">
        <v>66000.0</v>
      </c>
      <c r="H2705" s="144" t="s">
        <v>530</v>
      </c>
      <c r="I2705" s="152">
        <f t="shared" si="191"/>
        <v>6600</v>
      </c>
      <c r="J2705" s="146" t="s">
        <v>1351</v>
      </c>
      <c r="K2705" s="146"/>
      <c r="L2705" s="146"/>
    </row>
    <row r="2706">
      <c r="B2706" s="144" t="s">
        <v>526</v>
      </c>
      <c r="C2706" s="138" t="s">
        <v>2241</v>
      </c>
      <c r="D2706" s="144" t="s">
        <v>13</v>
      </c>
      <c r="E2706" s="138" t="s">
        <v>42</v>
      </c>
      <c r="F2706" s="138" t="s">
        <v>643</v>
      </c>
      <c r="G2706" s="140">
        <v>84000.0</v>
      </c>
      <c r="H2706" s="144" t="s">
        <v>530</v>
      </c>
      <c r="I2706" s="152">
        <f t="shared" si="191"/>
        <v>8400</v>
      </c>
      <c r="J2706" s="146" t="s">
        <v>1351</v>
      </c>
      <c r="K2706" s="146"/>
      <c r="L2706" s="146"/>
    </row>
    <row r="2707">
      <c r="B2707" s="144" t="s">
        <v>526</v>
      </c>
      <c r="C2707" s="138" t="s">
        <v>2956</v>
      </c>
      <c r="D2707" s="144" t="s">
        <v>13</v>
      </c>
      <c r="E2707" s="138" t="s">
        <v>42</v>
      </c>
      <c r="F2707" s="138" t="s">
        <v>643</v>
      </c>
      <c r="G2707" s="140">
        <v>50000.0</v>
      </c>
      <c r="H2707" s="138" t="s">
        <v>745</v>
      </c>
      <c r="I2707" s="152">
        <f>G2707/5</f>
        <v>10000</v>
      </c>
      <c r="J2707" s="146" t="s">
        <v>1351</v>
      </c>
      <c r="K2707" s="146"/>
      <c r="L2707" s="146"/>
    </row>
    <row r="2708">
      <c r="B2708" s="144" t="s">
        <v>526</v>
      </c>
      <c r="C2708" s="138" t="s">
        <v>2957</v>
      </c>
      <c r="D2708" s="144" t="s">
        <v>13</v>
      </c>
      <c r="E2708" s="138" t="s">
        <v>42</v>
      </c>
      <c r="F2708" s="138" t="s">
        <v>643</v>
      </c>
      <c r="G2708" s="140">
        <v>65000.0</v>
      </c>
      <c r="H2708" s="138" t="s">
        <v>635</v>
      </c>
      <c r="I2708" s="152">
        <f>G2708/6</f>
        <v>10833.33333</v>
      </c>
      <c r="J2708" s="146" t="s">
        <v>1351</v>
      </c>
      <c r="K2708" s="146"/>
      <c r="L2708" s="146"/>
    </row>
    <row r="2709">
      <c r="B2709" s="144" t="s">
        <v>526</v>
      </c>
      <c r="C2709" s="138" t="s">
        <v>2958</v>
      </c>
      <c r="D2709" s="144" t="s">
        <v>13</v>
      </c>
      <c r="E2709" s="138" t="s">
        <v>42</v>
      </c>
      <c r="F2709" s="138" t="s">
        <v>643</v>
      </c>
      <c r="G2709" s="140">
        <v>10000.0</v>
      </c>
      <c r="H2709" s="138" t="s">
        <v>680</v>
      </c>
      <c r="I2709" s="152">
        <f>G2709/4</f>
        <v>2500</v>
      </c>
      <c r="J2709" s="146" t="s">
        <v>1351</v>
      </c>
      <c r="K2709" s="146"/>
      <c r="L2709" s="146"/>
    </row>
    <row r="2710">
      <c r="B2710" s="144" t="s">
        <v>526</v>
      </c>
      <c r="C2710" s="138" t="s">
        <v>2959</v>
      </c>
      <c r="D2710" s="144" t="s">
        <v>13</v>
      </c>
      <c r="E2710" s="138" t="s">
        <v>42</v>
      </c>
      <c r="F2710" s="138" t="s">
        <v>643</v>
      </c>
      <c r="G2710" s="140">
        <v>15000.0</v>
      </c>
      <c r="H2710" s="138" t="s">
        <v>1155</v>
      </c>
      <c r="I2710" s="152">
        <f>G2710/8</f>
        <v>1875</v>
      </c>
      <c r="J2710" s="146" t="s">
        <v>1351</v>
      </c>
      <c r="K2710" s="146"/>
      <c r="L2710" s="146"/>
    </row>
    <row r="2711">
      <c r="B2711" s="144" t="s">
        <v>526</v>
      </c>
      <c r="C2711" s="138" t="s">
        <v>2225</v>
      </c>
      <c r="D2711" s="144" t="s">
        <v>13</v>
      </c>
      <c r="E2711" s="138" t="s">
        <v>27</v>
      </c>
      <c r="F2711" s="138" t="s">
        <v>643</v>
      </c>
      <c r="G2711" s="140">
        <v>190000.0</v>
      </c>
      <c r="H2711" s="144" t="s">
        <v>530</v>
      </c>
      <c r="I2711" s="152">
        <f t="shared" ref="I2711:I2724" si="192">G2711/10</f>
        <v>19000</v>
      </c>
      <c r="J2711" s="146" t="s">
        <v>1351</v>
      </c>
      <c r="K2711" s="146"/>
      <c r="L2711" s="146"/>
    </row>
    <row r="2712">
      <c r="B2712" s="144" t="s">
        <v>526</v>
      </c>
      <c r="C2712" s="138" t="s">
        <v>2437</v>
      </c>
      <c r="D2712" s="144" t="s">
        <v>13</v>
      </c>
      <c r="E2712" s="138" t="s">
        <v>27</v>
      </c>
      <c r="F2712" s="138" t="s">
        <v>643</v>
      </c>
      <c r="G2712" s="140">
        <v>150000.0</v>
      </c>
      <c r="H2712" s="144" t="s">
        <v>530</v>
      </c>
      <c r="I2712" s="152">
        <f t="shared" si="192"/>
        <v>15000</v>
      </c>
      <c r="J2712" s="146" t="s">
        <v>1351</v>
      </c>
      <c r="K2712" s="146"/>
      <c r="L2712" s="146"/>
    </row>
    <row r="2713">
      <c r="B2713" s="144" t="s">
        <v>526</v>
      </c>
      <c r="C2713" s="138" t="s">
        <v>2960</v>
      </c>
      <c r="D2713" s="144" t="s">
        <v>13</v>
      </c>
      <c r="E2713" s="138" t="s">
        <v>27</v>
      </c>
      <c r="F2713" s="138" t="s">
        <v>643</v>
      </c>
      <c r="G2713" s="140">
        <v>155000.0</v>
      </c>
      <c r="H2713" s="144" t="s">
        <v>530</v>
      </c>
      <c r="I2713" s="152">
        <f t="shared" si="192"/>
        <v>15500</v>
      </c>
      <c r="J2713" s="146" t="s">
        <v>1351</v>
      </c>
      <c r="K2713" s="146"/>
      <c r="L2713" s="146"/>
    </row>
    <row r="2714">
      <c r="B2714" s="144" t="s">
        <v>526</v>
      </c>
      <c r="C2714" s="138" t="s">
        <v>2303</v>
      </c>
      <c r="D2714" s="144" t="s">
        <v>13</v>
      </c>
      <c r="E2714" s="138" t="s">
        <v>27</v>
      </c>
      <c r="F2714" s="138" t="s">
        <v>643</v>
      </c>
      <c r="G2714" s="140">
        <v>120000.0</v>
      </c>
      <c r="H2714" s="144" t="s">
        <v>530</v>
      </c>
      <c r="I2714" s="152">
        <f t="shared" si="192"/>
        <v>12000</v>
      </c>
      <c r="J2714" s="146" t="s">
        <v>1351</v>
      </c>
      <c r="K2714" s="146"/>
      <c r="L2714" s="146"/>
    </row>
    <row r="2715">
      <c r="B2715" s="144" t="s">
        <v>526</v>
      </c>
      <c r="C2715" s="138" t="s">
        <v>2322</v>
      </c>
      <c r="D2715" s="144" t="s">
        <v>13</v>
      </c>
      <c r="E2715" s="138" t="s">
        <v>27</v>
      </c>
      <c r="F2715" s="138" t="s">
        <v>643</v>
      </c>
      <c r="G2715" s="140">
        <v>115000.0</v>
      </c>
      <c r="H2715" s="144" t="s">
        <v>530</v>
      </c>
      <c r="I2715" s="152">
        <f t="shared" si="192"/>
        <v>11500</v>
      </c>
      <c r="J2715" s="146" t="s">
        <v>1351</v>
      </c>
      <c r="K2715" s="146"/>
      <c r="L2715" s="146"/>
    </row>
    <row r="2716">
      <c r="B2716" s="144" t="s">
        <v>526</v>
      </c>
      <c r="C2716" s="138" t="s">
        <v>2961</v>
      </c>
      <c r="D2716" s="144" t="s">
        <v>13</v>
      </c>
      <c r="E2716" s="138" t="s">
        <v>27</v>
      </c>
      <c r="F2716" s="138" t="s">
        <v>643</v>
      </c>
      <c r="G2716" s="140">
        <v>100000.0</v>
      </c>
      <c r="H2716" s="144" t="s">
        <v>530</v>
      </c>
      <c r="I2716" s="152">
        <f t="shared" si="192"/>
        <v>10000</v>
      </c>
      <c r="J2716" s="146" t="s">
        <v>1351</v>
      </c>
      <c r="K2716" s="146"/>
      <c r="L2716" s="146"/>
    </row>
    <row r="2717">
      <c r="B2717" s="144" t="s">
        <v>526</v>
      </c>
      <c r="C2717" s="138" t="s">
        <v>2286</v>
      </c>
      <c r="D2717" s="144" t="s">
        <v>13</v>
      </c>
      <c r="E2717" s="138" t="s">
        <v>27</v>
      </c>
      <c r="F2717" s="138" t="s">
        <v>643</v>
      </c>
      <c r="G2717" s="140">
        <v>145000.0</v>
      </c>
      <c r="H2717" s="144" t="s">
        <v>530</v>
      </c>
      <c r="I2717" s="152">
        <f t="shared" si="192"/>
        <v>14500</v>
      </c>
      <c r="J2717" s="146" t="s">
        <v>1351</v>
      </c>
      <c r="K2717" s="146"/>
      <c r="L2717" s="146"/>
    </row>
    <row r="2718">
      <c r="B2718" s="144" t="s">
        <v>526</v>
      </c>
      <c r="C2718" s="138" t="s">
        <v>2309</v>
      </c>
      <c r="D2718" s="144" t="s">
        <v>13</v>
      </c>
      <c r="E2718" s="138" t="s">
        <v>27</v>
      </c>
      <c r="F2718" s="138" t="s">
        <v>643</v>
      </c>
      <c r="G2718" s="140">
        <v>80000.0</v>
      </c>
      <c r="H2718" s="144" t="s">
        <v>530</v>
      </c>
      <c r="I2718" s="152">
        <f t="shared" si="192"/>
        <v>8000</v>
      </c>
      <c r="J2718" s="146" t="s">
        <v>1351</v>
      </c>
      <c r="K2718" s="146"/>
      <c r="L2718" s="146"/>
    </row>
    <row r="2719">
      <c r="B2719" s="144" t="s">
        <v>526</v>
      </c>
      <c r="C2719" s="138" t="s">
        <v>2962</v>
      </c>
      <c r="D2719" s="144" t="s">
        <v>13</v>
      </c>
      <c r="E2719" s="138" t="s">
        <v>27</v>
      </c>
      <c r="F2719" s="138" t="s">
        <v>643</v>
      </c>
      <c r="G2719" s="140">
        <v>105000.0</v>
      </c>
      <c r="H2719" s="144" t="s">
        <v>530</v>
      </c>
      <c r="I2719" s="152">
        <f t="shared" si="192"/>
        <v>10500</v>
      </c>
      <c r="J2719" s="146" t="s">
        <v>1351</v>
      </c>
      <c r="K2719" s="146"/>
      <c r="L2719" s="146"/>
    </row>
    <row r="2720">
      <c r="B2720" s="144" t="s">
        <v>526</v>
      </c>
      <c r="C2720" s="138" t="s">
        <v>2263</v>
      </c>
      <c r="D2720" s="144" t="s">
        <v>13</v>
      </c>
      <c r="E2720" s="138" t="s">
        <v>27</v>
      </c>
      <c r="F2720" s="138" t="s">
        <v>643</v>
      </c>
      <c r="G2720" s="140">
        <v>18000.0</v>
      </c>
      <c r="H2720" s="144" t="s">
        <v>530</v>
      </c>
      <c r="I2720" s="152">
        <f t="shared" si="192"/>
        <v>1800</v>
      </c>
      <c r="J2720" s="146" t="s">
        <v>1351</v>
      </c>
      <c r="K2720" s="146"/>
      <c r="L2720" s="146"/>
    </row>
    <row r="2721">
      <c r="B2721" s="144" t="s">
        <v>526</v>
      </c>
      <c r="C2721" s="138" t="s">
        <v>663</v>
      </c>
      <c r="D2721" s="144" t="s">
        <v>13</v>
      </c>
      <c r="E2721" s="138" t="s">
        <v>14</v>
      </c>
      <c r="F2721" s="138" t="s">
        <v>643</v>
      </c>
      <c r="G2721" s="140">
        <v>340000.0</v>
      </c>
      <c r="H2721" s="144" t="s">
        <v>530</v>
      </c>
      <c r="I2721" s="152">
        <f t="shared" si="192"/>
        <v>34000</v>
      </c>
      <c r="J2721" s="146" t="s">
        <v>1351</v>
      </c>
      <c r="K2721" s="146"/>
      <c r="L2721" s="146"/>
    </row>
    <row r="2722">
      <c r="B2722" s="144" t="s">
        <v>526</v>
      </c>
      <c r="C2722" s="138" t="s">
        <v>2313</v>
      </c>
      <c r="D2722" s="144" t="s">
        <v>13</v>
      </c>
      <c r="E2722" s="138" t="s">
        <v>14</v>
      </c>
      <c r="F2722" s="138" t="s">
        <v>643</v>
      </c>
      <c r="G2722" s="140">
        <v>175000.0</v>
      </c>
      <c r="H2722" s="144" t="s">
        <v>530</v>
      </c>
      <c r="I2722" s="152">
        <f t="shared" si="192"/>
        <v>17500</v>
      </c>
      <c r="J2722" s="146" t="s">
        <v>1351</v>
      </c>
      <c r="K2722" s="146"/>
      <c r="L2722" s="146"/>
    </row>
    <row r="2723">
      <c r="B2723" s="144" t="s">
        <v>526</v>
      </c>
      <c r="C2723" s="138" t="s">
        <v>716</v>
      </c>
      <c r="D2723" s="144" t="s">
        <v>13</v>
      </c>
      <c r="E2723" s="138" t="s">
        <v>14</v>
      </c>
      <c r="F2723" s="138" t="s">
        <v>643</v>
      </c>
      <c r="G2723" s="140">
        <v>150000.0</v>
      </c>
      <c r="H2723" s="144" t="s">
        <v>530</v>
      </c>
      <c r="I2723" s="152">
        <f t="shared" si="192"/>
        <v>15000</v>
      </c>
      <c r="J2723" s="146" t="s">
        <v>1351</v>
      </c>
      <c r="K2723" s="146"/>
      <c r="L2723" s="146"/>
    </row>
    <row r="2724">
      <c r="B2724" s="144" t="s">
        <v>526</v>
      </c>
      <c r="C2724" s="138" t="s">
        <v>1267</v>
      </c>
      <c r="D2724" s="144" t="s">
        <v>13</v>
      </c>
      <c r="E2724" s="138" t="s">
        <v>14</v>
      </c>
      <c r="F2724" s="138" t="s">
        <v>643</v>
      </c>
      <c r="G2724" s="140">
        <v>120000.0</v>
      </c>
      <c r="H2724" s="144" t="s">
        <v>530</v>
      </c>
      <c r="I2724" s="152">
        <f t="shared" si="192"/>
        <v>12000</v>
      </c>
      <c r="J2724" s="146" t="s">
        <v>1351</v>
      </c>
      <c r="K2724" s="146"/>
      <c r="L2724" s="146"/>
    </row>
    <row r="2725">
      <c r="B2725" s="144" t="s">
        <v>526</v>
      </c>
      <c r="C2725" s="138" t="s">
        <v>2963</v>
      </c>
      <c r="D2725" s="144" t="s">
        <v>13</v>
      </c>
      <c r="E2725" s="138" t="s">
        <v>14</v>
      </c>
      <c r="F2725" s="138" t="s">
        <v>643</v>
      </c>
      <c r="G2725" s="140">
        <v>28000.0</v>
      </c>
      <c r="H2725" s="138" t="s">
        <v>677</v>
      </c>
      <c r="I2725" s="152">
        <f>G2725/2</f>
        <v>14000</v>
      </c>
      <c r="J2725" s="146" t="s">
        <v>1351</v>
      </c>
      <c r="K2725" s="146"/>
      <c r="L2725" s="146"/>
    </row>
    <row r="2726">
      <c r="B2726" s="144" t="s">
        <v>526</v>
      </c>
      <c r="C2726" s="138" t="s">
        <v>2318</v>
      </c>
      <c r="D2726" s="144" t="s">
        <v>13</v>
      </c>
      <c r="E2726" s="138" t="s">
        <v>14</v>
      </c>
      <c r="F2726" s="138" t="s">
        <v>643</v>
      </c>
      <c r="G2726" s="140">
        <v>135000.0</v>
      </c>
      <c r="H2726" s="144" t="s">
        <v>530</v>
      </c>
      <c r="I2726" s="152">
        <f t="shared" ref="I2726:I2727" si="193">G2726/10</f>
        <v>13500</v>
      </c>
      <c r="J2726" s="146" t="s">
        <v>1351</v>
      </c>
      <c r="K2726" s="146"/>
      <c r="L2726" s="146"/>
    </row>
    <row r="2727">
      <c r="B2727" s="144" t="s">
        <v>526</v>
      </c>
      <c r="C2727" s="138" t="s">
        <v>2443</v>
      </c>
      <c r="D2727" s="144" t="s">
        <v>13</v>
      </c>
      <c r="E2727" s="138" t="s">
        <v>14</v>
      </c>
      <c r="F2727" s="138" t="s">
        <v>643</v>
      </c>
      <c r="G2727" s="140">
        <v>120000.0</v>
      </c>
      <c r="H2727" s="144" t="s">
        <v>530</v>
      </c>
      <c r="I2727" s="152">
        <f t="shared" si="193"/>
        <v>12000</v>
      </c>
      <c r="J2727" s="146" t="s">
        <v>1351</v>
      </c>
      <c r="K2727" s="146"/>
      <c r="L2727" s="146"/>
    </row>
    <row r="2728">
      <c r="B2728" s="144" t="s">
        <v>526</v>
      </c>
      <c r="C2728" s="138" t="s">
        <v>2170</v>
      </c>
      <c r="D2728" s="144" t="s">
        <v>13</v>
      </c>
      <c r="E2728" s="138" t="s">
        <v>14</v>
      </c>
      <c r="F2728" s="138" t="s">
        <v>643</v>
      </c>
      <c r="G2728" s="140">
        <v>65000.0</v>
      </c>
      <c r="H2728" s="138" t="s">
        <v>610</v>
      </c>
      <c r="I2728" s="152">
        <f>G2728/9</f>
        <v>7222.222222</v>
      </c>
      <c r="J2728" s="146" t="s">
        <v>1351</v>
      </c>
      <c r="K2728" s="146"/>
      <c r="L2728" s="146"/>
    </row>
    <row r="2729">
      <c r="B2729" s="144" t="s">
        <v>526</v>
      </c>
      <c r="C2729" s="138" t="s">
        <v>2444</v>
      </c>
      <c r="D2729" s="144" t="s">
        <v>13</v>
      </c>
      <c r="E2729" s="138" t="s">
        <v>14</v>
      </c>
      <c r="F2729" s="138" t="s">
        <v>643</v>
      </c>
      <c r="G2729" s="140">
        <v>120000.0</v>
      </c>
      <c r="H2729" s="144" t="s">
        <v>530</v>
      </c>
      <c r="I2729" s="152">
        <f t="shared" ref="I2729:I2733" si="194">G2729/10</f>
        <v>12000</v>
      </c>
      <c r="J2729" s="146" t="s">
        <v>1351</v>
      </c>
      <c r="K2729" s="146"/>
      <c r="L2729" s="146"/>
    </row>
    <row r="2730">
      <c r="B2730" s="144" t="s">
        <v>526</v>
      </c>
      <c r="C2730" s="138" t="s">
        <v>2445</v>
      </c>
      <c r="D2730" s="144" t="s">
        <v>13</v>
      </c>
      <c r="E2730" s="138" t="s">
        <v>14</v>
      </c>
      <c r="F2730" s="138" t="s">
        <v>643</v>
      </c>
      <c r="G2730" s="140">
        <v>120000.0</v>
      </c>
      <c r="H2730" s="144" t="s">
        <v>530</v>
      </c>
      <c r="I2730" s="152">
        <f t="shared" si="194"/>
        <v>12000</v>
      </c>
      <c r="J2730" s="146" t="s">
        <v>1351</v>
      </c>
      <c r="K2730" s="146"/>
      <c r="L2730" s="146"/>
    </row>
    <row r="2731">
      <c r="B2731" s="144" t="s">
        <v>526</v>
      </c>
      <c r="C2731" s="138" t="s">
        <v>2242</v>
      </c>
      <c r="D2731" s="144" t="s">
        <v>13</v>
      </c>
      <c r="E2731" s="138" t="s">
        <v>14</v>
      </c>
      <c r="F2731" s="138" t="s">
        <v>643</v>
      </c>
      <c r="G2731" s="140">
        <v>100000.0</v>
      </c>
      <c r="H2731" s="144" t="s">
        <v>530</v>
      </c>
      <c r="I2731" s="152">
        <f t="shared" si="194"/>
        <v>10000</v>
      </c>
      <c r="J2731" s="146" t="s">
        <v>1351</v>
      </c>
      <c r="K2731" s="146"/>
      <c r="L2731" s="146"/>
    </row>
    <row r="2732">
      <c r="B2732" s="144" t="s">
        <v>526</v>
      </c>
      <c r="C2732" s="138" t="s">
        <v>2446</v>
      </c>
      <c r="D2732" s="144" t="s">
        <v>13</v>
      </c>
      <c r="E2732" s="138" t="s">
        <v>14</v>
      </c>
      <c r="F2732" s="138" t="s">
        <v>643</v>
      </c>
      <c r="G2732" s="140">
        <v>135000.0</v>
      </c>
      <c r="H2732" s="144" t="s">
        <v>530</v>
      </c>
      <c r="I2732" s="152">
        <f t="shared" si="194"/>
        <v>13500</v>
      </c>
      <c r="J2732" s="146" t="s">
        <v>1351</v>
      </c>
      <c r="K2732" s="146"/>
      <c r="L2732" s="146"/>
    </row>
    <row r="2733">
      <c r="B2733" s="144" t="s">
        <v>526</v>
      </c>
      <c r="C2733" s="138" t="s">
        <v>2329</v>
      </c>
      <c r="D2733" s="144" t="s">
        <v>13</v>
      </c>
      <c r="E2733" s="138" t="s">
        <v>14</v>
      </c>
      <c r="F2733" s="138" t="s">
        <v>643</v>
      </c>
      <c r="G2733" s="140">
        <v>60000.0</v>
      </c>
      <c r="H2733" s="144" t="s">
        <v>530</v>
      </c>
      <c r="I2733" s="152">
        <f t="shared" si="194"/>
        <v>6000</v>
      </c>
      <c r="J2733" s="146" t="s">
        <v>1351</v>
      </c>
      <c r="K2733" s="146"/>
      <c r="L2733" s="146"/>
    </row>
    <row r="2734">
      <c r="B2734" s="144" t="s">
        <v>526</v>
      </c>
      <c r="C2734" s="138" t="s">
        <v>2375</v>
      </c>
      <c r="D2734" s="144" t="s">
        <v>13</v>
      </c>
      <c r="E2734" s="138" t="s">
        <v>14</v>
      </c>
      <c r="F2734" s="138" t="s">
        <v>643</v>
      </c>
      <c r="G2734" s="140">
        <v>15000.0</v>
      </c>
      <c r="H2734" s="138" t="s">
        <v>635</v>
      </c>
      <c r="I2734" s="152">
        <f>G2734/6</f>
        <v>2500</v>
      </c>
      <c r="J2734" s="146" t="s">
        <v>1351</v>
      </c>
      <c r="K2734" s="146"/>
      <c r="L2734" s="146"/>
    </row>
    <row r="2735">
      <c r="B2735" s="144" t="s">
        <v>526</v>
      </c>
      <c r="C2735" s="138" t="s">
        <v>2964</v>
      </c>
      <c r="D2735" s="144" t="s">
        <v>13</v>
      </c>
      <c r="E2735" s="138" t="s">
        <v>2203</v>
      </c>
      <c r="F2735" s="138" t="s">
        <v>643</v>
      </c>
      <c r="G2735" s="140">
        <v>150000.0</v>
      </c>
      <c r="H2735" s="144" t="s">
        <v>530</v>
      </c>
      <c r="I2735" s="152">
        <f>G2735/10</f>
        <v>15000</v>
      </c>
      <c r="J2735" s="146" t="s">
        <v>1351</v>
      </c>
      <c r="K2735" s="146"/>
      <c r="L2735" s="146"/>
    </row>
    <row r="2736">
      <c r="B2736" s="144" t="s">
        <v>526</v>
      </c>
      <c r="C2736" s="138" t="s">
        <v>2965</v>
      </c>
      <c r="D2736" s="144" t="s">
        <v>13</v>
      </c>
      <c r="E2736" s="138" t="s">
        <v>2203</v>
      </c>
      <c r="F2736" s="138" t="s">
        <v>643</v>
      </c>
      <c r="G2736" s="140">
        <v>20000.0</v>
      </c>
      <c r="H2736" s="138" t="s">
        <v>872</v>
      </c>
      <c r="I2736" s="152">
        <f>G2736/3</f>
        <v>6666.666667</v>
      </c>
      <c r="J2736" s="146" t="s">
        <v>1351</v>
      </c>
      <c r="K2736" s="146"/>
      <c r="L2736" s="146"/>
    </row>
    <row r="2737">
      <c r="B2737" s="144" t="s">
        <v>526</v>
      </c>
      <c r="C2737" s="138" t="s">
        <v>2916</v>
      </c>
      <c r="D2737" s="144" t="s">
        <v>13</v>
      </c>
      <c r="E2737" s="138" t="s">
        <v>2203</v>
      </c>
      <c r="F2737" s="138" t="s">
        <v>643</v>
      </c>
      <c r="G2737" s="140">
        <v>70000.0</v>
      </c>
      <c r="H2737" s="138" t="s">
        <v>728</v>
      </c>
      <c r="I2737" s="152">
        <f>G2737/7</f>
        <v>10000</v>
      </c>
      <c r="J2737" s="146" t="s">
        <v>1351</v>
      </c>
      <c r="K2737" s="146"/>
      <c r="L2737" s="146"/>
    </row>
    <row r="2738">
      <c r="B2738" s="144" t="s">
        <v>526</v>
      </c>
      <c r="C2738" s="138" t="s">
        <v>2966</v>
      </c>
      <c r="D2738" s="144" t="s">
        <v>13</v>
      </c>
      <c r="E2738" s="138" t="s">
        <v>2203</v>
      </c>
      <c r="F2738" s="138" t="s">
        <v>643</v>
      </c>
      <c r="G2738" s="140">
        <v>130000.0</v>
      </c>
      <c r="H2738" s="138" t="s">
        <v>1155</v>
      </c>
      <c r="I2738" s="152">
        <f>G2738/8</f>
        <v>16250</v>
      </c>
      <c r="J2738" s="146" t="s">
        <v>1351</v>
      </c>
      <c r="K2738" s="146"/>
      <c r="L2738" s="146"/>
    </row>
    <row r="2739">
      <c r="B2739" s="144" t="s">
        <v>526</v>
      </c>
      <c r="C2739" s="138" t="s">
        <v>2967</v>
      </c>
      <c r="D2739" s="144" t="s">
        <v>13</v>
      </c>
      <c r="E2739" s="138" t="s">
        <v>2203</v>
      </c>
      <c r="F2739" s="138" t="s">
        <v>643</v>
      </c>
      <c r="G2739" s="140">
        <v>30000.0</v>
      </c>
      <c r="H2739" s="138" t="s">
        <v>872</v>
      </c>
      <c r="I2739" s="152">
        <f t="shared" ref="I2739:I2740" si="195">G2739/3</f>
        <v>10000</v>
      </c>
      <c r="J2739" s="146" t="s">
        <v>1351</v>
      </c>
      <c r="K2739" s="146"/>
      <c r="L2739" s="146"/>
    </row>
    <row r="2740">
      <c r="B2740" s="144" t="s">
        <v>526</v>
      </c>
      <c r="C2740" s="138" t="s">
        <v>2968</v>
      </c>
      <c r="D2740" s="144" t="s">
        <v>13</v>
      </c>
      <c r="E2740" s="138" t="s">
        <v>2203</v>
      </c>
      <c r="F2740" s="138" t="s">
        <v>643</v>
      </c>
      <c r="G2740" s="140">
        <v>40000.0</v>
      </c>
      <c r="H2740" s="138" t="s">
        <v>872</v>
      </c>
      <c r="I2740" s="152">
        <f t="shared" si="195"/>
        <v>13333.33333</v>
      </c>
      <c r="J2740" s="146" t="s">
        <v>1351</v>
      </c>
      <c r="K2740" s="146"/>
      <c r="L2740" s="146"/>
    </row>
    <row r="2741">
      <c r="B2741" s="144" t="s">
        <v>526</v>
      </c>
      <c r="C2741" s="138" t="s">
        <v>2969</v>
      </c>
      <c r="D2741" s="144" t="s">
        <v>13</v>
      </c>
      <c r="E2741" s="138" t="s">
        <v>2203</v>
      </c>
      <c r="F2741" s="138" t="s">
        <v>643</v>
      </c>
      <c r="G2741" s="140">
        <v>120000.0</v>
      </c>
      <c r="H2741" s="144" t="s">
        <v>530</v>
      </c>
      <c r="I2741" s="152">
        <f t="shared" ref="I2741:I2744" si="196">G2741/10</f>
        <v>12000</v>
      </c>
      <c r="J2741" s="146" t="s">
        <v>1351</v>
      </c>
      <c r="K2741" s="146"/>
      <c r="L2741" s="146"/>
    </row>
    <row r="2742">
      <c r="B2742" s="144" t="s">
        <v>526</v>
      </c>
      <c r="C2742" s="138" t="s">
        <v>2970</v>
      </c>
      <c r="D2742" s="144" t="s">
        <v>13</v>
      </c>
      <c r="E2742" s="138" t="s">
        <v>2203</v>
      </c>
      <c r="F2742" s="138" t="s">
        <v>643</v>
      </c>
      <c r="G2742" s="140">
        <v>120000.0</v>
      </c>
      <c r="H2742" s="144" t="s">
        <v>530</v>
      </c>
      <c r="I2742" s="152">
        <f t="shared" si="196"/>
        <v>12000</v>
      </c>
      <c r="J2742" s="146" t="s">
        <v>1351</v>
      </c>
      <c r="K2742" s="146"/>
      <c r="L2742" s="146"/>
    </row>
    <row r="2743">
      <c r="B2743" s="144" t="s">
        <v>526</v>
      </c>
      <c r="C2743" s="138" t="s">
        <v>2971</v>
      </c>
      <c r="D2743" s="144" t="s">
        <v>13</v>
      </c>
      <c r="E2743" s="138" t="s">
        <v>2203</v>
      </c>
      <c r="F2743" s="138" t="s">
        <v>643</v>
      </c>
      <c r="G2743" s="140">
        <v>70000.0</v>
      </c>
      <c r="H2743" s="144" t="s">
        <v>530</v>
      </c>
      <c r="I2743" s="152">
        <f t="shared" si="196"/>
        <v>7000</v>
      </c>
      <c r="J2743" s="146" t="s">
        <v>1351</v>
      </c>
      <c r="K2743" s="146"/>
      <c r="L2743" s="146"/>
    </row>
    <row r="2744">
      <c r="B2744" s="144" t="s">
        <v>526</v>
      </c>
      <c r="C2744" s="138" t="s">
        <v>2972</v>
      </c>
      <c r="D2744" s="144" t="s">
        <v>13</v>
      </c>
      <c r="E2744" s="138" t="s">
        <v>2203</v>
      </c>
      <c r="F2744" s="138" t="s">
        <v>643</v>
      </c>
      <c r="G2744" s="140">
        <v>90000.0</v>
      </c>
      <c r="H2744" s="144" t="s">
        <v>530</v>
      </c>
      <c r="I2744" s="152">
        <f t="shared" si="196"/>
        <v>9000</v>
      </c>
      <c r="J2744" s="146" t="s">
        <v>1351</v>
      </c>
      <c r="K2744" s="146"/>
      <c r="L2744" s="146"/>
    </row>
    <row r="2745">
      <c r="B2745" s="144" t="s">
        <v>526</v>
      </c>
      <c r="C2745" s="138" t="s">
        <v>2973</v>
      </c>
      <c r="D2745" s="144" t="s">
        <v>13</v>
      </c>
      <c r="E2745" s="138" t="s">
        <v>2203</v>
      </c>
      <c r="F2745" s="138" t="s">
        <v>643</v>
      </c>
      <c r="G2745" s="140">
        <v>10000.0</v>
      </c>
      <c r="H2745" s="138" t="s">
        <v>872</v>
      </c>
      <c r="I2745" s="152">
        <f>G2745/3</f>
        <v>3333.333333</v>
      </c>
      <c r="J2745" s="146" t="s">
        <v>1351</v>
      </c>
      <c r="K2745" s="146"/>
      <c r="L2745" s="146"/>
    </row>
    <row r="2746">
      <c r="B2746" s="144" t="s">
        <v>526</v>
      </c>
      <c r="C2746" s="138" t="s">
        <v>2424</v>
      </c>
      <c r="D2746" s="144" t="s">
        <v>13</v>
      </c>
      <c r="E2746" s="138" t="s">
        <v>2203</v>
      </c>
      <c r="F2746" s="138" t="s">
        <v>643</v>
      </c>
      <c r="G2746" s="140">
        <v>18500.0</v>
      </c>
      <c r="H2746" s="144" t="s">
        <v>530</v>
      </c>
      <c r="I2746" s="152">
        <f>G2746/10</f>
        <v>1850</v>
      </c>
      <c r="J2746" s="146" t="s">
        <v>1351</v>
      </c>
      <c r="K2746" s="146"/>
      <c r="L2746" s="146"/>
    </row>
    <row r="2747">
      <c r="B2747" s="144" t="s">
        <v>526</v>
      </c>
      <c r="C2747" s="138" t="s">
        <v>2974</v>
      </c>
      <c r="D2747" s="144" t="s">
        <v>13</v>
      </c>
      <c r="E2747" s="138" t="s">
        <v>2203</v>
      </c>
      <c r="F2747" s="138" t="s">
        <v>643</v>
      </c>
      <c r="G2747" s="140">
        <v>15000.0</v>
      </c>
      <c r="H2747" s="138" t="s">
        <v>1155</v>
      </c>
      <c r="I2747" s="152">
        <f>G2747/8</f>
        <v>1875</v>
      </c>
      <c r="J2747" s="146" t="s">
        <v>1351</v>
      </c>
      <c r="K2747" s="146"/>
      <c r="L2747" s="146"/>
    </row>
    <row r="2748">
      <c r="B2748" s="144" t="s">
        <v>526</v>
      </c>
      <c r="C2748" s="138" t="s">
        <v>2302</v>
      </c>
      <c r="D2748" s="144" t="s">
        <v>13</v>
      </c>
      <c r="E2748" s="138" t="s">
        <v>2331</v>
      </c>
      <c r="F2748" s="138" t="s">
        <v>643</v>
      </c>
      <c r="G2748" s="140">
        <v>72000.0</v>
      </c>
      <c r="H2748" s="144" t="s">
        <v>530</v>
      </c>
      <c r="I2748" s="152">
        <f t="shared" ref="I2748:I2754" si="197">G2748/10</f>
        <v>7200</v>
      </c>
      <c r="J2748" s="146" t="s">
        <v>1351</v>
      </c>
      <c r="K2748" s="146"/>
      <c r="L2748" s="146"/>
    </row>
    <row r="2749">
      <c r="B2749" s="144" t="s">
        <v>526</v>
      </c>
      <c r="C2749" s="138" t="s">
        <v>2975</v>
      </c>
      <c r="D2749" s="144" t="s">
        <v>13</v>
      </c>
      <c r="E2749" s="138" t="s">
        <v>2331</v>
      </c>
      <c r="F2749" s="138" t="s">
        <v>643</v>
      </c>
      <c r="G2749" s="140">
        <v>80000.0</v>
      </c>
      <c r="H2749" s="144" t="s">
        <v>530</v>
      </c>
      <c r="I2749" s="152">
        <f t="shared" si="197"/>
        <v>8000</v>
      </c>
      <c r="J2749" s="146" t="s">
        <v>1351</v>
      </c>
      <c r="K2749" s="146"/>
      <c r="L2749" s="146"/>
    </row>
    <row r="2750">
      <c r="B2750" s="144" t="s">
        <v>526</v>
      </c>
      <c r="C2750" s="138" t="s">
        <v>2163</v>
      </c>
      <c r="D2750" s="144" t="s">
        <v>13</v>
      </c>
      <c r="E2750" s="138" t="s">
        <v>2331</v>
      </c>
      <c r="F2750" s="138" t="s">
        <v>643</v>
      </c>
      <c r="G2750" s="140">
        <v>40000.0</v>
      </c>
      <c r="H2750" s="144" t="s">
        <v>530</v>
      </c>
      <c r="I2750" s="152">
        <f t="shared" si="197"/>
        <v>4000</v>
      </c>
      <c r="J2750" s="146" t="s">
        <v>1351</v>
      </c>
      <c r="K2750" s="146"/>
      <c r="L2750" s="146"/>
    </row>
    <row r="2751">
      <c r="B2751" s="144" t="s">
        <v>526</v>
      </c>
      <c r="C2751" s="138" t="s">
        <v>2976</v>
      </c>
      <c r="D2751" s="144" t="s">
        <v>13</v>
      </c>
      <c r="E2751" s="138" t="s">
        <v>2331</v>
      </c>
      <c r="F2751" s="138" t="s">
        <v>643</v>
      </c>
      <c r="G2751" s="140">
        <v>100000.0</v>
      </c>
      <c r="H2751" s="144" t="s">
        <v>530</v>
      </c>
      <c r="I2751" s="152">
        <f t="shared" si="197"/>
        <v>10000</v>
      </c>
      <c r="J2751" s="146" t="s">
        <v>1351</v>
      </c>
      <c r="K2751" s="146"/>
      <c r="L2751" s="146"/>
    </row>
    <row r="2752">
      <c r="B2752" s="144" t="s">
        <v>526</v>
      </c>
      <c r="C2752" s="138" t="s">
        <v>2341</v>
      </c>
      <c r="D2752" s="144" t="s">
        <v>13</v>
      </c>
      <c r="E2752" s="138" t="s">
        <v>2331</v>
      </c>
      <c r="F2752" s="138" t="s">
        <v>643</v>
      </c>
      <c r="G2752" s="140">
        <v>40000.0</v>
      </c>
      <c r="H2752" s="144" t="s">
        <v>530</v>
      </c>
      <c r="I2752" s="152">
        <f t="shared" si="197"/>
        <v>4000</v>
      </c>
      <c r="J2752" s="146" t="s">
        <v>1351</v>
      </c>
      <c r="K2752" s="146"/>
      <c r="L2752" s="146"/>
    </row>
    <row r="2753">
      <c r="B2753" s="144" t="s">
        <v>526</v>
      </c>
      <c r="C2753" s="138" t="s">
        <v>2449</v>
      </c>
      <c r="D2753" s="144" t="s">
        <v>13</v>
      </c>
      <c r="E2753" s="138" t="s">
        <v>2331</v>
      </c>
      <c r="F2753" s="138" t="s">
        <v>643</v>
      </c>
      <c r="G2753" s="140">
        <v>115000.0</v>
      </c>
      <c r="H2753" s="144" t="s">
        <v>530</v>
      </c>
      <c r="I2753" s="152">
        <f t="shared" si="197"/>
        <v>11500</v>
      </c>
      <c r="J2753" s="146" t="s">
        <v>1351</v>
      </c>
      <c r="K2753" s="146"/>
      <c r="L2753" s="146"/>
    </row>
    <row r="2754">
      <c r="B2754" s="144" t="s">
        <v>526</v>
      </c>
      <c r="C2754" s="138" t="s">
        <v>1260</v>
      </c>
      <c r="D2754" s="144" t="s">
        <v>13</v>
      </c>
      <c r="E2754" s="138" t="s">
        <v>2331</v>
      </c>
      <c r="F2754" s="138" t="s">
        <v>643</v>
      </c>
      <c r="G2754" s="140">
        <v>100000.0</v>
      </c>
      <c r="H2754" s="144" t="s">
        <v>530</v>
      </c>
      <c r="I2754" s="152">
        <f t="shared" si="197"/>
        <v>10000</v>
      </c>
      <c r="J2754" s="146" t="s">
        <v>1351</v>
      </c>
      <c r="K2754" s="146"/>
      <c r="L2754" s="146"/>
    </row>
    <row r="2755">
      <c r="B2755" s="144" t="s">
        <v>526</v>
      </c>
      <c r="C2755" s="138" t="s">
        <v>1234</v>
      </c>
      <c r="D2755" s="144" t="s">
        <v>13</v>
      </c>
      <c r="E2755" s="138" t="s">
        <v>2331</v>
      </c>
      <c r="F2755" s="138" t="s">
        <v>643</v>
      </c>
      <c r="G2755" s="140">
        <v>60000.0</v>
      </c>
      <c r="H2755" s="138" t="s">
        <v>635</v>
      </c>
      <c r="I2755" s="152">
        <f>G2755/6</f>
        <v>10000</v>
      </c>
      <c r="J2755" s="146" t="s">
        <v>1351</v>
      </c>
      <c r="K2755" s="146"/>
      <c r="L2755" s="146"/>
    </row>
    <row r="2756">
      <c r="B2756" s="144" t="s">
        <v>526</v>
      </c>
      <c r="C2756" s="138" t="s">
        <v>2336</v>
      </c>
      <c r="D2756" s="144" t="s">
        <v>13</v>
      </c>
      <c r="E2756" s="138" t="s">
        <v>2331</v>
      </c>
      <c r="F2756" s="138" t="s">
        <v>643</v>
      </c>
      <c r="G2756" s="140">
        <v>65000.0</v>
      </c>
      <c r="H2756" s="144" t="s">
        <v>530</v>
      </c>
      <c r="I2756" s="152">
        <f t="shared" ref="I2756:I2757" si="198">G2756/10</f>
        <v>6500</v>
      </c>
      <c r="J2756" s="146" t="s">
        <v>1351</v>
      </c>
      <c r="K2756" s="146"/>
      <c r="L2756" s="146"/>
    </row>
    <row r="2757">
      <c r="B2757" s="144" t="s">
        <v>526</v>
      </c>
      <c r="C2757" s="138" t="s">
        <v>2351</v>
      </c>
      <c r="D2757" s="144" t="s">
        <v>13</v>
      </c>
      <c r="E2757" s="138" t="s">
        <v>2331</v>
      </c>
      <c r="F2757" s="138" t="s">
        <v>643</v>
      </c>
      <c r="G2757" s="140">
        <v>60000.0</v>
      </c>
      <c r="H2757" s="144" t="s">
        <v>530</v>
      </c>
      <c r="I2757" s="152">
        <f t="shared" si="198"/>
        <v>6000</v>
      </c>
      <c r="J2757" s="146" t="s">
        <v>1351</v>
      </c>
      <c r="K2757" s="146"/>
      <c r="L2757" s="146"/>
    </row>
    <row r="2758">
      <c r="B2758" s="144" t="s">
        <v>526</v>
      </c>
      <c r="C2758" s="138" t="s">
        <v>2977</v>
      </c>
      <c r="D2758" s="144" t="s">
        <v>13</v>
      </c>
      <c r="E2758" s="138" t="s">
        <v>2331</v>
      </c>
      <c r="F2758" s="138" t="s">
        <v>643</v>
      </c>
      <c r="G2758" s="140">
        <v>50000.0</v>
      </c>
      <c r="H2758" s="138" t="s">
        <v>745</v>
      </c>
      <c r="I2758" s="152">
        <f>G2758/5</f>
        <v>10000</v>
      </c>
      <c r="J2758" s="146" t="s">
        <v>1351</v>
      </c>
      <c r="K2758" s="146"/>
      <c r="L2758" s="146"/>
    </row>
    <row r="2759">
      <c r="B2759" s="144" t="s">
        <v>526</v>
      </c>
      <c r="C2759" s="138" t="s">
        <v>2978</v>
      </c>
      <c r="D2759" s="144" t="s">
        <v>13</v>
      </c>
      <c r="E2759" s="138" t="s">
        <v>38</v>
      </c>
      <c r="F2759" s="138" t="s">
        <v>643</v>
      </c>
      <c r="G2759" s="140">
        <v>90000.0</v>
      </c>
      <c r="H2759" s="138" t="s">
        <v>728</v>
      </c>
      <c r="I2759" s="152">
        <f>G2759/7</f>
        <v>12857.14286</v>
      </c>
      <c r="J2759" s="146" t="s">
        <v>1351</v>
      </c>
      <c r="K2759" s="146"/>
      <c r="L2759" s="146"/>
    </row>
    <row r="2760">
      <c r="B2760" s="144" t="s">
        <v>526</v>
      </c>
      <c r="C2760" s="138" t="s">
        <v>2381</v>
      </c>
      <c r="D2760" s="144" t="s">
        <v>13</v>
      </c>
      <c r="E2760" s="138" t="s">
        <v>38</v>
      </c>
      <c r="F2760" s="138" t="s">
        <v>643</v>
      </c>
      <c r="G2760" s="140">
        <v>140000.0</v>
      </c>
      <c r="H2760" s="144" t="s">
        <v>530</v>
      </c>
      <c r="I2760" s="152">
        <f t="shared" ref="I2760:I2763" si="199">G2760/10</f>
        <v>14000</v>
      </c>
      <c r="J2760" s="146" t="s">
        <v>1351</v>
      </c>
      <c r="K2760" s="146"/>
      <c r="L2760" s="146"/>
    </row>
    <row r="2761">
      <c r="B2761" s="144" t="s">
        <v>526</v>
      </c>
      <c r="C2761" s="138" t="s">
        <v>2307</v>
      </c>
      <c r="D2761" s="144" t="s">
        <v>13</v>
      </c>
      <c r="E2761" s="138" t="s">
        <v>38</v>
      </c>
      <c r="F2761" s="138" t="s">
        <v>643</v>
      </c>
      <c r="G2761" s="140">
        <v>150000.0</v>
      </c>
      <c r="H2761" s="144" t="s">
        <v>530</v>
      </c>
      <c r="I2761" s="152">
        <f t="shared" si="199"/>
        <v>15000</v>
      </c>
      <c r="J2761" s="146" t="s">
        <v>1351</v>
      </c>
      <c r="K2761" s="146"/>
      <c r="L2761" s="146"/>
    </row>
    <row r="2762">
      <c r="B2762" s="144" t="s">
        <v>526</v>
      </c>
      <c r="C2762" s="138" t="s">
        <v>2323</v>
      </c>
      <c r="D2762" s="144" t="s">
        <v>13</v>
      </c>
      <c r="E2762" s="138" t="s">
        <v>38</v>
      </c>
      <c r="F2762" s="138" t="s">
        <v>643</v>
      </c>
      <c r="G2762" s="140">
        <v>150000.0</v>
      </c>
      <c r="H2762" s="144" t="s">
        <v>530</v>
      </c>
      <c r="I2762" s="152">
        <f t="shared" si="199"/>
        <v>15000</v>
      </c>
      <c r="J2762" s="146" t="s">
        <v>1351</v>
      </c>
      <c r="K2762" s="146"/>
      <c r="L2762" s="146"/>
    </row>
    <row r="2763">
      <c r="B2763" s="144" t="s">
        <v>526</v>
      </c>
      <c r="C2763" s="138" t="s">
        <v>2979</v>
      </c>
      <c r="D2763" s="144" t="s">
        <v>13</v>
      </c>
      <c r="E2763" s="138" t="s">
        <v>38</v>
      </c>
      <c r="F2763" s="138" t="s">
        <v>643</v>
      </c>
      <c r="G2763" s="140">
        <v>110000.0</v>
      </c>
      <c r="H2763" s="144" t="s">
        <v>530</v>
      </c>
      <c r="I2763" s="152">
        <f t="shared" si="199"/>
        <v>11000</v>
      </c>
      <c r="J2763" s="146" t="s">
        <v>1351</v>
      </c>
      <c r="K2763" s="146"/>
      <c r="L2763" s="146"/>
    </row>
    <row r="2764">
      <c r="B2764" s="144" t="s">
        <v>526</v>
      </c>
      <c r="C2764" s="138" t="s">
        <v>1294</v>
      </c>
      <c r="D2764" s="144" t="s">
        <v>13</v>
      </c>
      <c r="E2764" s="138" t="s">
        <v>38</v>
      </c>
      <c r="F2764" s="138" t="s">
        <v>643</v>
      </c>
      <c r="G2764" s="140">
        <v>105000.0</v>
      </c>
      <c r="H2764" s="138" t="s">
        <v>610</v>
      </c>
      <c r="I2764" s="152">
        <f>G2764/9</f>
        <v>11666.66667</v>
      </c>
      <c r="J2764" s="146" t="s">
        <v>1351</v>
      </c>
      <c r="K2764" s="146"/>
      <c r="L2764" s="146"/>
    </row>
    <row r="2765">
      <c r="B2765" s="144" t="s">
        <v>526</v>
      </c>
      <c r="C2765" s="138" t="s">
        <v>2980</v>
      </c>
      <c r="D2765" s="144" t="s">
        <v>13</v>
      </c>
      <c r="E2765" s="138" t="s">
        <v>38</v>
      </c>
      <c r="F2765" s="138" t="s">
        <v>643</v>
      </c>
      <c r="G2765" s="140">
        <v>50000.0</v>
      </c>
      <c r="H2765" s="138" t="s">
        <v>745</v>
      </c>
      <c r="I2765" s="152">
        <f>G2765/5</f>
        <v>10000</v>
      </c>
      <c r="J2765" s="146" t="s">
        <v>1351</v>
      </c>
      <c r="K2765" s="146"/>
      <c r="L2765" s="146"/>
    </row>
    <row r="2766">
      <c r="B2766" s="144" t="s">
        <v>526</v>
      </c>
      <c r="C2766" s="138" t="s">
        <v>2274</v>
      </c>
      <c r="D2766" s="144" t="s">
        <v>13</v>
      </c>
      <c r="E2766" s="138" t="s">
        <v>38</v>
      </c>
      <c r="F2766" s="138" t="s">
        <v>643</v>
      </c>
      <c r="G2766" s="140">
        <v>100000.0</v>
      </c>
      <c r="H2766" s="144" t="s">
        <v>530</v>
      </c>
      <c r="I2766" s="152">
        <f t="shared" ref="I2766:I2768" si="200">G2766/10</f>
        <v>10000</v>
      </c>
      <c r="J2766" s="146" t="s">
        <v>1351</v>
      </c>
      <c r="K2766" s="146"/>
      <c r="L2766" s="146"/>
    </row>
    <row r="2767">
      <c r="B2767" s="144" t="s">
        <v>526</v>
      </c>
      <c r="C2767" s="138" t="s">
        <v>2981</v>
      </c>
      <c r="D2767" s="144" t="s">
        <v>13</v>
      </c>
      <c r="E2767" s="138" t="s">
        <v>38</v>
      </c>
      <c r="F2767" s="138" t="s">
        <v>643</v>
      </c>
      <c r="G2767" s="140">
        <v>50000.0</v>
      </c>
      <c r="H2767" s="144" t="s">
        <v>530</v>
      </c>
      <c r="I2767" s="152">
        <f t="shared" si="200"/>
        <v>5000</v>
      </c>
      <c r="J2767" s="146" t="s">
        <v>1351</v>
      </c>
      <c r="K2767" s="146"/>
      <c r="L2767" s="146"/>
    </row>
    <row r="2768">
      <c r="B2768" s="144" t="s">
        <v>526</v>
      </c>
      <c r="C2768" s="138" t="s">
        <v>2350</v>
      </c>
      <c r="D2768" s="144" t="s">
        <v>13</v>
      </c>
      <c r="E2768" s="138" t="s">
        <v>38</v>
      </c>
      <c r="F2768" s="138" t="s">
        <v>643</v>
      </c>
      <c r="G2768" s="140">
        <v>150000.0</v>
      </c>
      <c r="H2768" s="144" t="s">
        <v>530</v>
      </c>
      <c r="I2768" s="152">
        <f t="shared" si="200"/>
        <v>15000</v>
      </c>
      <c r="J2768" s="146" t="s">
        <v>1351</v>
      </c>
      <c r="K2768" s="146"/>
      <c r="L2768" s="146"/>
    </row>
    <row r="2769">
      <c r="B2769" s="144" t="s">
        <v>526</v>
      </c>
      <c r="C2769" s="138" t="s">
        <v>2982</v>
      </c>
      <c r="D2769" s="144" t="s">
        <v>13</v>
      </c>
      <c r="E2769" s="138" t="s">
        <v>38</v>
      </c>
      <c r="F2769" s="138" t="s">
        <v>643</v>
      </c>
      <c r="G2769" s="140">
        <v>18000.0</v>
      </c>
      <c r="H2769" s="138" t="s">
        <v>872</v>
      </c>
      <c r="I2769" s="152">
        <f>G2769/3</f>
        <v>6000</v>
      </c>
      <c r="J2769" s="146" t="s">
        <v>1351</v>
      </c>
      <c r="K2769" s="146"/>
      <c r="L2769" s="146"/>
    </row>
    <row r="2770">
      <c r="B2770" s="144" t="s">
        <v>526</v>
      </c>
      <c r="C2770" s="138" t="s">
        <v>2983</v>
      </c>
      <c r="D2770" s="144" t="s">
        <v>13</v>
      </c>
      <c r="E2770" s="138" t="s">
        <v>38</v>
      </c>
      <c r="F2770" s="138" t="s">
        <v>643</v>
      </c>
      <c r="G2770" s="140">
        <v>22000.0</v>
      </c>
      <c r="H2770" s="138" t="s">
        <v>680</v>
      </c>
      <c r="I2770" s="152">
        <f t="shared" ref="I2770:I2771" si="201">G2770/4</f>
        <v>5500</v>
      </c>
      <c r="J2770" s="146" t="s">
        <v>1351</v>
      </c>
      <c r="K2770" s="146"/>
      <c r="L2770" s="146"/>
    </row>
    <row r="2771">
      <c r="B2771" s="144" t="s">
        <v>526</v>
      </c>
      <c r="C2771" s="138" t="s">
        <v>2984</v>
      </c>
      <c r="D2771" s="144" t="s">
        <v>13</v>
      </c>
      <c r="E2771" s="138" t="s">
        <v>38</v>
      </c>
      <c r="F2771" s="138" t="s">
        <v>643</v>
      </c>
      <c r="G2771" s="140">
        <v>20000.0</v>
      </c>
      <c r="H2771" s="138" t="s">
        <v>680</v>
      </c>
      <c r="I2771" s="152">
        <f t="shared" si="201"/>
        <v>5000</v>
      </c>
      <c r="J2771" s="146" t="s">
        <v>1351</v>
      </c>
      <c r="K2771" s="146"/>
      <c r="L2771" s="146"/>
    </row>
    <row r="2772">
      <c r="B2772" s="144" t="s">
        <v>526</v>
      </c>
      <c r="C2772" s="138" t="s">
        <v>2985</v>
      </c>
      <c r="D2772" s="144" t="s">
        <v>13</v>
      </c>
      <c r="E2772" s="138" t="s">
        <v>38</v>
      </c>
      <c r="F2772" s="138" t="s">
        <v>643</v>
      </c>
      <c r="G2772" s="140">
        <v>35000.0</v>
      </c>
      <c r="H2772" s="144" t="s">
        <v>530</v>
      </c>
      <c r="I2772" s="152">
        <f t="shared" ref="I2772:I2782" si="202">G2772/10</f>
        <v>3500</v>
      </c>
      <c r="J2772" s="146" t="s">
        <v>1351</v>
      </c>
      <c r="K2772" s="146"/>
      <c r="L2772" s="146"/>
    </row>
    <row r="2773">
      <c r="B2773" s="144" t="s">
        <v>526</v>
      </c>
      <c r="C2773" s="138" t="s">
        <v>2986</v>
      </c>
      <c r="D2773" s="138" t="s">
        <v>114</v>
      </c>
      <c r="E2773" s="138" t="s">
        <v>370</v>
      </c>
      <c r="F2773" s="138" t="s">
        <v>685</v>
      </c>
      <c r="G2773" s="140">
        <v>200000.0</v>
      </c>
      <c r="H2773" s="144" t="s">
        <v>530</v>
      </c>
      <c r="I2773" s="152">
        <f t="shared" si="202"/>
        <v>20000</v>
      </c>
      <c r="J2773" s="155" t="s">
        <v>2987</v>
      </c>
      <c r="K2773" s="146"/>
      <c r="L2773" s="146"/>
    </row>
    <row r="2774">
      <c r="B2774" s="144" t="s">
        <v>526</v>
      </c>
      <c r="C2774" s="138" t="s">
        <v>1037</v>
      </c>
      <c r="D2774" s="138" t="s">
        <v>114</v>
      </c>
      <c r="E2774" s="138" t="s">
        <v>370</v>
      </c>
      <c r="F2774" s="138" t="s">
        <v>685</v>
      </c>
      <c r="G2774" s="140">
        <v>600000.0</v>
      </c>
      <c r="H2774" s="144" t="s">
        <v>530</v>
      </c>
      <c r="I2774" s="152">
        <f t="shared" si="202"/>
        <v>60000</v>
      </c>
      <c r="J2774" s="153" t="s">
        <v>2988</v>
      </c>
      <c r="K2774" s="150" t="s">
        <v>2989</v>
      </c>
      <c r="L2774" s="146"/>
    </row>
    <row r="2775">
      <c r="B2775" s="144" t="s">
        <v>526</v>
      </c>
      <c r="C2775" s="138" t="s">
        <v>829</v>
      </c>
      <c r="D2775" s="138" t="s">
        <v>114</v>
      </c>
      <c r="E2775" s="138" t="s">
        <v>370</v>
      </c>
      <c r="F2775" s="138" t="s">
        <v>685</v>
      </c>
      <c r="G2775" s="140">
        <v>225000.0</v>
      </c>
      <c r="H2775" s="144" t="s">
        <v>530</v>
      </c>
      <c r="I2775" s="152">
        <f t="shared" si="202"/>
        <v>22500</v>
      </c>
      <c r="J2775" s="155" t="s">
        <v>2990</v>
      </c>
      <c r="K2775" s="150" t="s">
        <v>2991</v>
      </c>
      <c r="L2775" s="146"/>
    </row>
    <row r="2776">
      <c r="B2776" s="144" t="s">
        <v>526</v>
      </c>
      <c r="C2776" s="138" t="s">
        <v>2289</v>
      </c>
      <c r="D2776" s="138" t="s">
        <v>114</v>
      </c>
      <c r="E2776" s="138" t="s">
        <v>370</v>
      </c>
      <c r="F2776" s="138" t="s">
        <v>685</v>
      </c>
      <c r="G2776" s="140">
        <v>350000.0</v>
      </c>
      <c r="H2776" s="144" t="s">
        <v>530</v>
      </c>
      <c r="I2776" s="152">
        <f t="shared" si="202"/>
        <v>35000</v>
      </c>
      <c r="J2776" s="155" t="s">
        <v>2992</v>
      </c>
      <c r="K2776" s="146"/>
      <c r="L2776" s="146"/>
    </row>
    <row r="2777">
      <c r="B2777" s="144" t="s">
        <v>526</v>
      </c>
      <c r="C2777" s="138" t="s">
        <v>2345</v>
      </c>
      <c r="D2777" s="138" t="s">
        <v>114</v>
      </c>
      <c r="E2777" s="138" t="s">
        <v>370</v>
      </c>
      <c r="F2777" s="138" t="s">
        <v>685</v>
      </c>
      <c r="G2777" s="140">
        <v>550000.0</v>
      </c>
      <c r="H2777" s="144" t="s">
        <v>530</v>
      </c>
      <c r="I2777" s="152">
        <f t="shared" si="202"/>
        <v>55000</v>
      </c>
      <c r="J2777" s="155" t="s">
        <v>2993</v>
      </c>
      <c r="K2777" s="150" t="s">
        <v>2994</v>
      </c>
      <c r="L2777" s="146"/>
    </row>
    <row r="2778">
      <c r="B2778" s="144" t="s">
        <v>526</v>
      </c>
      <c r="C2778" s="138" t="s">
        <v>2995</v>
      </c>
      <c r="D2778" s="138" t="s">
        <v>114</v>
      </c>
      <c r="E2778" s="138" t="s">
        <v>370</v>
      </c>
      <c r="F2778" s="138" t="s">
        <v>685</v>
      </c>
      <c r="G2778" s="140">
        <v>200000.0</v>
      </c>
      <c r="H2778" s="144" t="s">
        <v>530</v>
      </c>
      <c r="I2778" s="152">
        <f t="shared" si="202"/>
        <v>20000</v>
      </c>
      <c r="J2778" s="155" t="s">
        <v>2996</v>
      </c>
      <c r="K2778" s="150" t="s">
        <v>2997</v>
      </c>
      <c r="L2778" s="146"/>
    </row>
    <row r="2779">
      <c r="B2779" s="144" t="s">
        <v>526</v>
      </c>
      <c r="C2779" s="138" t="s">
        <v>2998</v>
      </c>
      <c r="D2779" s="138" t="s">
        <v>114</v>
      </c>
      <c r="E2779" s="138" t="s">
        <v>370</v>
      </c>
      <c r="F2779" s="138" t="s">
        <v>650</v>
      </c>
      <c r="G2779" s="140">
        <v>230000.0</v>
      </c>
      <c r="H2779" s="144" t="s">
        <v>530</v>
      </c>
      <c r="I2779" s="152">
        <f t="shared" si="202"/>
        <v>23000</v>
      </c>
      <c r="J2779" s="155" t="s">
        <v>2999</v>
      </c>
      <c r="K2779" s="146"/>
      <c r="L2779" s="146"/>
    </row>
    <row r="2780">
      <c r="B2780" s="144" t="s">
        <v>526</v>
      </c>
      <c r="C2780" s="138" t="s">
        <v>2067</v>
      </c>
      <c r="D2780" s="95" t="s">
        <v>222</v>
      </c>
      <c r="E2780" s="138" t="s">
        <v>1019</v>
      </c>
      <c r="F2780" s="138" t="s">
        <v>543</v>
      </c>
      <c r="G2780" s="140">
        <v>1000000.0</v>
      </c>
      <c r="H2780" s="95" t="s">
        <v>530</v>
      </c>
      <c r="I2780" s="13">
        <f t="shared" si="202"/>
        <v>100000</v>
      </c>
      <c r="J2780" s="155" t="s">
        <v>3000</v>
      </c>
      <c r="K2780" s="146"/>
      <c r="L2780" s="146"/>
    </row>
    <row r="2781">
      <c r="B2781" s="95" t="s">
        <v>641</v>
      </c>
      <c r="C2781" s="95" t="s">
        <v>2113</v>
      </c>
      <c r="D2781" s="95" t="s">
        <v>174</v>
      </c>
      <c r="E2781" s="5" t="s">
        <v>438</v>
      </c>
      <c r="F2781" s="95" t="s">
        <v>685</v>
      </c>
      <c r="G2781" s="9">
        <v>1800000.0</v>
      </c>
      <c r="H2781" s="95" t="s">
        <v>530</v>
      </c>
      <c r="I2781" s="13">
        <f t="shared" si="202"/>
        <v>180000</v>
      </c>
      <c r="J2781" s="97" t="s">
        <v>3001</v>
      </c>
      <c r="K2781" s="98"/>
      <c r="L2781" s="98"/>
    </row>
    <row r="2782">
      <c r="B2782" s="95" t="s">
        <v>641</v>
      </c>
      <c r="C2782" s="95" t="s">
        <v>2113</v>
      </c>
      <c r="D2782" s="95" t="s">
        <v>174</v>
      </c>
      <c r="E2782" s="5" t="s">
        <v>438</v>
      </c>
      <c r="F2782" s="95" t="s">
        <v>650</v>
      </c>
      <c r="G2782" s="9">
        <v>1800000.0</v>
      </c>
      <c r="H2782" s="95" t="s">
        <v>530</v>
      </c>
      <c r="I2782" s="13">
        <f t="shared" si="202"/>
        <v>180000</v>
      </c>
      <c r="J2782" s="97" t="s">
        <v>3001</v>
      </c>
      <c r="K2782" s="98"/>
      <c r="L2782" s="98"/>
    </row>
    <row r="2783">
      <c r="B2783" s="95" t="s">
        <v>641</v>
      </c>
      <c r="C2783" s="95" t="s">
        <v>2113</v>
      </c>
      <c r="D2783" s="95" t="s">
        <v>174</v>
      </c>
      <c r="E2783" s="5" t="s">
        <v>438</v>
      </c>
      <c r="F2783" s="95" t="s">
        <v>586</v>
      </c>
      <c r="G2783" s="9">
        <v>1000000.0</v>
      </c>
      <c r="H2783" s="95" t="s">
        <v>728</v>
      </c>
      <c r="I2783" s="13">
        <f>G2783/7</f>
        <v>142857.1429</v>
      </c>
      <c r="J2783" s="97" t="s">
        <v>3001</v>
      </c>
      <c r="K2783" s="98"/>
      <c r="L2783" s="98"/>
    </row>
    <row r="2784">
      <c r="B2784" s="95" t="s">
        <v>526</v>
      </c>
      <c r="C2784" s="95" t="s">
        <v>1034</v>
      </c>
      <c r="D2784" s="95" t="s">
        <v>2102</v>
      </c>
      <c r="E2784" s="95" t="s">
        <v>2751</v>
      </c>
      <c r="F2784" s="95" t="s">
        <v>685</v>
      </c>
      <c r="G2784" s="9">
        <f>0.88*550000</f>
        <v>484000</v>
      </c>
      <c r="H2784" s="95" t="s">
        <v>1155</v>
      </c>
      <c r="I2784" s="13">
        <f>G2784/8</f>
        <v>60500</v>
      </c>
      <c r="J2784" s="97" t="s">
        <v>3002</v>
      </c>
      <c r="K2784" s="98"/>
      <c r="L2784" s="98"/>
    </row>
    <row r="2785">
      <c r="B2785" s="144" t="s">
        <v>526</v>
      </c>
      <c r="C2785" s="138" t="s">
        <v>1234</v>
      </c>
      <c r="D2785" s="95" t="s">
        <v>174</v>
      </c>
      <c r="E2785" s="138" t="s">
        <v>248</v>
      </c>
      <c r="F2785" s="138" t="s">
        <v>685</v>
      </c>
      <c r="G2785" s="9">
        <f>330000*0.85</f>
        <v>280500</v>
      </c>
      <c r="H2785" s="95" t="s">
        <v>530</v>
      </c>
      <c r="I2785" s="13">
        <f t="shared" ref="I2785:I2789" si="203">G2785/10</f>
        <v>28050</v>
      </c>
      <c r="J2785" s="155" t="s">
        <v>3003</v>
      </c>
      <c r="K2785" s="146"/>
      <c r="L2785" s="146"/>
    </row>
    <row r="2786">
      <c r="B2786" s="144" t="s">
        <v>526</v>
      </c>
      <c r="C2786" s="138" t="s">
        <v>3004</v>
      </c>
      <c r="D2786" s="138" t="s">
        <v>88</v>
      </c>
      <c r="E2786" s="138" t="s">
        <v>422</v>
      </c>
      <c r="F2786" s="138" t="s">
        <v>685</v>
      </c>
      <c r="G2786" s="140">
        <v>800000.0</v>
      </c>
      <c r="H2786" s="95" t="s">
        <v>530</v>
      </c>
      <c r="I2786" s="13">
        <f t="shared" si="203"/>
        <v>80000</v>
      </c>
      <c r="J2786" s="155" t="s">
        <v>3005</v>
      </c>
      <c r="K2786" s="150" t="s">
        <v>3006</v>
      </c>
      <c r="L2786" s="146"/>
    </row>
    <row r="2787">
      <c r="B2787" s="144" t="s">
        <v>526</v>
      </c>
      <c r="C2787" s="138" t="s">
        <v>3007</v>
      </c>
      <c r="D2787" s="138" t="s">
        <v>69</v>
      </c>
      <c r="E2787" s="95" t="s">
        <v>542</v>
      </c>
      <c r="F2787" s="138" t="s">
        <v>685</v>
      </c>
      <c r="G2787" s="140">
        <v>150000.0</v>
      </c>
      <c r="H2787" s="95" t="s">
        <v>530</v>
      </c>
      <c r="I2787" s="13">
        <f t="shared" si="203"/>
        <v>15000</v>
      </c>
      <c r="J2787" s="154" t="s">
        <v>1468</v>
      </c>
      <c r="K2787" s="146"/>
      <c r="L2787" s="146"/>
    </row>
    <row r="2788">
      <c r="B2788" s="144" t="s">
        <v>526</v>
      </c>
      <c r="C2788" s="138" t="s">
        <v>3008</v>
      </c>
      <c r="D2788" s="138" t="s">
        <v>222</v>
      </c>
      <c r="E2788" s="95" t="s">
        <v>309</v>
      </c>
      <c r="F2788" s="138" t="s">
        <v>650</v>
      </c>
      <c r="G2788" s="140">
        <f>0.85*250000</f>
        <v>212500</v>
      </c>
      <c r="H2788" s="95" t="s">
        <v>530</v>
      </c>
      <c r="I2788" s="13">
        <f t="shared" si="203"/>
        <v>21250</v>
      </c>
      <c r="J2788" s="155" t="s">
        <v>3009</v>
      </c>
      <c r="K2788" s="146"/>
      <c r="L2788" s="146"/>
    </row>
    <row r="2789">
      <c r="B2789" s="95" t="s">
        <v>526</v>
      </c>
      <c r="C2789" s="95" t="s">
        <v>2161</v>
      </c>
      <c r="D2789" s="95" t="s">
        <v>13</v>
      </c>
      <c r="E2789" s="95" t="s">
        <v>30</v>
      </c>
      <c r="F2789" s="95" t="s">
        <v>738</v>
      </c>
      <c r="G2789" s="9">
        <v>1500000.0</v>
      </c>
      <c r="H2789" s="95" t="s">
        <v>530</v>
      </c>
      <c r="I2789" s="13">
        <f t="shared" si="203"/>
        <v>150000</v>
      </c>
      <c r="J2789" s="146" t="s">
        <v>1351</v>
      </c>
      <c r="K2789" s="98"/>
      <c r="L2789" s="98"/>
    </row>
    <row r="2790">
      <c r="B2790" s="95" t="s">
        <v>526</v>
      </c>
      <c r="C2790" s="95" t="s">
        <v>1028</v>
      </c>
      <c r="D2790" s="95" t="s">
        <v>13</v>
      </c>
      <c r="E2790" s="95" t="s">
        <v>30</v>
      </c>
      <c r="F2790" s="95" t="s">
        <v>738</v>
      </c>
      <c r="G2790" s="9">
        <v>250000.0</v>
      </c>
      <c r="H2790" s="95" t="s">
        <v>635</v>
      </c>
      <c r="I2790" s="13">
        <f>G2790/6</f>
        <v>41666.66667</v>
      </c>
      <c r="J2790" s="146" t="s">
        <v>1351</v>
      </c>
      <c r="K2790" s="98"/>
      <c r="L2790" s="98"/>
    </row>
    <row r="2791">
      <c r="B2791" s="95" t="s">
        <v>526</v>
      </c>
      <c r="C2791" s="95" t="s">
        <v>2876</v>
      </c>
      <c r="D2791" s="95" t="s">
        <v>13</v>
      </c>
      <c r="E2791" s="95" t="s">
        <v>30</v>
      </c>
      <c r="F2791" s="95" t="s">
        <v>738</v>
      </c>
      <c r="G2791" s="9">
        <v>800000.0</v>
      </c>
      <c r="H2791" s="95" t="s">
        <v>530</v>
      </c>
      <c r="I2791" s="13">
        <f t="shared" ref="I2791:I2793" si="204">G2791/10</f>
        <v>80000</v>
      </c>
      <c r="J2791" s="146" t="s">
        <v>1351</v>
      </c>
      <c r="K2791" s="98"/>
      <c r="L2791" s="98"/>
    </row>
    <row r="2792">
      <c r="B2792" s="95" t="s">
        <v>526</v>
      </c>
      <c r="C2792" s="95" t="s">
        <v>1071</v>
      </c>
      <c r="D2792" s="95" t="s">
        <v>13</v>
      </c>
      <c r="E2792" s="95" t="s">
        <v>30</v>
      </c>
      <c r="F2792" s="95" t="s">
        <v>738</v>
      </c>
      <c r="G2792" s="9">
        <v>1000000.0</v>
      </c>
      <c r="H2792" s="95" t="s">
        <v>530</v>
      </c>
      <c r="I2792" s="13">
        <f t="shared" si="204"/>
        <v>100000</v>
      </c>
      <c r="J2792" s="146" t="s">
        <v>1351</v>
      </c>
      <c r="K2792" s="98"/>
      <c r="L2792" s="98"/>
    </row>
    <row r="2793">
      <c r="B2793" s="95" t="s">
        <v>526</v>
      </c>
      <c r="C2793" s="95" t="s">
        <v>1168</v>
      </c>
      <c r="D2793" s="95" t="s">
        <v>13</v>
      </c>
      <c r="E2793" s="95" t="s">
        <v>30</v>
      </c>
      <c r="F2793" s="95" t="s">
        <v>738</v>
      </c>
      <c r="G2793" s="9">
        <v>220000.0</v>
      </c>
      <c r="H2793" s="95" t="s">
        <v>530</v>
      </c>
      <c r="I2793" s="13">
        <f t="shared" si="204"/>
        <v>22000</v>
      </c>
      <c r="J2793" s="146" t="s">
        <v>1351</v>
      </c>
      <c r="K2793" s="98"/>
      <c r="L2793" s="98"/>
    </row>
    <row r="2794">
      <c r="B2794" s="95" t="s">
        <v>526</v>
      </c>
      <c r="C2794" s="95" t="s">
        <v>1458</v>
      </c>
      <c r="D2794" s="95" t="s">
        <v>13</v>
      </c>
      <c r="E2794" s="95" t="s">
        <v>30</v>
      </c>
      <c r="F2794" s="95" t="s">
        <v>738</v>
      </c>
      <c r="G2794" s="9">
        <v>100000.0</v>
      </c>
      <c r="H2794" s="95" t="s">
        <v>728</v>
      </c>
      <c r="I2794" s="13">
        <f>G2794/7</f>
        <v>14285.71429</v>
      </c>
      <c r="J2794" s="146" t="s">
        <v>1351</v>
      </c>
      <c r="K2794" s="98"/>
      <c r="L2794" s="98"/>
    </row>
    <row r="2795">
      <c r="B2795" s="95" t="s">
        <v>526</v>
      </c>
      <c r="C2795" s="95" t="s">
        <v>1935</v>
      </c>
      <c r="D2795" s="95" t="s">
        <v>13</v>
      </c>
      <c r="E2795" s="95" t="s">
        <v>30</v>
      </c>
      <c r="F2795" s="95" t="s">
        <v>738</v>
      </c>
      <c r="G2795" s="9">
        <v>200000.0</v>
      </c>
      <c r="H2795" s="95" t="s">
        <v>530</v>
      </c>
      <c r="I2795" s="13">
        <f t="shared" ref="I2795:I2799" si="205">G2795/10</f>
        <v>20000</v>
      </c>
      <c r="J2795" s="146" t="s">
        <v>1351</v>
      </c>
      <c r="K2795" s="98"/>
      <c r="L2795" s="98"/>
    </row>
    <row r="2796">
      <c r="B2796" s="95" t="s">
        <v>526</v>
      </c>
      <c r="C2796" s="95" t="s">
        <v>3010</v>
      </c>
      <c r="D2796" s="95" t="s">
        <v>13</v>
      </c>
      <c r="E2796" s="95" t="s">
        <v>30</v>
      </c>
      <c r="F2796" s="95" t="s">
        <v>738</v>
      </c>
      <c r="G2796" s="9">
        <v>250000.0</v>
      </c>
      <c r="H2796" s="95" t="s">
        <v>530</v>
      </c>
      <c r="I2796" s="13">
        <f t="shared" si="205"/>
        <v>25000</v>
      </c>
      <c r="J2796" s="146" t="s">
        <v>1351</v>
      </c>
      <c r="K2796" s="98"/>
      <c r="L2796" s="98"/>
    </row>
    <row r="2797">
      <c r="B2797" s="95" t="s">
        <v>526</v>
      </c>
      <c r="C2797" s="95" t="s">
        <v>2356</v>
      </c>
      <c r="D2797" s="95" t="s">
        <v>13</v>
      </c>
      <c r="E2797" s="95" t="s">
        <v>30</v>
      </c>
      <c r="F2797" s="95" t="s">
        <v>738</v>
      </c>
      <c r="G2797" s="9">
        <v>275000.0</v>
      </c>
      <c r="H2797" s="95" t="s">
        <v>530</v>
      </c>
      <c r="I2797" s="13">
        <f t="shared" si="205"/>
        <v>27500</v>
      </c>
      <c r="J2797" s="146" t="s">
        <v>1351</v>
      </c>
      <c r="K2797" s="98"/>
      <c r="L2797" s="98"/>
    </row>
    <row r="2798">
      <c r="B2798" s="95" t="s">
        <v>526</v>
      </c>
      <c r="C2798" s="95" t="s">
        <v>3011</v>
      </c>
      <c r="D2798" s="95" t="s">
        <v>13</v>
      </c>
      <c r="E2798" s="95" t="s">
        <v>30</v>
      </c>
      <c r="F2798" s="95" t="s">
        <v>738</v>
      </c>
      <c r="G2798" s="9">
        <v>180000.0</v>
      </c>
      <c r="H2798" s="95" t="s">
        <v>530</v>
      </c>
      <c r="I2798" s="13">
        <f t="shared" si="205"/>
        <v>18000</v>
      </c>
      <c r="J2798" s="146" t="s">
        <v>1351</v>
      </c>
      <c r="K2798" s="98"/>
      <c r="L2798" s="98"/>
    </row>
    <row r="2799">
      <c r="B2799" s="95" t="s">
        <v>526</v>
      </c>
      <c r="C2799" s="95" t="s">
        <v>1851</v>
      </c>
      <c r="D2799" s="95" t="s">
        <v>13</v>
      </c>
      <c r="E2799" s="95" t="s">
        <v>30</v>
      </c>
      <c r="F2799" s="95" t="s">
        <v>738</v>
      </c>
      <c r="G2799" s="9">
        <v>200000.0</v>
      </c>
      <c r="H2799" s="95" t="s">
        <v>530</v>
      </c>
      <c r="I2799" s="13">
        <f t="shared" si="205"/>
        <v>20000</v>
      </c>
      <c r="J2799" s="146" t="s">
        <v>1351</v>
      </c>
      <c r="K2799" s="98"/>
      <c r="L2799" s="98"/>
    </row>
    <row r="2800">
      <c r="B2800" s="95" t="s">
        <v>526</v>
      </c>
      <c r="C2800" s="95" t="s">
        <v>2307</v>
      </c>
      <c r="D2800" s="95" t="s">
        <v>13</v>
      </c>
      <c r="E2800" s="95" t="s">
        <v>30</v>
      </c>
      <c r="F2800" s="95" t="s">
        <v>738</v>
      </c>
      <c r="G2800" s="9">
        <v>37500.0</v>
      </c>
      <c r="H2800" s="95" t="s">
        <v>680</v>
      </c>
      <c r="I2800" s="13">
        <f>G2800/4</f>
        <v>9375</v>
      </c>
      <c r="J2800" s="146" t="s">
        <v>1351</v>
      </c>
      <c r="K2800" s="98"/>
      <c r="L2800" s="98"/>
    </row>
    <row r="2801">
      <c r="B2801" s="95" t="s">
        <v>526</v>
      </c>
      <c r="C2801" s="95" t="s">
        <v>2970</v>
      </c>
      <c r="D2801" s="95" t="s">
        <v>13</v>
      </c>
      <c r="E2801" s="95" t="s">
        <v>30</v>
      </c>
      <c r="F2801" s="95" t="s">
        <v>738</v>
      </c>
      <c r="G2801" s="9">
        <v>220000.0</v>
      </c>
      <c r="H2801" s="95" t="s">
        <v>530</v>
      </c>
      <c r="I2801" s="13">
        <f>G2801/10</f>
        <v>22000</v>
      </c>
      <c r="J2801" s="146" t="s">
        <v>1351</v>
      </c>
      <c r="K2801" s="98"/>
      <c r="L2801" s="98"/>
    </row>
    <row r="2802">
      <c r="B2802" s="95" t="s">
        <v>526</v>
      </c>
      <c r="C2802" s="95" t="s">
        <v>3012</v>
      </c>
      <c r="D2802" s="95" t="s">
        <v>13</v>
      </c>
      <c r="E2802" s="95" t="s">
        <v>30</v>
      </c>
      <c r="F2802" s="95" t="s">
        <v>738</v>
      </c>
      <c r="G2802" s="9">
        <v>45000.0</v>
      </c>
      <c r="H2802" s="95" t="s">
        <v>635</v>
      </c>
      <c r="I2802" s="13">
        <f>G2802/6</f>
        <v>7500</v>
      </c>
      <c r="J2802" s="146" t="s">
        <v>1351</v>
      </c>
      <c r="K2802" s="98"/>
      <c r="L2802" s="98"/>
    </row>
    <row r="2803">
      <c r="B2803" s="95" t="s">
        <v>526</v>
      </c>
      <c r="C2803" s="95" t="s">
        <v>1253</v>
      </c>
      <c r="D2803" s="95" t="s">
        <v>13</v>
      </c>
      <c r="E2803" s="95" t="s">
        <v>19</v>
      </c>
      <c r="F2803" s="95" t="s">
        <v>738</v>
      </c>
      <c r="G2803" s="9">
        <v>1100000.0</v>
      </c>
      <c r="H2803" s="95" t="s">
        <v>530</v>
      </c>
      <c r="I2803" s="13">
        <f t="shared" ref="I2803:I2813" si="206">G2803/10</f>
        <v>110000</v>
      </c>
      <c r="J2803" s="146" t="s">
        <v>1351</v>
      </c>
      <c r="K2803" s="98"/>
      <c r="L2803" s="98"/>
    </row>
    <row r="2804">
      <c r="B2804" s="95" t="s">
        <v>526</v>
      </c>
      <c r="C2804" s="95" t="s">
        <v>2283</v>
      </c>
      <c r="D2804" s="95" t="s">
        <v>13</v>
      </c>
      <c r="E2804" s="95" t="s">
        <v>19</v>
      </c>
      <c r="F2804" s="95" t="s">
        <v>738</v>
      </c>
      <c r="G2804" s="9">
        <v>700000.0</v>
      </c>
      <c r="H2804" s="95" t="s">
        <v>530</v>
      </c>
      <c r="I2804" s="13">
        <f t="shared" si="206"/>
        <v>70000</v>
      </c>
      <c r="J2804" s="146" t="s">
        <v>1351</v>
      </c>
      <c r="K2804" s="98"/>
      <c r="L2804" s="98"/>
    </row>
    <row r="2805">
      <c r="B2805" s="95" t="s">
        <v>526</v>
      </c>
      <c r="C2805" s="95" t="s">
        <v>1336</v>
      </c>
      <c r="D2805" s="95" t="s">
        <v>13</v>
      </c>
      <c r="E2805" s="95" t="s">
        <v>19</v>
      </c>
      <c r="F2805" s="95" t="s">
        <v>738</v>
      </c>
      <c r="G2805" s="9">
        <v>400000.0</v>
      </c>
      <c r="H2805" s="95" t="s">
        <v>530</v>
      </c>
      <c r="I2805" s="13">
        <f t="shared" si="206"/>
        <v>40000</v>
      </c>
      <c r="J2805" s="146" t="s">
        <v>1351</v>
      </c>
      <c r="K2805" s="98"/>
      <c r="L2805" s="98"/>
    </row>
    <row r="2806">
      <c r="B2806" s="95" t="s">
        <v>526</v>
      </c>
      <c r="C2806" s="95" t="s">
        <v>2284</v>
      </c>
      <c r="D2806" s="95" t="s">
        <v>13</v>
      </c>
      <c r="E2806" s="95" t="s">
        <v>19</v>
      </c>
      <c r="F2806" s="95" t="s">
        <v>738</v>
      </c>
      <c r="G2806" s="9">
        <v>300000.0</v>
      </c>
      <c r="H2806" s="95" t="s">
        <v>530</v>
      </c>
      <c r="I2806" s="13">
        <f t="shared" si="206"/>
        <v>30000</v>
      </c>
      <c r="J2806" s="146" t="s">
        <v>1351</v>
      </c>
      <c r="K2806" s="98"/>
      <c r="L2806" s="98"/>
    </row>
    <row r="2807">
      <c r="B2807" s="95" t="s">
        <v>526</v>
      </c>
      <c r="C2807" s="95" t="s">
        <v>1713</v>
      </c>
      <c r="D2807" s="95" t="s">
        <v>13</v>
      </c>
      <c r="E2807" s="95" t="s">
        <v>19</v>
      </c>
      <c r="F2807" s="95" t="s">
        <v>738</v>
      </c>
      <c r="G2807" s="9">
        <v>75000.0</v>
      </c>
      <c r="H2807" s="95" t="s">
        <v>530</v>
      </c>
      <c r="I2807" s="13">
        <f t="shared" si="206"/>
        <v>7500</v>
      </c>
      <c r="J2807" s="146" t="s">
        <v>1351</v>
      </c>
      <c r="K2807" s="98"/>
      <c r="L2807" s="98"/>
    </row>
    <row r="2808">
      <c r="B2808" s="95" t="s">
        <v>526</v>
      </c>
      <c r="C2808" s="95" t="s">
        <v>710</v>
      </c>
      <c r="D2808" s="95" t="s">
        <v>13</v>
      </c>
      <c r="E2808" s="95" t="s">
        <v>19</v>
      </c>
      <c r="F2808" s="95" t="s">
        <v>738</v>
      </c>
      <c r="G2808" s="9">
        <v>750000.0</v>
      </c>
      <c r="H2808" s="95" t="s">
        <v>530</v>
      </c>
      <c r="I2808" s="13">
        <f t="shared" si="206"/>
        <v>75000</v>
      </c>
      <c r="J2808" s="146" t="s">
        <v>1351</v>
      </c>
      <c r="K2808" s="98"/>
      <c r="L2808" s="98"/>
    </row>
    <row r="2809">
      <c r="B2809" s="95" t="s">
        <v>526</v>
      </c>
      <c r="C2809" s="95" t="s">
        <v>2321</v>
      </c>
      <c r="D2809" s="95" t="s">
        <v>13</v>
      </c>
      <c r="E2809" s="95" t="s">
        <v>19</v>
      </c>
      <c r="F2809" s="95" t="s">
        <v>738</v>
      </c>
      <c r="G2809" s="9">
        <v>300000.0</v>
      </c>
      <c r="H2809" s="95" t="s">
        <v>530</v>
      </c>
      <c r="I2809" s="13">
        <f t="shared" si="206"/>
        <v>30000</v>
      </c>
      <c r="J2809" s="146" t="s">
        <v>1351</v>
      </c>
      <c r="K2809" s="98"/>
      <c r="L2809" s="98"/>
    </row>
    <row r="2810">
      <c r="B2810" s="95" t="s">
        <v>526</v>
      </c>
      <c r="C2810" s="95" t="s">
        <v>3013</v>
      </c>
      <c r="D2810" s="95" t="s">
        <v>13</v>
      </c>
      <c r="E2810" s="95" t="s">
        <v>19</v>
      </c>
      <c r="F2810" s="95" t="s">
        <v>738</v>
      </c>
      <c r="G2810" s="9">
        <v>1000000.0</v>
      </c>
      <c r="H2810" s="95" t="s">
        <v>530</v>
      </c>
      <c r="I2810" s="13">
        <f t="shared" si="206"/>
        <v>100000</v>
      </c>
      <c r="J2810" s="146" t="s">
        <v>1351</v>
      </c>
      <c r="K2810" s="98"/>
      <c r="L2810" s="98"/>
    </row>
    <row r="2811">
      <c r="B2811" s="95" t="s">
        <v>526</v>
      </c>
      <c r="C2811" s="95" t="s">
        <v>866</v>
      </c>
      <c r="D2811" s="95" t="s">
        <v>13</v>
      </c>
      <c r="E2811" s="95" t="s">
        <v>14</v>
      </c>
      <c r="F2811" s="95" t="s">
        <v>738</v>
      </c>
      <c r="G2811" s="9">
        <v>210000.0</v>
      </c>
      <c r="H2811" s="95" t="s">
        <v>530</v>
      </c>
      <c r="I2811" s="13">
        <f t="shared" si="206"/>
        <v>21000</v>
      </c>
      <c r="J2811" s="146" t="s">
        <v>1351</v>
      </c>
      <c r="K2811" s="98"/>
      <c r="L2811" s="98"/>
    </row>
    <row r="2812">
      <c r="B2812" s="95" t="s">
        <v>526</v>
      </c>
      <c r="C2812" s="95" t="s">
        <v>3014</v>
      </c>
      <c r="D2812" s="95" t="s">
        <v>13</v>
      </c>
      <c r="E2812" s="95" t="s">
        <v>14</v>
      </c>
      <c r="F2812" s="95" t="s">
        <v>738</v>
      </c>
      <c r="G2812" s="9">
        <v>150000.0</v>
      </c>
      <c r="H2812" s="95" t="s">
        <v>530</v>
      </c>
      <c r="I2812" s="13">
        <f t="shared" si="206"/>
        <v>15000</v>
      </c>
      <c r="J2812" s="146" t="s">
        <v>1351</v>
      </c>
      <c r="K2812" s="98"/>
      <c r="L2812" s="98"/>
    </row>
    <row r="2813">
      <c r="B2813" s="95" t="s">
        <v>526</v>
      </c>
      <c r="C2813" s="95" t="s">
        <v>2286</v>
      </c>
      <c r="D2813" s="95" t="s">
        <v>13</v>
      </c>
      <c r="E2813" s="95" t="s">
        <v>14</v>
      </c>
      <c r="F2813" s="95" t="s">
        <v>738</v>
      </c>
      <c r="G2813" s="9">
        <v>160000.0</v>
      </c>
      <c r="H2813" s="95" t="s">
        <v>530</v>
      </c>
      <c r="I2813" s="13">
        <f t="shared" si="206"/>
        <v>16000</v>
      </c>
      <c r="J2813" s="146" t="s">
        <v>1351</v>
      </c>
      <c r="K2813" s="98"/>
      <c r="L2813" s="98"/>
    </row>
    <row r="2814">
      <c r="B2814" s="95" t="s">
        <v>526</v>
      </c>
      <c r="C2814" s="95" t="s">
        <v>3015</v>
      </c>
      <c r="D2814" s="95" t="s">
        <v>13</v>
      </c>
      <c r="E2814" s="95" t="s">
        <v>14</v>
      </c>
      <c r="F2814" s="95" t="s">
        <v>738</v>
      </c>
      <c r="G2814" s="9">
        <v>250000.0</v>
      </c>
      <c r="H2814" s="95" t="s">
        <v>1155</v>
      </c>
      <c r="I2814" s="13">
        <f>G2814/8</f>
        <v>31250</v>
      </c>
      <c r="J2814" s="146" t="s">
        <v>1351</v>
      </c>
      <c r="K2814" s="98"/>
      <c r="L2814" s="98"/>
    </row>
    <row r="2815">
      <c r="B2815" s="95" t="s">
        <v>526</v>
      </c>
      <c r="C2815" s="95" t="s">
        <v>2825</v>
      </c>
      <c r="D2815" s="95" t="s">
        <v>13</v>
      </c>
      <c r="E2815" s="95" t="s">
        <v>14</v>
      </c>
      <c r="F2815" s="95" t="s">
        <v>738</v>
      </c>
      <c r="G2815" s="9">
        <v>150000.0</v>
      </c>
      <c r="H2815" s="95" t="s">
        <v>530</v>
      </c>
      <c r="I2815" s="13">
        <f t="shared" ref="I2815:I2818" si="207">G2815/10</f>
        <v>15000</v>
      </c>
      <c r="J2815" s="146" t="s">
        <v>1351</v>
      </c>
      <c r="K2815" s="98"/>
      <c r="L2815" s="98"/>
    </row>
    <row r="2816">
      <c r="B2816" s="95" t="s">
        <v>526</v>
      </c>
      <c r="C2816" s="95" t="s">
        <v>1029</v>
      </c>
      <c r="D2816" s="95" t="s">
        <v>13</v>
      </c>
      <c r="E2816" s="95" t="s">
        <v>14</v>
      </c>
      <c r="F2816" s="95" t="s">
        <v>738</v>
      </c>
      <c r="G2816" s="9">
        <v>300000.0</v>
      </c>
      <c r="H2816" s="95" t="s">
        <v>530</v>
      </c>
      <c r="I2816" s="13">
        <f t="shared" si="207"/>
        <v>30000</v>
      </c>
      <c r="J2816" s="146" t="s">
        <v>1351</v>
      </c>
      <c r="K2816" s="98"/>
      <c r="L2816" s="98"/>
    </row>
    <row r="2817">
      <c r="B2817" s="95" t="s">
        <v>526</v>
      </c>
      <c r="C2817" s="95" t="s">
        <v>2242</v>
      </c>
      <c r="D2817" s="95" t="s">
        <v>13</v>
      </c>
      <c r="E2817" s="95" t="s">
        <v>14</v>
      </c>
      <c r="F2817" s="95" t="s">
        <v>738</v>
      </c>
      <c r="G2817" s="9">
        <v>85000.0</v>
      </c>
      <c r="H2817" s="95" t="s">
        <v>530</v>
      </c>
      <c r="I2817" s="13">
        <f t="shared" si="207"/>
        <v>8500</v>
      </c>
      <c r="J2817" s="146" t="s">
        <v>1351</v>
      </c>
      <c r="K2817" s="98"/>
      <c r="L2817" s="98"/>
    </row>
    <row r="2818">
      <c r="B2818" s="95" t="s">
        <v>526</v>
      </c>
      <c r="C2818" s="95" t="s">
        <v>2889</v>
      </c>
      <c r="D2818" s="95" t="s">
        <v>13</v>
      </c>
      <c r="E2818" s="95" t="s">
        <v>14</v>
      </c>
      <c r="F2818" s="95" t="s">
        <v>738</v>
      </c>
      <c r="G2818" s="9">
        <v>120000.0</v>
      </c>
      <c r="H2818" s="95" t="s">
        <v>530</v>
      </c>
      <c r="I2818" s="13">
        <f t="shared" si="207"/>
        <v>12000</v>
      </c>
      <c r="J2818" s="146" t="s">
        <v>1351</v>
      </c>
      <c r="K2818" s="98"/>
      <c r="L2818" s="98"/>
    </row>
    <row r="2819">
      <c r="B2819" s="95" t="s">
        <v>526</v>
      </c>
      <c r="C2819" s="95" t="s">
        <v>860</v>
      </c>
      <c r="D2819" s="95" t="s">
        <v>13</v>
      </c>
      <c r="E2819" s="95" t="s">
        <v>14</v>
      </c>
      <c r="F2819" s="95" t="s">
        <v>738</v>
      </c>
      <c r="G2819" s="9">
        <v>50000.0</v>
      </c>
      <c r="H2819" s="95" t="s">
        <v>635</v>
      </c>
      <c r="I2819" s="13">
        <f>G2819/6</f>
        <v>8333.333333</v>
      </c>
      <c r="J2819" s="146" t="s">
        <v>1351</v>
      </c>
      <c r="K2819" s="98"/>
      <c r="L2819" s="98"/>
    </row>
    <row r="2820">
      <c r="B2820" s="95" t="s">
        <v>526</v>
      </c>
      <c r="C2820" s="95" t="s">
        <v>3016</v>
      </c>
      <c r="D2820" s="95" t="s">
        <v>13</v>
      </c>
      <c r="E2820" s="95" t="s">
        <v>14</v>
      </c>
      <c r="F2820" s="95" t="s">
        <v>738</v>
      </c>
      <c r="G2820" s="9">
        <v>9000.0</v>
      </c>
      <c r="H2820" s="95" t="s">
        <v>1082</v>
      </c>
      <c r="I2820" s="13">
        <f>G2820/1</f>
        <v>9000</v>
      </c>
      <c r="J2820" s="146" t="s">
        <v>1351</v>
      </c>
      <c r="K2820" s="98"/>
      <c r="L2820" s="98"/>
    </row>
    <row r="2821">
      <c r="B2821" s="95" t="s">
        <v>526</v>
      </c>
      <c r="C2821" s="95" t="s">
        <v>2458</v>
      </c>
      <c r="D2821" s="95" t="s">
        <v>13</v>
      </c>
      <c r="E2821" s="95" t="s">
        <v>2166</v>
      </c>
      <c r="F2821" s="95" t="s">
        <v>738</v>
      </c>
      <c r="G2821" s="9">
        <v>75000.0</v>
      </c>
      <c r="H2821" s="95" t="s">
        <v>530</v>
      </c>
      <c r="I2821" s="13">
        <f t="shared" ref="I2821:I2824" si="208">G2821/10</f>
        <v>7500</v>
      </c>
      <c r="J2821" s="146" t="s">
        <v>1351</v>
      </c>
      <c r="K2821" s="98"/>
      <c r="L2821" s="98"/>
    </row>
    <row r="2822">
      <c r="B2822" s="95" t="s">
        <v>526</v>
      </c>
      <c r="C2822" s="95" t="s">
        <v>3017</v>
      </c>
      <c r="D2822" s="95" t="s">
        <v>13</v>
      </c>
      <c r="E2822" s="95" t="s">
        <v>2166</v>
      </c>
      <c r="F2822" s="95" t="s">
        <v>738</v>
      </c>
      <c r="G2822" s="9">
        <v>100000.0</v>
      </c>
      <c r="H2822" s="95" t="s">
        <v>530</v>
      </c>
      <c r="I2822" s="13">
        <f t="shared" si="208"/>
        <v>10000</v>
      </c>
      <c r="J2822" s="146" t="s">
        <v>1351</v>
      </c>
      <c r="K2822" s="98"/>
      <c r="L2822" s="98"/>
    </row>
    <row r="2823">
      <c r="B2823" s="95" t="s">
        <v>526</v>
      </c>
      <c r="C2823" s="95" t="s">
        <v>2953</v>
      </c>
      <c r="D2823" s="95" t="s">
        <v>13</v>
      </c>
      <c r="E2823" s="95" t="s">
        <v>2166</v>
      </c>
      <c r="F2823" s="95" t="s">
        <v>738</v>
      </c>
      <c r="G2823" s="9">
        <v>85000.0</v>
      </c>
      <c r="H2823" s="95" t="s">
        <v>530</v>
      </c>
      <c r="I2823" s="13">
        <f t="shared" si="208"/>
        <v>8500</v>
      </c>
      <c r="J2823" s="146" t="s">
        <v>1351</v>
      </c>
      <c r="K2823" s="98"/>
      <c r="L2823" s="98"/>
    </row>
    <row r="2824">
      <c r="B2824" s="95" t="s">
        <v>526</v>
      </c>
      <c r="C2824" s="95" t="s">
        <v>2159</v>
      </c>
      <c r="D2824" s="95" t="s">
        <v>13</v>
      </c>
      <c r="E2824" s="95" t="s">
        <v>2166</v>
      </c>
      <c r="F2824" s="95" t="s">
        <v>738</v>
      </c>
      <c r="G2824" s="9">
        <v>60000.0</v>
      </c>
      <c r="H2824" s="95" t="s">
        <v>530</v>
      </c>
      <c r="I2824" s="13">
        <f t="shared" si="208"/>
        <v>6000</v>
      </c>
      <c r="J2824" s="146" t="s">
        <v>1351</v>
      </c>
      <c r="K2824" s="98"/>
      <c r="L2824" s="98"/>
    </row>
    <row r="2825">
      <c r="B2825" s="95" t="s">
        <v>526</v>
      </c>
      <c r="C2825" s="95" t="s">
        <v>3018</v>
      </c>
      <c r="D2825" s="95" t="s">
        <v>13</v>
      </c>
      <c r="E2825" s="95" t="s">
        <v>2166</v>
      </c>
      <c r="F2825" s="95" t="s">
        <v>738</v>
      </c>
      <c r="G2825" s="9">
        <v>25000.0</v>
      </c>
      <c r="H2825" s="95" t="s">
        <v>635</v>
      </c>
      <c r="I2825" s="13">
        <f>G2825/6</f>
        <v>4166.666667</v>
      </c>
      <c r="J2825" s="146" t="s">
        <v>1351</v>
      </c>
      <c r="K2825" s="98"/>
      <c r="L2825" s="98"/>
    </row>
    <row r="2826">
      <c r="B2826" s="95" t="s">
        <v>526</v>
      </c>
      <c r="C2826" s="95" t="s">
        <v>2386</v>
      </c>
      <c r="D2826" s="95" t="s">
        <v>13</v>
      </c>
      <c r="E2826" s="95" t="s">
        <v>2166</v>
      </c>
      <c r="F2826" s="95" t="s">
        <v>738</v>
      </c>
      <c r="G2826" s="9">
        <v>60000.0</v>
      </c>
      <c r="H2826" s="95" t="s">
        <v>530</v>
      </c>
      <c r="I2826" s="13">
        <f>G2826/10</f>
        <v>6000</v>
      </c>
      <c r="J2826" s="146" t="s">
        <v>1351</v>
      </c>
      <c r="K2826" s="98"/>
      <c r="L2826" s="98"/>
    </row>
    <row r="2827">
      <c r="B2827" s="95" t="s">
        <v>526</v>
      </c>
      <c r="C2827" s="95" t="s">
        <v>903</v>
      </c>
      <c r="D2827" s="95" t="s">
        <v>13</v>
      </c>
      <c r="E2827" s="95" t="s">
        <v>2166</v>
      </c>
      <c r="F2827" s="95" t="s">
        <v>738</v>
      </c>
      <c r="G2827" s="9">
        <v>45000.0</v>
      </c>
      <c r="H2827" s="95" t="s">
        <v>745</v>
      </c>
      <c r="I2827" s="13">
        <f>G2827/5</f>
        <v>9000</v>
      </c>
      <c r="J2827" s="146" t="s">
        <v>1351</v>
      </c>
      <c r="K2827" s="98"/>
      <c r="L2827" s="98"/>
    </row>
    <row r="2828">
      <c r="B2828" s="95" t="s">
        <v>526</v>
      </c>
      <c r="C2828" s="95" t="s">
        <v>2884</v>
      </c>
      <c r="D2828" s="95" t="s">
        <v>13</v>
      </c>
      <c r="E2828" s="95" t="s">
        <v>2166</v>
      </c>
      <c r="F2828" s="95" t="s">
        <v>738</v>
      </c>
      <c r="G2828" s="9">
        <v>40000.0</v>
      </c>
      <c r="H2828" s="95" t="s">
        <v>530</v>
      </c>
      <c r="I2828" s="13">
        <f>G2828/10</f>
        <v>4000</v>
      </c>
      <c r="J2828" s="146" t="s">
        <v>1351</v>
      </c>
      <c r="K2828" s="98"/>
      <c r="L2828" s="98"/>
    </row>
    <row r="2829">
      <c r="B2829" s="95" t="s">
        <v>526</v>
      </c>
      <c r="C2829" s="95" t="s">
        <v>2241</v>
      </c>
      <c r="D2829" s="95" t="s">
        <v>13</v>
      </c>
      <c r="E2829" s="95" t="s">
        <v>2166</v>
      </c>
      <c r="F2829" s="95" t="s">
        <v>738</v>
      </c>
      <c r="G2829" s="9">
        <v>40000.0</v>
      </c>
      <c r="H2829" s="95" t="s">
        <v>635</v>
      </c>
      <c r="I2829" s="13">
        <f>G2829/6</f>
        <v>6666.666667</v>
      </c>
      <c r="J2829" s="146" t="s">
        <v>1351</v>
      </c>
      <c r="K2829" s="98"/>
      <c r="L2829" s="98"/>
    </row>
    <row r="2830">
      <c r="B2830" s="95" t="s">
        <v>526</v>
      </c>
      <c r="C2830" s="95" t="s">
        <v>2456</v>
      </c>
      <c r="D2830" s="95" t="s">
        <v>13</v>
      </c>
      <c r="E2830" s="95" t="s">
        <v>2166</v>
      </c>
      <c r="F2830" s="95" t="s">
        <v>738</v>
      </c>
      <c r="G2830" s="9">
        <v>30000.0</v>
      </c>
      <c r="H2830" s="95" t="s">
        <v>530</v>
      </c>
      <c r="I2830" s="13">
        <f t="shared" ref="I2830:I2832" si="209">G2830/10</f>
        <v>3000</v>
      </c>
      <c r="J2830" s="146" t="s">
        <v>1351</v>
      </c>
      <c r="K2830" s="98"/>
      <c r="L2830" s="98"/>
    </row>
    <row r="2831">
      <c r="B2831" s="95" t="s">
        <v>526</v>
      </c>
      <c r="C2831" s="95" t="s">
        <v>2456</v>
      </c>
      <c r="D2831" s="95" t="s">
        <v>13</v>
      </c>
      <c r="E2831" s="95" t="s">
        <v>2207</v>
      </c>
      <c r="F2831" s="95" t="s">
        <v>763</v>
      </c>
      <c r="G2831" s="9">
        <v>18000.0</v>
      </c>
      <c r="H2831" s="95" t="s">
        <v>530</v>
      </c>
      <c r="I2831" s="13">
        <f t="shared" si="209"/>
        <v>1800</v>
      </c>
      <c r="J2831" s="146" t="s">
        <v>1351</v>
      </c>
      <c r="K2831" s="98"/>
      <c r="L2831" s="98"/>
    </row>
    <row r="2832">
      <c r="B2832" s="95" t="s">
        <v>526</v>
      </c>
      <c r="C2832" s="95" t="s">
        <v>3019</v>
      </c>
      <c r="D2832" s="95" t="s">
        <v>13</v>
      </c>
      <c r="E2832" s="95" t="s">
        <v>2166</v>
      </c>
      <c r="F2832" s="95" t="s">
        <v>738</v>
      </c>
      <c r="G2832" s="9">
        <v>55000.0</v>
      </c>
      <c r="H2832" s="95" t="s">
        <v>530</v>
      </c>
      <c r="I2832" s="13">
        <f t="shared" si="209"/>
        <v>5500</v>
      </c>
      <c r="J2832" s="146" t="s">
        <v>1351</v>
      </c>
      <c r="K2832" s="98"/>
      <c r="L2832" s="98"/>
    </row>
    <row r="2833">
      <c r="B2833" s="95" t="s">
        <v>526</v>
      </c>
      <c r="C2833" s="95" t="s">
        <v>3020</v>
      </c>
      <c r="D2833" s="95" t="s">
        <v>13</v>
      </c>
      <c r="E2833" s="95" t="s">
        <v>2166</v>
      </c>
      <c r="F2833" s="95" t="s">
        <v>738</v>
      </c>
      <c r="G2833" s="9">
        <v>60000.0</v>
      </c>
      <c r="H2833" s="95" t="s">
        <v>745</v>
      </c>
      <c r="I2833" s="13">
        <f>G2833/5</f>
        <v>12000</v>
      </c>
      <c r="J2833" s="146" t="s">
        <v>1351</v>
      </c>
      <c r="K2833" s="98"/>
      <c r="L2833" s="98"/>
    </row>
    <row r="2834">
      <c r="B2834" s="95" t="s">
        <v>526</v>
      </c>
      <c r="C2834" s="95" t="s">
        <v>3021</v>
      </c>
      <c r="D2834" s="95" t="s">
        <v>13</v>
      </c>
      <c r="E2834" s="138" t="s">
        <v>2167</v>
      </c>
      <c r="F2834" s="95" t="s">
        <v>738</v>
      </c>
      <c r="G2834" s="9">
        <v>250000.0</v>
      </c>
      <c r="H2834" s="95" t="s">
        <v>530</v>
      </c>
      <c r="I2834" s="13">
        <f t="shared" ref="I2834:I2836" si="210">G2834/10</f>
        <v>25000</v>
      </c>
      <c r="J2834" s="146" t="s">
        <v>1351</v>
      </c>
      <c r="K2834" s="98"/>
      <c r="L2834" s="98"/>
    </row>
    <row r="2835">
      <c r="B2835" s="95" t="s">
        <v>526</v>
      </c>
      <c r="C2835" s="95" t="s">
        <v>3022</v>
      </c>
      <c r="D2835" s="95" t="s">
        <v>13</v>
      </c>
      <c r="E2835" s="138" t="s">
        <v>2167</v>
      </c>
      <c r="F2835" s="95" t="s">
        <v>738</v>
      </c>
      <c r="G2835" s="9">
        <v>210000.0</v>
      </c>
      <c r="H2835" s="95" t="s">
        <v>530</v>
      </c>
      <c r="I2835" s="13">
        <f t="shared" si="210"/>
        <v>21000</v>
      </c>
      <c r="J2835" s="146" t="s">
        <v>1351</v>
      </c>
      <c r="K2835" s="98"/>
      <c r="L2835" s="98"/>
    </row>
    <row r="2836">
      <c r="B2836" s="95" t="s">
        <v>526</v>
      </c>
      <c r="C2836" s="95" t="s">
        <v>2960</v>
      </c>
      <c r="D2836" s="95" t="s">
        <v>13</v>
      </c>
      <c r="E2836" s="138" t="s">
        <v>2167</v>
      </c>
      <c r="F2836" s="95" t="s">
        <v>738</v>
      </c>
      <c r="G2836" s="9">
        <v>170000.0</v>
      </c>
      <c r="H2836" s="95" t="s">
        <v>530</v>
      </c>
      <c r="I2836" s="13">
        <f t="shared" si="210"/>
        <v>17000</v>
      </c>
      <c r="J2836" s="146" t="s">
        <v>1351</v>
      </c>
      <c r="K2836" s="98"/>
      <c r="L2836" s="98"/>
    </row>
    <row r="2837">
      <c r="B2837" s="95" t="s">
        <v>526</v>
      </c>
      <c r="C2837" s="95" t="s">
        <v>3023</v>
      </c>
      <c r="D2837" s="95" t="s">
        <v>13</v>
      </c>
      <c r="E2837" s="138" t="s">
        <v>2167</v>
      </c>
      <c r="F2837" s="95" t="s">
        <v>738</v>
      </c>
      <c r="G2837" s="9">
        <v>40000.0</v>
      </c>
      <c r="H2837" s="95" t="s">
        <v>872</v>
      </c>
      <c r="I2837" s="13">
        <f>G2837/3</f>
        <v>13333.33333</v>
      </c>
      <c r="J2837" s="146" t="s">
        <v>1351</v>
      </c>
      <c r="K2837" s="98"/>
      <c r="L2837" s="98"/>
    </row>
    <row r="2838">
      <c r="B2838" s="95" t="s">
        <v>526</v>
      </c>
      <c r="C2838" s="95" t="s">
        <v>1761</v>
      </c>
      <c r="D2838" s="95" t="s">
        <v>13</v>
      </c>
      <c r="E2838" s="138" t="s">
        <v>2167</v>
      </c>
      <c r="F2838" s="95" t="s">
        <v>738</v>
      </c>
      <c r="G2838" s="9">
        <v>110000.0</v>
      </c>
      <c r="H2838" s="95" t="s">
        <v>530</v>
      </c>
      <c r="I2838" s="13">
        <f t="shared" ref="I2838:I2843" si="211">G2838/10</f>
        <v>11000</v>
      </c>
      <c r="J2838" s="146" t="s">
        <v>1351</v>
      </c>
      <c r="K2838" s="98"/>
      <c r="L2838" s="98"/>
    </row>
    <row r="2839">
      <c r="B2839" s="95" t="s">
        <v>526</v>
      </c>
      <c r="C2839" s="95" t="s">
        <v>2929</v>
      </c>
      <c r="D2839" s="95" t="s">
        <v>13</v>
      </c>
      <c r="E2839" s="138" t="s">
        <v>2167</v>
      </c>
      <c r="F2839" s="95" t="s">
        <v>738</v>
      </c>
      <c r="G2839" s="9">
        <v>90000.0</v>
      </c>
      <c r="H2839" s="95" t="s">
        <v>530</v>
      </c>
      <c r="I2839" s="13">
        <f t="shared" si="211"/>
        <v>9000</v>
      </c>
      <c r="J2839" s="146" t="s">
        <v>1351</v>
      </c>
      <c r="K2839" s="98"/>
      <c r="L2839" s="98"/>
    </row>
    <row r="2840">
      <c r="B2840" s="95" t="s">
        <v>526</v>
      </c>
      <c r="C2840" s="95" t="s">
        <v>2268</v>
      </c>
      <c r="D2840" s="95" t="s">
        <v>13</v>
      </c>
      <c r="E2840" s="138" t="s">
        <v>2167</v>
      </c>
      <c r="F2840" s="95" t="s">
        <v>738</v>
      </c>
      <c r="G2840" s="9">
        <v>180000.0</v>
      </c>
      <c r="H2840" s="95" t="s">
        <v>530</v>
      </c>
      <c r="I2840" s="13">
        <f t="shared" si="211"/>
        <v>18000</v>
      </c>
      <c r="J2840" s="146" t="s">
        <v>1351</v>
      </c>
      <c r="K2840" s="98"/>
      <c r="L2840" s="98"/>
    </row>
    <row r="2841">
      <c r="B2841" s="95" t="s">
        <v>526</v>
      </c>
      <c r="C2841" s="95" t="s">
        <v>3024</v>
      </c>
      <c r="D2841" s="95" t="s">
        <v>13</v>
      </c>
      <c r="E2841" s="138" t="s">
        <v>2167</v>
      </c>
      <c r="F2841" s="95" t="s">
        <v>738</v>
      </c>
      <c r="G2841" s="9">
        <v>30000.0</v>
      </c>
      <c r="H2841" s="95" t="s">
        <v>530</v>
      </c>
      <c r="I2841" s="13">
        <f t="shared" si="211"/>
        <v>3000</v>
      </c>
      <c r="J2841" s="146" t="s">
        <v>1351</v>
      </c>
      <c r="K2841" s="98"/>
      <c r="L2841" s="98"/>
    </row>
    <row r="2842">
      <c r="B2842" s="95" t="s">
        <v>526</v>
      </c>
      <c r="C2842" s="95" t="s">
        <v>2444</v>
      </c>
      <c r="D2842" s="95" t="s">
        <v>13</v>
      </c>
      <c r="E2842" s="138" t="s">
        <v>2167</v>
      </c>
      <c r="F2842" s="95" t="s">
        <v>738</v>
      </c>
      <c r="G2842" s="9">
        <v>120000.0</v>
      </c>
      <c r="H2842" s="95" t="s">
        <v>530</v>
      </c>
      <c r="I2842" s="13">
        <f t="shared" si="211"/>
        <v>12000</v>
      </c>
      <c r="J2842" s="146" t="s">
        <v>1351</v>
      </c>
      <c r="K2842" s="98"/>
      <c r="L2842" s="98"/>
    </row>
    <row r="2843">
      <c r="B2843" s="95" t="s">
        <v>526</v>
      </c>
      <c r="C2843" s="95" t="s">
        <v>3025</v>
      </c>
      <c r="D2843" s="95" t="s">
        <v>13</v>
      </c>
      <c r="E2843" s="138" t="s">
        <v>2167</v>
      </c>
      <c r="F2843" s="95" t="s">
        <v>738</v>
      </c>
      <c r="G2843" s="9">
        <v>150000.0</v>
      </c>
      <c r="H2843" s="95" t="s">
        <v>530</v>
      </c>
      <c r="I2843" s="13">
        <f t="shared" si="211"/>
        <v>15000</v>
      </c>
      <c r="J2843" s="146" t="s">
        <v>1351</v>
      </c>
      <c r="K2843" s="98"/>
      <c r="L2843" s="98"/>
    </row>
    <row r="2844">
      <c r="B2844" s="95" t="s">
        <v>526</v>
      </c>
      <c r="C2844" s="95" t="s">
        <v>3026</v>
      </c>
      <c r="D2844" s="95" t="s">
        <v>13</v>
      </c>
      <c r="E2844" s="138" t="s">
        <v>2167</v>
      </c>
      <c r="F2844" s="95" t="s">
        <v>738</v>
      </c>
      <c r="G2844" s="9">
        <v>140000.0</v>
      </c>
      <c r="H2844" s="95" t="s">
        <v>728</v>
      </c>
      <c r="I2844" s="13">
        <f>G2844/7</f>
        <v>20000</v>
      </c>
      <c r="J2844" s="146" t="s">
        <v>1351</v>
      </c>
      <c r="K2844" s="98"/>
      <c r="L2844" s="98"/>
    </row>
    <row r="2845">
      <c r="B2845" s="95" t="s">
        <v>526</v>
      </c>
      <c r="C2845" s="95" t="s">
        <v>3027</v>
      </c>
      <c r="D2845" s="95" t="s">
        <v>13</v>
      </c>
      <c r="E2845" s="138" t="s">
        <v>2167</v>
      </c>
      <c r="F2845" s="95" t="s">
        <v>738</v>
      </c>
      <c r="G2845" s="9">
        <v>100000.0</v>
      </c>
      <c r="H2845" s="95" t="s">
        <v>530</v>
      </c>
      <c r="I2845" s="13">
        <f t="shared" ref="I2845:I2846" si="212">G2845/10</f>
        <v>10000</v>
      </c>
      <c r="J2845" s="146" t="s">
        <v>1351</v>
      </c>
      <c r="K2845" s="98"/>
      <c r="L2845" s="98"/>
    </row>
    <row r="2846">
      <c r="B2846" s="95" t="s">
        <v>526</v>
      </c>
      <c r="C2846" s="95"/>
      <c r="D2846" s="95" t="s">
        <v>13</v>
      </c>
      <c r="E2846" s="138" t="s">
        <v>3028</v>
      </c>
      <c r="F2846" s="95" t="s">
        <v>738</v>
      </c>
      <c r="G2846" s="9"/>
      <c r="H2846" s="95" t="s">
        <v>530</v>
      </c>
      <c r="I2846" s="13">
        <f t="shared" si="212"/>
        <v>0</v>
      </c>
      <c r="J2846" s="146" t="s">
        <v>1351</v>
      </c>
      <c r="K2846" s="98"/>
      <c r="L2846" s="98"/>
    </row>
    <row r="2847">
      <c r="B2847" s="95"/>
      <c r="C2847" s="95"/>
      <c r="D2847" s="95"/>
      <c r="E2847" s="138"/>
      <c r="F2847" s="95"/>
      <c r="G2847" s="9"/>
      <c r="H2847" s="95"/>
      <c r="I2847" s="13"/>
      <c r="J2847" s="146"/>
      <c r="K2847" s="98"/>
      <c r="L2847" s="98"/>
    </row>
    <row r="2848">
      <c r="B2848" s="95" t="s">
        <v>526</v>
      </c>
      <c r="C2848" s="95" t="s">
        <v>1381</v>
      </c>
      <c r="D2848" s="95" t="s">
        <v>140</v>
      </c>
      <c r="E2848" s="95" t="s">
        <v>141</v>
      </c>
      <c r="F2848" s="95" t="s">
        <v>685</v>
      </c>
      <c r="G2848" s="9">
        <f>2880000*0.88</f>
        <v>2534400</v>
      </c>
      <c r="H2848" s="95" t="s">
        <v>530</v>
      </c>
      <c r="I2848" s="13">
        <f t="shared" ref="I2848:I2853" si="213">G2848/10</f>
        <v>253440</v>
      </c>
      <c r="J2848" s="97" t="s">
        <v>1773</v>
      </c>
      <c r="K2848" s="97" t="s">
        <v>1772</v>
      </c>
      <c r="L2848" s="97" t="s">
        <v>3029</v>
      </c>
    </row>
    <row r="2849">
      <c r="B2849" s="95" t="s">
        <v>526</v>
      </c>
      <c r="C2849" s="95" t="s">
        <v>1580</v>
      </c>
      <c r="D2849" s="95" t="s">
        <v>222</v>
      </c>
      <c r="E2849" s="95" t="s">
        <v>1019</v>
      </c>
      <c r="F2849" s="95" t="s">
        <v>685</v>
      </c>
      <c r="G2849" s="9">
        <v>2700000.0</v>
      </c>
      <c r="H2849" s="95" t="s">
        <v>530</v>
      </c>
      <c r="I2849" s="13">
        <f t="shared" si="213"/>
        <v>270000</v>
      </c>
      <c r="J2849" s="97" t="s">
        <v>1772</v>
      </c>
      <c r="K2849" s="105" t="s">
        <v>1615</v>
      </c>
      <c r="L2849" s="97" t="s">
        <v>1616</v>
      </c>
    </row>
    <row r="2850">
      <c r="B2850" s="95" t="s">
        <v>526</v>
      </c>
      <c r="C2850" s="95" t="s">
        <v>748</v>
      </c>
      <c r="D2850" s="95" t="s">
        <v>114</v>
      </c>
      <c r="E2850" s="95" t="s">
        <v>370</v>
      </c>
      <c r="F2850" s="95" t="s">
        <v>685</v>
      </c>
      <c r="G2850" s="9">
        <v>600000.0</v>
      </c>
      <c r="H2850" s="95" t="s">
        <v>530</v>
      </c>
      <c r="I2850" s="13">
        <f t="shared" si="213"/>
        <v>60000</v>
      </c>
      <c r="J2850" s="97" t="s">
        <v>3030</v>
      </c>
      <c r="K2850" s="98" t="s">
        <v>3031</v>
      </c>
      <c r="L2850" s="98"/>
    </row>
    <row r="2851">
      <c r="B2851" s="95" t="s">
        <v>3032</v>
      </c>
      <c r="C2851" s="95" t="s">
        <v>3033</v>
      </c>
      <c r="D2851" s="95" t="s">
        <v>222</v>
      </c>
      <c r="E2851" s="95" t="s">
        <v>3034</v>
      </c>
      <c r="F2851" s="95" t="s">
        <v>685</v>
      </c>
      <c r="G2851" s="9">
        <v>1000000.0</v>
      </c>
      <c r="H2851" s="95" t="s">
        <v>530</v>
      </c>
      <c r="I2851" s="13">
        <f t="shared" si="213"/>
        <v>100000</v>
      </c>
      <c r="J2851" s="97" t="s">
        <v>3035</v>
      </c>
      <c r="K2851" s="98"/>
      <c r="L2851" s="98"/>
    </row>
    <row r="2852">
      <c r="B2852" s="95" t="s">
        <v>526</v>
      </c>
      <c r="C2852" s="95" t="s">
        <v>1442</v>
      </c>
      <c r="D2852" s="95" t="s">
        <v>114</v>
      </c>
      <c r="E2852" s="95" t="s">
        <v>370</v>
      </c>
      <c r="F2852" s="95" t="s">
        <v>685</v>
      </c>
      <c r="G2852" s="9">
        <v>450000.0</v>
      </c>
      <c r="H2852" s="95" t="s">
        <v>530</v>
      </c>
      <c r="I2852" s="13">
        <f t="shared" si="213"/>
        <v>45000</v>
      </c>
      <c r="J2852" s="97" t="s">
        <v>3036</v>
      </c>
      <c r="K2852" s="97" t="s">
        <v>3037</v>
      </c>
      <c r="L2852" s="98"/>
    </row>
    <row r="2853">
      <c r="B2853" s="95" t="s">
        <v>526</v>
      </c>
      <c r="C2853" s="95" t="s">
        <v>1247</v>
      </c>
      <c r="D2853" s="95" t="s">
        <v>174</v>
      </c>
      <c r="E2853" s="95" t="s">
        <v>438</v>
      </c>
      <c r="F2853" s="95" t="s">
        <v>685</v>
      </c>
      <c r="G2853" s="9">
        <f>0.88*1500000</f>
        <v>1320000</v>
      </c>
      <c r="H2853" s="95" t="s">
        <v>530</v>
      </c>
      <c r="I2853" s="13">
        <f t="shared" si="213"/>
        <v>132000</v>
      </c>
      <c r="J2853" s="97" t="s">
        <v>3038</v>
      </c>
      <c r="K2853" s="98"/>
      <c r="L2853" s="98"/>
    </row>
    <row r="2854">
      <c r="B2854" s="95" t="s">
        <v>526</v>
      </c>
      <c r="C2854" s="95" t="s">
        <v>831</v>
      </c>
      <c r="D2854" s="95" t="s">
        <v>114</v>
      </c>
      <c r="E2854" s="95" t="s">
        <v>377</v>
      </c>
      <c r="F2854" s="95" t="s">
        <v>685</v>
      </c>
      <c r="G2854" s="9">
        <v>400000.0</v>
      </c>
      <c r="H2854" s="95" t="s">
        <v>530</v>
      </c>
      <c r="I2854" s="13">
        <f>G2854/8</f>
        <v>50000</v>
      </c>
      <c r="J2854" s="97" t="s">
        <v>3039</v>
      </c>
      <c r="K2854" s="98"/>
      <c r="L2854" s="98"/>
    </row>
    <row r="2855">
      <c r="B2855" s="95"/>
      <c r="C2855" s="95"/>
      <c r="D2855" s="95"/>
      <c r="E2855" s="95"/>
      <c r="F2855" s="95"/>
      <c r="G2855" s="9"/>
      <c r="H2855" s="95"/>
      <c r="I2855" s="13"/>
      <c r="J2855" s="98"/>
      <c r="K2855" s="98"/>
      <c r="L2855" s="98"/>
    </row>
    <row r="2856">
      <c r="B2856" s="95"/>
      <c r="C2856" s="95"/>
      <c r="D2856" s="95"/>
      <c r="E2856" s="95"/>
      <c r="F2856" s="95"/>
      <c r="G2856" s="9"/>
      <c r="H2856" s="95"/>
      <c r="I2856" s="13"/>
      <c r="J2856" s="98"/>
      <c r="K2856" s="98"/>
      <c r="L2856" s="98"/>
    </row>
    <row r="2857">
      <c r="B2857" s="95"/>
      <c r="C2857" s="95"/>
      <c r="D2857" s="95"/>
      <c r="E2857" s="95"/>
      <c r="F2857" s="95"/>
      <c r="G2857" s="9"/>
      <c r="H2857" s="95"/>
      <c r="I2857" s="13"/>
      <c r="J2857" s="98"/>
      <c r="K2857" s="98"/>
      <c r="L2857" s="98"/>
    </row>
    <row r="2858">
      <c r="B2858" s="95"/>
      <c r="C2858" s="95"/>
      <c r="D2858" s="95"/>
      <c r="E2858" s="95"/>
      <c r="F2858" s="95"/>
      <c r="G2858" s="9"/>
      <c r="H2858" s="95"/>
      <c r="I2858" s="13"/>
      <c r="J2858" s="98"/>
      <c r="K2858" s="98"/>
      <c r="L2858" s="98"/>
    </row>
    <row r="2859">
      <c r="B2859" s="95"/>
      <c r="C2859" s="95"/>
      <c r="D2859" s="95"/>
      <c r="E2859" s="95"/>
      <c r="F2859" s="95"/>
      <c r="G2859" s="9"/>
      <c r="H2859" s="95"/>
      <c r="I2859" s="13"/>
      <c r="J2859" s="98"/>
      <c r="K2859" s="98"/>
      <c r="L2859" s="98"/>
    </row>
    <row r="2860">
      <c r="B2860" s="95"/>
      <c r="C2860" s="95"/>
      <c r="D2860" s="95"/>
      <c r="E2860" s="95"/>
      <c r="F2860" s="95"/>
      <c r="G2860" s="9"/>
      <c r="H2860" s="95"/>
      <c r="I2860" s="13"/>
      <c r="J2860" s="98"/>
      <c r="K2860" s="98"/>
      <c r="L2860" s="98"/>
    </row>
    <row r="2861">
      <c r="B2861" s="95" t="s">
        <v>526</v>
      </c>
      <c r="C2861" s="95" t="s">
        <v>672</v>
      </c>
      <c r="D2861" s="95" t="s">
        <v>114</v>
      </c>
      <c r="E2861" s="95" t="s">
        <v>380</v>
      </c>
      <c r="F2861" s="95" t="s">
        <v>738</v>
      </c>
      <c r="G2861" s="9">
        <v>25000.0</v>
      </c>
      <c r="H2861" s="95" t="s">
        <v>530</v>
      </c>
      <c r="I2861" s="13">
        <f>G2861/10</f>
        <v>2500</v>
      </c>
      <c r="J2861" s="97" t="s">
        <v>3040</v>
      </c>
      <c r="K2861" s="98"/>
      <c r="L2861" s="98"/>
    </row>
    <row r="2862">
      <c r="I2862" s="65"/>
      <c r="J2862" s="65"/>
      <c r="K2862" s="65"/>
    </row>
    <row r="2863">
      <c r="I2863" s="65"/>
      <c r="J2863" s="65"/>
      <c r="K2863" s="65"/>
    </row>
    <row r="2864">
      <c r="I2864" s="65"/>
      <c r="J2864" s="65"/>
      <c r="K2864" s="65"/>
    </row>
    <row r="2865">
      <c r="I2865" s="65"/>
      <c r="J2865" s="65"/>
      <c r="K2865" s="65"/>
    </row>
    <row r="2866">
      <c r="I2866" s="65"/>
      <c r="J2866" s="65"/>
      <c r="K2866" s="65"/>
    </row>
    <row r="2867">
      <c r="I2867" s="65"/>
      <c r="J2867" s="65"/>
      <c r="K2867" s="65"/>
    </row>
    <row r="2868">
      <c r="I2868" s="65"/>
      <c r="J2868" s="65"/>
      <c r="K2868" s="65"/>
    </row>
    <row r="2869">
      <c r="I2869" s="65"/>
      <c r="J2869" s="65"/>
      <c r="K2869" s="65"/>
    </row>
    <row r="2870">
      <c r="I2870" s="65"/>
      <c r="J2870" s="65"/>
      <c r="K2870" s="65"/>
    </row>
    <row r="2871">
      <c r="I2871" s="65"/>
      <c r="J2871" s="65"/>
      <c r="K2871" s="65"/>
    </row>
    <row r="2872">
      <c r="I2872" s="65"/>
      <c r="J2872" s="65"/>
      <c r="K2872" s="65"/>
    </row>
    <row r="2873">
      <c r="I2873" s="65"/>
      <c r="J2873" s="65"/>
      <c r="K2873" s="65"/>
    </row>
    <row r="2874">
      <c r="I2874" s="65"/>
      <c r="J2874" s="65"/>
      <c r="K2874" s="65"/>
    </row>
    <row r="2875">
      <c r="I2875" s="65"/>
      <c r="J2875" s="65"/>
      <c r="K2875" s="65"/>
    </row>
    <row r="2876">
      <c r="I2876" s="65"/>
      <c r="J2876" s="65"/>
      <c r="K2876" s="65"/>
    </row>
    <row r="2877">
      <c r="I2877" s="65"/>
      <c r="J2877" s="65"/>
      <c r="K2877" s="65"/>
    </row>
    <row r="2878">
      <c r="I2878" s="65"/>
      <c r="J2878" s="65"/>
      <c r="K2878" s="65"/>
    </row>
    <row r="2879">
      <c r="I2879" s="65"/>
      <c r="J2879" s="65"/>
      <c r="K2879" s="65"/>
    </row>
    <row r="2880">
      <c r="I2880" s="65"/>
      <c r="J2880" s="65"/>
      <c r="K2880" s="65"/>
    </row>
    <row r="2881">
      <c r="I2881" s="65"/>
      <c r="J2881" s="65"/>
      <c r="K2881" s="65"/>
    </row>
    <row r="2882">
      <c r="I2882" s="65"/>
      <c r="J2882" s="65"/>
      <c r="K2882" s="65"/>
    </row>
    <row r="2883">
      <c r="I2883" s="65"/>
      <c r="J2883" s="65"/>
      <c r="K2883" s="65"/>
    </row>
    <row r="2884">
      <c r="I2884" s="65"/>
      <c r="J2884" s="65"/>
      <c r="K2884" s="65"/>
    </row>
    <row r="2885">
      <c r="I2885" s="65"/>
      <c r="J2885" s="65"/>
      <c r="K2885" s="65"/>
    </row>
    <row r="2886">
      <c r="I2886" s="65"/>
      <c r="J2886" s="65"/>
      <c r="K2886" s="65"/>
    </row>
    <row r="2887">
      <c r="I2887" s="65"/>
      <c r="J2887" s="65"/>
      <c r="K2887" s="65"/>
    </row>
    <row r="2888">
      <c r="I2888" s="65"/>
      <c r="J2888" s="65"/>
      <c r="K2888" s="65"/>
    </row>
    <row r="2889">
      <c r="I2889" s="65"/>
      <c r="J2889" s="65"/>
      <c r="K2889" s="65"/>
    </row>
    <row r="2890">
      <c r="I2890" s="65"/>
      <c r="J2890" s="65"/>
      <c r="K2890" s="65"/>
    </row>
    <row r="2891">
      <c r="I2891" s="65"/>
      <c r="J2891" s="65"/>
      <c r="K2891" s="65"/>
    </row>
    <row r="2892">
      <c r="I2892" s="65"/>
      <c r="J2892" s="65"/>
      <c r="K2892" s="65"/>
    </row>
    <row r="2893">
      <c r="I2893" s="65"/>
      <c r="J2893" s="65"/>
      <c r="K2893" s="65"/>
    </row>
    <row r="2894">
      <c r="I2894" s="65"/>
      <c r="J2894" s="65"/>
      <c r="K2894" s="65"/>
    </row>
    <row r="2895">
      <c r="I2895" s="65"/>
      <c r="J2895" s="65"/>
      <c r="K2895" s="65"/>
    </row>
    <row r="2896">
      <c r="I2896" s="65"/>
      <c r="J2896" s="65"/>
      <c r="K2896" s="65"/>
    </row>
    <row r="2897">
      <c r="I2897" s="65"/>
      <c r="J2897" s="65"/>
      <c r="K2897" s="65"/>
    </row>
    <row r="2898">
      <c r="I2898" s="65"/>
      <c r="J2898" s="65"/>
      <c r="K2898" s="65"/>
    </row>
    <row r="2899">
      <c r="I2899" s="65"/>
      <c r="J2899" s="65"/>
      <c r="K2899" s="65"/>
    </row>
    <row r="2900">
      <c r="I2900" s="65"/>
      <c r="J2900" s="65"/>
      <c r="K2900" s="65"/>
    </row>
    <row r="2901">
      <c r="I2901" s="65"/>
      <c r="J2901" s="65"/>
      <c r="K2901" s="65"/>
    </row>
    <row r="2902">
      <c r="I2902" s="65"/>
      <c r="J2902" s="65"/>
      <c r="K2902" s="65"/>
    </row>
    <row r="2903">
      <c r="I2903" s="65"/>
      <c r="J2903" s="65"/>
      <c r="K2903" s="65"/>
    </row>
    <row r="2904">
      <c r="I2904" s="65"/>
      <c r="J2904" s="65"/>
      <c r="K2904" s="65"/>
    </row>
    <row r="2905">
      <c r="I2905" s="65"/>
      <c r="J2905" s="65"/>
      <c r="K2905" s="65"/>
    </row>
    <row r="2906">
      <c r="I2906" s="65"/>
      <c r="J2906" s="65"/>
      <c r="K2906" s="65"/>
    </row>
    <row r="2907">
      <c r="I2907" s="65"/>
      <c r="J2907" s="65"/>
      <c r="K2907" s="65"/>
    </row>
    <row r="2908">
      <c r="I2908" s="65"/>
      <c r="J2908" s="65"/>
      <c r="K2908" s="65"/>
    </row>
    <row r="2909">
      <c r="I2909" s="65"/>
      <c r="J2909" s="65"/>
      <c r="K2909" s="65"/>
    </row>
    <row r="2910">
      <c r="I2910" s="65"/>
      <c r="J2910" s="65"/>
      <c r="K2910" s="65"/>
    </row>
    <row r="2911">
      <c r="I2911" s="65"/>
      <c r="J2911" s="65"/>
      <c r="K2911" s="65"/>
    </row>
    <row r="2912">
      <c r="I2912" s="65"/>
      <c r="J2912" s="65"/>
      <c r="K2912" s="65"/>
    </row>
    <row r="2913">
      <c r="I2913" s="65"/>
      <c r="J2913" s="65"/>
      <c r="K2913" s="65"/>
    </row>
    <row r="2914">
      <c r="I2914" s="65"/>
      <c r="J2914" s="65"/>
      <c r="K2914" s="65"/>
    </row>
    <row r="2915">
      <c r="I2915" s="65"/>
      <c r="J2915" s="65"/>
      <c r="K2915" s="65"/>
    </row>
    <row r="2916">
      <c r="I2916" s="65"/>
      <c r="J2916" s="65"/>
      <c r="K2916" s="65"/>
    </row>
    <row r="2917">
      <c r="I2917" s="65"/>
      <c r="J2917" s="65"/>
      <c r="K2917" s="65"/>
    </row>
    <row r="2918">
      <c r="I2918" s="65"/>
      <c r="J2918" s="65"/>
      <c r="K2918" s="65"/>
    </row>
    <row r="2919">
      <c r="I2919" s="65"/>
      <c r="J2919" s="65"/>
      <c r="K2919" s="65"/>
    </row>
    <row r="2920">
      <c r="I2920" s="65"/>
      <c r="J2920" s="65"/>
      <c r="K2920" s="65"/>
    </row>
    <row r="2921">
      <c r="I2921" s="65"/>
      <c r="J2921" s="65"/>
      <c r="K2921" s="65"/>
    </row>
    <row r="2922">
      <c r="I2922" s="65"/>
      <c r="J2922" s="65"/>
      <c r="K2922" s="65"/>
    </row>
    <row r="2923">
      <c r="I2923" s="65"/>
      <c r="J2923" s="65"/>
      <c r="K2923" s="65"/>
    </row>
    <row r="2924">
      <c r="I2924" s="65"/>
      <c r="J2924" s="65"/>
      <c r="K2924" s="65"/>
    </row>
    <row r="2925">
      <c r="I2925" s="65"/>
      <c r="J2925" s="65"/>
      <c r="K2925" s="65"/>
    </row>
    <row r="2926">
      <c r="I2926" s="65"/>
      <c r="J2926" s="65"/>
      <c r="K2926" s="65"/>
    </row>
    <row r="2927">
      <c r="I2927" s="65"/>
      <c r="J2927" s="65"/>
      <c r="K2927" s="65"/>
    </row>
    <row r="2928">
      <c r="I2928" s="65"/>
      <c r="J2928" s="65"/>
      <c r="K2928" s="65"/>
    </row>
    <row r="2929">
      <c r="I2929" s="65"/>
      <c r="J2929" s="65"/>
      <c r="K2929" s="65"/>
    </row>
    <row r="2930">
      <c r="I2930" s="65"/>
      <c r="J2930" s="65"/>
      <c r="K2930" s="65"/>
    </row>
    <row r="2931">
      <c r="I2931" s="65"/>
      <c r="J2931" s="65"/>
      <c r="K2931" s="65"/>
    </row>
    <row r="2932">
      <c r="I2932" s="65"/>
      <c r="J2932" s="65"/>
      <c r="K2932" s="65"/>
    </row>
    <row r="2933">
      <c r="I2933" s="65"/>
      <c r="J2933" s="65"/>
      <c r="K2933" s="65"/>
    </row>
    <row r="2934">
      <c r="I2934" s="65"/>
      <c r="J2934" s="65"/>
      <c r="K2934" s="65"/>
    </row>
    <row r="2935">
      <c r="I2935" s="65"/>
      <c r="J2935" s="65"/>
      <c r="K2935" s="65"/>
    </row>
    <row r="2936">
      <c r="I2936" s="65"/>
      <c r="J2936" s="65"/>
      <c r="K2936" s="65"/>
    </row>
    <row r="2937">
      <c r="I2937" s="65"/>
      <c r="J2937" s="65"/>
      <c r="K2937" s="65"/>
    </row>
    <row r="2938">
      <c r="I2938" s="65"/>
      <c r="J2938" s="65"/>
      <c r="K2938" s="65"/>
    </row>
    <row r="2939">
      <c r="I2939" s="65"/>
      <c r="J2939" s="65"/>
      <c r="K2939" s="65"/>
    </row>
    <row r="2940">
      <c r="I2940" s="65"/>
      <c r="J2940" s="65"/>
      <c r="K2940" s="65"/>
    </row>
    <row r="2941">
      <c r="I2941" s="65"/>
      <c r="J2941" s="65"/>
      <c r="K2941" s="65"/>
    </row>
    <row r="2942">
      <c r="I2942" s="65"/>
      <c r="J2942" s="65"/>
      <c r="K2942" s="65"/>
    </row>
    <row r="2943">
      <c r="I2943" s="65"/>
      <c r="J2943" s="65"/>
      <c r="K2943" s="65"/>
    </row>
    <row r="2944">
      <c r="I2944" s="65"/>
      <c r="J2944" s="65"/>
      <c r="K2944" s="65"/>
    </row>
    <row r="2945">
      <c r="I2945" s="65"/>
      <c r="J2945" s="65"/>
      <c r="K2945" s="65"/>
    </row>
    <row r="2946">
      <c r="I2946" s="65"/>
      <c r="J2946" s="65"/>
      <c r="K2946" s="65"/>
    </row>
    <row r="2947">
      <c r="I2947" s="65"/>
      <c r="J2947" s="65"/>
      <c r="K2947" s="65"/>
    </row>
    <row r="2948">
      <c r="I2948" s="65"/>
      <c r="J2948" s="65"/>
      <c r="K2948" s="65"/>
    </row>
    <row r="2949">
      <c r="I2949" s="65"/>
      <c r="J2949" s="65"/>
      <c r="K2949" s="65"/>
    </row>
    <row r="2950">
      <c r="I2950" s="65"/>
      <c r="J2950" s="65"/>
      <c r="K2950" s="65"/>
    </row>
    <row r="2951">
      <c r="I2951" s="65"/>
      <c r="J2951" s="65"/>
      <c r="K2951" s="65"/>
    </row>
    <row r="2952">
      <c r="I2952" s="65"/>
      <c r="J2952" s="65"/>
      <c r="K2952" s="65"/>
    </row>
    <row r="2953">
      <c r="I2953" s="65"/>
      <c r="J2953" s="65"/>
      <c r="K2953" s="65"/>
    </row>
    <row r="2954">
      <c r="I2954" s="65"/>
      <c r="J2954" s="65"/>
      <c r="K2954" s="65"/>
    </row>
    <row r="2955">
      <c r="I2955" s="65"/>
      <c r="J2955" s="65"/>
      <c r="K2955" s="65"/>
    </row>
    <row r="2956">
      <c r="I2956" s="65"/>
      <c r="J2956" s="65"/>
      <c r="K2956" s="65"/>
    </row>
    <row r="2957">
      <c r="I2957" s="65"/>
      <c r="J2957" s="65"/>
      <c r="K2957" s="65"/>
    </row>
    <row r="2958">
      <c r="I2958" s="65"/>
      <c r="J2958" s="65"/>
      <c r="K2958" s="65"/>
    </row>
    <row r="2959">
      <c r="I2959" s="65"/>
      <c r="J2959" s="65"/>
      <c r="K2959" s="65"/>
    </row>
    <row r="2960">
      <c r="I2960" s="65"/>
      <c r="J2960" s="65"/>
      <c r="K2960" s="65"/>
    </row>
    <row r="2961">
      <c r="I2961" s="65"/>
      <c r="J2961" s="65"/>
      <c r="K2961" s="65"/>
    </row>
    <row r="2962">
      <c r="I2962" s="65"/>
      <c r="J2962" s="65"/>
      <c r="K2962" s="65"/>
    </row>
    <row r="2963">
      <c r="I2963" s="65"/>
      <c r="J2963" s="65"/>
      <c r="K2963" s="65"/>
    </row>
    <row r="2964">
      <c r="I2964" s="65"/>
      <c r="J2964" s="65"/>
      <c r="K2964" s="65"/>
    </row>
    <row r="2965">
      <c r="I2965" s="65"/>
      <c r="J2965" s="65"/>
      <c r="K2965" s="65"/>
    </row>
    <row r="2966">
      <c r="I2966" s="65"/>
      <c r="J2966" s="65"/>
      <c r="K2966" s="65"/>
    </row>
    <row r="2967">
      <c r="I2967" s="65"/>
      <c r="J2967" s="65"/>
      <c r="K2967" s="65"/>
    </row>
    <row r="2968">
      <c r="I2968" s="65"/>
      <c r="J2968" s="65"/>
      <c r="K2968" s="65"/>
    </row>
    <row r="2969">
      <c r="I2969" s="65"/>
      <c r="J2969" s="65"/>
      <c r="K2969" s="65"/>
    </row>
    <row r="2970">
      <c r="I2970" s="65"/>
      <c r="J2970" s="65"/>
      <c r="K2970" s="65"/>
    </row>
    <row r="2971">
      <c r="I2971" s="65"/>
      <c r="J2971" s="65"/>
      <c r="K2971" s="65"/>
    </row>
    <row r="2972">
      <c r="I2972" s="65"/>
      <c r="J2972" s="65"/>
      <c r="K2972" s="65"/>
    </row>
    <row r="2973">
      <c r="I2973" s="65"/>
      <c r="J2973" s="65"/>
      <c r="K2973" s="65"/>
    </row>
    <row r="2974">
      <c r="I2974" s="65"/>
      <c r="J2974" s="65"/>
      <c r="K2974" s="65"/>
    </row>
    <row r="2975">
      <c r="I2975" s="65"/>
      <c r="J2975" s="65"/>
      <c r="K2975" s="65"/>
    </row>
    <row r="2976">
      <c r="I2976" s="65"/>
      <c r="J2976" s="65"/>
      <c r="K2976" s="65"/>
    </row>
    <row r="2977">
      <c r="I2977" s="65"/>
      <c r="J2977" s="65"/>
      <c r="K2977" s="65"/>
    </row>
    <row r="2978">
      <c r="I2978" s="65"/>
      <c r="J2978" s="65"/>
      <c r="K2978" s="65"/>
    </row>
    <row r="2979">
      <c r="I2979" s="65"/>
      <c r="J2979" s="65"/>
      <c r="K2979" s="65"/>
    </row>
    <row r="2980">
      <c r="I2980" s="65"/>
      <c r="J2980" s="65"/>
      <c r="K2980" s="65"/>
    </row>
    <row r="2981">
      <c r="I2981" s="65"/>
      <c r="J2981" s="65"/>
      <c r="K2981" s="65"/>
    </row>
    <row r="2982">
      <c r="I2982" s="65"/>
      <c r="J2982" s="65"/>
      <c r="K2982" s="65"/>
    </row>
    <row r="2983">
      <c r="I2983" s="65"/>
      <c r="J2983" s="65"/>
      <c r="K2983" s="65"/>
    </row>
    <row r="2984">
      <c r="I2984" s="65"/>
      <c r="J2984" s="65"/>
      <c r="K2984" s="65"/>
    </row>
    <row r="2985">
      <c r="I2985" s="65"/>
      <c r="J2985" s="65"/>
      <c r="K2985" s="65"/>
    </row>
    <row r="2986">
      <c r="I2986" s="65"/>
      <c r="J2986" s="65"/>
      <c r="K2986" s="65"/>
    </row>
    <row r="2987">
      <c r="I2987" s="65"/>
      <c r="J2987" s="65"/>
      <c r="K2987" s="65"/>
    </row>
    <row r="2988">
      <c r="I2988" s="65"/>
      <c r="J2988" s="65"/>
      <c r="K2988" s="65"/>
    </row>
    <row r="2989">
      <c r="I2989" s="65"/>
      <c r="J2989" s="65"/>
      <c r="K2989" s="65"/>
    </row>
    <row r="2990">
      <c r="I2990" s="65"/>
      <c r="J2990" s="65"/>
      <c r="K2990" s="65"/>
    </row>
    <row r="2991">
      <c r="I2991" s="65"/>
      <c r="J2991" s="65"/>
      <c r="K2991" s="65"/>
    </row>
    <row r="2992">
      <c r="I2992" s="65"/>
      <c r="J2992" s="65"/>
      <c r="K2992" s="65"/>
    </row>
    <row r="2993">
      <c r="I2993" s="65"/>
      <c r="J2993" s="65"/>
      <c r="K2993" s="65"/>
    </row>
    <row r="2994">
      <c r="I2994" s="65"/>
      <c r="J2994" s="65"/>
      <c r="K2994" s="65"/>
    </row>
    <row r="2995">
      <c r="I2995" s="65"/>
      <c r="J2995" s="65"/>
      <c r="K2995" s="65"/>
    </row>
    <row r="2996">
      <c r="I2996" s="65"/>
      <c r="J2996" s="65"/>
      <c r="K2996" s="65"/>
    </row>
    <row r="2997">
      <c r="I2997" s="65"/>
      <c r="J2997" s="65"/>
      <c r="K2997" s="65"/>
    </row>
    <row r="2998">
      <c r="I2998" s="65"/>
      <c r="J2998" s="65"/>
      <c r="K2998" s="65"/>
    </row>
    <row r="2999">
      <c r="I2999" s="65"/>
      <c r="J2999" s="65"/>
      <c r="K2999" s="65"/>
    </row>
    <row r="3000">
      <c r="I3000" s="65"/>
      <c r="J3000" s="65"/>
      <c r="K3000" s="65"/>
    </row>
    <row r="3001">
      <c r="I3001" s="65"/>
      <c r="J3001" s="65"/>
      <c r="K3001" s="65"/>
    </row>
    <row r="3002">
      <c r="I3002" s="65"/>
      <c r="J3002" s="65"/>
      <c r="K3002" s="65"/>
    </row>
    <row r="3003">
      <c r="I3003" s="65"/>
      <c r="J3003" s="65"/>
      <c r="K3003" s="65"/>
    </row>
    <row r="3004">
      <c r="I3004" s="65"/>
      <c r="J3004" s="65"/>
      <c r="K3004" s="65"/>
    </row>
    <row r="3005">
      <c r="I3005" s="65"/>
      <c r="J3005" s="65"/>
      <c r="K3005" s="65"/>
    </row>
    <row r="3006">
      <c r="I3006" s="65"/>
      <c r="J3006" s="65"/>
      <c r="K3006" s="65"/>
    </row>
    <row r="3007">
      <c r="I3007" s="65"/>
      <c r="J3007" s="65"/>
      <c r="K3007" s="65"/>
    </row>
    <row r="3008">
      <c r="I3008" s="65"/>
      <c r="J3008" s="65"/>
      <c r="K3008" s="65"/>
    </row>
    <row r="3009">
      <c r="I3009" s="65"/>
      <c r="J3009" s="65"/>
      <c r="K3009" s="65"/>
    </row>
    <row r="3010">
      <c r="I3010" s="65"/>
      <c r="J3010" s="65"/>
      <c r="K3010" s="65"/>
    </row>
    <row r="3011">
      <c r="I3011" s="65"/>
      <c r="J3011" s="65"/>
      <c r="K3011" s="65"/>
    </row>
    <row r="3012">
      <c r="I3012" s="65"/>
      <c r="J3012" s="65"/>
      <c r="K3012" s="65"/>
    </row>
    <row r="3013">
      <c r="I3013" s="65"/>
      <c r="J3013" s="65"/>
      <c r="K3013" s="65"/>
    </row>
    <row r="3014">
      <c r="I3014" s="65"/>
      <c r="J3014" s="65"/>
      <c r="K3014" s="65"/>
    </row>
    <row r="3015">
      <c r="I3015" s="65"/>
      <c r="J3015" s="65"/>
      <c r="K3015" s="65"/>
    </row>
    <row r="3016">
      <c r="I3016" s="65"/>
      <c r="J3016" s="65"/>
      <c r="K3016" s="65"/>
    </row>
    <row r="3017">
      <c r="I3017" s="65"/>
      <c r="J3017" s="65"/>
      <c r="K3017" s="65"/>
    </row>
    <row r="3018">
      <c r="I3018" s="65"/>
      <c r="J3018" s="65"/>
      <c r="K3018" s="65"/>
    </row>
    <row r="3019">
      <c r="I3019" s="65"/>
      <c r="J3019" s="65"/>
      <c r="K3019" s="65"/>
    </row>
    <row r="3020">
      <c r="I3020" s="65"/>
      <c r="J3020" s="65"/>
      <c r="K3020" s="65"/>
    </row>
    <row r="3021">
      <c r="I3021" s="65"/>
      <c r="J3021" s="65"/>
      <c r="K3021" s="65"/>
    </row>
    <row r="3022">
      <c r="I3022" s="65"/>
      <c r="J3022" s="65"/>
      <c r="K3022" s="65"/>
    </row>
    <row r="3023">
      <c r="I3023" s="65"/>
      <c r="J3023" s="65"/>
      <c r="K3023" s="65"/>
    </row>
    <row r="3024">
      <c r="I3024" s="65"/>
      <c r="J3024" s="65"/>
      <c r="K3024" s="65"/>
    </row>
    <row r="3025">
      <c r="I3025" s="65"/>
      <c r="J3025" s="65"/>
      <c r="K3025" s="65"/>
    </row>
    <row r="3026">
      <c r="I3026" s="65"/>
      <c r="J3026" s="65"/>
      <c r="K3026" s="65"/>
    </row>
    <row r="3027">
      <c r="I3027" s="65"/>
      <c r="J3027" s="65"/>
      <c r="K3027" s="65"/>
    </row>
    <row r="3028">
      <c r="I3028" s="65"/>
      <c r="J3028" s="65"/>
      <c r="K3028" s="65"/>
    </row>
    <row r="3029">
      <c r="I3029" s="65"/>
      <c r="J3029" s="65"/>
      <c r="K3029" s="65"/>
    </row>
    <row r="3030">
      <c r="I3030" s="65"/>
      <c r="J3030" s="65"/>
      <c r="K3030" s="65"/>
    </row>
    <row r="3031">
      <c r="I3031" s="65"/>
      <c r="J3031" s="65"/>
      <c r="K3031" s="65"/>
    </row>
    <row r="3032">
      <c r="I3032" s="65"/>
      <c r="J3032" s="65"/>
      <c r="K3032" s="65"/>
    </row>
    <row r="3033">
      <c r="I3033" s="65"/>
      <c r="J3033" s="65"/>
      <c r="K3033" s="65"/>
    </row>
    <row r="3034">
      <c r="I3034" s="65"/>
      <c r="J3034" s="65"/>
      <c r="K3034" s="65"/>
    </row>
    <row r="3035">
      <c r="I3035" s="65"/>
      <c r="J3035" s="65"/>
      <c r="K3035" s="65"/>
    </row>
    <row r="3036">
      <c r="I3036" s="65"/>
      <c r="J3036" s="65"/>
      <c r="K3036" s="65"/>
    </row>
    <row r="3037">
      <c r="I3037" s="65"/>
      <c r="J3037" s="65"/>
      <c r="K3037" s="65"/>
    </row>
    <row r="3038">
      <c r="I3038" s="65"/>
      <c r="J3038" s="65"/>
      <c r="K3038" s="65"/>
    </row>
    <row r="3039">
      <c r="I3039" s="65"/>
      <c r="J3039" s="65"/>
      <c r="K3039" s="65"/>
    </row>
    <row r="3040">
      <c r="I3040" s="65"/>
      <c r="J3040" s="65"/>
      <c r="K3040" s="65"/>
    </row>
    <row r="3041">
      <c r="I3041" s="65"/>
      <c r="J3041" s="65"/>
      <c r="K3041" s="65"/>
    </row>
    <row r="3042">
      <c r="I3042" s="65"/>
      <c r="J3042" s="65"/>
      <c r="K3042" s="65"/>
    </row>
    <row r="3043">
      <c r="I3043" s="65"/>
      <c r="J3043" s="65"/>
      <c r="K3043" s="65"/>
    </row>
    <row r="3044">
      <c r="I3044" s="65"/>
      <c r="J3044" s="65"/>
      <c r="K3044" s="65"/>
    </row>
    <row r="3045">
      <c r="I3045" s="65"/>
      <c r="J3045" s="65"/>
      <c r="K3045" s="65"/>
    </row>
    <row r="3046">
      <c r="I3046" s="65"/>
      <c r="J3046" s="65"/>
      <c r="K3046" s="65"/>
    </row>
    <row r="3047">
      <c r="I3047" s="65"/>
      <c r="J3047" s="65"/>
      <c r="K3047" s="65"/>
    </row>
    <row r="3048">
      <c r="I3048" s="65"/>
      <c r="J3048" s="65"/>
      <c r="K3048" s="65"/>
    </row>
    <row r="3049">
      <c r="I3049" s="65"/>
      <c r="J3049" s="65"/>
      <c r="K3049" s="65"/>
    </row>
    <row r="3050">
      <c r="I3050" s="65"/>
      <c r="J3050" s="65"/>
      <c r="K3050" s="65"/>
    </row>
    <row r="3051">
      <c r="I3051" s="65"/>
      <c r="J3051" s="65"/>
      <c r="K3051" s="65"/>
    </row>
    <row r="3052">
      <c r="I3052" s="65"/>
      <c r="J3052" s="65"/>
      <c r="K3052" s="65"/>
    </row>
    <row r="3053">
      <c r="I3053" s="65"/>
      <c r="J3053" s="65"/>
      <c r="K3053" s="65"/>
    </row>
    <row r="3054">
      <c r="I3054" s="65"/>
      <c r="J3054" s="65"/>
      <c r="K3054" s="65"/>
    </row>
    <row r="3055">
      <c r="I3055" s="65"/>
      <c r="J3055" s="65"/>
      <c r="K3055" s="65"/>
    </row>
    <row r="3056">
      <c r="I3056" s="65"/>
      <c r="J3056" s="65"/>
      <c r="K3056" s="65"/>
    </row>
    <row r="3057">
      <c r="I3057" s="65"/>
      <c r="J3057" s="65"/>
      <c r="K3057" s="65"/>
    </row>
    <row r="3058">
      <c r="I3058" s="65"/>
      <c r="J3058" s="65"/>
      <c r="K3058" s="65"/>
    </row>
    <row r="3059">
      <c r="I3059" s="65"/>
      <c r="J3059" s="65"/>
      <c r="K3059" s="65"/>
    </row>
    <row r="3060">
      <c r="I3060" s="65"/>
      <c r="J3060" s="65"/>
      <c r="K3060" s="65"/>
    </row>
    <row r="3061">
      <c r="I3061" s="65"/>
      <c r="J3061" s="65"/>
      <c r="K3061" s="65"/>
    </row>
    <row r="3062">
      <c r="I3062" s="65"/>
      <c r="J3062" s="65"/>
      <c r="K3062" s="65"/>
    </row>
    <row r="3063">
      <c r="I3063" s="65"/>
      <c r="J3063" s="65"/>
      <c r="K3063" s="65"/>
    </row>
    <row r="3064">
      <c r="I3064" s="65"/>
      <c r="J3064" s="65"/>
      <c r="K3064" s="65"/>
    </row>
    <row r="3065">
      <c r="I3065" s="65"/>
      <c r="J3065" s="65"/>
      <c r="K3065" s="65"/>
    </row>
    <row r="3066">
      <c r="I3066" s="65"/>
      <c r="J3066" s="65"/>
      <c r="K3066" s="65"/>
    </row>
    <row r="3067">
      <c r="I3067" s="65"/>
      <c r="J3067" s="65"/>
      <c r="K3067" s="65"/>
    </row>
    <row r="3068">
      <c r="I3068" s="65"/>
      <c r="J3068" s="65"/>
      <c r="K3068" s="65"/>
    </row>
    <row r="3069">
      <c r="I3069" s="65"/>
      <c r="J3069" s="65"/>
      <c r="K3069" s="65"/>
    </row>
    <row r="3070">
      <c r="I3070" s="65"/>
      <c r="J3070" s="65"/>
      <c r="K3070" s="65"/>
    </row>
    <row r="3071">
      <c r="I3071" s="65"/>
      <c r="J3071" s="65"/>
      <c r="K3071" s="65"/>
    </row>
    <row r="3072">
      <c r="I3072" s="65"/>
      <c r="J3072" s="65"/>
      <c r="K3072" s="65"/>
    </row>
    <row r="3073">
      <c r="I3073" s="65"/>
      <c r="J3073" s="65"/>
      <c r="K3073" s="65"/>
    </row>
    <row r="3074">
      <c r="I3074" s="65"/>
      <c r="J3074" s="65"/>
      <c r="K3074" s="65"/>
    </row>
    <row r="3075">
      <c r="I3075" s="65"/>
      <c r="J3075" s="65"/>
      <c r="K3075" s="65"/>
    </row>
    <row r="3076">
      <c r="I3076" s="65"/>
      <c r="J3076" s="65"/>
      <c r="K3076" s="65"/>
    </row>
    <row r="3077">
      <c r="I3077" s="65"/>
      <c r="J3077" s="65"/>
      <c r="K3077" s="65"/>
    </row>
    <row r="3078">
      <c r="I3078" s="65"/>
      <c r="J3078" s="65"/>
      <c r="K3078" s="65"/>
    </row>
    <row r="3079">
      <c r="I3079" s="65"/>
      <c r="J3079" s="65"/>
      <c r="K3079" s="65"/>
    </row>
    <row r="3080">
      <c r="I3080" s="65"/>
      <c r="J3080" s="65"/>
      <c r="K3080" s="65"/>
    </row>
    <row r="3081">
      <c r="I3081" s="65"/>
      <c r="J3081" s="65"/>
      <c r="K3081" s="65"/>
    </row>
    <row r="3082">
      <c r="I3082" s="65"/>
      <c r="J3082" s="65"/>
      <c r="K3082" s="65"/>
    </row>
    <row r="3083">
      <c r="I3083" s="65"/>
      <c r="J3083" s="65"/>
      <c r="K3083" s="65"/>
    </row>
    <row r="3084">
      <c r="I3084" s="65"/>
      <c r="J3084" s="65"/>
      <c r="K3084" s="65"/>
    </row>
    <row r="3085">
      <c r="I3085" s="65"/>
      <c r="J3085" s="65"/>
      <c r="K3085" s="65"/>
    </row>
    <row r="3086">
      <c r="I3086" s="65"/>
      <c r="J3086" s="65"/>
      <c r="K3086" s="65"/>
    </row>
    <row r="3087">
      <c r="I3087" s="65"/>
      <c r="J3087" s="65"/>
      <c r="K3087" s="65"/>
    </row>
    <row r="3088">
      <c r="I3088" s="65"/>
      <c r="J3088" s="65"/>
      <c r="K3088" s="65"/>
    </row>
    <row r="3089">
      <c r="I3089" s="65"/>
      <c r="J3089" s="65"/>
      <c r="K3089" s="65"/>
    </row>
    <row r="3090">
      <c r="I3090" s="65"/>
      <c r="J3090" s="65"/>
      <c r="K3090" s="65"/>
    </row>
    <row r="3091">
      <c r="I3091" s="65"/>
      <c r="J3091" s="65"/>
      <c r="K3091" s="65"/>
    </row>
    <row r="3092">
      <c r="I3092" s="65"/>
      <c r="J3092" s="65"/>
      <c r="K3092" s="65"/>
    </row>
    <row r="3093">
      <c r="I3093" s="65"/>
      <c r="J3093" s="65"/>
      <c r="K3093" s="65"/>
    </row>
    <row r="3094">
      <c r="I3094" s="65"/>
      <c r="J3094" s="65"/>
      <c r="K3094" s="65"/>
    </row>
    <row r="3095">
      <c r="I3095" s="65"/>
      <c r="J3095" s="65"/>
      <c r="K3095" s="65"/>
    </row>
    <row r="3096">
      <c r="I3096" s="65"/>
      <c r="J3096" s="65"/>
      <c r="K3096" s="65"/>
    </row>
    <row r="3097">
      <c r="I3097" s="65"/>
      <c r="J3097" s="65"/>
      <c r="K3097" s="65"/>
    </row>
    <row r="3098">
      <c r="I3098" s="65"/>
      <c r="J3098" s="65"/>
      <c r="K3098" s="65"/>
    </row>
    <row r="3099">
      <c r="I3099" s="65"/>
      <c r="J3099" s="65"/>
      <c r="K3099" s="65"/>
    </row>
    <row r="3100">
      <c r="I3100" s="65"/>
      <c r="J3100" s="65"/>
      <c r="K3100" s="65"/>
    </row>
    <row r="3101">
      <c r="I3101" s="65"/>
      <c r="J3101" s="65"/>
      <c r="K3101" s="65"/>
    </row>
    <row r="3102">
      <c r="I3102" s="65"/>
      <c r="J3102" s="65"/>
      <c r="K3102" s="65"/>
    </row>
    <row r="3103">
      <c r="I3103" s="65"/>
      <c r="J3103" s="65"/>
      <c r="K3103" s="65"/>
    </row>
    <row r="3104">
      <c r="I3104" s="65"/>
      <c r="J3104" s="65"/>
      <c r="K3104" s="65"/>
    </row>
    <row r="3105">
      <c r="I3105" s="65"/>
      <c r="J3105" s="65"/>
      <c r="K3105" s="65"/>
    </row>
    <row r="3106">
      <c r="I3106" s="65"/>
      <c r="J3106" s="65"/>
      <c r="K3106" s="65"/>
    </row>
    <row r="3107">
      <c r="I3107" s="65"/>
      <c r="J3107" s="65"/>
      <c r="K3107" s="65"/>
    </row>
    <row r="3108">
      <c r="I3108" s="65"/>
      <c r="J3108" s="65"/>
      <c r="K3108" s="65"/>
    </row>
    <row r="3109">
      <c r="I3109" s="65"/>
      <c r="J3109" s="65"/>
      <c r="K3109" s="65"/>
    </row>
    <row r="3110">
      <c r="I3110" s="65"/>
      <c r="J3110" s="65"/>
      <c r="K3110" s="65"/>
    </row>
    <row r="3111">
      <c r="I3111" s="65"/>
      <c r="J3111" s="65"/>
      <c r="K3111" s="65"/>
    </row>
    <row r="3112">
      <c r="I3112" s="65"/>
      <c r="J3112" s="65"/>
      <c r="K3112" s="65"/>
    </row>
    <row r="3113">
      <c r="I3113" s="65"/>
      <c r="J3113" s="65"/>
      <c r="K3113" s="65"/>
    </row>
    <row r="3114">
      <c r="I3114" s="65"/>
      <c r="J3114" s="65"/>
      <c r="K3114" s="65"/>
    </row>
    <row r="3115">
      <c r="I3115" s="65"/>
      <c r="J3115" s="65"/>
      <c r="K3115" s="65"/>
    </row>
    <row r="3116">
      <c r="I3116" s="65"/>
      <c r="J3116" s="65"/>
      <c r="K3116" s="65"/>
    </row>
    <row r="3117">
      <c r="I3117" s="65"/>
      <c r="J3117" s="65"/>
      <c r="K3117" s="65"/>
    </row>
    <row r="3118">
      <c r="I3118" s="65"/>
      <c r="J3118" s="65"/>
      <c r="K3118" s="65"/>
    </row>
    <row r="3119">
      <c r="I3119" s="65"/>
      <c r="J3119" s="65"/>
      <c r="K3119" s="65"/>
    </row>
    <row r="3120">
      <c r="I3120" s="65"/>
      <c r="J3120" s="65"/>
      <c r="K3120" s="65"/>
    </row>
    <row r="3121">
      <c r="I3121" s="65"/>
      <c r="J3121" s="65"/>
      <c r="K3121" s="65"/>
    </row>
    <row r="3122">
      <c r="I3122" s="65"/>
      <c r="J3122" s="65"/>
      <c r="K3122" s="65"/>
    </row>
    <row r="3123">
      <c r="I3123" s="65"/>
      <c r="J3123" s="65"/>
      <c r="K3123" s="65"/>
    </row>
    <row r="3124">
      <c r="I3124" s="65"/>
      <c r="J3124" s="65"/>
      <c r="K3124" s="65"/>
    </row>
    <row r="3125">
      <c r="I3125" s="65"/>
      <c r="J3125" s="65"/>
      <c r="K3125" s="65"/>
    </row>
    <row r="3126">
      <c r="I3126" s="65"/>
      <c r="J3126" s="65"/>
      <c r="K3126" s="65"/>
    </row>
    <row r="3127">
      <c r="I3127" s="65"/>
      <c r="J3127" s="65"/>
      <c r="K3127" s="65"/>
    </row>
    <row r="3128">
      <c r="I3128" s="65"/>
      <c r="J3128" s="65"/>
      <c r="K3128" s="65"/>
    </row>
    <row r="3129">
      <c r="I3129" s="65"/>
      <c r="J3129" s="65"/>
      <c r="K3129" s="65"/>
    </row>
    <row r="3130">
      <c r="I3130" s="65"/>
      <c r="J3130" s="65"/>
      <c r="K3130" s="65"/>
    </row>
    <row r="3131">
      <c r="I3131" s="65"/>
      <c r="J3131" s="65"/>
      <c r="K3131" s="65"/>
    </row>
    <row r="3132">
      <c r="I3132" s="65"/>
      <c r="J3132" s="65"/>
      <c r="K3132" s="65"/>
    </row>
    <row r="3133">
      <c r="I3133" s="65"/>
      <c r="J3133" s="65"/>
      <c r="K3133" s="65"/>
    </row>
    <row r="3134">
      <c r="I3134" s="65"/>
      <c r="J3134" s="65"/>
      <c r="K3134" s="65"/>
    </row>
    <row r="3135">
      <c r="I3135" s="65"/>
      <c r="J3135" s="65"/>
      <c r="K3135" s="65"/>
    </row>
    <row r="3136">
      <c r="I3136" s="65"/>
      <c r="J3136" s="65"/>
      <c r="K3136" s="65"/>
    </row>
    <row r="3137">
      <c r="I3137" s="65"/>
      <c r="J3137" s="65"/>
      <c r="K3137" s="65"/>
    </row>
    <row r="3138">
      <c r="I3138" s="65"/>
      <c r="J3138" s="65"/>
      <c r="K3138" s="65"/>
    </row>
    <row r="3139">
      <c r="I3139" s="65"/>
      <c r="J3139" s="65"/>
      <c r="K3139" s="65"/>
    </row>
    <row r="3140">
      <c r="I3140" s="65"/>
      <c r="J3140" s="65"/>
      <c r="K3140" s="65"/>
    </row>
    <row r="3141">
      <c r="I3141" s="65"/>
      <c r="J3141" s="65"/>
      <c r="K3141" s="65"/>
    </row>
    <row r="3142">
      <c r="I3142" s="65"/>
      <c r="J3142" s="65"/>
      <c r="K3142" s="65"/>
    </row>
    <row r="3143">
      <c r="I3143" s="65"/>
      <c r="J3143" s="65"/>
      <c r="K3143" s="65"/>
    </row>
    <row r="3144">
      <c r="I3144" s="65"/>
      <c r="J3144" s="65"/>
      <c r="K3144" s="65"/>
    </row>
    <row r="3145">
      <c r="I3145" s="65"/>
      <c r="J3145" s="65"/>
      <c r="K3145" s="65"/>
    </row>
    <row r="3146">
      <c r="I3146" s="65"/>
      <c r="J3146" s="65"/>
      <c r="K3146" s="65"/>
    </row>
    <row r="3147">
      <c r="I3147" s="65"/>
      <c r="J3147" s="65"/>
      <c r="K3147" s="65"/>
    </row>
    <row r="3148">
      <c r="I3148" s="65"/>
      <c r="J3148" s="65"/>
      <c r="K3148" s="65"/>
    </row>
    <row r="3149">
      <c r="I3149" s="65"/>
      <c r="J3149" s="65"/>
      <c r="K3149" s="65"/>
    </row>
    <row r="3150">
      <c r="I3150" s="65"/>
      <c r="J3150" s="65"/>
      <c r="K3150" s="65"/>
    </row>
    <row r="3151">
      <c r="I3151" s="65"/>
      <c r="J3151" s="65"/>
      <c r="K3151" s="65"/>
    </row>
    <row r="3152">
      <c r="I3152" s="65"/>
      <c r="J3152" s="65"/>
      <c r="K3152" s="65"/>
    </row>
    <row r="3153">
      <c r="I3153" s="65"/>
      <c r="J3153" s="65"/>
      <c r="K3153" s="65"/>
    </row>
    <row r="3154">
      <c r="I3154" s="65"/>
      <c r="J3154" s="65"/>
      <c r="K3154" s="65"/>
    </row>
    <row r="3155">
      <c r="I3155" s="65"/>
      <c r="J3155" s="65"/>
      <c r="K3155" s="65"/>
    </row>
    <row r="3156">
      <c r="I3156" s="65"/>
      <c r="J3156" s="65"/>
      <c r="K3156" s="65"/>
    </row>
    <row r="3157">
      <c r="I3157" s="65"/>
      <c r="J3157" s="65"/>
      <c r="K3157" s="65"/>
    </row>
    <row r="3158">
      <c r="I3158" s="65"/>
      <c r="J3158" s="65"/>
      <c r="K3158" s="65"/>
    </row>
    <row r="3159">
      <c r="I3159" s="65"/>
      <c r="J3159" s="65"/>
      <c r="K3159" s="65"/>
    </row>
    <row r="3160">
      <c r="I3160" s="65"/>
      <c r="J3160" s="65"/>
      <c r="K3160" s="65"/>
    </row>
    <row r="3161">
      <c r="I3161" s="65"/>
      <c r="J3161" s="65"/>
      <c r="K3161" s="65"/>
    </row>
    <row r="3162">
      <c r="I3162" s="65"/>
      <c r="J3162" s="65"/>
      <c r="K3162" s="65"/>
    </row>
    <row r="3163">
      <c r="I3163" s="65"/>
      <c r="J3163" s="65"/>
      <c r="K3163" s="65"/>
    </row>
    <row r="3164">
      <c r="I3164" s="65"/>
      <c r="J3164" s="65"/>
      <c r="K3164" s="65"/>
    </row>
    <row r="3165">
      <c r="I3165" s="65"/>
      <c r="J3165" s="65"/>
      <c r="K3165" s="65"/>
    </row>
    <row r="3166">
      <c r="I3166" s="65"/>
      <c r="J3166" s="65"/>
      <c r="K3166" s="65"/>
    </row>
    <row r="3167">
      <c r="I3167" s="65"/>
      <c r="J3167" s="65"/>
      <c r="K3167" s="65"/>
    </row>
    <row r="3168">
      <c r="I3168" s="65"/>
      <c r="J3168" s="65"/>
      <c r="K3168" s="65"/>
    </row>
    <row r="3169">
      <c r="I3169" s="65"/>
      <c r="J3169" s="65"/>
      <c r="K3169" s="65"/>
    </row>
    <row r="3170">
      <c r="I3170" s="65"/>
      <c r="J3170" s="65"/>
      <c r="K3170" s="65"/>
    </row>
    <row r="3171">
      <c r="I3171" s="65"/>
      <c r="J3171" s="65"/>
      <c r="K3171" s="65"/>
    </row>
    <row r="3172">
      <c r="I3172" s="65"/>
      <c r="J3172" s="65"/>
      <c r="K3172" s="65"/>
    </row>
    <row r="3173">
      <c r="I3173" s="65"/>
      <c r="J3173" s="65"/>
      <c r="K3173" s="65"/>
    </row>
    <row r="3174">
      <c r="I3174" s="65"/>
      <c r="J3174" s="65"/>
      <c r="K3174" s="65"/>
    </row>
    <row r="3175">
      <c r="I3175" s="65"/>
      <c r="J3175" s="65"/>
      <c r="K3175" s="65"/>
    </row>
    <row r="3176">
      <c r="I3176" s="65"/>
      <c r="J3176" s="65"/>
      <c r="K3176" s="65"/>
    </row>
    <row r="3177">
      <c r="I3177" s="65"/>
      <c r="J3177" s="65"/>
      <c r="K3177" s="65"/>
    </row>
    <row r="3178">
      <c r="I3178" s="65"/>
      <c r="J3178" s="65"/>
      <c r="K3178" s="65"/>
    </row>
    <row r="3179">
      <c r="I3179" s="65"/>
      <c r="J3179" s="65"/>
      <c r="K3179" s="65"/>
    </row>
    <row r="3180">
      <c r="I3180" s="65"/>
      <c r="J3180" s="65"/>
      <c r="K3180" s="65"/>
    </row>
    <row r="3181">
      <c r="I3181" s="65"/>
      <c r="J3181" s="65"/>
      <c r="K3181" s="65"/>
    </row>
    <row r="3182">
      <c r="I3182" s="65"/>
      <c r="J3182" s="65"/>
      <c r="K3182" s="65"/>
    </row>
    <row r="3183">
      <c r="I3183" s="65"/>
      <c r="J3183" s="65"/>
      <c r="K3183" s="65"/>
    </row>
    <row r="3184">
      <c r="I3184" s="65"/>
      <c r="J3184" s="65"/>
      <c r="K3184" s="65"/>
    </row>
    <row r="3185">
      <c r="I3185" s="65"/>
      <c r="J3185" s="65"/>
      <c r="K3185" s="65"/>
    </row>
    <row r="3186">
      <c r="I3186" s="65"/>
      <c r="J3186" s="65"/>
      <c r="K3186" s="65"/>
    </row>
    <row r="3187">
      <c r="I3187" s="65"/>
      <c r="J3187" s="65"/>
      <c r="K3187" s="65"/>
    </row>
    <row r="3188">
      <c r="I3188" s="65"/>
      <c r="J3188" s="65"/>
      <c r="K3188" s="65"/>
    </row>
    <row r="3189">
      <c r="I3189" s="65"/>
      <c r="J3189" s="65"/>
      <c r="K3189" s="65"/>
    </row>
    <row r="3190">
      <c r="I3190" s="65"/>
      <c r="J3190" s="65"/>
      <c r="K3190" s="65"/>
    </row>
    <row r="3191">
      <c r="I3191" s="65"/>
      <c r="J3191" s="65"/>
      <c r="K3191" s="65"/>
    </row>
    <row r="3192">
      <c r="I3192" s="65"/>
      <c r="J3192" s="65"/>
      <c r="K3192" s="65"/>
    </row>
    <row r="3193">
      <c r="I3193" s="65"/>
      <c r="J3193" s="65"/>
      <c r="K3193" s="65"/>
    </row>
    <row r="3194">
      <c r="I3194" s="65"/>
      <c r="J3194" s="65"/>
      <c r="K3194" s="65"/>
    </row>
    <row r="3195">
      <c r="I3195" s="65"/>
      <c r="J3195" s="65"/>
      <c r="K3195" s="65"/>
    </row>
    <row r="3196">
      <c r="I3196" s="65"/>
      <c r="J3196" s="65"/>
      <c r="K3196" s="65"/>
    </row>
    <row r="3197">
      <c r="I3197" s="65"/>
      <c r="J3197" s="65"/>
      <c r="K3197" s="65"/>
    </row>
    <row r="3198">
      <c r="I3198" s="65"/>
      <c r="J3198" s="65"/>
      <c r="K3198" s="65"/>
    </row>
    <row r="3199">
      <c r="I3199" s="65"/>
      <c r="J3199" s="65"/>
      <c r="K3199" s="65"/>
    </row>
    <row r="3200">
      <c r="I3200" s="65"/>
      <c r="J3200" s="65"/>
      <c r="K3200" s="65"/>
    </row>
    <row r="3201">
      <c r="I3201" s="65"/>
      <c r="J3201" s="65"/>
      <c r="K3201" s="65"/>
    </row>
    <row r="3202">
      <c r="I3202" s="65"/>
      <c r="J3202" s="65"/>
      <c r="K3202" s="65"/>
    </row>
    <row r="3203">
      <c r="I3203" s="65"/>
      <c r="J3203" s="65"/>
      <c r="K3203" s="65"/>
    </row>
    <row r="3204">
      <c r="I3204" s="65"/>
      <c r="J3204" s="65"/>
      <c r="K3204" s="65"/>
    </row>
    <row r="3205">
      <c r="I3205" s="65"/>
      <c r="J3205" s="65"/>
      <c r="K3205" s="65"/>
    </row>
    <row r="3206">
      <c r="I3206" s="65"/>
      <c r="J3206" s="65"/>
      <c r="K3206" s="65"/>
    </row>
    <row r="3207">
      <c r="I3207" s="65"/>
      <c r="J3207" s="65"/>
      <c r="K3207" s="65"/>
    </row>
    <row r="3208">
      <c r="I3208" s="65"/>
      <c r="J3208" s="65"/>
      <c r="K3208" s="65"/>
    </row>
    <row r="3209">
      <c r="I3209" s="65"/>
      <c r="J3209" s="65"/>
      <c r="K3209" s="65"/>
    </row>
    <row r="3210">
      <c r="I3210" s="65"/>
      <c r="J3210" s="65"/>
      <c r="K3210" s="65"/>
    </row>
    <row r="3211">
      <c r="I3211" s="65"/>
      <c r="J3211" s="65"/>
      <c r="K3211" s="65"/>
    </row>
    <row r="3212">
      <c r="I3212" s="65"/>
      <c r="J3212" s="65"/>
      <c r="K3212" s="65"/>
    </row>
    <row r="3213">
      <c r="I3213" s="65"/>
      <c r="J3213" s="65"/>
      <c r="K3213" s="65"/>
    </row>
    <row r="3214">
      <c r="I3214" s="65"/>
      <c r="J3214" s="65"/>
      <c r="K3214" s="65"/>
    </row>
    <row r="3215">
      <c r="I3215" s="65"/>
      <c r="J3215" s="65"/>
      <c r="K3215" s="65"/>
    </row>
    <row r="3216">
      <c r="I3216" s="65"/>
      <c r="J3216" s="65"/>
      <c r="K3216" s="65"/>
    </row>
    <row r="3217">
      <c r="I3217" s="65"/>
      <c r="J3217" s="65"/>
      <c r="K3217" s="65"/>
    </row>
    <row r="3218">
      <c r="I3218" s="65"/>
      <c r="J3218" s="65"/>
      <c r="K3218" s="65"/>
    </row>
    <row r="3219">
      <c r="I3219" s="65"/>
      <c r="J3219" s="65"/>
      <c r="K3219" s="65"/>
    </row>
    <row r="3220">
      <c r="I3220" s="65"/>
      <c r="J3220" s="65"/>
      <c r="K3220" s="65"/>
    </row>
    <row r="3221">
      <c r="I3221" s="65"/>
      <c r="J3221" s="65"/>
      <c r="K3221" s="65"/>
    </row>
    <row r="3222">
      <c r="I3222" s="65"/>
      <c r="J3222" s="65"/>
      <c r="K3222" s="65"/>
    </row>
    <row r="3223">
      <c r="I3223" s="65"/>
      <c r="J3223" s="65"/>
      <c r="K3223" s="65"/>
    </row>
    <row r="3224">
      <c r="I3224" s="65"/>
      <c r="J3224" s="65"/>
      <c r="K3224" s="65"/>
    </row>
    <row r="3225">
      <c r="I3225" s="65"/>
      <c r="J3225" s="65"/>
      <c r="K3225" s="65"/>
    </row>
    <row r="3226">
      <c r="I3226" s="65"/>
      <c r="J3226" s="65"/>
      <c r="K3226" s="65"/>
    </row>
    <row r="3227">
      <c r="I3227" s="65"/>
      <c r="J3227" s="65"/>
      <c r="K3227" s="65"/>
    </row>
    <row r="3228">
      <c r="I3228" s="65"/>
      <c r="J3228" s="65"/>
      <c r="K3228" s="65"/>
    </row>
    <row r="3229">
      <c r="I3229" s="65"/>
      <c r="J3229" s="65"/>
      <c r="K3229" s="65"/>
    </row>
    <row r="3230">
      <c r="I3230" s="65"/>
      <c r="J3230" s="65"/>
      <c r="K3230" s="65"/>
    </row>
    <row r="3231">
      <c r="I3231" s="65"/>
      <c r="J3231" s="65"/>
      <c r="K3231" s="65"/>
    </row>
    <row r="3232">
      <c r="I3232" s="65"/>
      <c r="J3232" s="65"/>
      <c r="K3232" s="65"/>
    </row>
    <row r="3233">
      <c r="I3233" s="65"/>
      <c r="J3233" s="65"/>
      <c r="K3233" s="65"/>
    </row>
    <row r="3234">
      <c r="I3234" s="65"/>
      <c r="J3234" s="65"/>
      <c r="K3234" s="65"/>
    </row>
    <row r="3235">
      <c r="I3235" s="65"/>
      <c r="J3235" s="65"/>
      <c r="K3235" s="65"/>
    </row>
    <row r="3236">
      <c r="I3236" s="65"/>
      <c r="J3236" s="65"/>
      <c r="K3236" s="65"/>
    </row>
    <row r="3237">
      <c r="I3237" s="65"/>
      <c r="J3237" s="65"/>
      <c r="K3237" s="65"/>
    </row>
    <row r="3238">
      <c r="I3238" s="65"/>
      <c r="J3238" s="65"/>
      <c r="K3238" s="65"/>
    </row>
    <row r="3239">
      <c r="I3239" s="65"/>
      <c r="J3239" s="65"/>
      <c r="K3239" s="65"/>
    </row>
    <row r="3240">
      <c r="I3240" s="65"/>
      <c r="J3240" s="65"/>
      <c r="K3240" s="65"/>
    </row>
    <row r="3241">
      <c r="I3241" s="65"/>
      <c r="J3241" s="65"/>
      <c r="K3241" s="65"/>
    </row>
    <row r="3242">
      <c r="I3242" s="65"/>
      <c r="J3242" s="65"/>
      <c r="K3242" s="65"/>
    </row>
    <row r="3243">
      <c r="I3243" s="65"/>
      <c r="J3243" s="65"/>
      <c r="K3243" s="65"/>
    </row>
    <row r="3244">
      <c r="I3244" s="65"/>
      <c r="J3244" s="65"/>
      <c r="K3244" s="65"/>
    </row>
    <row r="3245">
      <c r="I3245" s="65"/>
      <c r="J3245" s="65"/>
      <c r="K3245" s="65"/>
    </row>
    <row r="3246">
      <c r="I3246" s="65"/>
      <c r="J3246" s="65"/>
      <c r="K3246" s="65"/>
    </row>
    <row r="3247">
      <c r="I3247" s="65"/>
      <c r="J3247" s="65"/>
      <c r="K3247" s="65"/>
    </row>
    <row r="3248">
      <c r="I3248" s="65"/>
      <c r="J3248" s="65"/>
      <c r="K3248" s="65"/>
    </row>
    <row r="3249">
      <c r="I3249" s="65"/>
      <c r="J3249" s="65"/>
      <c r="K3249" s="65"/>
    </row>
    <row r="3250">
      <c r="I3250" s="65"/>
      <c r="J3250" s="65"/>
      <c r="K3250" s="65"/>
    </row>
    <row r="3251">
      <c r="I3251" s="65"/>
      <c r="J3251" s="65"/>
      <c r="K3251" s="65"/>
    </row>
    <row r="3252">
      <c r="I3252" s="65"/>
      <c r="J3252" s="65"/>
      <c r="K3252" s="65"/>
    </row>
    <row r="3253">
      <c r="I3253" s="65"/>
      <c r="J3253" s="65"/>
      <c r="K3253" s="65"/>
    </row>
    <row r="3254">
      <c r="I3254" s="65"/>
      <c r="J3254" s="65"/>
      <c r="K3254" s="65"/>
    </row>
    <row r="3255">
      <c r="I3255" s="65"/>
      <c r="J3255" s="65"/>
      <c r="K3255" s="65"/>
    </row>
    <row r="3256">
      <c r="I3256" s="65"/>
      <c r="J3256" s="65"/>
      <c r="K3256" s="65"/>
    </row>
    <row r="3257">
      <c r="I3257" s="65"/>
      <c r="J3257" s="65"/>
      <c r="K3257" s="65"/>
    </row>
    <row r="3258">
      <c r="I3258" s="65"/>
      <c r="J3258" s="65"/>
      <c r="K3258" s="65"/>
    </row>
    <row r="3259">
      <c r="I3259" s="65"/>
      <c r="J3259" s="65"/>
      <c r="K3259" s="65"/>
    </row>
    <row r="3260">
      <c r="I3260" s="65"/>
      <c r="J3260" s="65"/>
      <c r="K3260" s="65"/>
    </row>
    <row r="3261">
      <c r="I3261" s="65"/>
      <c r="J3261" s="65"/>
      <c r="K3261" s="65"/>
    </row>
    <row r="3262">
      <c r="I3262" s="65"/>
      <c r="J3262" s="65"/>
      <c r="K3262" s="65"/>
    </row>
    <row r="3263">
      <c r="I3263" s="65"/>
      <c r="J3263" s="65"/>
      <c r="K3263" s="65"/>
    </row>
    <row r="3264">
      <c r="I3264" s="65"/>
      <c r="J3264" s="65"/>
      <c r="K3264" s="65"/>
    </row>
    <row r="3265">
      <c r="I3265" s="65"/>
      <c r="J3265" s="65"/>
      <c r="K3265" s="65"/>
    </row>
    <row r="3266">
      <c r="I3266" s="65"/>
      <c r="J3266" s="65"/>
      <c r="K3266" s="65"/>
    </row>
    <row r="3267">
      <c r="I3267" s="65"/>
      <c r="J3267" s="65"/>
      <c r="K3267" s="65"/>
    </row>
    <row r="3268">
      <c r="I3268" s="65"/>
      <c r="J3268" s="65"/>
      <c r="K3268" s="65"/>
    </row>
    <row r="3269">
      <c r="I3269" s="65"/>
      <c r="J3269" s="65"/>
      <c r="K3269" s="65"/>
    </row>
    <row r="3270">
      <c r="I3270" s="65"/>
      <c r="J3270" s="65"/>
      <c r="K3270" s="65"/>
    </row>
    <row r="3271">
      <c r="I3271" s="65"/>
      <c r="J3271" s="65"/>
      <c r="K3271" s="65"/>
    </row>
    <row r="3272">
      <c r="I3272" s="65"/>
      <c r="J3272" s="65"/>
      <c r="K3272" s="65"/>
    </row>
    <row r="3273">
      <c r="I3273" s="65"/>
      <c r="J3273" s="65"/>
      <c r="K3273" s="65"/>
    </row>
    <row r="3274">
      <c r="I3274" s="65"/>
      <c r="J3274" s="65"/>
      <c r="K3274" s="65"/>
    </row>
    <row r="3275">
      <c r="I3275" s="65"/>
      <c r="J3275" s="65"/>
      <c r="K3275" s="65"/>
    </row>
    <row r="3276">
      <c r="I3276" s="65"/>
      <c r="J3276" s="65"/>
      <c r="K3276" s="65"/>
    </row>
    <row r="3277">
      <c r="I3277" s="65"/>
      <c r="J3277" s="65"/>
      <c r="K3277" s="65"/>
    </row>
    <row r="3278">
      <c r="I3278" s="65"/>
      <c r="J3278" s="65"/>
      <c r="K3278" s="65"/>
    </row>
    <row r="3279">
      <c r="I3279" s="65"/>
      <c r="J3279" s="65"/>
      <c r="K3279" s="65"/>
    </row>
    <row r="3280">
      <c r="I3280" s="65"/>
      <c r="J3280" s="65"/>
      <c r="K3280" s="65"/>
    </row>
    <row r="3281">
      <c r="I3281" s="65"/>
      <c r="J3281" s="65"/>
      <c r="K3281" s="65"/>
    </row>
    <row r="3282">
      <c r="I3282" s="65"/>
      <c r="J3282" s="65"/>
      <c r="K3282" s="65"/>
    </row>
    <row r="3283">
      <c r="I3283" s="65"/>
      <c r="J3283" s="65"/>
      <c r="K3283" s="65"/>
    </row>
    <row r="3284">
      <c r="I3284" s="65"/>
      <c r="J3284" s="65"/>
      <c r="K3284" s="65"/>
    </row>
    <row r="3285">
      <c r="I3285" s="65"/>
      <c r="J3285" s="65"/>
      <c r="K3285" s="65"/>
    </row>
    <row r="3286">
      <c r="I3286" s="65"/>
      <c r="J3286" s="65"/>
      <c r="K3286" s="65"/>
    </row>
    <row r="3287">
      <c r="I3287" s="65"/>
      <c r="J3287" s="65"/>
      <c r="K3287" s="65"/>
    </row>
    <row r="3288">
      <c r="I3288" s="65"/>
      <c r="J3288" s="65"/>
      <c r="K3288" s="65"/>
    </row>
    <row r="3289">
      <c r="I3289" s="65"/>
      <c r="J3289" s="65"/>
      <c r="K3289" s="65"/>
    </row>
    <row r="3290">
      <c r="I3290" s="65"/>
      <c r="J3290" s="65"/>
      <c r="K3290" s="65"/>
    </row>
    <row r="3291">
      <c r="I3291" s="65"/>
      <c r="J3291" s="65"/>
      <c r="K3291" s="65"/>
    </row>
    <row r="3292">
      <c r="I3292" s="65"/>
      <c r="J3292" s="65"/>
      <c r="K3292" s="65"/>
    </row>
    <row r="3293">
      <c r="I3293" s="65"/>
      <c r="J3293" s="65"/>
      <c r="K3293" s="65"/>
    </row>
    <row r="3294">
      <c r="I3294" s="65"/>
      <c r="J3294" s="65"/>
      <c r="K3294" s="65"/>
    </row>
    <row r="3295">
      <c r="I3295" s="65"/>
      <c r="J3295" s="65"/>
      <c r="K3295" s="65"/>
    </row>
    <row r="3296">
      <c r="I3296" s="65"/>
      <c r="J3296" s="65"/>
      <c r="K3296" s="65"/>
    </row>
    <row r="3297">
      <c r="I3297" s="65"/>
      <c r="J3297" s="65"/>
      <c r="K3297" s="65"/>
    </row>
    <row r="3298">
      <c r="I3298" s="65"/>
      <c r="J3298" s="65"/>
      <c r="K3298" s="65"/>
    </row>
    <row r="3299">
      <c r="I3299" s="65"/>
      <c r="J3299" s="65"/>
      <c r="K3299" s="65"/>
    </row>
    <row r="3300">
      <c r="I3300" s="65"/>
      <c r="J3300" s="65"/>
      <c r="K3300" s="65"/>
    </row>
    <row r="3301">
      <c r="I3301" s="65"/>
      <c r="J3301" s="65"/>
      <c r="K3301" s="65"/>
    </row>
    <row r="3302">
      <c r="I3302" s="65"/>
      <c r="J3302" s="65"/>
      <c r="K3302" s="65"/>
    </row>
    <row r="3303">
      <c r="I3303" s="65"/>
      <c r="J3303" s="65"/>
      <c r="K3303" s="65"/>
    </row>
    <row r="3304">
      <c r="I3304" s="65"/>
      <c r="J3304" s="65"/>
      <c r="K3304" s="65"/>
    </row>
    <row r="3305">
      <c r="I3305" s="65"/>
      <c r="J3305" s="65"/>
      <c r="K3305" s="65"/>
    </row>
    <row r="3306">
      <c r="I3306" s="65"/>
      <c r="J3306" s="65"/>
      <c r="K3306" s="65"/>
    </row>
    <row r="3307">
      <c r="I3307" s="65"/>
      <c r="J3307" s="65"/>
      <c r="K3307" s="65"/>
    </row>
    <row r="3308">
      <c r="I3308" s="65"/>
      <c r="J3308" s="65"/>
      <c r="K3308" s="65"/>
    </row>
    <row r="3309">
      <c r="I3309" s="65"/>
      <c r="J3309" s="65"/>
      <c r="K3309" s="65"/>
    </row>
    <row r="3310">
      <c r="I3310" s="65"/>
      <c r="J3310" s="65"/>
      <c r="K3310" s="65"/>
    </row>
    <row r="3311">
      <c r="I3311" s="65"/>
      <c r="J3311" s="65"/>
      <c r="K3311" s="65"/>
    </row>
    <row r="3312">
      <c r="I3312" s="65"/>
      <c r="J3312" s="65"/>
      <c r="K3312" s="65"/>
    </row>
    <row r="3313">
      <c r="I3313" s="65"/>
      <c r="J3313" s="65"/>
      <c r="K3313" s="65"/>
    </row>
    <row r="3314">
      <c r="I3314" s="65"/>
      <c r="J3314" s="65"/>
      <c r="K3314" s="65"/>
    </row>
    <row r="3315">
      <c r="I3315" s="65"/>
      <c r="J3315" s="65"/>
      <c r="K3315" s="65"/>
    </row>
    <row r="3316">
      <c r="I3316" s="65"/>
      <c r="J3316" s="65"/>
      <c r="K3316" s="65"/>
    </row>
    <row r="3317">
      <c r="I3317" s="65"/>
      <c r="J3317" s="65"/>
      <c r="K3317" s="65"/>
    </row>
    <row r="3318">
      <c r="I3318" s="65"/>
      <c r="J3318" s="65"/>
      <c r="K3318" s="65"/>
    </row>
    <row r="3319">
      <c r="I3319" s="65"/>
      <c r="J3319" s="65"/>
      <c r="K3319" s="65"/>
    </row>
    <row r="3320">
      <c r="I3320" s="65"/>
      <c r="J3320" s="65"/>
      <c r="K3320" s="65"/>
    </row>
    <row r="3321">
      <c r="I3321" s="65"/>
      <c r="J3321" s="65"/>
      <c r="K3321" s="65"/>
    </row>
    <row r="3322">
      <c r="I3322" s="65"/>
      <c r="J3322" s="65"/>
      <c r="K3322" s="65"/>
    </row>
    <row r="3323">
      <c r="I3323" s="65"/>
      <c r="J3323" s="65"/>
      <c r="K3323" s="65"/>
    </row>
    <row r="3324">
      <c r="I3324" s="65"/>
      <c r="J3324" s="65"/>
      <c r="K3324" s="65"/>
    </row>
    <row r="3325">
      <c r="I3325" s="65"/>
      <c r="J3325" s="65"/>
      <c r="K3325" s="65"/>
    </row>
    <row r="3326">
      <c r="I3326" s="65"/>
      <c r="J3326" s="65"/>
      <c r="K3326" s="65"/>
    </row>
    <row r="3327">
      <c r="I3327" s="65"/>
      <c r="J3327" s="65"/>
      <c r="K3327" s="65"/>
    </row>
    <row r="3328">
      <c r="I3328" s="65"/>
      <c r="J3328" s="65"/>
      <c r="K3328" s="65"/>
    </row>
    <row r="3329">
      <c r="I3329" s="65"/>
      <c r="J3329" s="65"/>
      <c r="K3329" s="65"/>
    </row>
    <row r="3330">
      <c r="I3330" s="65"/>
      <c r="J3330" s="65"/>
      <c r="K3330" s="65"/>
    </row>
    <row r="3331">
      <c r="I3331" s="65"/>
      <c r="J3331" s="65"/>
      <c r="K3331" s="65"/>
    </row>
    <row r="3332">
      <c r="I3332" s="65"/>
      <c r="J3332" s="65"/>
      <c r="K3332" s="65"/>
    </row>
    <row r="3333">
      <c r="I3333" s="65"/>
      <c r="J3333" s="65"/>
      <c r="K3333" s="65"/>
    </row>
    <row r="3334">
      <c r="I3334" s="65"/>
      <c r="J3334" s="65"/>
      <c r="K3334" s="65"/>
    </row>
    <row r="3335">
      <c r="I3335" s="65"/>
      <c r="J3335" s="65"/>
      <c r="K3335" s="65"/>
    </row>
    <row r="3336">
      <c r="I3336" s="65"/>
      <c r="J3336" s="65"/>
      <c r="K3336" s="65"/>
    </row>
    <row r="3337">
      <c r="I3337" s="65"/>
      <c r="J3337" s="65"/>
      <c r="K3337" s="65"/>
    </row>
    <row r="3338">
      <c r="I3338" s="65"/>
      <c r="J3338" s="65"/>
      <c r="K3338" s="65"/>
    </row>
    <row r="3339">
      <c r="I3339" s="65"/>
      <c r="J3339" s="65"/>
      <c r="K3339" s="65"/>
    </row>
    <row r="3340">
      <c r="I3340" s="65"/>
      <c r="J3340" s="65"/>
      <c r="K3340" s="65"/>
    </row>
    <row r="3341">
      <c r="I3341" s="65"/>
      <c r="J3341" s="65"/>
      <c r="K3341" s="65"/>
    </row>
    <row r="3342">
      <c r="I3342" s="65"/>
      <c r="J3342" s="65"/>
      <c r="K3342" s="65"/>
    </row>
    <row r="3343">
      <c r="I3343" s="65"/>
      <c r="J3343" s="65"/>
      <c r="K3343" s="65"/>
    </row>
    <row r="3344">
      <c r="I3344" s="65"/>
      <c r="J3344" s="65"/>
      <c r="K3344" s="65"/>
    </row>
    <row r="3345">
      <c r="I3345" s="65"/>
      <c r="J3345" s="65"/>
      <c r="K3345" s="65"/>
    </row>
    <row r="3346">
      <c r="I3346" s="65"/>
      <c r="J3346" s="65"/>
      <c r="K3346" s="65"/>
    </row>
    <row r="3347">
      <c r="I3347" s="65"/>
      <c r="J3347" s="65"/>
      <c r="K3347" s="65"/>
    </row>
    <row r="3348">
      <c r="I3348" s="65"/>
      <c r="J3348" s="65"/>
      <c r="K3348" s="65"/>
    </row>
    <row r="3349">
      <c r="I3349" s="65"/>
      <c r="J3349" s="65"/>
      <c r="K3349" s="65"/>
    </row>
    <row r="3350">
      <c r="I3350" s="65"/>
      <c r="J3350" s="65"/>
      <c r="K3350" s="65"/>
    </row>
    <row r="3351">
      <c r="I3351" s="65"/>
      <c r="J3351" s="65"/>
      <c r="K3351" s="65"/>
    </row>
    <row r="3352">
      <c r="I3352" s="65"/>
      <c r="J3352" s="65"/>
      <c r="K3352" s="65"/>
    </row>
    <row r="3353">
      <c r="I3353" s="65"/>
      <c r="J3353" s="65"/>
      <c r="K3353" s="65"/>
    </row>
    <row r="3354">
      <c r="I3354" s="65"/>
      <c r="J3354" s="65"/>
      <c r="K3354" s="65"/>
    </row>
    <row r="3355">
      <c r="I3355" s="65"/>
      <c r="J3355" s="65"/>
      <c r="K3355" s="65"/>
    </row>
    <row r="3356">
      <c r="I3356" s="65"/>
      <c r="J3356" s="65"/>
      <c r="K3356" s="65"/>
    </row>
    <row r="3357">
      <c r="I3357" s="65"/>
      <c r="J3357" s="65"/>
      <c r="K3357" s="65"/>
    </row>
    <row r="3358">
      <c r="I3358" s="65"/>
      <c r="J3358" s="65"/>
      <c r="K3358" s="65"/>
    </row>
    <row r="3359">
      <c r="I3359" s="65"/>
      <c r="J3359" s="65"/>
      <c r="K3359" s="65"/>
    </row>
    <row r="3360">
      <c r="I3360" s="65"/>
      <c r="J3360" s="65"/>
      <c r="K3360" s="65"/>
    </row>
    <row r="3361">
      <c r="I3361" s="65"/>
      <c r="J3361" s="65"/>
      <c r="K3361" s="65"/>
    </row>
    <row r="3362">
      <c r="I3362" s="65"/>
      <c r="J3362" s="65"/>
      <c r="K3362" s="65"/>
    </row>
    <row r="3363">
      <c r="I3363" s="65"/>
      <c r="J3363" s="65"/>
      <c r="K3363" s="65"/>
    </row>
    <row r="3364">
      <c r="I3364" s="65"/>
      <c r="J3364" s="65"/>
      <c r="K3364" s="65"/>
    </row>
    <row r="3365">
      <c r="I3365" s="65"/>
      <c r="J3365" s="65"/>
      <c r="K3365" s="65"/>
    </row>
    <row r="3366">
      <c r="I3366" s="65"/>
      <c r="J3366" s="65"/>
      <c r="K3366" s="65"/>
    </row>
    <row r="3367">
      <c r="I3367" s="65"/>
      <c r="J3367" s="65"/>
      <c r="K3367" s="65"/>
    </row>
    <row r="3368">
      <c r="I3368" s="65"/>
      <c r="J3368" s="65"/>
      <c r="K3368" s="65"/>
    </row>
    <row r="3369">
      <c r="I3369" s="65"/>
      <c r="J3369" s="65"/>
      <c r="K3369" s="65"/>
    </row>
    <row r="3370">
      <c r="I3370" s="65"/>
      <c r="J3370" s="65"/>
      <c r="K3370" s="65"/>
    </row>
    <row r="3371">
      <c r="I3371" s="65"/>
      <c r="J3371" s="65"/>
      <c r="K3371" s="65"/>
    </row>
    <row r="3372">
      <c r="I3372" s="65"/>
      <c r="J3372" s="65"/>
      <c r="K3372" s="65"/>
    </row>
    <row r="3373">
      <c r="I3373" s="65"/>
      <c r="J3373" s="65"/>
      <c r="K3373" s="65"/>
    </row>
    <row r="3374">
      <c r="I3374" s="65"/>
      <c r="J3374" s="65"/>
      <c r="K3374" s="65"/>
    </row>
    <row r="3375">
      <c r="I3375" s="65"/>
      <c r="J3375" s="65"/>
      <c r="K3375" s="65"/>
    </row>
    <row r="3376">
      <c r="I3376" s="65"/>
      <c r="J3376" s="65"/>
      <c r="K3376" s="65"/>
    </row>
    <row r="3377">
      <c r="I3377" s="65"/>
      <c r="J3377" s="65"/>
      <c r="K3377" s="65"/>
    </row>
    <row r="3378">
      <c r="I3378" s="65"/>
      <c r="J3378" s="65"/>
      <c r="K3378" s="65"/>
    </row>
    <row r="3379">
      <c r="I3379" s="65"/>
      <c r="J3379" s="65"/>
      <c r="K3379" s="65"/>
    </row>
    <row r="3380">
      <c r="I3380" s="65"/>
      <c r="J3380" s="65"/>
      <c r="K3380" s="65"/>
    </row>
    <row r="3381">
      <c r="I3381" s="65"/>
      <c r="J3381" s="65"/>
      <c r="K3381" s="65"/>
    </row>
    <row r="3382">
      <c r="I3382" s="65"/>
      <c r="J3382" s="65"/>
      <c r="K3382" s="65"/>
    </row>
    <row r="3383">
      <c r="I3383" s="65"/>
      <c r="J3383" s="65"/>
      <c r="K3383" s="65"/>
    </row>
    <row r="3384">
      <c r="I3384" s="65"/>
      <c r="J3384" s="65"/>
      <c r="K3384" s="65"/>
    </row>
    <row r="3385">
      <c r="I3385" s="65"/>
      <c r="J3385" s="65"/>
      <c r="K3385" s="65"/>
    </row>
    <row r="3386">
      <c r="I3386" s="65"/>
      <c r="J3386" s="65"/>
      <c r="K3386" s="65"/>
    </row>
    <row r="3387">
      <c r="I3387" s="65"/>
      <c r="J3387" s="65"/>
      <c r="K3387" s="65"/>
    </row>
    <row r="3388">
      <c r="I3388" s="65"/>
      <c r="J3388" s="65"/>
      <c r="K3388" s="65"/>
    </row>
    <row r="3389">
      <c r="I3389" s="65"/>
      <c r="J3389" s="65"/>
      <c r="K3389" s="65"/>
    </row>
    <row r="3390">
      <c r="I3390" s="65"/>
      <c r="J3390" s="65"/>
      <c r="K3390" s="65"/>
    </row>
    <row r="3391">
      <c r="I3391" s="65"/>
      <c r="J3391" s="65"/>
      <c r="K3391" s="65"/>
    </row>
    <row r="3392">
      <c r="I3392" s="65"/>
      <c r="J3392" s="65"/>
      <c r="K3392" s="65"/>
    </row>
    <row r="3393">
      <c r="I3393" s="65"/>
      <c r="J3393" s="65"/>
      <c r="K3393" s="65"/>
    </row>
    <row r="3394">
      <c r="I3394" s="65"/>
      <c r="J3394" s="65"/>
      <c r="K3394" s="65"/>
    </row>
    <row r="3395">
      <c r="I3395" s="65"/>
      <c r="J3395" s="65"/>
      <c r="K3395" s="65"/>
    </row>
    <row r="3396">
      <c r="I3396" s="65"/>
      <c r="J3396" s="65"/>
      <c r="K3396" s="65"/>
    </row>
    <row r="3397">
      <c r="I3397" s="65"/>
      <c r="J3397" s="65"/>
      <c r="K3397" s="65"/>
    </row>
    <row r="3398">
      <c r="I3398" s="65"/>
      <c r="J3398" s="65"/>
      <c r="K3398" s="65"/>
    </row>
    <row r="3399">
      <c r="I3399" s="65"/>
      <c r="J3399" s="65"/>
      <c r="K3399" s="65"/>
    </row>
    <row r="3400">
      <c r="I3400" s="65"/>
      <c r="J3400" s="65"/>
      <c r="K3400" s="65"/>
    </row>
    <row r="3401">
      <c r="I3401" s="65"/>
      <c r="J3401" s="65"/>
      <c r="K3401" s="65"/>
    </row>
    <row r="3402">
      <c r="I3402" s="65"/>
      <c r="J3402" s="65"/>
      <c r="K3402" s="65"/>
    </row>
    <row r="3403">
      <c r="I3403" s="65"/>
      <c r="J3403" s="65"/>
      <c r="K3403" s="65"/>
    </row>
    <row r="3404">
      <c r="I3404" s="65"/>
      <c r="J3404" s="65"/>
      <c r="K3404" s="65"/>
    </row>
    <row r="3405">
      <c r="I3405" s="65"/>
      <c r="J3405" s="65"/>
      <c r="K3405" s="65"/>
    </row>
    <row r="3406">
      <c r="I3406" s="65"/>
      <c r="J3406" s="65"/>
      <c r="K3406" s="65"/>
    </row>
    <row r="3407">
      <c r="I3407" s="65"/>
      <c r="J3407" s="65"/>
      <c r="K3407" s="65"/>
    </row>
    <row r="3408">
      <c r="I3408" s="65"/>
      <c r="J3408" s="65"/>
      <c r="K3408" s="65"/>
    </row>
    <row r="3409">
      <c r="I3409" s="65"/>
      <c r="J3409" s="65"/>
      <c r="K3409" s="65"/>
    </row>
    <row r="3410">
      <c r="I3410" s="65"/>
      <c r="J3410" s="65"/>
      <c r="K3410" s="65"/>
    </row>
    <row r="3411">
      <c r="I3411" s="65"/>
      <c r="J3411" s="65"/>
      <c r="K3411" s="65"/>
    </row>
    <row r="3412">
      <c r="I3412" s="65"/>
      <c r="J3412" s="65"/>
      <c r="K3412" s="65"/>
    </row>
    <row r="3413">
      <c r="I3413" s="65"/>
      <c r="J3413" s="65"/>
      <c r="K3413" s="65"/>
    </row>
    <row r="3414">
      <c r="I3414" s="65"/>
      <c r="J3414" s="65"/>
      <c r="K3414" s="65"/>
    </row>
    <row r="3415">
      <c r="I3415" s="65"/>
      <c r="J3415" s="65"/>
      <c r="K3415" s="65"/>
    </row>
    <row r="3416">
      <c r="I3416" s="65"/>
      <c r="J3416" s="65"/>
      <c r="K3416" s="65"/>
    </row>
    <row r="3417">
      <c r="I3417" s="65"/>
      <c r="J3417" s="65"/>
      <c r="K3417" s="65"/>
    </row>
    <row r="3418">
      <c r="I3418" s="65"/>
      <c r="J3418" s="65"/>
      <c r="K3418" s="65"/>
    </row>
    <row r="3419">
      <c r="I3419" s="65"/>
      <c r="J3419" s="65"/>
      <c r="K3419" s="65"/>
    </row>
    <row r="3420">
      <c r="I3420" s="65"/>
      <c r="J3420" s="65"/>
      <c r="K3420" s="65"/>
    </row>
    <row r="3421">
      <c r="I3421" s="65"/>
      <c r="J3421" s="65"/>
      <c r="K3421" s="65"/>
    </row>
    <row r="3422">
      <c r="I3422" s="65"/>
      <c r="J3422" s="65"/>
      <c r="K3422" s="65"/>
    </row>
    <row r="3423">
      <c r="I3423" s="65"/>
      <c r="J3423" s="65"/>
      <c r="K3423" s="65"/>
    </row>
    <row r="3424">
      <c r="I3424" s="65"/>
      <c r="J3424" s="65"/>
      <c r="K3424" s="65"/>
    </row>
    <row r="3425">
      <c r="I3425" s="65"/>
      <c r="J3425" s="65"/>
      <c r="K3425" s="65"/>
    </row>
    <row r="3426">
      <c r="I3426" s="65"/>
      <c r="J3426" s="65"/>
      <c r="K3426" s="65"/>
    </row>
    <row r="3427">
      <c r="I3427" s="65"/>
      <c r="J3427" s="65"/>
      <c r="K3427" s="65"/>
    </row>
    <row r="3428">
      <c r="I3428" s="65"/>
      <c r="J3428" s="65"/>
      <c r="K3428" s="65"/>
    </row>
    <row r="3429">
      <c r="I3429" s="65"/>
      <c r="J3429" s="65"/>
      <c r="K3429" s="65"/>
    </row>
    <row r="3430">
      <c r="I3430" s="65"/>
      <c r="J3430" s="65"/>
      <c r="K3430" s="65"/>
    </row>
    <row r="3431">
      <c r="I3431" s="65"/>
      <c r="J3431" s="65"/>
      <c r="K3431" s="65"/>
    </row>
    <row r="3432">
      <c r="I3432" s="65"/>
      <c r="J3432" s="65"/>
      <c r="K3432" s="65"/>
    </row>
    <row r="3433">
      <c r="I3433" s="65"/>
      <c r="J3433" s="65"/>
      <c r="K3433" s="65"/>
    </row>
    <row r="3434">
      <c r="I3434" s="65"/>
      <c r="J3434" s="65"/>
      <c r="K3434" s="65"/>
    </row>
    <row r="3435">
      <c r="I3435" s="65"/>
      <c r="J3435" s="65"/>
      <c r="K3435" s="65"/>
    </row>
    <row r="3436">
      <c r="I3436" s="65"/>
      <c r="J3436" s="65"/>
      <c r="K3436" s="65"/>
    </row>
    <row r="3437">
      <c r="I3437" s="65"/>
      <c r="J3437" s="65"/>
      <c r="K3437" s="65"/>
    </row>
    <row r="3438">
      <c r="I3438" s="65"/>
      <c r="J3438" s="65"/>
      <c r="K3438" s="65"/>
    </row>
    <row r="3439">
      <c r="I3439" s="65"/>
      <c r="J3439" s="65"/>
      <c r="K3439" s="65"/>
    </row>
    <row r="3440">
      <c r="I3440" s="65"/>
      <c r="J3440" s="65"/>
      <c r="K3440" s="65"/>
    </row>
    <row r="3441">
      <c r="I3441" s="65"/>
      <c r="J3441" s="65"/>
      <c r="K3441" s="65"/>
    </row>
    <row r="3442">
      <c r="I3442" s="65"/>
      <c r="J3442" s="65"/>
      <c r="K3442" s="65"/>
    </row>
    <row r="3443">
      <c r="I3443" s="65"/>
      <c r="J3443" s="65"/>
      <c r="K3443" s="65"/>
    </row>
    <row r="3444">
      <c r="I3444" s="65"/>
      <c r="J3444" s="65"/>
      <c r="K3444" s="65"/>
    </row>
    <row r="3445">
      <c r="I3445" s="65"/>
      <c r="J3445" s="65"/>
      <c r="K3445" s="65"/>
    </row>
    <row r="3446">
      <c r="I3446" s="65"/>
      <c r="J3446" s="65"/>
      <c r="K3446" s="65"/>
    </row>
    <row r="3447">
      <c r="I3447" s="65"/>
      <c r="J3447" s="65"/>
      <c r="K3447" s="65"/>
    </row>
    <row r="3448">
      <c r="I3448" s="65"/>
      <c r="J3448" s="65"/>
      <c r="K3448" s="65"/>
    </row>
    <row r="3449">
      <c r="I3449" s="65"/>
      <c r="J3449" s="65"/>
      <c r="K3449" s="65"/>
    </row>
    <row r="3450">
      <c r="I3450" s="65"/>
      <c r="J3450" s="65"/>
      <c r="K3450" s="65"/>
    </row>
    <row r="3451">
      <c r="I3451" s="65"/>
      <c r="J3451" s="65"/>
      <c r="K3451" s="65"/>
    </row>
    <row r="3452">
      <c r="I3452" s="65"/>
      <c r="J3452" s="65"/>
      <c r="K3452" s="65"/>
    </row>
    <row r="3453">
      <c r="I3453" s="65"/>
      <c r="J3453" s="65"/>
      <c r="K3453" s="65"/>
    </row>
    <row r="3454">
      <c r="I3454" s="65"/>
      <c r="J3454" s="65"/>
      <c r="K3454" s="65"/>
    </row>
    <row r="3455">
      <c r="I3455" s="65"/>
      <c r="J3455" s="65"/>
      <c r="K3455" s="65"/>
    </row>
    <row r="3456">
      <c r="I3456" s="65"/>
      <c r="J3456" s="65"/>
      <c r="K3456" s="65"/>
    </row>
    <row r="3457">
      <c r="I3457" s="65"/>
      <c r="J3457" s="65"/>
      <c r="K3457" s="65"/>
    </row>
    <row r="3458">
      <c r="I3458" s="65"/>
      <c r="J3458" s="65"/>
      <c r="K3458" s="65"/>
    </row>
    <row r="3459">
      <c r="I3459" s="65"/>
      <c r="J3459" s="65"/>
      <c r="K3459" s="65"/>
    </row>
    <row r="3460">
      <c r="I3460" s="65"/>
      <c r="J3460" s="65"/>
      <c r="K3460" s="65"/>
    </row>
    <row r="3461">
      <c r="I3461" s="65"/>
      <c r="J3461" s="65"/>
      <c r="K3461" s="65"/>
    </row>
    <row r="3462">
      <c r="I3462" s="65"/>
      <c r="J3462" s="65"/>
      <c r="K3462" s="65"/>
    </row>
    <row r="3463">
      <c r="I3463" s="65"/>
      <c r="J3463" s="65"/>
      <c r="K3463" s="65"/>
    </row>
    <row r="3464">
      <c r="I3464" s="65"/>
      <c r="J3464" s="65"/>
      <c r="K3464" s="65"/>
    </row>
    <row r="3465">
      <c r="I3465" s="65"/>
      <c r="J3465" s="65"/>
      <c r="K3465" s="65"/>
    </row>
    <row r="3466">
      <c r="I3466" s="65"/>
      <c r="J3466" s="65"/>
      <c r="K3466" s="65"/>
    </row>
    <row r="3467">
      <c r="I3467" s="65"/>
      <c r="J3467" s="65"/>
      <c r="K3467" s="65"/>
    </row>
    <row r="3468">
      <c r="I3468" s="65"/>
      <c r="J3468" s="65"/>
      <c r="K3468" s="65"/>
    </row>
    <row r="3469">
      <c r="I3469" s="65"/>
      <c r="J3469" s="65"/>
      <c r="K3469" s="65"/>
    </row>
    <row r="3470">
      <c r="I3470" s="65"/>
      <c r="J3470" s="65"/>
      <c r="K3470" s="65"/>
    </row>
    <row r="3471">
      <c r="I3471" s="65"/>
      <c r="J3471" s="65"/>
      <c r="K3471" s="65"/>
    </row>
    <row r="3472">
      <c r="I3472" s="65"/>
      <c r="J3472" s="65"/>
      <c r="K3472" s="65"/>
    </row>
    <row r="3473">
      <c r="I3473" s="65"/>
      <c r="J3473" s="65"/>
      <c r="K3473" s="65"/>
    </row>
    <row r="3474">
      <c r="I3474" s="65"/>
      <c r="J3474" s="65"/>
      <c r="K3474" s="65"/>
    </row>
    <row r="3475">
      <c r="I3475" s="65"/>
      <c r="J3475" s="65"/>
      <c r="K3475" s="65"/>
    </row>
    <row r="3476">
      <c r="I3476" s="65"/>
      <c r="J3476" s="65"/>
      <c r="K3476" s="65"/>
    </row>
    <row r="3477">
      <c r="I3477" s="65"/>
      <c r="J3477" s="65"/>
      <c r="K3477" s="65"/>
    </row>
    <row r="3478">
      <c r="I3478" s="65"/>
      <c r="J3478" s="65"/>
      <c r="K3478" s="65"/>
    </row>
    <row r="3479">
      <c r="I3479" s="65"/>
      <c r="J3479" s="65"/>
      <c r="K3479" s="65"/>
    </row>
    <row r="3480">
      <c r="I3480" s="65"/>
      <c r="J3480" s="65"/>
      <c r="K3480" s="65"/>
    </row>
    <row r="3481">
      <c r="I3481" s="65"/>
      <c r="J3481" s="65"/>
      <c r="K3481" s="65"/>
    </row>
    <row r="3482">
      <c r="I3482" s="65"/>
      <c r="J3482" s="65"/>
      <c r="K3482" s="65"/>
    </row>
    <row r="3483">
      <c r="I3483" s="65"/>
      <c r="J3483" s="65"/>
      <c r="K3483" s="65"/>
    </row>
    <row r="3484">
      <c r="I3484" s="65"/>
      <c r="J3484" s="65"/>
      <c r="K3484" s="65"/>
    </row>
    <row r="3485">
      <c r="I3485" s="65"/>
      <c r="J3485" s="65"/>
      <c r="K3485" s="65"/>
    </row>
    <row r="3486">
      <c r="I3486" s="65"/>
      <c r="J3486" s="65"/>
      <c r="K3486" s="65"/>
    </row>
    <row r="3487">
      <c r="I3487" s="65"/>
      <c r="J3487" s="65"/>
      <c r="K3487" s="65"/>
    </row>
    <row r="3488">
      <c r="I3488" s="65"/>
      <c r="J3488" s="65"/>
      <c r="K3488" s="65"/>
    </row>
    <row r="3489">
      <c r="I3489" s="65"/>
      <c r="J3489" s="65"/>
      <c r="K3489" s="65"/>
    </row>
    <row r="3490">
      <c r="I3490" s="65"/>
      <c r="J3490" s="65"/>
      <c r="K3490" s="65"/>
    </row>
    <row r="3491">
      <c r="I3491" s="65"/>
      <c r="J3491" s="65"/>
      <c r="K3491" s="65"/>
    </row>
    <row r="3492">
      <c r="I3492" s="65"/>
      <c r="J3492" s="65"/>
      <c r="K3492" s="65"/>
    </row>
    <row r="3493">
      <c r="I3493" s="65"/>
      <c r="J3493" s="65"/>
      <c r="K3493" s="65"/>
    </row>
    <row r="3494">
      <c r="I3494" s="65"/>
      <c r="J3494" s="65"/>
      <c r="K3494" s="65"/>
    </row>
    <row r="3495">
      <c r="I3495" s="65"/>
      <c r="J3495" s="65"/>
      <c r="K3495" s="65"/>
    </row>
    <row r="3496">
      <c r="I3496" s="65"/>
      <c r="J3496" s="65"/>
      <c r="K3496" s="65"/>
    </row>
    <row r="3497">
      <c r="I3497" s="65"/>
      <c r="J3497" s="65"/>
      <c r="K3497" s="65"/>
    </row>
    <row r="3498">
      <c r="I3498" s="65"/>
      <c r="J3498" s="65"/>
      <c r="K3498" s="65"/>
    </row>
    <row r="3499">
      <c r="I3499" s="65"/>
      <c r="J3499" s="65"/>
      <c r="K3499" s="65"/>
    </row>
    <row r="3500">
      <c r="I3500" s="65"/>
      <c r="J3500" s="65"/>
      <c r="K3500" s="65"/>
    </row>
    <row r="3501">
      <c r="I3501" s="65"/>
      <c r="J3501" s="65"/>
      <c r="K3501" s="65"/>
    </row>
    <row r="3502">
      <c r="I3502" s="65"/>
      <c r="J3502" s="65"/>
      <c r="K3502" s="65"/>
    </row>
    <row r="3503">
      <c r="I3503" s="65"/>
      <c r="J3503" s="65"/>
      <c r="K3503" s="65"/>
    </row>
    <row r="3504">
      <c r="I3504" s="65"/>
      <c r="J3504" s="65"/>
      <c r="K3504" s="65"/>
    </row>
    <row r="3505">
      <c r="I3505" s="65"/>
      <c r="J3505" s="65"/>
      <c r="K3505" s="65"/>
    </row>
    <row r="3506">
      <c r="I3506" s="65"/>
      <c r="J3506" s="65"/>
      <c r="K3506" s="65"/>
    </row>
    <row r="3507">
      <c r="I3507" s="65"/>
      <c r="J3507" s="65"/>
      <c r="K3507" s="65"/>
    </row>
    <row r="3508">
      <c r="I3508" s="65"/>
      <c r="J3508" s="65"/>
      <c r="K3508" s="65"/>
    </row>
    <row r="3509">
      <c r="I3509" s="65"/>
      <c r="J3509" s="65"/>
      <c r="K3509" s="65"/>
    </row>
    <row r="3510">
      <c r="I3510" s="65"/>
      <c r="J3510" s="65"/>
      <c r="K3510" s="65"/>
    </row>
    <row r="3511">
      <c r="I3511" s="65"/>
      <c r="J3511" s="65"/>
      <c r="K3511" s="65"/>
    </row>
    <row r="3512">
      <c r="I3512" s="65"/>
      <c r="J3512" s="65"/>
      <c r="K3512" s="65"/>
    </row>
    <row r="3513">
      <c r="I3513" s="65"/>
      <c r="J3513" s="65"/>
      <c r="K3513" s="65"/>
    </row>
    <row r="3514">
      <c r="I3514" s="65"/>
      <c r="J3514" s="65"/>
      <c r="K3514" s="65"/>
    </row>
    <row r="3515">
      <c r="I3515" s="65"/>
      <c r="J3515" s="65"/>
      <c r="K3515" s="65"/>
    </row>
    <row r="3516">
      <c r="I3516" s="65"/>
      <c r="J3516" s="65"/>
      <c r="K3516" s="65"/>
    </row>
    <row r="3517">
      <c r="I3517" s="65"/>
      <c r="J3517" s="65"/>
      <c r="K3517" s="65"/>
    </row>
    <row r="3518">
      <c r="I3518" s="65"/>
      <c r="J3518" s="65"/>
      <c r="K3518" s="65"/>
    </row>
    <row r="3519">
      <c r="I3519" s="65"/>
      <c r="J3519" s="65"/>
      <c r="K3519" s="65"/>
    </row>
    <row r="3520">
      <c r="I3520" s="65"/>
      <c r="J3520" s="65"/>
      <c r="K3520" s="65"/>
    </row>
    <row r="3521">
      <c r="I3521" s="65"/>
      <c r="J3521" s="65"/>
      <c r="K3521" s="65"/>
    </row>
    <row r="3522">
      <c r="I3522" s="65"/>
      <c r="J3522" s="65"/>
      <c r="K3522" s="65"/>
    </row>
    <row r="3523">
      <c r="I3523" s="65"/>
      <c r="J3523" s="65"/>
      <c r="K3523" s="65"/>
    </row>
    <row r="3524">
      <c r="I3524" s="65"/>
      <c r="J3524" s="65"/>
      <c r="K3524" s="65"/>
    </row>
    <row r="3525">
      <c r="I3525" s="65"/>
      <c r="J3525" s="65"/>
      <c r="K3525" s="65"/>
    </row>
    <row r="3526">
      <c r="I3526" s="65"/>
      <c r="J3526" s="65"/>
      <c r="K3526" s="65"/>
    </row>
    <row r="3527">
      <c r="I3527" s="65"/>
      <c r="J3527" s="65"/>
      <c r="K3527" s="65"/>
    </row>
    <row r="3528">
      <c r="I3528" s="65"/>
      <c r="J3528" s="65"/>
      <c r="K3528" s="65"/>
    </row>
    <row r="3529">
      <c r="I3529" s="65"/>
      <c r="J3529" s="65"/>
      <c r="K3529" s="65"/>
    </row>
    <row r="3530">
      <c r="I3530" s="65"/>
      <c r="J3530" s="65"/>
      <c r="K3530" s="65"/>
    </row>
    <row r="3531">
      <c r="I3531" s="65"/>
      <c r="J3531" s="65"/>
      <c r="K3531" s="65"/>
    </row>
    <row r="3532">
      <c r="I3532" s="65"/>
      <c r="J3532" s="65"/>
      <c r="K3532" s="65"/>
    </row>
    <row r="3533">
      <c r="I3533" s="65"/>
      <c r="J3533" s="65"/>
      <c r="K3533" s="65"/>
    </row>
    <row r="3534">
      <c r="I3534" s="65"/>
      <c r="J3534" s="65"/>
      <c r="K3534" s="65"/>
    </row>
    <row r="3535">
      <c r="I3535" s="65"/>
      <c r="J3535" s="65"/>
      <c r="K3535" s="65"/>
    </row>
    <row r="3536">
      <c r="I3536" s="65"/>
      <c r="J3536" s="65"/>
      <c r="K3536" s="65"/>
    </row>
    <row r="3537">
      <c r="I3537" s="65"/>
      <c r="J3537" s="65"/>
      <c r="K3537" s="65"/>
    </row>
    <row r="3538">
      <c r="I3538" s="65"/>
      <c r="J3538" s="65"/>
      <c r="K3538" s="65"/>
    </row>
    <row r="3539">
      <c r="I3539" s="65"/>
      <c r="J3539" s="65"/>
      <c r="K3539" s="65"/>
    </row>
    <row r="3540">
      <c r="I3540" s="65"/>
      <c r="J3540" s="65"/>
      <c r="K3540" s="65"/>
    </row>
    <row r="3541">
      <c r="I3541" s="65"/>
      <c r="J3541" s="65"/>
      <c r="K3541" s="65"/>
    </row>
    <row r="3542">
      <c r="I3542" s="65"/>
      <c r="J3542" s="65"/>
      <c r="K3542" s="65"/>
    </row>
    <row r="3543">
      <c r="I3543" s="65"/>
      <c r="J3543" s="65"/>
      <c r="K3543" s="65"/>
    </row>
    <row r="3544">
      <c r="I3544" s="65"/>
      <c r="J3544" s="65"/>
      <c r="K3544" s="65"/>
    </row>
    <row r="3545">
      <c r="I3545" s="65"/>
      <c r="J3545" s="65"/>
      <c r="K3545" s="65"/>
    </row>
    <row r="3546">
      <c r="I3546" s="65"/>
      <c r="J3546" s="65"/>
      <c r="K3546" s="65"/>
    </row>
    <row r="3547">
      <c r="I3547" s="65"/>
      <c r="J3547" s="65"/>
      <c r="K3547" s="65"/>
    </row>
    <row r="3548">
      <c r="I3548" s="65"/>
      <c r="J3548" s="65"/>
      <c r="K3548" s="65"/>
    </row>
    <row r="3549">
      <c r="I3549" s="65"/>
      <c r="J3549" s="65"/>
      <c r="K3549" s="65"/>
    </row>
    <row r="3550">
      <c r="I3550" s="65"/>
      <c r="J3550" s="65"/>
      <c r="K3550" s="65"/>
    </row>
    <row r="3551">
      <c r="I3551" s="65"/>
      <c r="J3551" s="65"/>
      <c r="K3551" s="65"/>
    </row>
    <row r="3552">
      <c r="I3552" s="65"/>
      <c r="J3552" s="65"/>
      <c r="K3552" s="65"/>
    </row>
    <row r="3553">
      <c r="I3553" s="65"/>
      <c r="J3553" s="65"/>
      <c r="K3553" s="65"/>
    </row>
    <row r="3554">
      <c r="I3554" s="65"/>
      <c r="J3554" s="65"/>
      <c r="K3554" s="65"/>
    </row>
    <row r="3555">
      <c r="I3555" s="65"/>
      <c r="J3555" s="65"/>
      <c r="K3555" s="65"/>
    </row>
    <row r="3556">
      <c r="I3556" s="65"/>
      <c r="J3556" s="65"/>
      <c r="K3556" s="65"/>
    </row>
    <row r="3557">
      <c r="I3557" s="65"/>
      <c r="J3557" s="65"/>
      <c r="K3557" s="65"/>
    </row>
    <row r="3558">
      <c r="I3558" s="65"/>
      <c r="J3558" s="65"/>
      <c r="K3558" s="65"/>
    </row>
    <row r="3559">
      <c r="I3559" s="65"/>
      <c r="J3559" s="65"/>
      <c r="K3559" s="65"/>
    </row>
    <row r="3560">
      <c r="I3560" s="65"/>
      <c r="J3560" s="65"/>
      <c r="K3560" s="65"/>
    </row>
    <row r="3561">
      <c r="I3561" s="65"/>
      <c r="J3561" s="65"/>
      <c r="K3561" s="65"/>
    </row>
    <row r="3562">
      <c r="I3562" s="65"/>
      <c r="J3562" s="65"/>
      <c r="K3562" s="65"/>
    </row>
    <row r="3563">
      <c r="I3563" s="65"/>
      <c r="J3563" s="65"/>
      <c r="K3563" s="65"/>
    </row>
    <row r="3564">
      <c r="I3564" s="65"/>
      <c r="J3564" s="65"/>
      <c r="K3564" s="65"/>
    </row>
    <row r="3565">
      <c r="I3565" s="65"/>
      <c r="J3565" s="65"/>
      <c r="K3565" s="65"/>
    </row>
    <row r="3566">
      <c r="I3566" s="65"/>
      <c r="J3566" s="65"/>
      <c r="K3566" s="65"/>
    </row>
    <row r="3567">
      <c r="I3567" s="65"/>
      <c r="J3567" s="65"/>
      <c r="K3567" s="65"/>
    </row>
    <row r="3568">
      <c r="I3568" s="65"/>
      <c r="J3568" s="65"/>
      <c r="K3568" s="65"/>
    </row>
    <row r="3569">
      <c r="I3569" s="65"/>
      <c r="J3569" s="65"/>
      <c r="K3569" s="65"/>
    </row>
    <row r="3570">
      <c r="I3570" s="65"/>
      <c r="J3570" s="65"/>
      <c r="K3570" s="65"/>
    </row>
    <row r="3571">
      <c r="I3571" s="65"/>
      <c r="J3571" s="65"/>
      <c r="K3571" s="65"/>
    </row>
    <row r="3572">
      <c r="I3572" s="65"/>
      <c r="J3572" s="65"/>
      <c r="K3572" s="65"/>
    </row>
    <row r="3573">
      <c r="I3573" s="65"/>
      <c r="J3573" s="65"/>
      <c r="K3573" s="65"/>
    </row>
    <row r="3574">
      <c r="I3574" s="65"/>
      <c r="J3574" s="65"/>
      <c r="K3574" s="65"/>
    </row>
    <row r="3575">
      <c r="I3575" s="65"/>
      <c r="J3575" s="65"/>
      <c r="K3575" s="65"/>
    </row>
    <row r="3576">
      <c r="I3576" s="65"/>
      <c r="J3576" s="65"/>
      <c r="K3576" s="65"/>
    </row>
    <row r="3577">
      <c r="I3577" s="65"/>
      <c r="J3577" s="65"/>
      <c r="K3577" s="65"/>
    </row>
    <row r="3578">
      <c r="I3578" s="65"/>
      <c r="J3578" s="65"/>
      <c r="K3578" s="65"/>
    </row>
    <row r="3579">
      <c r="I3579" s="65"/>
      <c r="J3579" s="65"/>
      <c r="K3579" s="65"/>
    </row>
    <row r="3580">
      <c r="I3580" s="65"/>
      <c r="J3580" s="65"/>
      <c r="K3580" s="65"/>
    </row>
    <row r="3581">
      <c r="I3581" s="65"/>
      <c r="J3581" s="65"/>
      <c r="K3581" s="65"/>
    </row>
    <row r="3582">
      <c r="I3582" s="65"/>
      <c r="J3582" s="65"/>
      <c r="K3582" s="65"/>
    </row>
    <row r="3583">
      <c r="I3583" s="65"/>
      <c r="J3583" s="65"/>
      <c r="K3583" s="65"/>
    </row>
    <row r="3584">
      <c r="I3584" s="65"/>
      <c r="J3584" s="65"/>
      <c r="K3584" s="65"/>
    </row>
    <row r="3585">
      <c r="I3585" s="65"/>
      <c r="J3585" s="65"/>
      <c r="K3585" s="65"/>
    </row>
    <row r="3586">
      <c r="I3586" s="65"/>
      <c r="J3586" s="65"/>
      <c r="K3586" s="65"/>
    </row>
    <row r="3587">
      <c r="I3587" s="65"/>
      <c r="J3587" s="65"/>
      <c r="K3587" s="65"/>
    </row>
    <row r="3588">
      <c r="I3588" s="65"/>
      <c r="J3588" s="65"/>
      <c r="K3588" s="65"/>
    </row>
    <row r="3589">
      <c r="I3589" s="65"/>
      <c r="J3589" s="65"/>
      <c r="K3589" s="65"/>
    </row>
    <row r="3590">
      <c r="I3590" s="65"/>
      <c r="J3590" s="65"/>
      <c r="K3590" s="65"/>
    </row>
    <row r="3591">
      <c r="I3591" s="65"/>
      <c r="J3591" s="65"/>
      <c r="K3591" s="65"/>
    </row>
    <row r="3592">
      <c r="I3592" s="65"/>
      <c r="J3592" s="65"/>
      <c r="K3592" s="65"/>
    </row>
    <row r="3593">
      <c r="I3593" s="65"/>
      <c r="J3593" s="65"/>
      <c r="K3593" s="65"/>
    </row>
    <row r="3594">
      <c r="I3594" s="65"/>
      <c r="J3594" s="65"/>
      <c r="K3594" s="65"/>
    </row>
    <row r="3595">
      <c r="I3595" s="65"/>
      <c r="J3595" s="65"/>
      <c r="K3595" s="65"/>
    </row>
    <row r="3596">
      <c r="I3596" s="65"/>
      <c r="J3596" s="65"/>
      <c r="K3596" s="65"/>
    </row>
    <row r="3597">
      <c r="I3597" s="65"/>
      <c r="J3597" s="65"/>
      <c r="K3597" s="65"/>
    </row>
    <row r="3598">
      <c r="I3598" s="65"/>
      <c r="J3598" s="65"/>
      <c r="K3598" s="65"/>
    </row>
    <row r="3599">
      <c r="I3599" s="65"/>
      <c r="J3599" s="65"/>
      <c r="K3599" s="65"/>
    </row>
    <row r="3600">
      <c r="I3600" s="65"/>
      <c r="J3600" s="65"/>
      <c r="K3600" s="65"/>
    </row>
    <row r="3601">
      <c r="I3601" s="65"/>
      <c r="J3601" s="65"/>
      <c r="K3601" s="65"/>
    </row>
    <row r="3602">
      <c r="I3602" s="65"/>
      <c r="J3602" s="65"/>
      <c r="K3602" s="65"/>
    </row>
    <row r="3603">
      <c r="I3603" s="65"/>
      <c r="J3603" s="65"/>
      <c r="K3603" s="65"/>
    </row>
    <row r="3604">
      <c r="I3604" s="65"/>
      <c r="J3604" s="65"/>
      <c r="K3604" s="65"/>
    </row>
    <row r="3605">
      <c r="I3605" s="65"/>
      <c r="J3605" s="65"/>
      <c r="K3605" s="65"/>
    </row>
    <row r="3606">
      <c r="I3606" s="65"/>
      <c r="J3606" s="65"/>
      <c r="K3606" s="65"/>
    </row>
    <row r="3607">
      <c r="I3607" s="65"/>
      <c r="J3607" s="65"/>
      <c r="K3607" s="65"/>
    </row>
    <row r="3608">
      <c r="I3608" s="65"/>
      <c r="J3608" s="65"/>
      <c r="K3608" s="65"/>
    </row>
    <row r="3609">
      <c r="I3609" s="65"/>
      <c r="J3609" s="65"/>
      <c r="K3609" s="65"/>
    </row>
    <row r="3610">
      <c r="I3610" s="65"/>
      <c r="J3610" s="65"/>
      <c r="K3610" s="65"/>
    </row>
    <row r="3611">
      <c r="I3611" s="65"/>
      <c r="J3611" s="65"/>
      <c r="K3611" s="65"/>
    </row>
    <row r="3612">
      <c r="I3612" s="65"/>
      <c r="J3612" s="65"/>
      <c r="K3612" s="65"/>
    </row>
    <row r="3613">
      <c r="I3613" s="65"/>
      <c r="J3613" s="65"/>
      <c r="K3613" s="65"/>
    </row>
    <row r="3614">
      <c r="I3614" s="65"/>
      <c r="J3614" s="65"/>
      <c r="K3614" s="65"/>
    </row>
    <row r="3615">
      <c r="I3615" s="65"/>
      <c r="J3615" s="65"/>
      <c r="K3615" s="65"/>
    </row>
    <row r="3616">
      <c r="I3616" s="65"/>
      <c r="J3616" s="65"/>
      <c r="K3616" s="65"/>
    </row>
    <row r="3617">
      <c r="I3617" s="65"/>
      <c r="J3617" s="65"/>
      <c r="K3617" s="65"/>
    </row>
    <row r="3618">
      <c r="I3618" s="65"/>
      <c r="J3618" s="65"/>
      <c r="K3618" s="65"/>
    </row>
    <row r="3619">
      <c r="I3619" s="65"/>
      <c r="J3619" s="65"/>
      <c r="K3619" s="65"/>
    </row>
    <row r="3620">
      <c r="I3620" s="65"/>
      <c r="J3620" s="65"/>
      <c r="K3620" s="65"/>
    </row>
    <row r="3621">
      <c r="I3621" s="65"/>
      <c r="J3621" s="65"/>
      <c r="K3621" s="65"/>
    </row>
    <row r="3622">
      <c r="I3622" s="65"/>
      <c r="J3622" s="65"/>
      <c r="K3622" s="65"/>
    </row>
    <row r="3623">
      <c r="I3623" s="65"/>
      <c r="J3623" s="65"/>
      <c r="K3623" s="65"/>
    </row>
    <row r="3624">
      <c r="I3624" s="65"/>
      <c r="J3624" s="65"/>
      <c r="K3624" s="65"/>
    </row>
    <row r="3625">
      <c r="I3625" s="65"/>
      <c r="J3625" s="65"/>
      <c r="K3625" s="65"/>
    </row>
    <row r="3626">
      <c r="I3626" s="65"/>
      <c r="J3626" s="65"/>
      <c r="K3626" s="65"/>
    </row>
    <row r="3627">
      <c r="I3627" s="65"/>
      <c r="J3627" s="65"/>
      <c r="K3627" s="65"/>
    </row>
    <row r="3628">
      <c r="I3628" s="65"/>
      <c r="J3628" s="65"/>
      <c r="K3628" s="65"/>
    </row>
    <row r="3629">
      <c r="I3629" s="65"/>
      <c r="J3629" s="65"/>
      <c r="K3629" s="65"/>
    </row>
    <row r="3630">
      <c r="I3630" s="65"/>
      <c r="J3630" s="65"/>
      <c r="K3630" s="65"/>
    </row>
    <row r="3631">
      <c r="I3631" s="65"/>
      <c r="J3631" s="65"/>
      <c r="K3631" s="65"/>
    </row>
    <row r="3632">
      <c r="I3632" s="65"/>
      <c r="J3632" s="65"/>
      <c r="K3632" s="65"/>
    </row>
    <row r="3633">
      <c r="I3633" s="65"/>
      <c r="J3633" s="65"/>
      <c r="K3633" s="65"/>
    </row>
    <row r="3634">
      <c r="I3634" s="65"/>
      <c r="J3634" s="65"/>
      <c r="K3634" s="65"/>
    </row>
    <row r="3635">
      <c r="I3635" s="65"/>
      <c r="J3635" s="65"/>
      <c r="K3635" s="65"/>
    </row>
    <row r="3636">
      <c r="I3636" s="65"/>
      <c r="J3636" s="65"/>
      <c r="K3636" s="65"/>
    </row>
    <row r="3637">
      <c r="I3637" s="65"/>
      <c r="J3637" s="65"/>
      <c r="K3637" s="65"/>
    </row>
    <row r="3638">
      <c r="I3638" s="65"/>
      <c r="J3638" s="65"/>
      <c r="K3638" s="65"/>
    </row>
    <row r="3639">
      <c r="I3639" s="65"/>
      <c r="J3639" s="65"/>
      <c r="K3639" s="65"/>
    </row>
    <row r="3640">
      <c r="I3640" s="65"/>
      <c r="J3640" s="65"/>
      <c r="K3640" s="65"/>
    </row>
    <row r="3641">
      <c r="I3641" s="65"/>
      <c r="J3641" s="65"/>
      <c r="K3641" s="65"/>
    </row>
    <row r="3642">
      <c r="I3642" s="65"/>
      <c r="J3642" s="65"/>
      <c r="K3642" s="65"/>
    </row>
    <row r="3643">
      <c r="I3643" s="65"/>
      <c r="J3643" s="65"/>
      <c r="K3643" s="65"/>
    </row>
    <row r="3644">
      <c r="I3644" s="65"/>
      <c r="J3644" s="65"/>
      <c r="K3644" s="65"/>
    </row>
    <row r="3645">
      <c r="I3645" s="65"/>
      <c r="J3645" s="65"/>
      <c r="K3645" s="65"/>
    </row>
    <row r="3646">
      <c r="I3646" s="65"/>
      <c r="J3646" s="65"/>
      <c r="K3646" s="65"/>
    </row>
    <row r="3647">
      <c r="I3647" s="65"/>
      <c r="J3647" s="65"/>
      <c r="K3647" s="65"/>
    </row>
    <row r="3648">
      <c r="I3648" s="65"/>
      <c r="J3648" s="65"/>
      <c r="K3648" s="65"/>
    </row>
    <row r="3649">
      <c r="I3649" s="65"/>
      <c r="J3649" s="65"/>
      <c r="K3649" s="65"/>
    </row>
    <row r="3650">
      <c r="I3650" s="65"/>
      <c r="J3650" s="65"/>
      <c r="K3650" s="65"/>
    </row>
    <row r="3651">
      <c r="I3651" s="65"/>
      <c r="J3651" s="65"/>
      <c r="K3651" s="65"/>
    </row>
    <row r="3652">
      <c r="I3652" s="65"/>
      <c r="J3652" s="65"/>
      <c r="K3652" s="65"/>
    </row>
    <row r="3653">
      <c r="I3653" s="65"/>
      <c r="J3653" s="65"/>
      <c r="K3653" s="65"/>
    </row>
    <row r="3654">
      <c r="I3654" s="65"/>
      <c r="J3654" s="65"/>
      <c r="K3654" s="65"/>
    </row>
    <row r="3655">
      <c r="I3655" s="65"/>
      <c r="J3655" s="65"/>
      <c r="K3655" s="65"/>
    </row>
    <row r="3656">
      <c r="I3656" s="65"/>
      <c r="J3656" s="65"/>
      <c r="K3656" s="65"/>
    </row>
    <row r="3657">
      <c r="I3657" s="65"/>
      <c r="J3657" s="65"/>
      <c r="K3657" s="65"/>
    </row>
    <row r="3658">
      <c r="I3658" s="65"/>
      <c r="J3658" s="65"/>
      <c r="K3658" s="65"/>
    </row>
    <row r="3659">
      <c r="I3659" s="65"/>
      <c r="J3659" s="65"/>
      <c r="K3659" s="65"/>
    </row>
    <row r="3660">
      <c r="I3660" s="65"/>
      <c r="J3660" s="65"/>
      <c r="K3660" s="65"/>
    </row>
    <row r="3661">
      <c r="I3661" s="65"/>
      <c r="J3661" s="65"/>
      <c r="K3661" s="65"/>
    </row>
    <row r="3662">
      <c r="I3662" s="65"/>
      <c r="J3662" s="65"/>
      <c r="K3662" s="65"/>
    </row>
    <row r="3663">
      <c r="I3663" s="65"/>
      <c r="J3663" s="65"/>
      <c r="K3663" s="65"/>
    </row>
    <row r="3664">
      <c r="I3664" s="65"/>
      <c r="J3664" s="65"/>
      <c r="K3664" s="65"/>
    </row>
    <row r="3665">
      <c r="I3665" s="65"/>
      <c r="J3665" s="65"/>
      <c r="K3665" s="65"/>
    </row>
    <row r="3666">
      <c r="I3666" s="65"/>
      <c r="J3666" s="65"/>
      <c r="K3666" s="65"/>
    </row>
    <row r="3667">
      <c r="I3667" s="65"/>
      <c r="J3667" s="65"/>
      <c r="K3667" s="65"/>
    </row>
    <row r="3668">
      <c r="I3668" s="65"/>
      <c r="J3668" s="65"/>
      <c r="K3668" s="65"/>
    </row>
    <row r="3669">
      <c r="I3669" s="65"/>
      <c r="J3669" s="65"/>
      <c r="K3669" s="65"/>
    </row>
    <row r="3670">
      <c r="I3670" s="65"/>
      <c r="J3670" s="65"/>
      <c r="K3670" s="65"/>
    </row>
    <row r="3671">
      <c r="I3671" s="65"/>
      <c r="J3671" s="65"/>
      <c r="K3671" s="65"/>
    </row>
    <row r="3672">
      <c r="I3672" s="65"/>
      <c r="J3672" s="65"/>
      <c r="K3672" s="65"/>
    </row>
    <row r="3673">
      <c r="I3673" s="65"/>
      <c r="J3673" s="65"/>
      <c r="K3673" s="65"/>
    </row>
    <row r="3674">
      <c r="I3674" s="65"/>
      <c r="J3674" s="65"/>
      <c r="K3674" s="65"/>
    </row>
    <row r="3675">
      <c r="I3675" s="65"/>
      <c r="J3675" s="65"/>
      <c r="K3675" s="65"/>
    </row>
    <row r="3676">
      <c r="I3676" s="65"/>
      <c r="J3676" s="65"/>
      <c r="K3676" s="65"/>
    </row>
    <row r="3677">
      <c r="I3677" s="65"/>
      <c r="J3677" s="65"/>
      <c r="K3677" s="65"/>
    </row>
    <row r="3678">
      <c r="I3678" s="65"/>
      <c r="J3678" s="65"/>
      <c r="K3678" s="65"/>
    </row>
    <row r="3679">
      <c r="I3679" s="65"/>
      <c r="J3679" s="65"/>
      <c r="K3679" s="65"/>
    </row>
    <row r="3680">
      <c r="I3680" s="65"/>
      <c r="J3680" s="65"/>
      <c r="K3680" s="65"/>
    </row>
    <row r="3681">
      <c r="I3681" s="65"/>
      <c r="J3681" s="65"/>
      <c r="K3681" s="65"/>
    </row>
    <row r="3682">
      <c r="I3682" s="65"/>
      <c r="J3682" s="65"/>
      <c r="K3682" s="65"/>
    </row>
    <row r="3683">
      <c r="I3683" s="65"/>
      <c r="J3683" s="65"/>
      <c r="K3683" s="65"/>
    </row>
    <row r="3684">
      <c r="I3684" s="65"/>
      <c r="J3684" s="65"/>
      <c r="K3684" s="65"/>
    </row>
    <row r="3685">
      <c r="I3685" s="65"/>
      <c r="J3685" s="65"/>
      <c r="K3685" s="65"/>
    </row>
    <row r="3686">
      <c r="I3686" s="65"/>
      <c r="J3686" s="65"/>
      <c r="K3686" s="65"/>
    </row>
    <row r="3687">
      <c r="I3687" s="65"/>
      <c r="J3687" s="65"/>
      <c r="K3687" s="65"/>
    </row>
    <row r="3688">
      <c r="I3688" s="65"/>
      <c r="J3688" s="65"/>
      <c r="K3688" s="65"/>
    </row>
    <row r="3689">
      <c r="I3689" s="65"/>
      <c r="J3689" s="65"/>
      <c r="K3689" s="65"/>
    </row>
    <row r="3690">
      <c r="I3690" s="65"/>
      <c r="J3690" s="65"/>
      <c r="K3690" s="65"/>
    </row>
    <row r="3691">
      <c r="I3691" s="65"/>
      <c r="J3691" s="65"/>
      <c r="K3691" s="65"/>
    </row>
    <row r="3692">
      <c r="I3692" s="65"/>
      <c r="J3692" s="65"/>
      <c r="K3692" s="65"/>
    </row>
    <row r="3693">
      <c r="I3693" s="65"/>
      <c r="J3693" s="65"/>
      <c r="K3693" s="65"/>
    </row>
    <row r="3694">
      <c r="I3694" s="65"/>
      <c r="J3694" s="65"/>
      <c r="K3694" s="65"/>
    </row>
    <row r="3695">
      <c r="I3695" s="65"/>
      <c r="J3695" s="65"/>
      <c r="K3695" s="65"/>
    </row>
    <row r="3696">
      <c r="I3696" s="65"/>
      <c r="J3696" s="65"/>
      <c r="K3696" s="65"/>
    </row>
    <row r="3697">
      <c r="I3697" s="65"/>
      <c r="J3697" s="65"/>
      <c r="K3697" s="65"/>
    </row>
    <row r="3698">
      <c r="I3698" s="65"/>
      <c r="J3698" s="65"/>
      <c r="K3698" s="65"/>
    </row>
    <row r="3699">
      <c r="I3699" s="65"/>
      <c r="J3699" s="65"/>
      <c r="K3699" s="65"/>
    </row>
    <row r="3700">
      <c r="I3700" s="65"/>
      <c r="J3700" s="65"/>
      <c r="K3700" s="65"/>
    </row>
    <row r="3701">
      <c r="I3701" s="65"/>
      <c r="J3701" s="65"/>
      <c r="K3701" s="65"/>
    </row>
    <row r="3702">
      <c r="I3702" s="65"/>
      <c r="J3702" s="65"/>
      <c r="K3702" s="65"/>
    </row>
    <row r="3703">
      <c r="I3703" s="65"/>
      <c r="J3703" s="65"/>
      <c r="K3703" s="65"/>
    </row>
    <row r="3704">
      <c r="I3704" s="65"/>
      <c r="J3704" s="65"/>
      <c r="K3704" s="65"/>
    </row>
    <row r="3705">
      <c r="I3705" s="65"/>
      <c r="J3705" s="65"/>
      <c r="K3705" s="65"/>
    </row>
    <row r="3706">
      <c r="I3706" s="65"/>
      <c r="J3706" s="65"/>
      <c r="K3706" s="65"/>
    </row>
    <row r="3707">
      <c r="I3707" s="65"/>
      <c r="J3707" s="65"/>
      <c r="K3707" s="65"/>
    </row>
    <row r="3708">
      <c r="I3708" s="65"/>
      <c r="J3708" s="65"/>
      <c r="K3708" s="65"/>
    </row>
    <row r="3709">
      <c r="I3709" s="65"/>
      <c r="J3709" s="65"/>
      <c r="K3709" s="65"/>
    </row>
    <row r="3710">
      <c r="I3710" s="65"/>
      <c r="J3710" s="65"/>
      <c r="K3710" s="65"/>
    </row>
    <row r="3711">
      <c r="I3711" s="65"/>
      <c r="J3711" s="65"/>
      <c r="K3711" s="65"/>
    </row>
    <row r="3712">
      <c r="I3712" s="65"/>
      <c r="J3712" s="65"/>
      <c r="K3712" s="65"/>
    </row>
    <row r="3713">
      <c r="I3713" s="65"/>
      <c r="J3713" s="65"/>
      <c r="K3713" s="65"/>
    </row>
    <row r="3714">
      <c r="I3714" s="65"/>
      <c r="J3714" s="65"/>
      <c r="K3714" s="65"/>
    </row>
    <row r="3715">
      <c r="I3715" s="65"/>
      <c r="J3715" s="65"/>
      <c r="K3715" s="65"/>
    </row>
    <row r="3716">
      <c r="I3716" s="65"/>
      <c r="J3716" s="65"/>
      <c r="K3716" s="65"/>
    </row>
    <row r="3717">
      <c r="I3717" s="65"/>
      <c r="J3717" s="65"/>
      <c r="K3717" s="65"/>
    </row>
    <row r="3718">
      <c r="I3718" s="65"/>
      <c r="J3718" s="65"/>
      <c r="K3718" s="65"/>
    </row>
    <row r="3719">
      <c r="I3719" s="65"/>
      <c r="J3719" s="65"/>
      <c r="K3719" s="65"/>
    </row>
    <row r="3720">
      <c r="I3720" s="65"/>
      <c r="J3720" s="65"/>
      <c r="K3720" s="65"/>
    </row>
    <row r="3721">
      <c r="I3721" s="65"/>
      <c r="J3721" s="65"/>
      <c r="K3721" s="65"/>
    </row>
    <row r="3722">
      <c r="I3722" s="65"/>
      <c r="J3722" s="65"/>
      <c r="K3722" s="65"/>
    </row>
    <row r="3723">
      <c r="I3723" s="65"/>
      <c r="J3723" s="65"/>
      <c r="K3723" s="65"/>
    </row>
    <row r="3724">
      <c r="I3724" s="65"/>
      <c r="J3724" s="65"/>
      <c r="K3724" s="65"/>
    </row>
    <row r="3725">
      <c r="I3725" s="65"/>
      <c r="J3725" s="65"/>
      <c r="K3725" s="65"/>
    </row>
    <row r="3726">
      <c r="I3726" s="65"/>
      <c r="J3726" s="65"/>
      <c r="K3726" s="65"/>
    </row>
    <row r="3727">
      <c r="I3727" s="65"/>
      <c r="J3727" s="65"/>
      <c r="K3727" s="65"/>
    </row>
    <row r="3728">
      <c r="I3728" s="65"/>
      <c r="J3728" s="65"/>
      <c r="K3728" s="65"/>
    </row>
    <row r="3729">
      <c r="I3729" s="65"/>
      <c r="J3729" s="65"/>
      <c r="K3729" s="65"/>
    </row>
    <row r="3730">
      <c r="I3730" s="65"/>
      <c r="J3730" s="65"/>
      <c r="K3730" s="65"/>
    </row>
    <row r="3731">
      <c r="I3731" s="65"/>
      <c r="J3731" s="65"/>
      <c r="K3731" s="65"/>
    </row>
    <row r="3732">
      <c r="I3732" s="65"/>
      <c r="J3732" s="65"/>
      <c r="K3732" s="65"/>
    </row>
    <row r="3733">
      <c r="I3733" s="65"/>
      <c r="J3733" s="65"/>
      <c r="K3733" s="65"/>
    </row>
    <row r="3734">
      <c r="I3734" s="65"/>
      <c r="J3734" s="65"/>
      <c r="K3734" s="65"/>
    </row>
    <row r="3735">
      <c r="I3735" s="65"/>
      <c r="J3735" s="65"/>
      <c r="K3735" s="65"/>
    </row>
    <row r="3736">
      <c r="I3736" s="65"/>
      <c r="J3736" s="65"/>
      <c r="K3736" s="65"/>
    </row>
    <row r="3737">
      <c r="I3737" s="65"/>
      <c r="J3737" s="65"/>
      <c r="K3737" s="65"/>
    </row>
    <row r="3738">
      <c r="I3738" s="65"/>
      <c r="J3738" s="65"/>
      <c r="K3738" s="65"/>
    </row>
    <row r="3739">
      <c r="I3739" s="65"/>
      <c r="J3739" s="65"/>
      <c r="K3739" s="65"/>
    </row>
    <row r="3740">
      <c r="I3740" s="65"/>
      <c r="J3740" s="65"/>
      <c r="K3740" s="65"/>
    </row>
    <row r="3741">
      <c r="I3741" s="65"/>
      <c r="J3741" s="65"/>
      <c r="K3741" s="65"/>
    </row>
    <row r="3742">
      <c r="I3742" s="65"/>
      <c r="J3742" s="65"/>
      <c r="K3742" s="65"/>
    </row>
    <row r="3743">
      <c r="I3743" s="65"/>
      <c r="J3743" s="65"/>
      <c r="K3743" s="65"/>
    </row>
    <row r="3744">
      <c r="I3744" s="65"/>
      <c r="J3744" s="65"/>
      <c r="K3744" s="65"/>
    </row>
    <row r="3745">
      <c r="I3745" s="65"/>
      <c r="J3745" s="65"/>
      <c r="K3745" s="65"/>
    </row>
    <row r="3746">
      <c r="I3746" s="65"/>
      <c r="J3746" s="65"/>
      <c r="K3746" s="65"/>
    </row>
    <row r="3747">
      <c r="I3747" s="65"/>
      <c r="J3747" s="65"/>
      <c r="K3747" s="65"/>
    </row>
    <row r="3748">
      <c r="I3748" s="65"/>
      <c r="J3748" s="65"/>
      <c r="K3748" s="65"/>
    </row>
    <row r="3749">
      <c r="I3749" s="65"/>
      <c r="J3749" s="65"/>
      <c r="K3749" s="65"/>
    </row>
    <row r="3750">
      <c r="I3750" s="65"/>
      <c r="J3750" s="65"/>
      <c r="K3750" s="65"/>
    </row>
    <row r="3751">
      <c r="I3751" s="65"/>
      <c r="J3751" s="65"/>
      <c r="K3751" s="65"/>
    </row>
    <row r="3752">
      <c r="I3752" s="65"/>
      <c r="J3752" s="65"/>
      <c r="K3752" s="65"/>
    </row>
    <row r="3753">
      <c r="I3753" s="65"/>
      <c r="J3753" s="65"/>
      <c r="K3753" s="65"/>
    </row>
    <row r="3754">
      <c r="I3754" s="65"/>
      <c r="J3754" s="65"/>
      <c r="K3754" s="65"/>
    </row>
    <row r="3755">
      <c r="I3755" s="65"/>
      <c r="J3755" s="65"/>
      <c r="K3755" s="65"/>
    </row>
    <row r="3756">
      <c r="I3756" s="65"/>
      <c r="J3756" s="65"/>
      <c r="K3756" s="65"/>
    </row>
    <row r="3757">
      <c r="I3757" s="65"/>
      <c r="J3757" s="65"/>
      <c r="K3757" s="65"/>
    </row>
  </sheetData>
  <autoFilter ref="$B$25:$L$2861">
    <sortState ref="B25:L2861">
      <sortCondition descending="1" ref="G25:G2861"/>
      <sortCondition ref="F25:F2861"/>
    </sortState>
  </autoFilter>
  <mergeCells count="1">
    <mergeCell ref="C2:D2"/>
  </mergeCells>
  <hyperlinks>
    <hyperlink r:id="rId2" ref="J26"/>
    <hyperlink r:id="rId3" ref="J27"/>
    <hyperlink r:id="rId4" ref="J28"/>
    <hyperlink r:id="rId5" ref="J29"/>
    <hyperlink r:id="rId6" ref="J30"/>
    <hyperlink r:id="rId7" ref="J31"/>
    <hyperlink r:id="rId8" ref="J32"/>
    <hyperlink r:id="rId9" ref="J33"/>
    <hyperlink r:id="rId10" ref="J34"/>
    <hyperlink r:id="rId11" ref="J35"/>
    <hyperlink r:id="rId12" ref="K35"/>
    <hyperlink r:id="rId13" ref="J36"/>
    <hyperlink r:id="rId14" ref="J37"/>
    <hyperlink r:id="rId15" ref="J38"/>
    <hyperlink r:id="rId16" ref="J39"/>
    <hyperlink r:id="rId17" ref="J40"/>
    <hyperlink r:id="rId18" ref="K40"/>
    <hyperlink r:id="rId19" ref="J41"/>
    <hyperlink r:id="rId20" ref="K41"/>
    <hyperlink r:id="rId21" ref="J42"/>
    <hyperlink r:id="rId22" ref="K42"/>
    <hyperlink r:id="rId23" ref="J43"/>
    <hyperlink r:id="rId24" ref="K43"/>
    <hyperlink r:id="rId25" ref="L43"/>
    <hyperlink r:id="rId26" ref="J44"/>
    <hyperlink r:id="rId27" ref="K44"/>
    <hyperlink r:id="rId28" ref="J45"/>
    <hyperlink r:id="rId29" ref="K45"/>
    <hyperlink r:id="rId30" ref="J46"/>
    <hyperlink r:id="rId31" ref="K46"/>
    <hyperlink r:id="rId32" ref="J47"/>
    <hyperlink r:id="rId33" ref="K47"/>
    <hyperlink r:id="rId34" ref="J48"/>
    <hyperlink r:id="rId35" ref="K48"/>
    <hyperlink r:id="rId36" ref="J49"/>
    <hyperlink r:id="rId37" ref="K49"/>
    <hyperlink r:id="rId38" ref="J50"/>
    <hyperlink r:id="rId39" ref="K50"/>
    <hyperlink r:id="rId40" ref="J51"/>
    <hyperlink r:id="rId41" ref="K51"/>
    <hyperlink r:id="rId42" ref="J52"/>
    <hyperlink r:id="rId43" ref="K52"/>
    <hyperlink r:id="rId44" ref="J53"/>
    <hyperlink r:id="rId45" ref="K53"/>
    <hyperlink r:id="rId46" ref="J54"/>
    <hyperlink r:id="rId47" ref="K54"/>
    <hyperlink r:id="rId48" ref="J55"/>
    <hyperlink r:id="rId49" ref="K55"/>
    <hyperlink r:id="rId50" ref="J56"/>
    <hyperlink r:id="rId51" ref="K56"/>
    <hyperlink r:id="rId52" ref="J57"/>
    <hyperlink r:id="rId53" ref="J58"/>
    <hyperlink r:id="rId54" ref="K58"/>
    <hyperlink r:id="rId55" ref="J59"/>
    <hyperlink r:id="rId56" ref="J60"/>
    <hyperlink r:id="rId57" ref="K60"/>
    <hyperlink r:id="rId58" ref="J61"/>
    <hyperlink r:id="rId59" ref="J62"/>
    <hyperlink r:id="rId60" ref="K62"/>
    <hyperlink r:id="rId61" ref="J63"/>
    <hyperlink r:id="rId62" ref="J64"/>
    <hyperlink r:id="rId63" ref="J65"/>
    <hyperlink r:id="rId64" ref="J66"/>
    <hyperlink r:id="rId65" ref="J67"/>
    <hyperlink r:id="rId66" ref="J68"/>
    <hyperlink r:id="rId67" ref="K68"/>
    <hyperlink r:id="rId68" ref="J69"/>
    <hyperlink r:id="rId69" ref="J70"/>
    <hyperlink r:id="rId70" ref="J71"/>
    <hyperlink r:id="rId71" ref="J72"/>
    <hyperlink r:id="rId72" ref="J73"/>
    <hyperlink r:id="rId73" ref="J74"/>
    <hyperlink r:id="rId74" ref="J75"/>
    <hyperlink r:id="rId75" ref="J76"/>
    <hyperlink r:id="rId76" ref="J77"/>
    <hyperlink r:id="rId77" ref="K77"/>
    <hyperlink r:id="rId78" ref="J78"/>
    <hyperlink r:id="rId79" ref="J79"/>
    <hyperlink r:id="rId80" ref="J80"/>
    <hyperlink r:id="rId81" ref="J81"/>
    <hyperlink r:id="rId82" ref="J82"/>
    <hyperlink r:id="rId83" ref="K82"/>
    <hyperlink r:id="rId84" ref="J83"/>
    <hyperlink r:id="rId85" ref="K83"/>
    <hyperlink r:id="rId86" ref="J84"/>
    <hyperlink r:id="rId87" ref="J85"/>
    <hyperlink r:id="rId88" ref="J86"/>
    <hyperlink r:id="rId89" ref="J87"/>
    <hyperlink r:id="rId90" ref="J88"/>
    <hyperlink r:id="rId91" ref="K88"/>
    <hyperlink r:id="rId92" ref="J89"/>
    <hyperlink r:id="rId93" ref="J90"/>
    <hyperlink r:id="rId94" ref="J91"/>
    <hyperlink r:id="rId95" ref="K91"/>
    <hyperlink r:id="rId96" ref="J92"/>
    <hyperlink r:id="rId97" ref="K92"/>
    <hyperlink r:id="rId98" ref="J93"/>
    <hyperlink r:id="rId99" ref="J94"/>
    <hyperlink r:id="rId100" ref="J95"/>
    <hyperlink r:id="rId101" ref="J96"/>
    <hyperlink r:id="rId102" ref="K96"/>
    <hyperlink r:id="rId103" ref="J97"/>
    <hyperlink r:id="rId104" ref="J98"/>
    <hyperlink r:id="rId105" ref="J99"/>
    <hyperlink r:id="rId106" ref="J100"/>
    <hyperlink r:id="rId107" ref="J101"/>
    <hyperlink r:id="rId108" ref="J102"/>
    <hyperlink r:id="rId109" ref="K102"/>
    <hyperlink r:id="rId110" ref="J103"/>
    <hyperlink r:id="rId111" ref="J104"/>
    <hyperlink r:id="rId112" ref="J105"/>
    <hyperlink r:id="rId113" ref="J106"/>
    <hyperlink r:id="rId114" ref="J107"/>
    <hyperlink r:id="rId115" ref="J108"/>
    <hyperlink r:id="rId116" ref="J109"/>
    <hyperlink r:id="rId117" ref="J110"/>
    <hyperlink r:id="rId118" ref="J111"/>
    <hyperlink r:id="rId119" ref="J112"/>
    <hyperlink r:id="rId120" ref="J113"/>
    <hyperlink r:id="rId121" ref="J114"/>
    <hyperlink r:id="rId122" ref="J115"/>
    <hyperlink r:id="rId123" ref="J116"/>
    <hyperlink r:id="rId124" ref="J117"/>
    <hyperlink r:id="rId125" ref="J118"/>
    <hyperlink r:id="rId126" ref="J119"/>
    <hyperlink r:id="rId127" ref="J120"/>
    <hyperlink r:id="rId128" ref="J121"/>
    <hyperlink r:id="rId129" ref="J122"/>
    <hyperlink r:id="rId130" ref="J123"/>
    <hyperlink r:id="rId131" ref="K123"/>
    <hyperlink r:id="rId132" ref="J124"/>
    <hyperlink r:id="rId133" ref="J125"/>
    <hyperlink r:id="rId134" ref="J126"/>
    <hyperlink r:id="rId135" ref="J127"/>
    <hyperlink r:id="rId136" ref="K127"/>
    <hyperlink r:id="rId137" ref="J128"/>
    <hyperlink r:id="rId138" ref="J129"/>
    <hyperlink r:id="rId139" ref="J130"/>
    <hyperlink r:id="rId140" ref="K130"/>
    <hyperlink r:id="rId141" ref="J131"/>
    <hyperlink r:id="rId142" ref="J132"/>
    <hyperlink r:id="rId143" ref="J133"/>
    <hyperlink r:id="rId144" ref="J134"/>
    <hyperlink r:id="rId145" ref="J135"/>
    <hyperlink r:id="rId146" ref="J136"/>
    <hyperlink r:id="rId147" ref="J137"/>
    <hyperlink r:id="rId148" ref="K137"/>
    <hyperlink r:id="rId149" ref="L137"/>
    <hyperlink r:id="rId150" ref="J138"/>
    <hyperlink r:id="rId151" ref="K138"/>
    <hyperlink r:id="rId152" ref="J139"/>
    <hyperlink r:id="rId153" ref="J140"/>
    <hyperlink r:id="rId154" ref="J141"/>
    <hyperlink r:id="rId155" ref="J142"/>
    <hyperlink r:id="rId156" ref="J143"/>
    <hyperlink r:id="rId157" ref="J144"/>
    <hyperlink r:id="rId158" ref="J145"/>
    <hyperlink r:id="rId159" ref="J146"/>
    <hyperlink r:id="rId160" ref="J147"/>
    <hyperlink r:id="rId161" ref="J148"/>
    <hyperlink r:id="rId162" ref="J149"/>
    <hyperlink r:id="rId163" ref="J150"/>
    <hyperlink r:id="rId164" ref="J151"/>
    <hyperlink r:id="rId165" ref="J152"/>
    <hyperlink r:id="rId166" ref="J153"/>
    <hyperlink r:id="rId167" ref="J154"/>
    <hyperlink r:id="rId168" ref="J155"/>
    <hyperlink r:id="rId169" ref="J156"/>
    <hyperlink r:id="rId170" ref="J157"/>
    <hyperlink r:id="rId171" ref="J158"/>
    <hyperlink r:id="rId172" ref="J159"/>
    <hyperlink r:id="rId173" ref="J160"/>
    <hyperlink r:id="rId174" ref="J161"/>
    <hyperlink r:id="rId175" ref="J162"/>
    <hyperlink r:id="rId176" ref="J163"/>
    <hyperlink r:id="rId177" ref="J164"/>
    <hyperlink r:id="rId178" ref="J165"/>
    <hyperlink r:id="rId179" ref="J166"/>
    <hyperlink r:id="rId180" ref="J167"/>
    <hyperlink r:id="rId181" ref="J168"/>
    <hyperlink r:id="rId182" ref="J169"/>
    <hyperlink r:id="rId183" ref="J170"/>
    <hyperlink r:id="rId184" ref="J171"/>
    <hyperlink r:id="rId185" ref="J172"/>
    <hyperlink r:id="rId186" ref="J173"/>
    <hyperlink r:id="rId187" ref="J174"/>
    <hyperlink r:id="rId188" ref="J175"/>
    <hyperlink r:id="rId189" ref="J176"/>
    <hyperlink r:id="rId190" ref="J177"/>
    <hyperlink r:id="rId191" ref="J178"/>
    <hyperlink r:id="rId192" ref="J179"/>
    <hyperlink r:id="rId193" ref="J180"/>
    <hyperlink r:id="rId194" ref="K180"/>
    <hyperlink r:id="rId195" ref="L180"/>
    <hyperlink r:id="rId196" ref="J181"/>
    <hyperlink r:id="rId197" ref="J182"/>
    <hyperlink r:id="rId198" ref="J183"/>
    <hyperlink r:id="rId199" ref="J184"/>
    <hyperlink r:id="rId200" ref="J185"/>
    <hyperlink r:id="rId201" ref="K185"/>
    <hyperlink r:id="rId202" ref="J186"/>
    <hyperlink r:id="rId203" ref="J187"/>
    <hyperlink r:id="rId204" ref="J188"/>
    <hyperlink r:id="rId205" ref="J189"/>
    <hyperlink r:id="rId206" ref="K189"/>
    <hyperlink r:id="rId207" ref="J190"/>
    <hyperlink r:id="rId208" ref="K190"/>
    <hyperlink r:id="rId209" ref="J191"/>
    <hyperlink r:id="rId210" ref="K191"/>
    <hyperlink r:id="rId211" ref="J192"/>
    <hyperlink r:id="rId212" ref="J193"/>
    <hyperlink r:id="rId213" ref="J194"/>
    <hyperlink r:id="rId214" ref="J195"/>
    <hyperlink r:id="rId215" ref="J196"/>
    <hyperlink r:id="rId216" ref="J197"/>
    <hyperlink r:id="rId217" ref="J198"/>
    <hyperlink r:id="rId218" ref="J199"/>
    <hyperlink r:id="rId219" ref="J200"/>
    <hyperlink r:id="rId220" ref="J201"/>
    <hyperlink r:id="rId221" ref="J202"/>
    <hyperlink r:id="rId222" ref="J203"/>
    <hyperlink r:id="rId223" ref="J204"/>
    <hyperlink r:id="rId224" ref="J205"/>
    <hyperlink r:id="rId225" ref="K205"/>
    <hyperlink r:id="rId226" ref="J206"/>
    <hyperlink r:id="rId227" ref="J207"/>
    <hyperlink r:id="rId228" ref="J208"/>
    <hyperlink r:id="rId229" ref="J209"/>
    <hyperlink r:id="rId230" ref="K209"/>
    <hyperlink r:id="rId231" ref="J210"/>
    <hyperlink r:id="rId232" ref="J211"/>
    <hyperlink r:id="rId233" ref="J212"/>
    <hyperlink r:id="rId234" ref="K212"/>
    <hyperlink r:id="rId235" ref="J213"/>
    <hyperlink r:id="rId236" ref="K213"/>
    <hyperlink r:id="rId237" ref="J214"/>
    <hyperlink r:id="rId238" ref="K214"/>
    <hyperlink r:id="rId239" ref="J215"/>
    <hyperlink r:id="rId240" ref="K215"/>
    <hyperlink r:id="rId241" ref="J216"/>
    <hyperlink r:id="rId242" ref="K216"/>
    <hyperlink r:id="rId243" ref="J217"/>
    <hyperlink r:id="rId244" ref="K217"/>
    <hyperlink r:id="rId245" ref="J218"/>
    <hyperlink r:id="rId246" ref="K218"/>
    <hyperlink r:id="rId247" ref="J219"/>
    <hyperlink r:id="rId248" ref="J220"/>
    <hyperlink r:id="rId249" ref="J221"/>
    <hyperlink r:id="rId250" ref="J222"/>
    <hyperlink r:id="rId251" ref="J223"/>
    <hyperlink r:id="rId252" ref="K223"/>
    <hyperlink r:id="rId253" ref="J224"/>
    <hyperlink r:id="rId254" ref="K224"/>
    <hyperlink r:id="rId255" ref="J225"/>
    <hyperlink r:id="rId256" ref="K225"/>
    <hyperlink r:id="rId257" ref="J226"/>
    <hyperlink r:id="rId258" ref="J227"/>
    <hyperlink r:id="rId259" ref="K227"/>
    <hyperlink r:id="rId260" ref="J228"/>
    <hyperlink r:id="rId261" ref="J229"/>
    <hyperlink r:id="rId262" ref="K229"/>
    <hyperlink r:id="rId263" ref="J230"/>
    <hyperlink r:id="rId264" ref="K230"/>
    <hyperlink r:id="rId265" ref="J231"/>
    <hyperlink r:id="rId266" ref="J232"/>
    <hyperlink r:id="rId267" ref="K232"/>
    <hyperlink r:id="rId268" ref="J233"/>
    <hyperlink r:id="rId269" ref="K233"/>
    <hyperlink r:id="rId270" ref="J234"/>
    <hyperlink r:id="rId271" ref="J235"/>
    <hyperlink r:id="rId272" ref="K235"/>
    <hyperlink r:id="rId273" ref="J236"/>
    <hyperlink r:id="rId274" ref="K236"/>
    <hyperlink r:id="rId275" ref="J237"/>
    <hyperlink r:id="rId276" ref="K237"/>
    <hyperlink r:id="rId277" ref="J238"/>
    <hyperlink r:id="rId278" ref="K238"/>
    <hyperlink r:id="rId279" ref="J239"/>
    <hyperlink r:id="rId280" ref="J240"/>
    <hyperlink r:id="rId281" ref="K240"/>
    <hyperlink r:id="rId282" ref="J241"/>
    <hyperlink r:id="rId283" ref="J242"/>
    <hyperlink r:id="rId284" ref="J243"/>
    <hyperlink r:id="rId285" ref="K243"/>
    <hyperlink r:id="rId286" ref="J244"/>
    <hyperlink r:id="rId287" ref="K244"/>
    <hyperlink r:id="rId288" ref="J245"/>
    <hyperlink r:id="rId289" ref="J246"/>
    <hyperlink r:id="rId290" ref="K246"/>
    <hyperlink r:id="rId291" ref="J247"/>
    <hyperlink r:id="rId292" ref="J248"/>
    <hyperlink r:id="rId293" ref="K248"/>
    <hyperlink r:id="rId294" ref="J249"/>
    <hyperlink r:id="rId295" ref="K249"/>
    <hyperlink r:id="rId296" ref="J250"/>
    <hyperlink r:id="rId297" ref="K250"/>
    <hyperlink r:id="rId298" ref="J251"/>
    <hyperlink r:id="rId299" ref="J252"/>
    <hyperlink r:id="rId300" ref="J253"/>
    <hyperlink r:id="rId301" ref="J254"/>
    <hyperlink r:id="rId302" ref="J255"/>
    <hyperlink r:id="rId303" ref="J256"/>
    <hyperlink r:id="rId304" ref="J257"/>
    <hyperlink r:id="rId305" ref="J258"/>
    <hyperlink r:id="rId306" ref="J259"/>
    <hyperlink r:id="rId307" ref="J260"/>
    <hyperlink r:id="rId308" ref="J261"/>
    <hyperlink r:id="rId309" ref="J262"/>
    <hyperlink r:id="rId310" ref="J263"/>
    <hyperlink r:id="rId311" ref="J264"/>
    <hyperlink r:id="rId312" ref="K264"/>
    <hyperlink r:id="rId313" ref="J265"/>
    <hyperlink r:id="rId314" ref="J266"/>
    <hyperlink r:id="rId315" ref="K266"/>
    <hyperlink r:id="rId316" ref="J267"/>
    <hyperlink r:id="rId317" ref="J268"/>
    <hyperlink r:id="rId318" ref="J269"/>
    <hyperlink r:id="rId319" ref="J270"/>
    <hyperlink r:id="rId320" ref="J271"/>
    <hyperlink r:id="rId321" ref="J272"/>
    <hyperlink r:id="rId322" ref="J273"/>
    <hyperlink r:id="rId323" ref="J274"/>
    <hyperlink r:id="rId324" ref="J275"/>
    <hyperlink r:id="rId325" ref="J276"/>
    <hyperlink r:id="rId326" ref="J277"/>
    <hyperlink r:id="rId327" ref="J278"/>
    <hyperlink r:id="rId328" ref="J279"/>
    <hyperlink r:id="rId329" ref="J280"/>
    <hyperlink r:id="rId330" ref="J281"/>
    <hyperlink r:id="rId331" ref="J282"/>
    <hyperlink r:id="rId332" ref="J283"/>
    <hyperlink r:id="rId333" ref="J284"/>
    <hyperlink r:id="rId334" ref="J285"/>
    <hyperlink r:id="rId335" ref="J286"/>
    <hyperlink r:id="rId336" ref="J287"/>
    <hyperlink r:id="rId337" ref="J288"/>
    <hyperlink r:id="rId338" ref="J289"/>
    <hyperlink r:id="rId339" ref="J290"/>
    <hyperlink r:id="rId340" ref="J291"/>
    <hyperlink r:id="rId341" ref="J292"/>
    <hyperlink r:id="rId342" ref="J293"/>
    <hyperlink r:id="rId343" ref="K293"/>
    <hyperlink r:id="rId344" ref="J294"/>
    <hyperlink r:id="rId345" ref="J295"/>
    <hyperlink r:id="rId346" ref="J296"/>
    <hyperlink r:id="rId347" ref="K296"/>
    <hyperlink r:id="rId348" ref="J297"/>
    <hyperlink r:id="rId349" ref="J298"/>
    <hyperlink r:id="rId350" ref="J299"/>
    <hyperlink r:id="rId351" ref="J300"/>
    <hyperlink r:id="rId352" ref="J301"/>
    <hyperlink r:id="rId353" ref="K301"/>
    <hyperlink r:id="rId354" ref="J302"/>
    <hyperlink r:id="rId355" ref="J303"/>
    <hyperlink r:id="rId356" ref="K303"/>
    <hyperlink r:id="rId357" ref="J304"/>
    <hyperlink r:id="rId358" ref="J305"/>
    <hyperlink r:id="rId359" ref="J306"/>
    <hyperlink r:id="rId360" ref="J307"/>
    <hyperlink r:id="rId361" ref="J308"/>
    <hyperlink r:id="rId362" ref="J309"/>
    <hyperlink r:id="rId363" ref="J310"/>
    <hyperlink r:id="rId364" ref="J311"/>
    <hyperlink r:id="rId365" ref="J312"/>
    <hyperlink r:id="rId366" ref="K312"/>
    <hyperlink r:id="rId367" ref="J313"/>
    <hyperlink r:id="rId368" ref="K313"/>
    <hyperlink r:id="rId369" ref="J314"/>
    <hyperlink r:id="rId370" ref="K314"/>
    <hyperlink r:id="rId371" ref="L314"/>
    <hyperlink r:id="rId372" ref="J315"/>
    <hyperlink r:id="rId373" ref="K315"/>
    <hyperlink r:id="rId374" ref="L315"/>
    <hyperlink r:id="rId375" ref="J316"/>
    <hyperlink r:id="rId376" ref="K316"/>
    <hyperlink r:id="rId377" ref="J317"/>
    <hyperlink r:id="rId378" ref="J318"/>
    <hyperlink r:id="rId379" ref="J319"/>
    <hyperlink r:id="rId380" ref="J320"/>
    <hyperlink r:id="rId381" ref="J321"/>
    <hyperlink r:id="rId382" ref="J322"/>
    <hyperlink r:id="rId383" ref="J323"/>
    <hyperlink r:id="rId384" ref="J324"/>
    <hyperlink r:id="rId385" ref="K324"/>
    <hyperlink r:id="rId386" ref="J325"/>
    <hyperlink r:id="rId387" ref="K325"/>
    <hyperlink r:id="rId388" ref="J326"/>
    <hyperlink r:id="rId389" ref="J327"/>
    <hyperlink r:id="rId390" ref="J328"/>
    <hyperlink r:id="rId391" ref="J329"/>
    <hyperlink r:id="rId392" ref="J330"/>
    <hyperlink r:id="rId393" ref="J331"/>
    <hyperlink r:id="rId394" ref="K331"/>
    <hyperlink r:id="rId395" ref="J332"/>
    <hyperlink r:id="rId396" ref="J333"/>
    <hyperlink r:id="rId397" ref="J334"/>
    <hyperlink r:id="rId398" ref="J335"/>
    <hyperlink r:id="rId399" ref="J336"/>
    <hyperlink r:id="rId400" ref="J337"/>
    <hyperlink r:id="rId401" ref="J338"/>
    <hyperlink r:id="rId402" ref="J339"/>
    <hyperlink r:id="rId403" ref="J340"/>
    <hyperlink r:id="rId404" ref="J341"/>
    <hyperlink r:id="rId405" ref="J342"/>
    <hyperlink r:id="rId406" ref="J343"/>
    <hyperlink r:id="rId407" ref="J344"/>
    <hyperlink r:id="rId408" ref="J345"/>
    <hyperlink r:id="rId409" ref="J346"/>
    <hyperlink r:id="rId410" ref="J347"/>
    <hyperlink r:id="rId411" ref="J348"/>
    <hyperlink r:id="rId412" ref="J349"/>
    <hyperlink r:id="rId413" ref="J350"/>
    <hyperlink r:id="rId414" ref="J351"/>
    <hyperlink r:id="rId415" ref="J352"/>
    <hyperlink r:id="rId416" ref="J353"/>
    <hyperlink r:id="rId417" ref="J354"/>
    <hyperlink r:id="rId418" ref="J355"/>
    <hyperlink r:id="rId419" ref="J356"/>
    <hyperlink r:id="rId420" ref="J357"/>
    <hyperlink r:id="rId421" ref="J358"/>
    <hyperlink r:id="rId422" ref="J359"/>
    <hyperlink r:id="rId423" ref="J360"/>
    <hyperlink r:id="rId424" ref="J361"/>
    <hyperlink r:id="rId425" ref="J362"/>
    <hyperlink r:id="rId426" ref="J363"/>
    <hyperlink r:id="rId427" ref="J364"/>
    <hyperlink r:id="rId428" ref="J365"/>
    <hyperlink r:id="rId429" ref="J366"/>
    <hyperlink r:id="rId430" ref="J367"/>
    <hyperlink r:id="rId431" ref="J368"/>
    <hyperlink r:id="rId432" ref="J369"/>
    <hyperlink r:id="rId433" ref="J370"/>
    <hyperlink r:id="rId434" ref="J371"/>
    <hyperlink r:id="rId435" ref="J372"/>
    <hyperlink r:id="rId436" ref="J373"/>
    <hyperlink r:id="rId437" ref="J374"/>
    <hyperlink r:id="rId438" ref="J375"/>
    <hyperlink r:id="rId439" ref="J376"/>
    <hyperlink r:id="rId440" ref="J377"/>
    <hyperlink r:id="rId441" ref="J378"/>
    <hyperlink r:id="rId442" ref="J379"/>
    <hyperlink r:id="rId443" ref="J380"/>
    <hyperlink r:id="rId444" ref="J381"/>
    <hyperlink r:id="rId445" ref="J382"/>
    <hyperlink r:id="rId446" ref="J383"/>
    <hyperlink r:id="rId447" ref="J384"/>
    <hyperlink r:id="rId448" ref="K384"/>
    <hyperlink r:id="rId449" ref="J385"/>
    <hyperlink r:id="rId450" ref="J386"/>
    <hyperlink r:id="rId451" ref="J387"/>
    <hyperlink r:id="rId452" ref="J388"/>
    <hyperlink r:id="rId453" ref="J389"/>
    <hyperlink r:id="rId454" ref="J391"/>
    <hyperlink r:id="rId455" ref="J392"/>
    <hyperlink r:id="rId456" ref="K392"/>
    <hyperlink r:id="rId457" ref="J393"/>
    <hyperlink r:id="rId458" ref="J394"/>
    <hyperlink r:id="rId459" ref="K394"/>
    <hyperlink r:id="rId460" ref="J395"/>
    <hyperlink r:id="rId461" ref="J396"/>
    <hyperlink r:id="rId462" ref="J397"/>
    <hyperlink r:id="rId463" ref="J398"/>
    <hyperlink r:id="rId464" ref="K398"/>
    <hyperlink r:id="rId465" ref="J399"/>
    <hyperlink r:id="rId466" ref="J400"/>
    <hyperlink r:id="rId467" ref="J401"/>
    <hyperlink r:id="rId468" ref="J402"/>
    <hyperlink r:id="rId469" ref="J403"/>
    <hyperlink r:id="rId470" ref="J404"/>
    <hyperlink r:id="rId471" ref="J405"/>
    <hyperlink r:id="rId472" ref="J406"/>
    <hyperlink r:id="rId473" ref="J407"/>
    <hyperlink r:id="rId474" ref="J408"/>
    <hyperlink r:id="rId475" ref="J409"/>
    <hyperlink r:id="rId476" ref="J410"/>
    <hyperlink r:id="rId477" ref="J411"/>
    <hyperlink r:id="rId478" ref="J412"/>
    <hyperlink r:id="rId479" ref="J413"/>
    <hyperlink r:id="rId480" ref="J414"/>
    <hyperlink r:id="rId481" ref="J415"/>
    <hyperlink r:id="rId482" ref="J416"/>
    <hyperlink r:id="rId483" ref="J417"/>
    <hyperlink r:id="rId484" ref="J418"/>
    <hyperlink r:id="rId485" ref="J419"/>
    <hyperlink r:id="rId486" ref="J423"/>
    <hyperlink r:id="rId487" ref="J424"/>
    <hyperlink r:id="rId488" ref="J425"/>
    <hyperlink r:id="rId489" ref="J426"/>
    <hyperlink r:id="rId490" ref="J427"/>
    <hyperlink r:id="rId491" ref="J428"/>
    <hyperlink r:id="rId492" ref="J429"/>
    <hyperlink r:id="rId493" ref="J430"/>
    <hyperlink r:id="rId494" ref="J431"/>
    <hyperlink r:id="rId495" ref="J432"/>
    <hyperlink r:id="rId496" ref="J433"/>
    <hyperlink r:id="rId497" ref="J434"/>
    <hyperlink r:id="rId498" ref="J435"/>
    <hyperlink r:id="rId499" ref="J437"/>
    <hyperlink r:id="rId500" ref="J440"/>
    <hyperlink r:id="rId501" ref="J441"/>
    <hyperlink r:id="rId502" ref="J445"/>
    <hyperlink r:id="rId503" ref="J446"/>
    <hyperlink r:id="rId504" ref="J447"/>
    <hyperlink r:id="rId505" ref="K447"/>
    <hyperlink r:id="rId506" ref="J448"/>
    <hyperlink r:id="rId507" ref="J449"/>
    <hyperlink r:id="rId508" ref="J450"/>
    <hyperlink r:id="rId509" ref="J451"/>
    <hyperlink r:id="rId510" ref="J452"/>
    <hyperlink r:id="rId511" ref="J453"/>
    <hyperlink r:id="rId512" ref="J454"/>
    <hyperlink r:id="rId513" ref="J455"/>
    <hyperlink r:id="rId514" ref="J456"/>
    <hyperlink r:id="rId515" ref="J457"/>
    <hyperlink r:id="rId516" ref="J458"/>
    <hyperlink r:id="rId517" ref="J459"/>
    <hyperlink r:id="rId518" ref="J460"/>
    <hyperlink r:id="rId519" ref="J461"/>
    <hyperlink r:id="rId520" ref="J462"/>
    <hyperlink r:id="rId521" ref="J463"/>
    <hyperlink r:id="rId522" ref="J464"/>
    <hyperlink r:id="rId523" ref="J465"/>
    <hyperlink r:id="rId524" ref="J466"/>
    <hyperlink r:id="rId525" ref="J467"/>
    <hyperlink r:id="rId526" ref="J468"/>
    <hyperlink r:id="rId527" ref="J469"/>
    <hyperlink r:id="rId528" ref="J470"/>
    <hyperlink r:id="rId529" ref="J471"/>
    <hyperlink r:id="rId530" ref="J472"/>
    <hyperlink r:id="rId531" ref="J473"/>
    <hyperlink r:id="rId532" ref="J474"/>
    <hyperlink r:id="rId533" ref="J475"/>
    <hyperlink r:id="rId534" ref="J476"/>
    <hyperlink r:id="rId535" ref="J477"/>
    <hyperlink r:id="rId536" ref="K477"/>
    <hyperlink r:id="rId537" ref="J478"/>
    <hyperlink r:id="rId538" ref="J479"/>
    <hyperlink r:id="rId539" ref="J480"/>
    <hyperlink r:id="rId540" ref="J481"/>
    <hyperlink r:id="rId541" ref="J482"/>
    <hyperlink r:id="rId542" ref="J483"/>
    <hyperlink r:id="rId543" ref="J484"/>
    <hyperlink r:id="rId544" ref="J485"/>
    <hyperlink r:id="rId545" ref="J486"/>
    <hyperlink r:id="rId546" ref="J487"/>
    <hyperlink r:id="rId547" ref="J488"/>
    <hyperlink r:id="rId548" ref="J489"/>
    <hyperlink r:id="rId549" ref="J490"/>
    <hyperlink r:id="rId550" ref="J491"/>
    <hyperlink r:id="rId551" ref="J492"/>
    <hyperlink r:id="rId552" ref="J493"/>
    <hyperlink r:id="rId553" ref="J494"/>
    <hyperlink r:id="rId554" ref="J495"/>
    <hyperlink r:id="rId555" ref="J496"/>
    <hyperlink r:id="rId556" ref="J497"/>
    <hyperlink r:id="rId557" ref="J498"/>
    <hyperlink r:id="rId558" ref="J499"/>
    <hyperlink r:id="rId559" ref="J500"/>
    <hyperlink r:id="rId560" ref="J501"/>
    <hyperlink r:id="rId561" ref="J502"/>
    <hyperlink r:id="rId562" ref="J503"/>
    <hyperlink r:id="rId563" ref="J504"/>
    <hyperlink r:id="rId564" ref="J505"/>
    <hyperlink r:id="rId565" ref="J506"/>
    <hyperlink r:id="rId566" ref="J507"/>
    <hyperlink r:id="rId567" ref="J508"/>
    <hyperlink r:id="rId568" location="google_vignette" ref="J509"/>
    <hyperlink r:id="rId569" location="google_vignette" ref="J510"/>
    <hyperlink r:id="rId570" ref="J511"/>
    <hyperlink r:id="rId571" ref="J512"/>
    <hyperlink r:id="rId572" ref="J513"/>
    <hyperlink r:id="rId573" ref="J514"/>
    <hyperlink r:id="rId574" ref="J515"/>
    <hyperlink r:id="rId575" ref="J516"/>
    <hyperlink r:id="rId576" ref="J517"/>
    <hyperlink r:id="rId577" ref="J518"/>
    <hyperlink r:id="rId578" ref="J519"/>
    <hyperlink r:id="rId579" ref="J520"/>
    <hyperlink r:id="rId580" ref="J521"/>
    <hyperlink r:id="rId581" ref="J522"/>
    <hyperlink r:id="rId582" ref="J523"/>
    <hyperlink r:id="rId583" ref="J524"/>
    <hyperlink r:id="rId584" ref="J525"/>
    <hyperlink r:id="rId585" ref="J526"/>
    <hyperlink r:id="rId586" ref="J527"/>
    <hyperlink r:id="rId587" ref="J528"/>
    <hyperlink r:id="rId588" ref="J529"/>
    <hyperlink r:id="rId589" ref="J530"/>
    <hyperlink r:id="rId590" ref="J531"/>
    <hyperlink r:id="rId591" ref="J532"/>
    <hyperlink r:id="rId592" ref="J533"/>
    <hyperlink r:id="rId593" ref="J534"/>
    <hyperlink r:id="rId594" ref="J535"/>
    <hyperlink r:id="rId595" ref="J536"/>
    <hyperlink r:id="rId596" ref="J537"/>
    <hyperlink r:id="rId597" ref="J538"/>
    <hyperlink r:id="rId598" ref="J539"/>
    <hyperlink r:id="rId599" ref="J540"/>
    <hyperlink r:id="rId600" ref="J541"/>
    <hyperlink r:id="rId601" ref="J542"/>
    <hyperlink r:id="rId602" ref="J543"/>
    <hyperlink r:id="rId603" ref="J544"/>
    <hyperlink r:id="rId604" ref="J545"/>
    <hyperlink r:id="rId605" ref="J546"/>
    <hyperlink r:id="rId606" ref="J547"/>
    <hyperlink r:id="rId607" ref="J548"/>
    <hyperlink r:id="rId608" ref="J549"/>
    <hyperlink r:id="rId609" ref="J550"/>
    <hyperlink r:id="rId610" ref="J551"/>
    <hyperlink r:id="rId611" ref="J552"/>
    <hyperlink r:id="rId612" ref="J553"/>
    <hyperlink r:id="rId613" ref="J554"/>
    <hyperlink r:id="rId614" ref="J555"/>
    <hyperlink r:id="rId615" ref="J556"/>
    <hyperlink r:id="rId616" ref="J557"/>
    <hyperlink r:id="rId617" ref="J558"/>
    <hyperlink r:id="rId618" ref="J559"/>
    <hyperlink r:id="rId619" ref="J560"/>
    <hyperlink r:id="rId620" ref="J561"/>
    <hyperlink r:id="rId621" ref="J562"/>
    <hyperlink r:id="rId622" ref="K562"/>
    <hyperlink r:id="rId623" ref="L562"/>
    <hyperlink r:id="rId624" ref="J563"/>
    <hyperlink r:id="rId625" ref="K563"/>
    <hyperlink r:id="rId626" ref="L563"/>
    <hyperlink r:id="rId627" ref="J564"/>
    <hyperlink r:id="rId628" ref="K564"/>
    <hyperlink r:id="rId629" ref="L564"/>
    <hyperlink r:id="rId630" ref="J565"/>
    <hyperlink r:id="rId631" ref="K565"/>
    <hyperlink r:id="rId632" ref="J566"/>
    <hyperlink r:id="rId633" ref="K566"/>
    <hyperlink r:id="rId634" ref="J567"/>
    <hyperlink r:id="rId635" ref="L567"/>
    <hyperlink r:id="rId636" ref="J568"/>
    <hyperlink r:id="rId637" ref="J569"/>
    <hyperlink r:id="rId638" ref="J570"/>
    <hyperlink r:id="rId639" ref="J571"/>
    <hyperlink r:id="rId640" ref="J572"/>
    <hyperlink r:id="rId641" ref="J573"/>
    <hyperlink r:id="rId642" ref="K573"/>
    <hyperlink r:id="rId643" ref="J574"/>
    <hyperlink r:id="rId644" ref="K574"/>
    <hyperlink r:id="rId645" ref="L574"/>
    <hyperlink r:id="rId646" ref="J575"/>
    <hyperlink r:id="rId647" ref="K575"/>
    <hyperlink r:id="rId648" ref="J576"/>
    <hyperlink r:id="rId649" ref="K576"/>
    <hyperlink r:id="rId650" ref="J577"/>
    <hyperlink r:id="rId651" ref="K577"/>
    <hyperlink r:id="rId652" ref="J578"/>
    <hyperlink r:id="rId653" ref="K578"/>
    <hyperlink r:id="rId654" ref="J579"/>
    <hyperlink r:id="rId655" ref="K579"/>
    <hyperlink r:id="rId656" ref="J580"/>
    <hyperlink r:id="rId657" ref="K580"/>
    <hyperlink r:id="rId658" ref="J581"/>
    <hyperlink r:id="rId659" ref="K581"/>
    <hyperlink r:id="rId660" ref="J582"/>
    <hyperlink r:id="rId661" ref="K582"/>
    <hyperlink r:id="rId662" ref="J583"/>
    <hyperlink r:id="rId663" ref="K583"/>
    <hyperlink r:id="rId664" ref="J584"/>
    <hyperlink r:id="rId665" ref="J585"/>
    <hyperlink r:id="rId666" ref="K585"/>
    <hyperlink r:id="rId667" ref="J586"/>
    <hyperlink r:id="rId668" ref="K586"/>
    <hyperlink r:id="rId669" ref="J587"/>
    <hyperlink r:id="rId670" ref="K587"/>
    <hyperlink r:id="rId671" ref="J588"/>
    <hyperlink r:id="rId672" ref="K588"/>
    <hyperlink r:id="rId673" ref="J589"/>
    <hyperlink r:id="rId674" ref="K589"/>
    <hyperlink r:id="rId675" ref="J590"/>
    <hyperlink r:id="rId676" ref="K590"/>
    <hyperlink r:id="rId677" ref="J591"/>
    <hyperlink r:id="rId678" ref="J592"/>
    <hyperlink r:id="rId679" ref="J593"/>
    <hyperlink r:id="rId680" ref="J594"/>
    <hyperlink r:id="rId681" ref="J595"/>
    <hyperlink r:id="rId682" ref="J596"/>
    <hyperlink r:id="rId683" ref="K596"/>
    <hyperlink r:id="rId684" ref="J597"/>
    <hyperlink r:id="rId685" ref="K597"/>
    <hyperlink r:id="rId686" ref="J598"/>
    <hyperlink r:id="rId687" ref="K598"/>
    <hyperlink r:id="rId688" ref="J599"/>
    <hyperlink r:id="rId689" ref="K599"/>
    <hyperlink r:id="rId690" ref="J600"/>
    <hyperlink r:id="rId691" ref="K600"/>
    <hyperlink r:id="rId692" ref="J601"/>
    <hyperlink r:id="rId693" ref="K601"/>
    <hyperlink r:id="rId694" ref="J602"/>
    <hyperlink r:id="rId695" ref="K602"/>
    <hyperlink r:id="rId696" ref="J603"/>
    <hyperlink r:id="rId697" ref="K603"/>
    <hyperlink r:id="rId698" ref="J604"/>
    <hyperlink r:id="rId699" ref="K604"/>
    <hyperlink r:id="rId700" ref="J605"/>
    <hyperlink r:id="rId701" ref="K605"/>
    <hyperlink r:id="rId702" ref="J606"/>
    <hyperlink r:id="rId703" ref="K606"/>
    <hyperlink r:id="rId704" ref="J607"/>
    <hyperlink r:id="rId705" ref="K607"/>
    <hyperlink r:id="rId706" ref="J608"/>
    <hyperlink r:id="rId707" ref="J609"/>
    <hyperlink r:id="rId708" ref="J610"/>
    <hyperlink r:id="rId709" ref="J611"/>
    <hyperlink r:id="rId710" ref="J612"/>
    <hyperlink r:id="rId711" ref="J613"/>
    <hyperlink r:id="rId712" ref="J614"/>
    <hyperlink r:id="rId713" ref="J615"/>
    <hyperlink r:id="rId714" ref="K615"/>
    <hyperlink r:id="rId715" ref="J616"/>
    <hyperlink r:id="rId716" ref="J617"/>
    <hyperlink r:id="rId717" ref="J618"/>
    <hyperlink r:id="rId718" ref="J619"/>
    <hyperlink r:id="rId719" ref="J620"/>
    <hyperlink r:id="rId720" ref="K620"/>
    <hyperlink r:id="rId721" ref="J621"/>
    <hyperlink r:id="rId722" ref="J622"/>
    <hyperlink r:id="rId723" ref="K622"/>
    <hyperlink r:id="rId724" ref="J623"/>
    <hyperlink r:id="rId725" ref="J624"/>
    <hyperlink r:id="rId726" ref="K624"/>
    <hyperlink r:id="rId727" ref="J625"/>
    <hyperlink r:id="rId728" ref="K625"/>
    <hyperlink r:id="rId729" ref="J626"/>
    <hyperlink r:id="rId730" ref="K626"/>
    <hyperlink r:id="rId731" ref="J627"/>
    <hyperlink r:id="rId732" ref="K627"/>
    <hyperlink r:id="rId733" ref="J628"/>
    <hyperlink r:id="rId734" ref="K628"/>
    <hyperlink r:id="rId735" ref="J629"/>
    <hyperlink r:id="rId736" ref="J630"/>
    <hyperlink r:id="rId737" ref="K630"/>
    <hyperlink r:id="rId738" ref="J631"/>
    <hyperlink r:id="rId739" ref="K631"/>
    <hyperlink r:id="rId740" ref="J632"/>
    <hyperlink r:id="rId741" ref="K632"/>
    <hyperlink r:id="rId742" ref="J633"/>
    <hyperlink r:id="rId743" ref="K633"/>
    <hyperlink r:id="rId744" ref="J634"/>
    <hyperlink r:id="rId745" ref="K634"/>
    <hyperlink r:id="rId746" ref="J635"/>
    <hyperlink r:id="rId747" ref="K635"/>
    <hyperlink r:id="rId748" ref="L635"/>
    <hyperlink r:id="rId749" ref="J636"/>
    <hyperlink r:id="rId750" ref="K636"/>
    <hyperlink r:id="rId751" ref="J637"/>
    <hyperlink r:id="rId752" ref="K637"/>
    <hyperlink r:id="rId753" ref="J638"/>
    <hyperlink r:id="rId754" ref="K638"/>
    <hyperlink r:id="rId755" ref="J639"/>
    <hyperlink r:id="rId756" ref="K639"/>
    <hyperlink r:id="rId757" ref="J640"/>
    <hyperlink r:id="rId758" ref="K640"/>
    <hyperlink r:id="rId759" ref="J641"/>
    <hyperlink r:id="rId760" ref="K641"/>
    <hyperlink r:id="rId761" ref="J642"/>
    <hyperlink r:id="rId762" ref="K642"/>
    <hyperlink r:id="rId763" ref="J643"/>
    <hyperlink r:id="rId764" ref="K643"/>
    <hyperlink r:id="rId765" ref="J644"/>
    <hyperlink r:id="rId766" ref="K644"/>
    <hyperlink r:id="rId767" ref="J645"/>
    <hyperlink r:id="rId768" ref="K645"/>
    <hyperlink r:id="rId769" ref="J646"/>
    <hyperlink r:id="rId770" ref="J647"/>
    <hyperlink r:id="rId771" ref="J648"/>
    <hyperlink r:id="rId772" ref="J649"/>
    <hyperlink r:id="rId773" ref="K649"/>
    <hyperlink r:id="rId774" ref="J650"/>
    <hyperlink r:id="rId775" ref="J651"/>
    <hyperlink r:id="rId776" ref="J652"/>
    <hyperlink r:id="rId777" ref="J653"/>
    <hyperlink r:id="rId778" ref="J654"/>
    <hyperlink r:id="rId779" ref="K654"/>
    <hyperlink r:id="rId780" ref="J655"/>
    <hyperlink r:id="rId781" ref="J656"/>
    <hyperlink r:id="rId782" ref="J657"/>
    <hyperlink r:id="rId783" ref="J658"/>
    <hyperlink r:id="rId784" ref="J659"/>
    <hyperlink r:id="rId785" ref="J660"/>
    <hyperlink r:id="rId786" ref="J661"/>
    <hyperlink r:id="rId787" ref="J662"/>
    <hyperlink r:id="rId788" ref="J663"/>
    <hyperlink r:id="rId789" ref="J664"/>
    <hyperlink r:id="rId790" ref="J665"/>
    <hyperlink r:id="rId791" ref="J666"/>
    <hyperlink r:id="rId792" ref="J667"/>
    <hyperlink r:id="rId793" ref="J668"/>
    <hyperlink r:id="rId794" ref="K668"/>
    <hyperlink r:id="rId795" ref="J669"/>
    <hyperlink r:id="rId796" ref="K669"/>
    <hyperlink r:id="rId797" ref="J670"/>
    <hyperlink r:id="rId798" ref="K670"/>
    <hyperlink r:id="rId799" ref="L670"/>
    <hyperlink r:id="rId800" ref="J671"/>
    <hyperlink r:id="rId801" ref="J672"/>
    <hyperlink r:id="rId802" ref="K672"/>
    <hyperlink r:id="rId803" ref="J673"/>
    <hyperlink r:id="rId804" ref="K673"/>
    <hyperlink r:id="rId805" ref="J674"/>
    <hyperlink r:id="rId806" ref="K674"/>
    <hyperlink r:id="rId807" ref="J675"/>
    <hyperlink r:id="rId808" ref="K675"/>
    <hyperlink r:id="rId809" ref="J676"/>
    <hyperlink r:id="rId810" ref="K676"/>
    <hyperlink r:id="rId811" ref="J677"/>
    <hyperlink r:id="rId812" ref="K677"/>
    <hyperlink r:id="rId813" ref="J678"/>
    <hyperlink r:id="rId814" ref="K678"/>
    <hyperlink r:id="rId815" ref="J679"/>
    <hyperlink r:id="rId816" ref="K679"/>
    <hyperlink r:id="rId817" ref="J680"/>
    <hyperlink r:id="rId818" ref="K680"/>
    <hyperlink r:id="rId819" ref="J681"/>
    <hyperlink r:id="rId820" ref="K681"/>
    <hyperlink r:id="rId821" ref="J682"/>
    <hyperlink r:id="rId822" ref="J683"/>
    <hyperlink r:id="rId823" ref="K683"/>
    <hyperlink r:id="rId824" ref="J684"/>
    <hyperlink r:id="rId825" ref="J685"/>
    <hyperlink r:id="rId826" ref="J686"/>
    <hyperlink r:id="rId827" ref="J687"/>
    <hyperlink r:id="rId828" ref="J688"/>
    <hyperlink r:id="rId829" ref="J689"/>
    <hyperlink r:id="rId830" ref="J690"/>
    <hyperlink r:id="rId831" ref="J691"/>
    <hyperlink r:id="rId832" ref="J692"/>
    <hyperlink r:id="rId833" ref="J693"/>
    <hyperlink r:id="rId834" ref="J694"/>
    <hyperlink r:id="rId835" ref="J695"/>
    <hyperlink r:id="rId836" ref="J696"/>
    <hyperlink r:id="rId837" ref="J697"/>
    <hyperlink r:id="rId838" ref="J698"/>
    <hyperlink r:id="rId839" ref="J699"/>
    <hyperlink r:id="rId840" ref="J700"/>
    <hyperlink r:id="rId841" ref="J701"/>
    <hyperlink r:id="rId842" ref="J702"/>
    <hyperlink r:id="rId843" ref="J703"/>
    <hyperlink r:id="rId844" ref="J704"/>
    <hyperlink r:id="rId845" ref="J705"/>
    <hyperlink r:id="rId846" ref="J706"/>
    <hyperlink r:id="rId847" ref="J707"/>
    <hyperlink r:id="rId848" ref="J708"/>
    <hyperlink r:id="rId849" ref="J709"/>
    <hyperlink r:id="rId850" ref="J710"/>
    <hyperlink r:id="rId851" ref="J711"/>
    <hyperlink r:id="rId852" ref="J713"/>
    <hyperlink r:id="rId853" ref="J714"/>
    <hyperlink r:id="rId854" ref="J715"/>
    <hyperlink r:id="rId855" ref="J716"/>
    <hyperlink r:id="rId856" ref="K717"/>
    <hyperlink r:id="rId857" ref="J720"/>
    <hyperlink r:id="rId858" ref="J721"/>
    <hyperlink r:id="rId859" ref="J722"/>
    <hyperlink r:id="rId860" ref="K723"/>
    <hyperlink r:id="rId861" ref="K724"/>
    <hyperlink r:id="rId862" ref="K725"/>
    <hyperlink r:id="rId863" ref="K726"/>
    <hyperlink r:id="rId864" ref="K727"/>
    <hyperlink r:id="rId865" ref="J728"/>
    <hyperlink r:id="rId866" ref="K729"/>
    <hyperlink r:id="rId867" ref="K730"/>
    <hyperlink r:id="rId868" ref="K731"/>
    <hyperlink r:id="rId869" ref="K732"/>
    <hyperlink r:id="rId870" ref="K734"/>
    <hyperlink r:id="rId871" ref="J735"/>
    <hyperlink r:id="rId872" ref="J736"/>
    <hyperlink r:id="rId873" ref="J737"/>
    <hyperlink r:id="rId874" ref="J738"/>
    <hyperlink r:id="rId875" ref="J739"/>
    <hyperlink r:id="rId876" ref="J740"/>
    <hyperlink r:id="rId877" ref="J741"/>
    <hyperlink r:id="rId878" ref="K742"/>
    <hyperlink r:id="rId879" ref="J743"/>
    <hyperlink r:id="rId880" ref="J744"/>
    <hyperlink r:id="rId881" ref="J745"/>
    <hyperlink r:id="rId882" ref="K745"/>
    <hyperlink r:id="rId883" ref="J746"/>
    <hyperlink r:id="rId884" ref="J747"/>
    <hyperlink r:id="rId885" ref="K747"/>
    <hyperlink r:id="rId886" ref="L747"/>
    <hyperlink r:id="rId887" ref="J749"/>
    <hyperlink r:id="rId888" ref="J750"/>
    <hyperlink r:id="rId889" ref="J751"/>
    <hyperlink r:id="rId890" ref="K751"/>
    <hyperlink r:id="rId891" ref="J752"/>
    <hyperlink r:id="rId892" ref="K752"/>
    <hyperlink r:id="rId893" ref="K753"/>
    <hyperlink r:id="rId894" ref="J754"/>
    <hyperlink r:id="rId895" ref="K754"/>
    <hyperlink r:id="rId896" ref="J756"/>
    <hyperlink r:id="rId897" ref="K756"/>
    <hyperlink r:id="rId898" ref="J757"/>
    <hyperlink r:id="rId899" ref="J758"/>
    <hyperlink r:id="rId900" ref="J759"/>
    <hyperlink r:id="rId901" ref="J760"/>
    <hyperlink r:id="rId902" ref="J761"/>
    <hyperlink r:id="rId903" ref="J762"/>
    <hyperlink r:id="rId904" ref="J763"/>
    <hyperlink r:id="rId905" ref="J764"/>
    <hyperlink r:id="rId906" ref="J765"/>
    <hyperlink r:id="rId907" ref="J766"/>
    <hyperlink r:id="rId908" ref="J767"/>
    <hyperlink r:id="rId909" ref="J768"/>
    <hyperlink r:id="rId910" ref="J769"/>
    <hyperlink r:id="rId911" ref="K769"/>
    <hyperlink r:id="rId912" ref="J770"/>
    <hyperlink r:id="rId913" ref="J771"/>
    <hyperlink r:id="rId914" ref="J772"/>
    <hyperlink r:id="rId915" ref="J773"/>
    <hyperlink r:id="rId916" ref="J774"/>
    <hyperlink r:id="rId917" ref="J775"/>
    <hyperlink r:id="rId918" ref="K775"/>
    <hyperlink r:id="rId919" ref="J776"/>
    <hyperlink r:id="rId920" ref="J777"/>
    <hyperlink r:id="rId921" ref="J778"/>
    <hyperlink r:id="rId922" ref="J779"/>
    <hyperlink r:id="rId923" ref="K779"/>
    <hyperlink r:id="rId924" ref="L779"/>
    <hyperlink r:id="rId925" ref="J781"/>
    <hyperlink r:id="rId926" ref="K781"/>
    <hyperlink r:id="rId927" ref="J782"/>
    <hyperlink r:id="rId928" ref="J783"/>
    <hyperlink r:id="rId929" ref="K783"/>
    <hyperlink r:id="rId930" ref="J784"/>
    <hyperlink r:id="rId931" ref="K784"/>
    <hyperlink r:id="rId932" ref="J785"/>
    <hyperlink r:id="rId933" ref="K785"/>
    <hyperlink r:id="rId934" ref="J786"/>
    <hyperlink r:id="rId935" ref="K786"/>
    <hyperlink r:id="rId936" ref="J787"/>
    <hyperlink r:id="rId937" ref="K787"/>
    <hyperlink r:id="rId938" ref="J788"/>
    <hyperlink r:id="rId939" ref="K788"/>
    <hyperlink r:id="rId940" ref="J789"/>
    <hyperlink r:id="rId941" ref="K789"/>
    <hyperlink r:id="rId942" ref="J790"/>
    <hyperlink r:id="rId943" ref="K790"/>
    <hyperlink r:id="rId944" ref="J791"/>
    <hyperlink r:id="rId945" ref="K791"/>
    <hyperlink r:id="rId946" ref="J792"/>
    <hyperlink r:id="rId947" ref="K792"/>
    <hyperlink r:id="rId948" ref="J793"/>
    <hyperlink r:id="rId949" ref="K793"/>
    <hyperlink r:id="rId950" ref="J794"/>
    <hyperlink r:id="rId951" ref="K794"/>
    <hyperlink r:id="rId952" ref="J795"/>
    <hyperlink r:id="rId953" ref="K795"/>
    <hyperlink r:id="rId954" ref="J796"/>
    <hyperlink r:id="rId955" ref="K796"/>
    <hyperlink r:id="rId956" ref="J797"/>
    <hyperlink r:id="rId957" ref="K797"/>
    <hyperlink r:id="rId958" ref="J798"/>
    <hyperlink r:id="rId959" ref="K798"/>
    <hyperlink r:id="rId960" ref="J799"/>
    <hyperlink r:id="rId961" ref="J800"/>
    <hyperlink r:id="rId962" ref="J801"/>
    <hyperlink r:id="rId963" ref="J802"/>
    <hyperlink r:id="rId964" ref="J803"/>
    <hyperlink r:id="rId965" ref="J804"/>
    <hyperlink r:id="rId966" ref="J805"/>
    <hyperlink r:id="rId967" ref="J806"/>
    <hyperlink r:id="rId968" ref="J807"/>
    <hyperlink r:id="rId969" ref="J808"/>
    <hyperlink r:id="rId970" ref="J809"/>
    <hyperlink r:id="rId971" ref="J810"/>
    <hyperlink r:id="rId972" ref="J811"/>
    <hyperlink r:id="rId973" ref="J812"/>
    <hyperlink r:id="rId974" ref="K812"/>
    <hyperlink r:id="rId975" ref="J813"/>
    <hyperlink r:id="rId976" ref="J814"/>
    <hyperlink r:id="rId977" ref="K814"/>
    <hyperlink r:id="rId978" ref="J816"/>
    <hyperlink r:id="rId979" ref="J817"/>
    <hyperlink r:id="rId980" ref="J818"/>
    <hyperlink r:id="rId981" ref="K818"/>
    <hyperlink r:id="rId982" ref="J819"/>
    <hyperlink r:id="rId983" ref="J820"/>
    <hyperlink r:id="rId984" ref="J821"/>
    <hyperlink r:id="rId985" ref="J822"/>
    <hyperlink r:id="rId986" ref="J823"/>
    <hyperlink r:id="rId987" ref="J824"/>
    <hyperlink r:id="rId988" ref="J825"/>
    <hyperlink r:id="rId989" ref="J826"/>
    <hyperlink r:id="rId990" ref="J827"/>
    <hyperlink r:id="rId991" ref="J828"/>
    <hyperlink r:id="rId992" ref="J829"/>
    <hyperlink r:id="rId993" ref="J830"/>
    <hyperlink r:id="rId994" ref="J831"/>
    <hyperlink r:id="rId995" ref="J832"/>
    <hyperlink r:id="rId996" ref="K832"/>
    <hyperlink r:id="rId997" ref="J833"/>
    <hyperlink r:id="rId998" ref="J834"/>
    <hyperlink r:id="rId999" ref="J835"/>
    <hyperlink r:id="rId1000" ref="J836"/>
    <hyperlink r:id="rId1001" ref="J837"/>
    <hyperlink r:id="rId1002" ref="J838"/>
    <hyperlink r:id="rId1003" ref="J839"/>
    <hyperlink r:id="rId1004" ref="J840"/>
    <hyperlink r:id="rId1005" ref="J841"/>
    <hyperlink r:id="rId1006" ref="J842"/>
    <hyperlink r:id="rId1007" ref="J843"/>
    <hyperlink r:id="rId1008" ref="J844"/>
    <hyperlink r:id="rId1009" ref="J845"/>
    <hyperlink r:id="rId1010" ref="J846"/>
    <hyperlink r:id="rId1011" ref="J847"/>
    <hyperlink r:id="rId1012" ref="J848"/>
    <hyperlink r:id="rId1013" ref="K848"/>
    <hyperlink r:id="rId1014" ref="J849"/>
    <hyperlink r:id="rId1015" ref="J850"/>
    <hyperlink r:id="rId1016" ref="J851"/>
    <hyperlink r:id="rId1017" ref="J852"/>
    <hyperlink r:id="rId1018" ref="J853"/>
    <hyperlink r:id="rId1019" ref="J854"/>
    <hyperlink r:id="rId1020" ref="J855"/>
    <hyperlink r:id="rId1021" ref="K855"/>
    <hyperlink r:id="rId1022" ref="J856"/>
    <hyperlink r:id="rId1023" ref="J857"/>
    <hyperlink r:id="rId1024" ref="J858"/>
    <hyperlink r:id="rId1025" ref="J859"/>
    <hyperlink r:id="rId1026" ref="J860"/>
    <hyperlink r:id="rId1027" ref="J861"/>
    <hyperlink r:id="rId1028" ref="K861"/>
    <hyperlink r:id="rId1029" ref="L861"/>
    <hyperlink r:id="rId1030" ref="J862"/>
    <hyperlink r:id="rId1031" ref="K862"/>
    <hyperlink r:id="rId1032" ref="J863"/>
    <hyperlink r:id="rId1033" ref="J864"/>
    <hyperlink r:id="rId1034" ref="K864"/>
    <hyperlink r:id="rId1035" ref="J865"/>
    <hyperlink r:id="rId1036" ref="J866"/>
    <hyperlink r:id="rId1037" ref="J867"/>
    <hyperlink r:id="rId1038" ref="J868"/>
    <hyperlink r:id="rId1039" ref="J869"/>
    <hyperlink r:id="rId1040" ref="J870"/>
    <hyperlink r:id="rId1041" ref="J871"/>
    <hyperlink r:id="rId1042" ref="J872"/>
    <hyperlink r:id="rId1043" ref="J873"/>
    <hyperlink r:id="rId1044" ref="J874"/>
    <hyperlink r:id="rId1045" ref="J875"/>
    <hyperlink r:id="rId1046" ref="J876"/>
    <hyperlink r:id="rId1047" ref="K876"/>
    <hyperlink r:id="rId1048" ref="J877"/>
    <hyperlink r:id="rId1049" ref="J878"/>
    <hyperlink r:id="rId1050" ref="J879"/>
    <hyperlink r:id="rId1051" ref="J880"/>
    <hyperlink r:id="rId1052" ref="J881"/>
    <hyperlink r:id="rId1053" ref="J882"/>
    <hyperlink r:id="rId1054" ref="J883"/>
    <hyperlink r:id="rId1055" ref="J884"/>
    <hyperlink r:id="rId1056" ref="J885"/>
    <hyperlink r:id="rId1057" ref="J886"/>
    <hyperlink r:id="rId1058" ref="J887"/>
    <hyperlink r:id="rId1059" ref="J888"/>
    <hyperlink r:id="rId1060" ref="J889"/>
    <hyperlink r:id="rId1061" ref="J890"/>
    <hyperlink r:id="rId1062" ref="J891"/>
    <hyperlink r:id="rId1063" ref="K891"/>
    <hyperlink r:id="rId1064" ref="J892"/>
    <hyperlink r:id="rId1065" ref="K892"/>
    <hyperlink r:id="rId1066" ref="J893"/>
    <hyperlink r:id="rId1067" ref="J894"/>
    <hyperlink r:id="rId1068" ref="K894"/>
    <hyperlink r:id="rId1069" ref="J895"/>
    <hyperlink r:id="rId1070" ref="J896"/>
    <hyperlink r:id="rId1071" ref="J897"/>
    <hyperlink r:id="rId1072" ref="J898"/>
    <hyperlink r:id="rId1073" ref="J899"/>
    <hyperlink r:id="rId1074" ref="J900"/>
    <hyperlink r:id="rId1075" ref="J901"/>
    <hyperlink r:id="rId1076" ref="J902"/>
    <hyperlink r:id="rId1077" ref="J903"/>
    <hyperlink r:id="rId1078" ref="J904"/>
    <hyperlink r:id="rId1079" ref="J905"/>
    <hyperlink r:id="rId1080" ref="J906"/>
    <hyperlink r:id="rId1081" ref="J910"/>
    <hyperlink r:id="rId1082" ref="J916"/>
    <hyperlink r:id="rId1083" ref="J917"/>
    <hyperlink r:id="rId1084" ref="J919"/>
    <hyperlink r:id="rId1085" ref="J920"/>
    <hyperlink r:id="rId1086" ref="J921"/>
    <hyperlink r:id="rId1087" ref="J922"/>
    <hyperlink r:id="rId1088" ref="J923"/>
    <hyperlink r:id="rId1089" ref="J924"/>
    <hyperlink r:id="rId1090" ref="J925"/>
    <hyperlink r:id="rId1091" ref="J926"/>
    <hyperlink r:id="rId1092" ref="J927"/>
    <hyperlink r:id="rId1093" ref="J928"/>
    <hyperlink r:id="rId1094" ref="J929"/>
    <hyperlink r:id="rId1095" ref="J930"/>
    <hyperlink r:id="rId1096" ref="J931"/>
    <hyperlink r:id="rId1097" ref="J932"/>
    <hyperlink r:id="rId1098" ref="J933"/>
    <hyperlink r:id="rId1099" ref="J934"/>
    <hyperlink r:id="rId1100" ref="J935"/>
    <hyperlink r:id="rId1101" ref="J936"/>
    <hyperlink r:id="rId1102" ref="J937"/>
    <hyperlink r:id="rId1103" ref="J938"/>
    <hyperlink r:id="rId1104" ref="J939"/>
    <hyperlink r:id="rId1105" ref="J940"/>
    <hyperlink r:id="rId1106" ref="J941"/>
    <hyperlink r:id="rId1107" ref="J942"/>
    <hyperlink r:id="rId1108" ref="J943"/>
    <hyperlink r:id="rId1109" ref="J944"/>
    <hyperlink r:id="rId1110" ref="J945"/>
    <hyperlink r:id="rId1111" ref="J946"/>
    <hyperlink r:id="rId1112" ref="J947"/>
    <hyperlink r:id="rId1113" ref="J948"/>
    <hyperlink r:id="rId1114" ref="J949"/>
    <hyperlink r:id="rId1115" ref="J950"/>
    <hyperlink r:id="rId1116" ref="K950"/>
    <hyperlink r:id="rId1117" ref="J952"/>
    <hyperlink r:id="rId1118" ref="J953"/>
    <hyperlink r:id="rId1119" ref="K953"/>
    <hyperlink r:id="rId1120" ref="J954"/>
    <hyperlink r:id="rId1121" ref="J959"/>
    <hyperlink r:id="rId1122" ref="J962"/>
    <hyperlink r:id="rId1123" ref="J964"/>
    <hyperlink r:id="rId1124" ref="K964"/>
    <hyperlink r:id="rId1125" ref="J965"/>
    <hyperlink r:id="rId1126" ref="J966"/>
    <hyperlink r:id="rId1127" ref="K966"/>
    <hyperlink r:id="rId1128" ref="J967"/>
    <hyperlink r:id="rId1129" ref="K967"/>
    <hyperlink r:id="rId1130" ref="L967"/>
    <hyperlink r:id="rId1131" ref="J968"/>
    <hyperlink r:id="rId1132" ref="J969"/>
    <hyperlink r:id="rId1133" ref="J970"/>
    <hyperlink r:id="rId1134" ref="J971"/>
    <hyperlink r:id="rId1135" ref="K971"/>
    <hyperlink r:id="rId1136" ref="J972"/>
    <hyperlink r:id="rId1137" ref="J973"/>
    <hyperlink r:id="rId1138" ref="J974"/>
    <hyperlink r:id="rId1139" ref="K974"/>
    <hyperlink r:id="rId1140" ref="J975"/>
    <hyperlink r:id="rId1141" ref="J976"/>
    <hyperlink r:id="rId1142" ref="J977"/>
    <hyperlink r:id="rId1143" ref="J978"/>
    <hyperlink r:id="rId1144" ref="J979"/>
    <hyperlink r:id="rId1145" ref="J980"/>
    <hyperlink r:id="rId1146" ref="J981"/>
    <hyperlink r:id="rId1147" ref="J982"/>
    <hyperlink r:id="rId1148" ref="J983"/>
    <hyperlink r:id="rId1149" ref="J984"/>
    <hyperlink r:id="rId1150" ref="J985"/>
    <hyperlink r:id="rId1151" ref="J986"/>
    <hyperlink r:id="rId1152" ref="J987"/>
    <hyperlink r:id="rId1153" ref="J988"/>
    <hyperlink r:id="rId1154" ref="J990"/>
    <hyperlink r:id="rId1155" ref="J991"/>
    <hyperlink r:id="rId1156" ref="K991"/>
    <hyperlink r:id="rId1157" ref="J992"/>
    <hyperlink r:id="rId1158" ref="K992"/>
    <hyperlink r:id="rId1159" ref="J993"/>
    <hyperlink r:id="rId1160" ref="K993"/>
    <hyperlink r:id="rId1161" ref="J994"/>
    <hyperlink r:id="rId1162" ref="K994"/>
    <hyperlink r:id="rId1163" ref="J995"/>
    <hyperlink r:id="rId1164" ref="J996"/>
    <hyperlink r:id="rId1165" ref="K996"/>
    <hyperlink r:id="rId1166" ref="J997"/>
    <hyperlink r:id="rId1167" ref="K997"/>
    <hyperlink r:id="rId1168" ref="J998"/>
    <hyperlink r:id="rId1169" ref="K998"/>
    <hyperlink r:id="rId1170" ref="J999"/>
    <hyperlink r:id="rId1171" ref="K999"/>
    <hyperlink r:id="rId1172" ref="J1000"/>
    <hyperlink r:id="rId1173" ref="J1001"/>
    <hyperlink r:id="rId1174" ref="K1001"/>
    <hyperlink r:id="rId1175" ref="J1002"/>
    <hyperlink r:id="rId1176" ref="J1003"/>
    <hyperlink r:id="rId1177" ref="J1004"/>
    <hyperlink r:id="rId1178" ref="K1004"/>
    <hyperlink r:id="rId1179" ref="J1005"/>
    <hyperlink r:id="rId1180" ref="K1005"/>
    <hyperlink r:id="rId1181" ref="J1006"/>
    <hyperlink r:id="rId1182" ref="K1006"/>
    <hyperlink r:id="rId1183" ref="J1015"/>
    <hyperlink r:id="rId1184" ref="J1016"/>
    <hyperlink r:id="rId1185" ref="J1017"/>
    <hyperlink r:id="rId1186" ref="J1018"/>
    <hyperlink r:id="rId1187" ref="J1019"/>
    <hyperlink r:id="rId1188" ref="J1020"/>
    <hyperlink r:id="rId1189" ref="K1020"/>
    <hyperlink r:id="rId1190" ref="J1021"/>
    <hyperlink r:id="rId1191" ref="J1022"/>
    <hyperlink r:id="rId1192" ref="J1023"/>
    <hyperlink r:id="rId1193" ref="J1024"/>
    <hyperlink r:id="rId1194" ref="K1024"/>
    <hyperlink r:id="rId1195" ref="J1025"/>
    <hyperlink r:id="rId1196" ref="J1026"/>
    <hyperlink r:id="rId1197" ref="J1027"/>
    <hyperlink r:id="rId1198" ref="J1028"/>
    <hyperlink r:id="rId1199" ref="J1029"/>
    <hyperlink r:id="rId1200" ref="J1030"/>
    <hyperlink r:id="rId1201" ref="J1031"/>
    <hyperlink r:id="rId1202" ref="J1032"/>
    <hyperlink r:id="rId1203" ref="J1033"/>
    <hyperlink r:id="rId1204" ref="J1034"/>
    <hyperlink r:id="rId1205" ref="J1035"/>
    <hyperlink r:id="rId1206" ref="J1036"/>
    <hyperlink r:id="rId1207" ref="J1037"/>
    <hyperlink r:id="rId1208" ref="J1038"/>
    <hyperlink r:id="rId1209" ref="J1039"/>
    <hyperlink r:id="rId1210" ref="J1040"/>
    <hyperlink r:id="rId1211" ref="J1041"/>
    <hyperlink r:id="rId1212" ref="K1041"/>
    <hyperlink r:id="rId1213" ref="J1042"/>
    <hyperlink r:id="rId1214" ref="K1043"/>
    <hyperlink r:id="rId1215" ref="J1044"/>
    <hyperlink r:id="rId1216" ref="J1045"/>
    <hyperlink r:id="rId1217" ref="J1046"/>
    <hyperlink r:id="rId1218" ref="J1047"/>
    <hyperlink r:id="rId1219" ref="J1048"/>
    <hyperlink r:id="rId1220" ref="J1049"/>
    <hyperlink r:id="rId1221" ref="J1050"/>
    <hyperlink r:id="rId1222" ref="J1051"/>
    <hyperlink r:id="rId1223" ref="J1052"/>
    <hyperlink r:id="rId1224" location="goog_rewarded" ref="J1053"/>
    <hyperlink r:id="rId1225" ref="K1053"/>
    <hyperlink r:id="rId1226" ref="J1054"/>
    <hyperlink r:id="rId1227" ref="K1055"/>
    <hyperlink r:id="rId1228" location="goog_rewarded" ref="J1056"/>
    <hyperlink r:id="rId1229" ref="J1057"/>
    <hyperlink r:id="rId1230" ref="J1058"/>
    <hyperlink r:id="rId1231" ref="J1059"/>
    <hyperlink r:id="rId1232" ref="J1060"/>
    <hyperlink r:id="rId1233" ref="K1060"/>
    <hyperlink r:id="rId1234" ref="J1061"/>
    <hyperlink r:id="rId1235" ref="J1062"/>
    <hyperlink r:id="rId1236" ref="J1063"/>
    <hyperlink r:id="rId1237" ref="L1063"/>
    <hyperlink r:id="rId1238" ref="J1064"/>
    <hyperlink r:id="rId1239" ref="J1065"/>
    <hyperlink r:id="rId1240" ref="K1065"/>
    <hyperlink r:id="rId1241" ref="J1066"/>
    <hyperlink r:id="rId1242" ref="J1067"/>
    <hyperlink r:id="rId1243" ref="J1068"/>
    <hyperlink r:id="rId1244" ref="J1069"/>
    <hyperlink r:id="rId1245" ref="K1069"/>
    <hyperlink r:id="rId1246" ref="J1070"/>
    <hyperlink r:id="rId1247" ref="K1070"/>
    <hyperlink r:id="rId1248" ref="J1071"/>
    <hyperlink r:id="rId1249" ref="J1072"/>
    <hyperlink r:id="rId1250" ref="J1073"/>
    <hyperlink r:id="rId1251" ref="J1074"/>
    <hyperlink r:id="rId1252" ref="J1075"/>
    <hyperlink r:id="rId1253" ref="J1076"/>
    <hyperlink r:id="rId1254" ref="K1076"/>
    <hyperlink r:id="rId1255" ref="J1077"/>
    <hyperlink r:id="rId1256" ref="J1078"/>
    <hyperlink r:id="rId1257" ref="J1079"/>
    <hyperlink r:id="rId1258" ref="J1080"/>
    <hyperlink r:id="rId1259" ref="J1081"/>
    <hyperlink r:id="rId1260" ref="J1082"/>
    <hyperlink r:id="rId1261" ref="J1083"/>
    <hyperlink r:id="rId1262" ref="J1084"/>
    <hyperlink r:id="rId1263" ref="J1085"/>
    <hyperlink r:id="rId1264" ref="J1086"/>
    <hyperlink r:id="rId1265" ref="J1087"/>
    <hyperlink r:id="rId1266" ref="J1088"/>
    <hyperlink r:id="rId1267" ref="J1089"/>
    <hyperlink r:id="rId1268" ref="J1090"/>
    <hyperlink r:id="rId1269" ref="K1091"/>
    <hyperlink r:id="rId1270" ref="J1092"/>
    <hyperlink r:id="rId1271" ref="J1093"/>
    <hyperlink r:id="rId1272" ref="J1094"/>
    <hyperlink r:id="rId1273" ref="J1095"/>
    <hyperlink r:id="rId1274" ref="J1096"/>
    <hyperlink r:id="rId1275" ref="J1097"/>
    <hyperlink r:id="rId1276" ref="K1097"/>
    <hyperlink r:id="rId1277" ref="J1098"/>
    <hyperlink r:id="rId1278" ref="K1098"/>
    <hyperlink r:id="rId1279" ref="J1099"/>
    <hyperlink r:id="rId1280" ref="J1100"/>
    <hyperlink r:id="rId1281" ref="J1101"/>
    <hyperlink r:id="rId1282" ref="J1102"/>
    <hyperlink r:id="rId1283" ref="J1103"/>
    <hyperlink r:id="rId1284" ref="J1104"/>
    <hyperlink r:id="rId1285" ref="J1105"/>
    <hyperlink r:id="rId1286" ref="J1106"/>
    <hyperlink r:id="rId1287" ref="J1107"/>
    <hyperlink r:id="rId1288" ref="J1108"/>
    <hyperlink r:id="rId1289" ref="J1109"/>
    <hyperlink r:id="rId1290" ref="J1110"/>
    <hyperlink r:id="rId1291" ref="J1111"/>
    <hyperlink r:id="rId1292" ref="J1112"/>
    <hyperlink r:id="rId1293" ref="J1113"/>
    <hyperlink r:id="rId1294" ref="J1114"/>
    <hyperlink r:id="rId1295" ref="J1115"/>
    <hyperlink r:id="rId1296" ref="J1116"/>
    <hyperlink r:id="rId1297" ref="J1117"/>
    <hyperlink r:id="rId1298" ref="J1118"/>
    <hyperlink r:id="rId1299" ref="J1119"/>
    <hyperlink r:id="rId1300" ref="J1120"/>
    <hyperlink r:id="rId1301" ref="J1121"/>
    <hyperlink r:id="rId1302" ref="J1122"/>
    <hyperlink r:id="rId1303" ref="J1123"/>
    <hyperlink r:id="rId1304" ref="J1124"/>
    <hyperlink r:id="rId1305" ref="J1125"/>
    <hyperlink r:id="rId1306" ref="J1126"/>
    <hyperlink r:id="rId1307" ref="J1127"/>
    <hyperlink r:id="rId1308" ref="L1127"/>
    <hyperlink r:id="rId1309" ref="J1128"/>
    <hyperlink r:id="rId1310" ref="J1129"/>
    <hyperlink r:id="rId1311" ref="J1130"/>
    <hyperlink r:id="rId1312" ref="J1131"/>
    <hyperlink r:id="rId1313" ref="J1132"/>
    <hyperlink r:id="rId1314" ref="J1133"/>
    <hyperlink r:id="rId1315" ref="J1134"/>
    <hyperlink r:id="rId1316" ref="K1134"/>
    <hyperlink r:id="rId1317" ref="J1135"/>
    <hyperlink r:id="rId1318" ref="J1136"/>
    <hyperlink r:id="rId1319" ref="K1136"/>
    <hyperlink r:id="rId1320" ref="J1137"/>
    <hyperlink r:id="rId1321" ref="J1138"/>
    <hyperlink r:id="rId1322" ref="J1139"/>
    <hyperlink r:id="rId1323" ref="J1140"/>
    <hyperlink r:id="rId1324" ref="J1141"/>
    <hyperlink r:id="rId1325" ref="J1142"/>
    <hyperlink r:id="rId1326" ref="J1143"/>
    <hyperlink r:id="rId1327" ref="J1144"/>
    <hyperlink r:id="rId1328" ref="J1145"/>
    <hyperlink r:id="rId1329" ref="J1146"/>
    <hyperlink r:id="rId1330" ref="J1147"/>
    <hyperlink r:id="rId1331" ref="J1148"/>
    <hyperlink r:id="rId1332" ref="J1149"/>
    <hyperlink r:id="rId1333" ref="K1149"/>
    <hyperlink r:id="rId1334" ref="J1150"/>
    <hyperlink r:id="rId1335" ref="J1151"/>
    <hyperlink r:id="rId1336" ref="J1152"/>
    <hyperlink r:id="rId1337" ref="J1153"/>
    <hyperlink r:id="rId1338" ref="J1154"/>
    <hyperlink r:id="rId1339" ref="J1155"/>
    <hyperlink r:id="rId1340" ref="J1156"/>
    <hyperlink r:id="rId1341" ref="L1156"/>
    <hyperlink r:id="rId1342" ref="J1157"/>
    <hyperlink r:id="rId1343" ref="J1158"/>
    <hyperlink r:id="rId1344" ref="K1158"/>
    <hyperlink r:id="rId1345" ref="L1158"/>
    <hyperlink r:id="rId1346" ref="J1159"/>
    <hyperlink r:id="rId1347" ref="J1160"/>
    <hyperlink r:id="rId1348" ref="J1162"/>
    <hyperlink r:id="rId1349" ref="J1163"/>
    <hyperlink r:id="rId1350" ref="J1164"/>
    <hyperlink r:id="rId1351" ref="J1165"/>
    <hyperlink r:id="rId1352" ref="J1166"/>
    <hyperlink r:id="rId1353" ref="J1167"/>
    <hyperlink r:id="rId1354" ref="J1168"/>
    <hyperlink r:id="rId1355" ref="J1169"/>
    <hyperlink r:id="rId1356" ref="J1170"/>
    <hyperlink r:id="rId1357" ref="J1171"/>
    <hyperlink r:id="rId1358" ref="J1172"/>
    <hyperlink r:id="rId1359" ref="J1173"/>
    <hyperlink r:id="rId1360" ref="J1174"/>
    <hyperlink r:id="rId1361" ref="J1175"/>
    <hyperlink r:id="rId1362" ref="J1176"/>
    <hyperlink r:id="rId1363" ref="J1177"/>
    <hyperlink r:id="rId1364" ref="J1178"/>
    <hyperlink r:id="rId1365" ref="J1179"/>
    <hyperlink r:id="rId1366" ref="J1180"/>
    <hyperlink r:id="rId1367" ref="J1181"/>
    <hyperlink r:id="rId1368" ref="J1182"/>
    <hyperlink r:id="rId1369" ref="J1183"/>
    <hyperlink r:id="rId1370" ref="L1183"/>
    <hyperlink r:id="rId1371" ref="J1184"/>
    <hyperlink r:id="rId1372" ref="L1184"/>
    <hyperlink r:id="rId1373" ref="J1185"/>
    <hyperlink r:id="rId1374" ref="L1185"/>
    <hyperlink r:id="rId1375" ref="J1186"/>
    <hyperlink r:id="rId1376" ref="L1186"/>
    <hyperlink r:id="rId1377" ref="J1187"/>
    <hyperlink r:id="rId1378" ref="K1187"/>
    <hyperlink r:id="rId1379" ref="J1188"/>
    <hyperlink r:id="rId1380" ref="L1188"/>
    <hyperlink r:id="rId1381" ref="J1189"/>
    <hyperlink r:id="rId1382" ref="J1190"/>
    <hyperlink r:id="rId1383" ref="J1191"/>
    <hyperlink r:id="rId1384" ref="J1192"/>
    <hyperlink r:id="rId1385" ref="J1193"/>
    <hyperlink r:id="rId1386" ref="J1194"/>
    <hyperlink r:id="rId1387" ref="J1195"/>
    <hyperlink r:id="rId1388" ref="J1196"/>
    <hyperlink r:id="rId1389" ref="J1197"/>
    <hyperlink r:id="rId1390" ref="J1198"/>
    <hyperlink r:id="rId1391" ref="K1198"/>
    <hyperlink r:id="rId1392" ref="L1198"/>
    <hyperlink r:id="rId1393" ref="J1199"/>
    <hyperlink r:id="rId1394" ref="K1199"/>
    <hyperlink r:id="rId1395" ref="J1200"/>
    <hyperlink r:id="rId1396" ref="J1201"/>
    <hyperlink r:id="rId1397" ref="J1202"/>
    <hyperlink r:id="rId1398" ref="J1203"/>
    <hyperlink r:id="rId1399" ref="K1203"/>
    <hyperlink r:id="rId1400" ref="J1204"/>
    <hyperlink r:id="rId1401" ref="L1204"/>
    <hyperlink r:id="rId1402" ref="J1205"/>
    <hyperlink r:id="rId1403" ref="J1206"/>
    <hyperlink r:id="rId1404" ref="J1207"/>
    <hyperlink r:id="rId1405" ref="J1208"/>
    <hyperlink r:id="rId1406" ref="J1209"/>
    <hyperlink r:id="rId1407" ref="J1210"/>
    <hyperlink r:id="rId1408" ref="J1211"/>
    <hyperlink r:id="rId1409" ref="J1212"/>
    <hyperlink r:id="rId1410" ref="J1213"/>
    <hyperlink r:id="rId1411" ref="J1214"/>
    <hyperlink r:id="rId1412" ref="J1215"/>
    <hyperlink r:id="rId1413" ref="J1216"/>
    <hyperlink r:id="rId1414" ref="J1217"/>
    <hyperlink r:id="rId1415" ref="J1218"/>
    <hyperlink r:id="rId1416" ref="J1219"/>
    <hyperlink r:id="rId1417" ref="K1219"/>
    <hyperlink r:id="rId1418" ref="K1220"/>
    <hyperlink r:id="rId1419" ref="L1220"/>
    <hyperlink r:id="rId1420" ref="J1221"/>
    <hyperlink r:id="rId1421" ref="J1222"/>
    <hyperlink r:id="rId1422" ref="J1223"/>
    <hyperlink r:id="rId1423" ref="J1224"/>
    <hyperlink r:id="rId1424" ref="J1225"/>
    <hyperlink r:id="rId1425" ref="J1226"/>
    <hyperlink r:id="rId1426" ref="J1227"/>
    <hyperlink r:id="rId1427" ref="K1227"/>
    <hyperlink r:id="rId1428" ref="J1228"/>
    <hyperlink r:id="rId1429" ref="J1229"/>
    <hyperlink r:id="rId1430" ref="J1230"/>
    <hyperlink r:id="rId1431" ref="J1231"/>
    <hyperlink r:id="rId1432" ref="J1232"/>
    <hyperlink r:id="rId1433" ref="J1233"/>
    <hyperlink r:id="rId1434" ref="J1234"/>
    <hyperlink r:id="rId1435" ref="J1235"/>
    <hyperlink r:id="rId1436" ref="J1236"/>
    <hyperlink r:id="rId1437" ref="J1238"/>
    <hyperlink r:id="rId1438" ref="J1239"/>
    <hyperlink r:id="rId1439" ref="J1240"/>
    <hyperlink r:id="rId1440" ref="J1241"/>
    <hyperlink r:id="rId1441" ref="J1242"/>
    <hyperlink r:id="rId1442" ref="J1243"/>
    <hyperlink r:id="rId1443" ref="J1244"/>
    <hyperlink r:id="rId1444" ref="J1245"/>
    <hyperlink r:id="rId1445" ref="J1246"/>
    <hyperlink r:id="rId1446" ref="J1247"/>
    <hyperlink r:id="rId1447" ref="J1248"/>
    <hyperlink r:id="rId1448" ref="J1249"/>
    <hyperlink r:id="rId1449" ref="J1250"/>
    <hyperlink r:id="rId1450" ref="J1251"/>
    <hyperlink r:id="rId1451" ref="J1252"/>
    <hyperlink r:id="rId1452" ref="J1253"/>
    <hyperlink r:id="rId1453" ref="J1254"/>
    <hyperlink r:id="rId1454" ref="J1255"/>
    <hyperlink r:id="rId1455" ref="L1255"/>
    <hyperlink r:id="rId1456" ref="J1256"/>
    <hyperlink r:id="rId1457" ref="J1257"/>
    <hyperlink r:id="rId1458" ref="J1258"/>
    <hyperlink r:id="rId1459" ref="J1259"/>
    <hyperlink r:id="rId1460" ref="J1260"/>
    <hyperlink r:id="rId1461" ref="J1261"/>
    <hyperlink r:id="rId1462" ref="J1262"/>
    <hyperlink r:id="rId1463" ref="J1263"/>
    <hyperlink r:id="rId1464" ref="J1264"/>
    <hyperlink r:id="rId1465" ref="J1265"/>
    <hyperlink r:id="rId1466" ref="J1266"/>
    <hyperlink r:id="rId1467" ref="J1267"/>
    <hyperlink r:id="rId1468" ref="J1268"/>
    <hyperlink r:id="rId1469" ref="J1269"/>
    <hyperlink r:id="rId1470" ref="J1270"/>
    <hyperlink r:id="rId1471" ref="J1271"/>
    <hyperlink r:id="rId1472" ref="J1272"/>
    <hyperlink r:id="rId1473" ref="J1273"/>
    <hyperlink r:id="rId1474" ref="J1274"/>
    <hyperlink r:id="rId1475" ref="J1275"/>
    <hyperlink r:id="rId1476" ref="J1276"/>
    <hyperlink r:id="rId1477" ref="J1277"/>
    <hyperlink r:id="rId1478" ref="J1278"/>
    <hyperlink r:id="rId1479" ref="J1279"/>
    <hyperlink r:id="rId1480" ref="J1280"/>
    <hyperlink r:id="rId1481" ref="J1281"/>
    <hyperlink r:id="rId1482" ref="L1281"/>
    <hyperlink r:id="rId1483" ref="J1282"/>
    <hyperlink r:id="rId1484" ref="J1283"/>
    <hyperlink r:id="rId1485" ref="J1284"/>
    <hyperlink r:id="rId1486" ref="J1285"/>
    <hyperlink r:id="rId1487" ref="J1286"/>
    <hyperlink r:id="rId1488" ref="J1287"/>
    <hyperlink r:id="rId1489" ref="J1288"/>
    <hyperlink r:id="rId1490" ref="J1289"/>
    <hyperlink r:id="rId1491" ref="K1289"/>
    <hyperlink r:id="rId1492" ref="J1290"/>
    <hyperlink r:id="rId1493" ref="J1291"/>
    <hyperlink r:id="rId1494" ref="J1292"/>
    <hyperlink r:id="rId1495" ref="J1293"/>
    <hyperlink r:id="rId1496" ref="J1294"/>
    <hyperlink r:id="rId1497" ref="J1295"/>
    <hyperlink r:id="rId1498" ref="J1296"/>
    <hyperlink r:id="rId1499" ref="J1297"/>
    <hyperlink r:id="rId1500" ref="J1298"/>
    <hyperlink r:id="rId1501" ref="J1299"/>
    <hyperlink r:id="rId1502" ref="J1300"/>
    <hyperlink r:id="rId1503" ref="J1301"/>
    <hyperlink r:id="rId1504" ref="J1302"/>
    <hyperlink r:id="rId1505" ref="J1303"/>
    <hyperlink r:id="rId1506" ref="J1304"/>
    <hyperlink r:id="rId1507" ref="J1305"/>
    <hyperlink r:id="rId1508" ref="J1306"/>
    <hyperlink r:id="rId1509" ref="J1307"/>
    <hyperlink r:id="rId1510" ref="J1308"/>
    <hyperlink r:id="rId1511" ref="K1308"/>
    <hyperlink r:id="rId1512" ref="J1309"/>
    <hyperlink r:id="rId1513" ref="J1310"/>
    <hyperlink r:id="rId1514" ref="J1311"/>
    <hyperlink r:id="rId1515" ref="J1312"/>
    <hyperlink r:id="rId1516" ref="J1313"/>
    <hyperlink r:id="rId1517" ref="J1314"/>
    <hyperlink r:id="rId1518" ref="K1314"/>
    <hyperlink r:id="rId1519" ref="J1316"/>
    <hyperlink r:id="rId1520" ref="J1317"/>
    <hyperlink r:id="rId1521" ref="J1318"/>
    <hyperlink r:id="rId1522" ref="J1319"/>
    <hyperlink r:id="rId1523" ref="J1320"/>
    <hyperlink r:id="rId1524" ref="J1321"/>
    <hyperlink r:id="rId1525" ref="J1322"/>
    <hyperlink r:id="rId1526" ref="J1323"/>
    <hyperlink r:id="rId1527" ref="J1324"/>
    <hyperlink r:id="rId1528" ref="J1325"/>
    <hyperlink r:id="rId1529" ref="J1326"/>
    <hyperlink r:id="rId1530" ref="J1327"/>
    <hyperlink r:id="rId1531" ref="J1328"/>
    <hyperlink r:id="rId1532" ref="J1329"/>
    <hyperlink r:id="rId1533" ref="J1330"/>
    <hyperlink r:id="rId1534" ref="J1331"/>
    <hyperlink r:id="rId1535" ref="J1332"/>
    <hyperlink r:id="rId1536" ref="J1333"/>
    <hyperlink r:id="rId1537" ref="J1334"/>
    <hyperlink r:id="rId1538" ref="J1335"/>
    <hyperlink r:id="rId1539" ref="J1336"/>
    <hyperlink r:id="rId1540" ref="J1337"/>
    <hyperlink r:id="rId1541" ref="J1339"/>
    <hyperlink r:id="rId1542" ref="J1340"/>
    <hyperlink r:id="rId1543" ref="J1341"/>
    <hyperlink r:id="rId1544" ref="J1342"/>
    <hyperlink r:id="rId1545" ref="J1343"/>
    <hyperlink r:id="rId1546" ref="J1344"/>
    <hyperlink r:id="rId1547" ref="J1345"/>
    <hyperlink r:id="rId1548" ref="J1346"/>
    <hyperlink r:id="rId1549" ref="K1346"/>
    <hyperlink r:id="rId1550" ref="J1347"/>
    <hyperlink r:id="rId1551" ref="J1348"/>
    <hyperlink r:id="rId1552" ref="J1349"/>
    <hyperlink r:id="rId1553" ref="J1350"/>
    <hyperlink r:id="rId1554" ref="J1351"/>
    <hyperlink r:id="rId1555" ref="J1352"/>
    <hyperlink r:id="rId1556" ref="J1353"/>
    <hyperlink r:id="rId1557" ref="J1354"/>
    <hyperlink r:id="rId1558" ref="J1355"/>
    <hyperlink r:id="rId1559" ref="J1356"/>
    <hyperlink r:id="rId1560" ref="K1356"/>
    <hyperlink r:id="rId1561" ref="J1357"/>
    <hyperlink r:id="rId1562" ref="J1358"/>
    <hyperlink r:id="rId1563" ref="J1359"/>
    <hyperlink r:id="rId1564" ref="J1360"/>
    <hyperlink r:id="rId1565" ref="J1361"/>
    <hyperlink r:id="rId1566" ref="J1362"/>
    <hyperlink r:id="rId1567" ref="J1363"/>
    <hyperlink r:id="rId1568" ref="J1364"/>
    <hyperlink r:id="rId1569" ref="J1377"/>
    <hyperlink r:id="rId1570" ref="J1378"/>
    <hyperlink r:id="rId1571" ref="J1379"/>
    <hyperlink r:id="rId1572" ref="J1380"/>
    <hyperlink r:id="rId1573" ref="K1380"/>
    <hyperlink r:id="rId1574" ref="L1380"/>
    <hyperlink r:id="rId1575" ref="J1381"/>
    <hyperlink r:id="rId1576" ref="K1381"/>
    <hyperlink r:id="rId1577" ref="J1382"/>
    <hyperlink r:id="rId1578" ref="J1383"/>
    <hyperlink r:id="rId1579" ref="J1384"/>
    <hyperlink r:id="rId1580" ref="K1384"/>
    <hyperlink r:id="rId1581" ref="J1385"/>
    <hyperlink r:id="rId1582" ref="J1386"/>
    <hyperlink r:id="rId1583" ref="J1387"/>
    <hyperlink r:id="rId1584" ref="J1388"/>
    <hyperlink r:id="rId1585" ref="J1389"/>
    <hyperlink r:id="rId1586" ref="J1390"/>
    <hyperlink r:id="rId1587" ref="J1391"/>
    <hyperlink r:id="rId1588" ref="J1392"/>
    <hyperlink r:id="rId1589" ref="J1393"/>
    <hyperlink r:id="rId1590" ref="J1394"/>
    <hyperlink r:id="rId1591" ref="J1395"/>
    <hyperlink r:id="rId1592" ref="J1396"/>
    <hyperlink r:id="rId1593" ref="J1397"/>
    <hyperlink r:id="rId1594" ref="K1397"/>
    <hyperlink r:id="rId1595" ref="J1398"/>
    <hyperlink r:id="rId1596" ref="K1398"/>
    <hyperlink r:id="rId1597" ref="J1399"/>
    <hyperlink r:id="rId1598" ref="K1399"/>
    <hyperlink r:id="rId1599" ref="J1400"/>
    <hyperlink r:id="rId1600" ref="K1400"/>
    <hyperlink r:id="rId1601" ref="J1401"/>
    <hyperlink r:id="rId1602" ref="K1401"/>
    <hyperlink r:id="rId1603" ref="J1402"/>
    <hyperlink r:id="rId1604" ref="K1402"/>
    <hyperlink r:id="rId1605" ref="J1403"/>
    <hyperlink r:id="rId1606" ref="K1403"/>
    <hyperlink r:id="rId1607" ref="J1404"/>
    <hyperlink r:id="rId1608" ref="K1404"/>
    <hyperlink r:id="rId1609" ref="J1405"/>
    <hyperlink r:id="rId1610" ref="K1405"/>
    <hyperlink r:id="rId1611" ref="J1406"/>
    <hyperlink r:id="rId1612" ref="J1407"/>
    <hyperlink r:id="rId1613" ref="J1408"/>
    <hyperlink r:id="rId1614" ref="J1409"/>
    <hyperlink r:id="rId1615" ref="J1410"/>
    <hyperlink r:id="rId1616" ref="J1411"/>
    <hyperlink r:id="rId1617" ref="J1412"/>
    <hyperlink r:id="rId1618" ref="J1413"/>
    <hyperlink r:id="rId1619" ref="J1414"/>
    <hyperlink r:id="rId1620" ref="J1415"/>
    <hyperlink r:id="rId1621" ref="J1416"/>
    <hyperlink r:id="rId1622" ref="J1417"/>
    <hyperlink r:id="rId1623" ref="J1418"/>
    <hyperlink r:id="rId1624" ref="J1419"/>
    <hyperlink r:id="rId1625" ref="J1420"/>
    <hyperlink r:id="rId1626" ref="J1421"/>
    <hyperlink r:id="rId1627" ref="J1422"/>
    <hyperlink r:id="rId1628" ref="J1423"/>
    <hyperlink r:id="rId1629" ref="J1424"/>
    <hyperlink r:id="rId1630" ref="J1425"/>
    <hyperlink r:id="rId1631" ref="J1426"/>
    <hyperlink r:id="rId1632" ref="J1427"/>
    <hyperlink r:id="rId1633" ref="J1428"/>
    <hyperlink r:id="rId1634" ref="J1429"/>
    <hyperlink r:id="rId1635" ref="J1430"/>
    <hyperlink r:id="rId1636" ref="J1431"/>
    <hyperlink r:id="rId1637" ref="J1432"/>
    <hyperlink r:id="rId1638" ref="J1433"/>
    <hyperlink r:id="rId1639" ref="J1434"/>
    <hyperlink r:id="rId1640" ref="J1435"/>
    <hyperlink r:id="rId1641" ref="J1436"/>
    <hyperlink r:id="rId1642" ref="J1437"/>
    <hyperlink r:id="rId1643" ref="J1438"/>
    <hyperlink r:id="rId1644" ref="J1439"/>
    <hyperlink r:id="rId1645" ref="J1440"/>
    <hyperlink r:id="rId1646" ref="J1441"/>
    <hyperlink r:id="rId1647" ref="J1442"/>
    <hyperlink r:id="rId1648" ref="J1443"/>
    <hyperlink r:id="rId1649" ref="J1444"/>
    <hyperlink r:id="rId1650" ref="J1445"/>
    <hyperlink r:id="rId1651" ref="J1446"/>
    <hyperlink r:id="rId1652" ref="J1447"/>
    <hyperlink r:id="rId1653" ref="K1447"/>
    <hyperlink r:id="rId1654" ref="J1448"/>
    <hyperlink r:id="rId1655" ref="K1448"/>
    <hyperlink r:id="rId1656" ref="J1449"/>
    <hyperlink r:id="rId1657" ref="K1449"/>
    <hyperlink r:id="rId1658" ref="J1450"/>
    <hyperlink r:id="rId1659" ref="K1450"/>
    <hyperlink r:id="rId1660" ref="J1451"/>
    <hyperlink r:id="rId1661" ref="K1451"/>
    <hyperlink r:id="rId1662" ref="J1452"/>
    <hyperlink r:id="rId1663" ref="K1452"/>
    <hyperlink r:id="rId1664" ref="J1453"/>
    <hyperlink r:id="rId1665" ref="K1453"/>
    <hyperlink r:id="rId1666" ref="J1454"/>
    <hyperlink r:id="rId1667" ref="K1454"/>
    <hyperlink r:id="rId1668" ref="J1455"/>
    <hyperlink r:id="rId1669" ref="K1455"/>
    <hyperlink r:id="rId1670" ref="J1456"/>
    <hyperlink r:id="rId1671" ref="K1456"/>
    <hyperlink r:id="rId1672" ref="J1457"/>
    <hyperlink r:id="rId1673" ref="J1458"/>
    <hyperlink r:id="rId1674" ref="J1459"/>
    <hyperlink r:id="rId1675" ref="J1460"/>
    <hyperlink r:id="rId1676" ref="J1461"/>
    <hyperlink r:id="rId1677" ref="J1462"/>
    <hyperlink r:id="rId1678" ref="J1463"/>
    <hyperlink r:id="rId1679" ref="J1464"/>
    <hyperlink r:id="rId1680" ref="J1465"/>
    <hyperlink r:id="rId1681" ref="J1466"/>
    <hyperlink r:id="rId1682" ref="J1467"/>
    <hyperlink r:id="rId1683" ref="J1468"/>
    <hyperlink r:id="rId1684" ref="J1471"/>
    <hyperlink r:id="rId1685" ref="J1472"/>
    <hyperlink r:id="rId1686" ref="J1473"/>
    <hyperlink r:id="rId1687" ref="J1474"/>
    <hyperlink r:id="rId1688" ref="J1475"/>
    <hyperlink r:id="rId1689" ref="J1476"/>
    <hyperlink r:id="rId1690" ref="J1477"/>
    <hyperlink r:id="rId1691" ref="J1478"/>
    <hyperlink r:id="rId1692" ref="J1479"/>
    <hyperlink r:id="rId1693" ref="J1480"/>
    <hyperlink r:id="rId1694" ref="J1481"/>
    <hyperlink r:id="rId1695" ref="J1482"/>
    <hyperlink r:id="rId1696" ref="J1483"/>
    <hyperlink r:id="rId1697" ref="J1484"/>
    <hyperlink r:id="rId1698" ref="J1485"/>
    <hyperlink r:id="rId1699" ref="J1486"/>
    <hyperlink r:id="rId1700" ref="J1487"/>
    <hyperlink r:id="rId1701" ref="J1488"/>
    <hyperlink r:id="rId1702" ref="J1489"/>
    <hyperlink r:id="rId1703" ref="J1490"/>
    <hyperlink r:id="rId1704" ref="J1491"/>
    <hyperlink r:id="rId1705" ref="J1492"/>
    <hyperlink r:id="rId1706" ref="J1493"/>
    <hyperlink r:id="rId1707" ref="J1494"/>
    <hyperlink r:id="rId1708" ref="J1495"/>
    <hyperlink r:id="rId1709" ref="J1496"/>
    <hyperlink r:id="rId1710" ref="J1497"/>
    <hyperlink r:id="rId1711" ref="J1498"/>
    <hyperlink r:id="rId1712" ref="J1499"/>
    <hyperlink r:id="rId1713" ref="J1500"/>
    <hyperlink r:id="rId1714" ref="J1501"/>
    <hyperlink r:id="rId1715" ref="J1502"/>
    <hyperlink r:id="rId1716" ref="J1503"/>
    <hyperlink r:id="rId1717" ref="J1504"/>
    <hyperlink r:id="rId1718" ref="J1505"/>
    <hyperlink r:id="rId1719" ref="J1506"/>
    <hyperlink r:id="rId1720" ref="J1507"/>
    <hyperlink r:id="rId1721" ref="J1508"/>
    <hyperlink r:id="rId1722" ref="J1509"/>
    <hyperlink r:id="rId1723" ref="J1510"/>
    <hyperlink r:id="rId1724" ref="J1511"/>
    <hyperlink r:id="rId1725" ref="J1512"/>
    <hyperlink r:id="rId1726" ref="J1513"/>
    <hyperlink r:id="rId1727" ref="J1514"/>
    <hyperlink r:id="rId1728" ref="J1515"/>
    <hyperlink r:id="rId1729" ref="J1516"/>
    <hyperlink r:id="rId1730" ref="J1517"/>
    <hyperlink r:id="rId1731" ref="J1518"/>
    <hyperlink r:id="rId1732" ref="J1519"/>
    <hyperlink r:id="rId1733" ref="J1520"/>
    <hyperlink r:id="rId1734" ref="J1521"/>
    <hyperlink r:id="rId1735" ref="J1522"/>
    <hyperlink r:id="rId1736" ref="J1523"/>
    <hyperlink r:id="rId1737" ref="J1524"/>
    <hyperlink r:id="rId1738" ref="J1525"/>
    <hyperlink r:id="rId1739" ref="J1526"/>
    <hyperlink r:id="rId1740" ref="J1527"/>
    <hyperlink r:id="rId1741" ref="J1528"/>
    <hyperlink r:id="rId1742" ref="J1529"/>
    <hyperlink r:id="rId1743" ref="J1530"/>
    <hyperlink r:id="rId1744" ref="J1531"/>
    <hyperlink r:id="rId1745" ref="J1532"/>
    <hyperlink r:id="rId1746" ref="J1533"/>
    <hyperlink r:id="rId1747" ref="J1534"/>
    <hyperlink r:id="rId1748" ref="J1535"/>
    <hyperlink r:id="rId1749" ref="J1536"/>
    <hyperlink r:id="rId1750" ref="J1537"/>
    <hyperlink r:id="rId1751" ref="J1538"/>
    <hyperlink r:id="rId1752" ref="J1539"/>
    <hyperlink r:id="rId1753" ref="J1540"/>
    <hyperlink r:id="rId1754" ref="J1541"/>
    <hyperlink r:id="rId1755" ref="J1542"/>
    <hyperlink r:id="rId1756" ref="J1543"/>
    <hyperlink r:id="rId1757" ref="J1544"/>
    <hyperlink r:id="rId1758" ref="J1545"/>
    <hyperlink r:id="rId1759" ref="J1546"/>
    <hyperlink r:id="rId1760" ref="J1547"/>
    <hyperlink r:id="rId1761" ref="J1548"/>
    <hyperlink r:id="rId1762" ref="J1549"/>
    <hyperlink r:id="rId1763" ref="J1550"/>
    <hyperlink r:id="rId1764" ref="J1551"/>
    <hyperlink r:id="rId1765" ref="J1552"/>
    <hyperlink r:id="rId1766" ref="J1553"/>
    <hyperlink r:id="rId1767" ref="J1554"/>
    <hyperlink r:id="rId1768" ref="J1555"/>
    <hyperlink r:id="rId1769" ref="K1555"/>
    <hyperlink r:id="rId1770" ref="J1556"/>
    <hyperlink r:id="rId1771" ref="J1557"/>
    <hyperlink r:id="rId1772" ref="J1558"/>
    <hyperlink r:id="rId1773" ref="J1559"/>
    <hyperlink r:id="rId1774" ref="J1560"/>
    <hyperlink r:id="rId1775" ref="J1561"/>
    <hyperlink r:id="rId1776" ref="J1562"/>
    <hyperlink r:id="rId1777" ref="J1563"/>
    <hyperlink r:id="rId1778" ref="J1564"/>
    <hyperlink r:id="rId1779" ref="J1565"/>
    <hyperlink r:id="rId1780" ref="J1566"/>
    <hyperlink r:id="rId1781" ref="J1567"/>
    <hyperlink r:id="rId1782" ref="J1568"/>
    <hyperlink r:id="rId1783" ref="J1569"/>
    <hyperlink r:id="rId1784" ref="J1570"/>
    <hyperlink r:id="rId1785" ref="J1571"/>
    <hyperlink r:id="rId1786" ref="J1572"/>
    <hyperlink r:id="rId1787" ref="J1573"/>
    <hyperlink r:id="rId1788" ref="J1574"/>
    <hyperlink r:id="rId1789" ref="J1575"/>
    <hyperlink r:id="rId1790" ref="J1576"/>
    <hyperlink r:id="rId1791" ref="J1577"/>
    <hyperlink r:id="rId1792" ref="J1578"/>
    <hyperlink r:id="rId1793" ref="J1579"/>
    <hyperlink r:id="rId1794" ref="J1580"/>
    <hyperlink r:id="rId1795" ref="J1581"/>
    <hyperlink r:id="rId1796" ref="J1582"/>
    <hyperlink r:id="rId1797" ref="J1583"/>
    <hyperlink r:id="rId1798" ref="J1584"/>
    <hyperlink r:id="rId1799" ref="J1585"/>
    <hyperlink r:id="rId1800" ref="J1586"/>
    <hyperlink r:id="rId1801" ref="J1587"/>
    <hyperlink r:id="rId1802" ref="J1588"/>
    <hyperlink r:id="rId1803" ref="J1589"/>
    <hyperlink r:id="rId1804" ref="J1590"/>
    <hyperlink r:id="rId1805" ref="J1591"/>
    <hyperlink r:id="rId1806" ref="J1592"/>
    <hyperlink r:id="rId1807" ref="J1593"/>
    <hyperlink r:id="rId1808" ref="J1594"/>
    <hyperlink r:id="rId1809" ref="J1595"/>
    <hyperlink r:id="rId1810" ref="J1596"/>
    <hyperlink r:id="rId1811" ref="J1597"/>
    <hyperlink r:id="rId1812" ref="J1598"/>
    <hyperlink r:id="rId1813" ref="J1599"/>
    <hyperlink r:id="rId1814" ref="J1600"/>
    <hyperlink r:id="rId1815" ref="J1601"/>
    <hyperlink r:id="rId1816" ref="J1602"/>
    <hyperlink r:id="rId1817" ref="J1603"/>
    <hyperlink r:id="rId1818" ref="J1604"/>
    <hyperlink r:id="rId1819" ref="J1605"/>
    <hyperlink r:id="rId1820" ref="J1606"/>
    <hyperlink r:id="rId1821" ref="J1607"/>
    <hyperlink r:id="rId1822" ref="J1608"/>
    <hyperlink r:id="rId1823" ref="J1609"/>
    <hyperlink r:id="rId1824" ref="J1610"/>
    <hyperlink r:id="rId1825" ref="J1611"/>
    <hyperlink r:id="rId1826" ref="J1612"/>
    <hyperlink r:id="rId1827" ref="J1613"/>
    <hyperlink r:id="rId1828" ref="J1614"/>
    <hyperlink r:id="rId1829" ref="J1615"/>
    <hyperlink r:id="rId1830" ref="J1616"/>
    <hyperlink r:id="rId1831" ref="J1617"/>
    <hyperlink r:id="rId1832" ref="J1618"/>
    <hyperlink r:id="rId1833" ref="J1619"/>
    <hyperlink r:id="rId1834" ref="J1620"/>
    <hyperlink r:id="rId1835" ref="J1622"/>
    <hyperlink r:id="rId1836" ref="K1622"/>
    <hyperlink r:id="rId1837" ref="J1623"/>
    <hyperlink r:id="rId1838" ref="J1624"/>
    <hyperlink r:id="rId1839" ref="J1625"/>
    <hyperlink r:id="rId1840" ref="J1626"/>
    <hyperlink r:id="rId1841" ref="J1627"/>
    <hyperlink r:id="rId1842" ref="J1628"/>
    <hyperlink r:id="rId1843" ref="J1629"/>
    <hyperlink r:id="rId1844" ref="L1629"/>
    <hyperlink r:id="rId1845" ref="J1630"/>
    <hyperlink r:id="rId1846" ref="J1631"/>
    <hyperlink r:id="rId1847" ref="J1632"/>
    <hyperlink r:id="rId1848" ref="J1633"/>
    <hyperlink r:id="rId1849" ref="J1634"/>
    <hyperlink r:id="rId1850" ref="J1635"/>
    <hyperlink r:id="rId1851" ref="J1636"/>
    <hyperlink r:id="rId1852" ref="J1637"/>
    <hyperlink r:id="rId1853" ref="J1638"/>
    <hyperlink r:id="rId1854" ref="J1639"/>
    <hyperlink r:id="rId1855" ref="J1640"/>
    <hyperlink r:id="rId1856" ref="J1641"/>
    <hyperlink r:id="rId1857" ref="J1642"/>
    <hyperlink r:id="rId1858" ref="J1643"/>
    <hyperlink r:id="rId1859" ref="J1644"/>
    <hyperlink r:id="rId1860" ref="K1644"/>
    <hyperlink r:id="rId1861" ref="L1644"/>
    <hyperlink r:id="rId1862" ref="J1645"/>
    <hyperlink r:id="rId1863" ref="J1646"/>
    <hyperlink r:id="rId1864" ref="K1646"/>
    <hyperlink r:id="rId1865" ref="J1647"/>
    <hyperlink r:id="rId1866" ref="K1647"/>
    <hyperlink r:id="rId1867" ref="J1648"/>
    <hyperlink r:id="rId1868" ref="J1649"/>
    <hyperlink r:id="rId1869" ref="K1649"/>
    <hyperlink r:id="rId1870" ref="L1649"/>
    <hyperlink r:id="rId1871" ref="J1650"/>
    <hyperlink r:id="rId1872" ref="J1651"/>
    <hyperlink r:id="rId1873" ref="J1652"/>
    <hyperlink r:id="rId1874" ref="J1653"/>
    <hyperlink r:id="rId1875" ref="J1654"/>
    <hyperlink r:id="rId1876" ref="J1655"/>
    <hyperlink r:id="rId1877" ref="J1656"/>
    <hyperlink r:id="rId1878" ref="J1657"/>
    <hyperlink r:id="rId1879" ref="J1658"/>
    <hyperlink r:id="rId1880" ref="J1659"/>
    <hyperlink r:id="rId1881" ref="J1660"/>
    <hyperlink r:id="rId1882" ref="J1663"/>
    <hyperlink r:id="rId1883" ref="J1664"/>
    <hyperlink r:id="rId1884" ref="J1665"/>
    <hyperlink r:id="rId1885" ref="K1858"/>
    <hyperlink r:id="rId1886" ref="K1868"/>
    <hyperlink r:id="rId1887" ref="J2209"/>
    <hyperlink r:id="rId1888" ref="K2209"/>
    <hyperlink r:id="rId1889" ref="L2209"/>
    <hyperlink r:id="rId1890" ref="J2210"/>
    <hyperlink r:id="rId1891" ref="J2211"/>
    <hyperlink r:id="rId1892" ref="K2211"/>
    <hyperlink r:id="rId1893" ref="J2212"/>
    <hyperlink r:id="rId1894" ref="K2212"/>
    <hyperlink r:id="rId1895" ref="J2213"/>
    <hyperlink r:id="rId1896" ref="K2213"/>
    <hyperlink r:id="rId1897" ref="J2214"/>
    <hyperlink r:id="rId1898" ref="K2214"/>
    <hyperlink r:id="rId1899" ref="J2215"/>
    <hyperlink r:id="rId1900" ref="J2216"/>
    <hyperlink r:id="rId1901" ref="J2217"/>
    <hyperlink r:id="rId1902" ref="J2218"/>
    <hyperlink r:id="rId1903" ref="J2219"/>
    <hyperlink r:id="rId1904" ref="J2220"/>
    <hyperlink r:id="rId1905" ref="J2221"/>
    <hyperlink r:id="rId1906" ref="J2222"/>
    <hyperlink r:id="rId1907" ref="J2223"/>
    <hyperlink r:id="rId1908" ref="J2224"/>
    <hyperlink r:id="rId1909" ref="J2230"/>
    <hyperlink r:id="rId1910" ref="J2231"/>
    <hyperlink r:id="rId1911" ref="J2232"/>
    <hyperlink r:id="rId1912" ref="J2233"/>
    <hyperlink r:id="rId1913" ref="J2234"/>
    <hyperlink r:id="rId1914" ref="K2234"/>
    <hyperlink r:id="rId1915" ref="L2234"/>
    <hyperlink r:id="rId1916" ref="J2235"/>
    <hyperlink r:id="rId1917" ref="J2236"/>
    <hyperlink r:id="rId1918" ref="J2237"/>
    <hyperlink r:id="rId1919" ref="J2238"/>
    <hyperlink r:id="rId1920" ref="J2239"/>
    <hyperlink r:id="rId1921" ref="J2240"/>
    <hyperlink r:id="rId1922" ref="J2241"/>
    <hyperlink r:id="rId1923" ref="J2242"/>
    <hyperlink r:id="rId1924" ref="J2243"/>
    <hyperlink r:id="rId1925" ref="K2243"/>
    <hyperlink r:id="rId1926" ref="J2244"/>
    <hyperlink r:id="rId1927" ref="L2244"/>
    <hyperlink r:id="rId1928" ref="J2245"/>
    <hyperlink r:id="rId1929" ref="J2246"/>
    <hyperlink r:id="rId1930" ref="L2246"/>
    <hyperlink r:id="rId1931" ref="J2247"/>
    <hyperlink r:id="rId1932" ref="K2247"/>
    <hyperlink r:id="rId1933" ref="J2248"/>
    <hyperlink r:id="rId1934" ref="J2249"/>
    <hyperlink r:id="rId1935" ref="K2249"/>
    <hyperlink r:id="rId1936" ref="J2250"/>
    <hyperlink r:id="rId1937" ref="K2250"/>
    <hyperlink r:id="rId1938" ref="J2251"/>
    <hyperlink r:id="rId1939" ref="J2252"/>
    <hyperlink r:id="rId1940" ref="J2253"/>
    <hyperlink r:id="rId1941" ref="J2254"/>
    <hyperlink r:id="rId1942" ref="K2254"/>
    <hyperlink r:id="rId1943" ref="J2255"/>
    <hyperlink r:id="rId1944" ref="J2256"/>
    <hyperlink r:id="rId1945" ref="J2257"/>
    <hyperlink r:id="rId1946" ref="J2258"/>
    <hyperlink r:id="rId1947" ref="L2258"/>
    <hyperlink r:id="rId1948" ref="J2259"/>
    <hyperlink r:id="rId1949" ref="J2260"/>
    <hyperlink r:id="rId1950" ref="K2260"/>
    <hyperlink r:id="rId1951" ref="L2260"/>
    <hyperlink r:id="rId1952" ref="J2261"/>
    <hyperlink r:id="rId1953" ref="J2262"/>
    <hyperlink r:id="rId1954" ref="J2266"/>
    <hyperlink r:id="rId1955" ref="J2267"/>
    <hyperlink r:id="rId1956" ref="J2268"/>
    <hyperlink r:id="rId1957" ref="J2269"/>
    <hyperlink r:id="rId1958" ref="J2270"/>
    <hyperlink r:id="rId1959" ref="J2271"/>
    <hyperlink r:id="rId1960" ref="K2271"/>
    <hyperlink r:id="rId1961" ref="J2272"/>
    <hyperlink r:id="rId1962" ref="J2273"/>
    <hyperlink r:id="rId1963" ref="J2274"/>
    <hyperlink r:id="rId1964" location="google_vignette" ref="J2275"/>
    <hyperlink r:id="rId1965" ref="J2276"/>
    <hyperlink r:id="rId1966" ref="J2277"/>
    <hyperlink r:id="rId1967" ref="J2278"/>
    <hyperlink r:id="rId1968" ref="J2281"/>
    <hyperlink r:id="rId1969" location="vca=fixed-btn&amp;vso=rrss&amp;vmc=tw&amp;vli=unicaja" ref="J2282"/>
    <hyperlink r:id="rId1970" ref="J2283"/>
    <hyperlink r:id="rId1971" ref="J2284"/>
    <hyperlink r:id="rId1972" ref="K2284"/>
    <hyperlink r:id="rId1973" ref="J2285"/>
    <hyperlink r:id="rId1974" ref="J2286"/>
    <hyperlink r:id="rId1975" ref="J2287"/>
    <hyperlink r:id="rId1976" ref="J2288"/>
    <hyperlink r:id="rId1977" ref="J2289"/>
    <hyperlink r:id="rId1978" ref="J2290"/>
    <hyperlink r:id="rId1979" ref="J2291"/>
    <hyperlink r:id="rId1980" ref="J2293"/>
    <hyperlink r:id="rId1981" ref="J2294"/>
    <hyperlink r:id="rId1982" ref="J2295"/>
    <hyperlink r:id="rId1983" ref="J2296"/>
    <hyperlink r:id="rId1984" ref="J2297"/>
    <hyperlink r:id="rId1985" ref="J2298"/>
    <hyperlink r:id="rId1986" ref="J2299"/>
    <hyperlink r:id="rId1987" ref="L2299"/>
    <hyperlink r:id="rId1988" ref="J2300"/>
    <hyperlink r:id="rId1989" ref="J2301"/>
    <hyperlink r:id="rId1990" ref="K2301"/>
    <hyperlink r:id="rId1991" ref="J2302"/>
    <hyperlink r:id="rId1992" ref="K2302"/>
    <hyperlink r:id="rId1993" ref="J2303"/>
    <hyperlink r:id="rId1994" ref="J2304"/>
    <hyperlink r:id="rId1995" ref="J2305"/>
    <hyperlink r:id="rId1996" ref="J2306"/>
    <hyperlink r:id="rId1997" ref="J2307"/>
    <hyperlink r:id="rId1998" ref="J2308"/>
    <hyperlink r:id="rId1999" ref="K2308"/>
    <hyperlink r:id="rId2000" ref="J2309"/>
    <hyperlink r:id="rId2001" ref="K2309"/>
    <hyperlink r:id="rId2002" ref="J2310"/>
    <hyperlink r:id="rId2003" ref="L2310"/>
    <hyperlink r:id="rId2004" ref="J2311"/>
    <hyperlink r:id="rId2005" ref="K2311"/>
    <hyperlink r:id="rId2006" ref="L2311"/>
    <hyperlink r:id="rId2007" ref="J2317"/>
    <hyperlink r:id="rId2008" ref="J2318"/>
    <hyperlink r:id="rId2009" ref="J2319"/>
    <hyperlink r:id="rId2010" ref="K2319"/>
    <hyperlink r:id="rId2011" ref="L2319"/>
    <hyperlink r:id="rId2012" ref="J2320"/>
    <hyperlink r:id="rId2013" ref="J2321"/>
    <hyperlink r:id="rId2014" ref="J2322"/>
    <hyperlink r:id="rId2015" ref="J2323"/>
    <hyperlink r:id="rId2016" ref="J2324"/>
    <hyperlink r:id="rId2017" ref="J2325"/>
    <hyperlink r:id="rId2018" ref="K2325"/>
    <hyperlink r:id="rId2019" ref="L2325"/>
    <hyperlink r:id="rId2020" ref="J2326"/>
    <hyperlink r:id="rId2021" ref="J2327"/>
    <hyperlink r:id="rId2022" ref="K2327"/>
    <hyperlink r:id="rId2023" ref="J2328"/>
    <hyperlink r:id="rId2024" ref="J2329"/>
    <hyperlink r:id="rId2025" ref="J2330"/>
    <hyperlink r:id="rId2026" ref="K2330"/>
    <hyperlink r:id="rId2027" ref="J2331"/>
    <hyperlink r:id="rId2028" ref="J2332"/>
    <hyperlink r:id="rId2029" ref="K2332"/>
    <hyperlink r:id="rId2030" ref="J2333"/>
    <hyperlink r:id="rId2031" ref="J2334"/>
    <hyperlink r:id="rId2032" ref="J2335"/>
    <hyperlink r:id="rId2033" location="google_vignette" ref="K2335"/>
    <hyperlink r:id="rId2034" ref="J2336"/>
    <hyperlink r:id="rId2035" ref="J2337"/>
    <hyperlink r:id="rId2036" ref="J2338"/>
    <hyperlink r:id="rId2037" ref="J2339"/>
    <hyperlink r:id="rId2038" ref="J2340"/>
    <hyperlink r:id="rId2039" ref="J2341"/>
    <hyperlink r:id="rId2040" ref="J2342"/>
    <hyperlink r:id="rId2041" ref="J2343"/>
    <hyperlink r:id="rId2042" ref="J2344"/>
    <hyperlink r:id="rId2043" ref="J2345"/>
    <hyperlink r:id="rId2044" ref="J2346"/>
    <hyperlink r:id="rId2045" ref="J2347"/>
    <hyperlink r:id="rId2046" ref="J2348"/>
    <hyperlink r:id="rId2047" ref="J2349"/>
    <hyperlink r:id="rId2048" ref="J2350"/>
    <hyperlink r:id="rId2049" ref="J2351"/>
    <hyperlink r:id="rId2050" ref="J2352"/>
    <hyperlink r:id="rId2051" ref="J2353"/>
    <hyperlink r:id="rId2052" ref="J2354"/>
    <hyperlink r:id="rId2053" ref="J2355"/>
    <hyperlink r:id="rId2054" ref="J2357"/>
    <hyperlink r:id="rId2055" ref="K2357"/>
    <hyperlink r:id="rId2056" ref="L2357"/>
    <hyperlink r:id="rId2057" ref="J2358"/>
    <hyperlink r:id="rId2058" ref="K2358"/>
    <hyperlink r:id="rId2059" ref="J2359"/>
    <hyperlink r:id="rId2060" ref="J2360"/>
    <hyperlink r:id="rId2061" ref="K2360"/>
    <hyperlink r:id="rId2062" ref="L2360"/>
    <hyperlink r:id="rId2063" ref="J2361"/>
    <hyperlink r:id="rId2064" ref="K2361"/>
    <hyperlink r:id="rId2065" ref="L2361"/>
    <hyperlink r:id="rId2066" ref="J2362"/>
    <hyperlink r:id="rId2067" ref="J2363"/>
    <hyperlink r:id="rId2068" ref="L2363"/>
    <hyperlink r:id="rId2069" ref="J2365"/>
    <hyperlink r:id="rId2070" ref="K2365"/>
    <hyperlink r:id="rId2071" ref="L2365"/>
    <hyperlink r:id="rId2072" ref="J2366"/>
    <hyperlink r:id="rId2073" ref="J2367"/>
    <hyperlink r:id="rId2074" ref="K2367"/>
    <hyperlink r:id="rId2075" ref="J2371"/>
    <hyperlink r:id="rId2076" ref="J2372"/>
    <hyperlink r:id="rId2077" ref="K2372"/>
    <hyperlink r:id="rId2078" ref="L2372"/>
    <hyperlink r:id="rId2079" ref="J2373"/>
    <hyperlink r:id="rId2080" ref="J2374"/>
    <hyperlink r:id="rId2081" ref="J2375"/>
    <hyperlink r:id="rId2082" ref="L2375"/>
    <hyperlink r:id="rId2083" ref="J2376"/>
    <hyperlink r:id="rId2084" ref="K2376"/>
    <hyperlink r:id="rId2085" ref="J2377"/>
    <hyperlink r:id="rId2086" ref="J2378"/>
    <hyperlink r:id="rId2087" ref="J2379"/>
    <hyperlink r:id="rId2088" ref="J2380"/>
    <hyperlink r:id="rId2089" ref="J2381"/>
    <hyperlink r:id="rId2090" ref="K2381"/>
    <hyperlink r:id="rId2091" ref="L2381"/>
    <hyperlink r:id="rId2092" ref="J2382"/>
    <hyperlink r:id="rId2093" ref="L2382"/>
    <hyperlink r:id="rId2094" ref="J2383"/>
    <hyperlink r:id="rId2095" ref="K2383"/>
    <hyperlink r:id="rId2096" ref="J2384"/>
    <hyperlink r:id="rId2097" ref="L2384"/>
    <hyperlink r:id="rId2098" ref="J2385"/>
    <hyperlink r:id="rId2099" ref="K2385"/>
    <hyperlink r:id="rId2100" ref="L2385"/>
    <hyperlink r:id="rId2101" ref="J2386"/>
    <hyperlink r:id="rId2102" ref="J2387"/>
    <hyperlink r:id="rId2103" ref="K2387"/>
    <hyperlink r:id="rId2104" ref="J2388"/>
    <hyperlink r:id="rId2105" ref="L2388"/>
    <hyperlink r:id="rId2106" ref="J2389"/>
    <hyperlink r:id="rId2107" ref="K2389"/>
    <hyperlink r:id="rId2108" ref="J2390"/>
    <hyperlink r:id="rId2109" ref="K2390"/>
    <hyperlink r:id="rId2110" ref="J2391"/>
    <hyperlink r:id="rId2111" ref="L2391"/>
    <hyperlink r:id="rId2112" ref="J2392"/>
    <hyperlink r:id="rId2113" ref="K2392"/>
    <hyperlink r:id="rId2114" ref="J2393"/>
    <hyperlink r:id="rId2115" ref="K2393"/>
    <hyperlink r:id="rId2116" ref="J2394"/>
    <hyperlink r:id="rId2117" ref="K2394"/>
    <hyperlink r:id="rId2118" ref="J2395"/>
    <hyperlink r:id="rId2119" ref="K2395"/>
    <hyperlink r:id="rId2120" ref="J2396"/>
    <hyperlink r:id="rId2121" ref="K2396"/>
    <hyperlink r:id="rId2122" ref="J2397"/>
    <hyperlink r:id="rId2123" ref="J2398"/>
    <hyperlink r:id="rId2124" ref="K2398"/>
    <hyperlink r:id="rId2125" ref="J2399"/>
    <hyperlink r:id="rId2126" ref="J2400"/>
    <hyperlink r:id="rId2127" ref="K2400"/>
    <hyperlink r:id="rId2128" ref="L2400"/>
    <hyperlink r:id="rId2129" ref="J2401"/>
    <hyperlink r:id="rId2130" ref="J2402"/>
    <hyperlink r:id="rId2131" ref="K2402"/>
    <hyperlink r:id="rId2132" ref="L2402"/>
    <hyperlink r:id="rId2133" ref="J2403"/>
    <hyperlink r:id="rId2134" ref="J2404"/>
    <hyperlink r:id="rId2135" ref="J2405"/>
    <hyperlink r:id="rId2136" ref="J2406"/>
    <hyperlink r:id="rId2137" ref="J2407"/>
    <hyperlink r:id="rId2138" ref="J2408"/>
    <hyperlink r:id="rId2139" ref="K2408"/>
    <hyperlink r:id="rId2140" ref="J2409"/>
    <hyperlink r:id="rId2141" ref="K2409"/>
    <hyperlink r:id="rId2142" ref="L2409"/>
    <hyperlink r:id="rId2143" ref="J2410"/>
    <hyperlink r:id="rId2144" ref="J2411"/>
    <hyperlink r:id="rId2145" ref="J2412"/>
    <hyperlink r:id="rId2146" ref="J2413"/>
    <hyperlink r:id="rId2147" ref="J2414"/>
    <hyperlink r:id="rId2148" ref="J2415"/>
    <hyperlink r:id="rId2149" ref="J2416"/>
    <hyperlink r:id="rId2150" ref="K2416"/>
    <hyperlink r:id="rId2151" ref="J2417"/>
    <hyperlink r:id="rId2152" ref="J2418"/>
    <hyperlink r:id="rId2153" ref="J2419"/>
    <hyperlink r:id="rId2154" ref="K2419"/>
    <hyperlink r:id="rId2155" ref="J2420"/>
    <hyperlink r:id="rId2156" ref="J2421"/>
    <hyperlink r:id="rId2157" ref="K2421"/>
    <hyperlink r:id="rId2158" ref="J2422"/>
    <hyperlink r:id="rId2159" ref="K2422"/>
    <hyperlink r:id="rId2160" ref="J2423"/>
    <hyperlink r:id="rId2161" ref="J2424"/>
    <hyperlink r:id="rId2162" ref="J2425"/>
    <hyperlink r:id="rId2163" ref="J2426"/>
    <hyperlink r:id="rId2164" ref="J2427"/>
    <hyperlink r:id="rId2165" ref="J2428"/>
    <hyperlink r:id="rId2166" ref="J2429"/>
    <hyperlink r:id="rId2167" ref="J2430"/>
    <hyperlink r:id="rId2168" ref="J2431"/>
    <hyperlink r:id="rId2169" ref="J2432"/>
    <hyperlink r:id="rId2170" ref="J2433"/>
    <hyperlink r:id="rId2171" ref="K2433"/>
    <hyperlink r:id="rId2172" ref="J2434"/>
    <hyperlink r:id="rId2173" ref="J2435"/>
    <hyperlink r:id="rId2174" ref="J2436"/>
    <hyperlink r:id="rId2175" ref="J2437"/>
    <hyperlink r:id="rId2176" ref="J2438"/>
    <hyperlink r:id="rId2177" ref="K2438"/>
    <hyperlink r:id="rId2178" ref="L2438"/>
    <hyperlink r:id="rId2179" ref="J2439"/>
    <hyperlink r:id="rId2180" ref="K2439"/>
    <hyperlink r:id="rId2181" ref="J2440"/>
    <hyperlink r:id="rId2182" ref="K2440"/>
    <hyperlink r:id="rId2183" ref="J2441"/>
    <hyperlink r:id="rId2184" ref="J2442"/>
    <hyperlink r:id="rId2185" ref="J2444"/>
    <hyperlink r:id="rId2186" ref="J2445"/>
    <hyperlink r:id="rId2187" ref="J2446"/>
    <hyperlink r:id="rId2188" ref="J2447"/>
    <hyperlink r:id="rId2189" ref="J2448"/>
    <hyperlink r:id="rId2190" ref="L2448"/>
    <hyperlink r:id="rId2191" ref="J2450"/>
    <hyperlink r:id="rId2192" ref="J2451"/>
    <hyperlink r:id="rId2193" ref="J2452"/>
    <hyperlink r:id="rId2194" ref="L2452"/>
    <hyperlink r:id="rId2195" ref="J2453"/>
    <hyperlink r:id="rId2196" ref="K2453"/>
    <hyperlink r:id="rId2197" ref="J2454"/>
    <hyperlink r:id="rId2198" ref="J2455"/>
    <hyperlink r:id="rId2199" ref="J2456"/>
    <hyperlink r:id="rId2200" ref="J2458"/>
    <hyperlink r:id="rId2201" ref="J2459"/>
    <hyperlink r:id="rId2202" ref="J2460"/>
    <hyperlink r:id="rId2203" ref="J2462"/>
    <hyperlink r:id="rId2204" ref="J2464"/>
    <hyperlink r:id="rId2205" ref="K2464"/>
    <hyperlink r:id="rId2206" ref="J2465"/>
    <hyperlink r:id="rId2207" ref="K2465"/>
    <hyperlink r:id="rId2208" ref="J2466"/>
    <hyperlink r:id="rId2209" ref="K2466"/>
    <hyperlink r:id="rId2210" ref="J2467"/>
    <hyperlink r:id="rId2211" ref="K2467"/>
    <hyperlink r:id="rId2212" ref="J2468"/>
    <hyperlink r:id="rId2213" ref="K2468"/>
    <hyperlink r:id="rId2214" ref="J2469"/>
    <hyperlink r:id="rId2215" ref="K2469"/>
    <hyperlink r:id="rId2216" ref="J2470"/>
    <hyperlink r:id="rId2217" ref="K2470"/>
    <hyperlink r:id="rId2218" ref="J2471"/>
    <hyperlink r:id="rId2219" ref="K2471"/>
    <hyperlink r:id="rId2220" ref="J2472"/>
    <hyperlink r:id="rId2221" ref="K2472"/>
    <hyperlink r:id="rId2222" ref="J2473"/>
    <hyperlink r:id="rId2223" ref="K2473"/>
    <hyperlink r:id="rId2224" ref="J2474"/>
    <hyperlink r:id="rId2225" ref="K2474"/>
    <hyperlink r:id="rId2226" ref="J2475"/>
    <hyperlink r:id="rId2227" ref="K2475"/>
    <hyperlink r:id="rId2228" ref="J2476"/>
    <hyperlink r:id="rId2229" ref="K2476"/>
    <hyperlink r:id="rId2230" ref="J2477"/>
    <hyperlink r:id="rId2231" ref="K2477"/>
    <hyperlink r:id="rId2232" ref="J2478"/>
    <hyperlink r:id="rId2233" ref="K2478"/>
    <hyperlink r:id="rId2234" ref="J2479"/>
    <hyperlink r:id="rId2235" ref="K2479"/>
    <hyperlink r:id="rId2236" ref="J2480"/>
    <hyperlink r:id="rId2237" ref="K2480"/>
    <hyperlink r:id="rId2238" ref="J2481"/>
    <hyperlink r:id="rId2239" ref="J2482"/>
    <hyperlink r:id="rId2240" ref="J2483"/>
    <hyperlink r:id="rId2241" ref="J2484"/>
    <hyperlink r:id="rId2242" ref="J2485"/>
    <hyperlink r:id="rId2243" ref="J2486"/>
    <hyperlink r:id="rId2244" ref="J2487"/>
    <hyperlink r:id="rId2245" ref="J2488"/>
    <hyperlink r:id="rId2246" ref="J2489"/>
    <hyperlink r:id="rId2247" ref="J2490"/>
    <hyperlink r:id="rId2248" ref="J2491"/>
    <hyperlink r:id="rId2249" ref="J2492"/>
    <hyperlink r:id="rId2250" ref="J2493"/>
    <hyperlink r:id="rId2251" ref="J2494"/>
    <hyperlink r:id="rId2252" ref="J2495"/>
    <hyperlink r:id="rId2253" ref="J2496"/>
    <hyperlink r:id="rId2254" ref="J2497"/>
    <hyperlink r:id="rId2255" ref="J2498"/>
    <hyperlink r:id="rId2256" ref="J2499"/>
    <hyperlink r:id="rId2257" ref="J2500"/>
    <hyperlink r:id="rId2258" ref="J2501"/>
    <hyperlink r:id="rId2259" ref="J2502"/>
    <hyperlink r:id="rId2260" ref="J2503"/>
    <hyperlink r:id="rId2261" ref="J2504"/>
    <hyperlink r:id="rId2262" ref="J2505"/>
    <hyperlink r:id="rId2263" ref="J2506"/>
    <hyperlink r:id="rId2264" ref="J2507"/>
    <hyperlink r:id="rId2265" ref="J2508"/>
    <hyperlink r:id="rId2266" ref="J2509"/>
    <hyperlink r:id="rId2267" ref="J2510"/>
    <hyperlink r:id="rId2268" ref="J2511"/>
    <hyperlink r:id="rId2269" ref="J2512"/>
    <hyperlink r:id="rId2270" ref="J2513"/>
    <hyperlink r:id="rId2271" ref="J2514"/>
    <hyperlink r:id="rId2272" ref="J2515"/>
    <hyperlink r:id="rId2273" ref="J2516"/>
    <hyperlink r:id="rId2274" ref="J2517"/>
    <hyperlink r:id="rId2275" ref="J2518"/>
    <hyperlink r:id="rId2276" ref="J2519"/>
    <hyperlink r:id="rId2277" ref="J2520"/>
    <hyperlink r:id="rId2278" ref="J2773"/>
    <hyperlink r:id="rId2279" ref="J2774"/>
    <hyperlink r:id="rId2280" ref="J2775"/>
    <hyperlink r:id="rId2281" ref="J2776"/>
    <hyperlink r:id="rId2282" ref="J2777"/>
    <hyperlink r:id="rId2283" ref="J2778"/>
    <hyperlink r:id="rId2284" ref="J2779"/>
    <hyperlink r:id="rId2285" ref="J2780"/>
    <hyperlink r:id="rId2286" ref="J2781"/>
    <hyperlink r:id="rId2287" ref="J2782"/>
    <hyperlink r:id="rId2288" ref="J2783"/>
    <hyperlink r:id="rId2289" ref="J2784"/>
    <hyperlink r:id="rId2290" ref="J2785"/>
    <hyperlink r:id="rId2291" ref="J2786"/>
    <hyperlink r:id="rId2292" ref="J2788"/>
    <hyperlink r:id="rId2293" ref="J2848"/>
    <hyperlink r:id="rId2294" ref="K2848"/>
    <hyperlink r:id="rId2295" ref="L2848"/>
    <hyperlink r:id="rId2296" ref="J2849"/>
    <hyperlink r:id="rId2297" ref="L2849"/>
    <hyperlink r:id="rId2298" ref="J2850"/>
    <hyperlink r:id="rId2299" ref="J2851"/>
    <hyperlink r:id="rId2300" ref="J2852"/>
    <hyperlink r:id="rId2301" ref="K2852"/>
    <hyperlink r:id="rId2302" ref="J2853"/>
    <hyperlink r:id="rId2303" ref="J2854"/>
    <hyperlink r:id="rId2304" ref="J2861"/>
  </hyperlinks>
  <drawing r:id="rId2305"/>
  <legacyDrawing r:id="rId230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sheetData>
    <row r="4">
      <c r="K4" s="84" t="s">
        <v>567</v>
      </c>
    </row>
    <row r="5">
      <c r="K5" s="84" t="s">
        <v>568</v>
      </c>
    </row>
    <row r="6">
      <c r="K6" s="84" t="s">
        <v>569</v>
      </c>
    </row>
    <row r="7">
      <c r="K7" s="89" t="s">
        <v>571</v>
      </c>
    </row>
    <row r="8">
      <c r="K8" s="89" t="s">
        <v>572</v>
      </c>
    </row>
    <row r="9">
      <c r="D9" s="110" t="s">
        <v>573</v>
      </c>
    </row>
    <row r="10">
      <c r="D10" s="110" t="s">
        <v>579</v>
      </c>
    </row>
    <row r="11">
      <c r="D11" s="110" t="s">
        <v>587</v>
      </c>
    </row>
    <row r="12">
      <c r="D12" s="93"/>
    </row>
    <row r="13">
      <c r="D13" s="110" t="s">
        <v>595</v>
      </c>
    </row>
    <row r="14">
      <c r="D14" s="110" t="s">
        <v>598</v>
      </c>
    </row>
    <row r="15">
      <c r="D15" s="110" t="s">
        <v>600</v>
      </c>
    </row>
    <row r="16">
      <c r="D16" s="110" t="s">
        <v>605</v>
      </c>
    </row>
    <row r="17">
      <c r="D17" s="110" t="s">
        <v>609</v>
      </c>
    </row>
    <row r="18">
      <c r="D18" s="112"/>
    </row>
    <row r="22">
      <c r="D22" s="114" t="s">
        <v>613</v>
      </c>
    </row>
    <row r="23">
      <c r="D23" s="116" t="s">
        <v>620</v>
      </c>
    </row>
    <row r="24">
      <c r="D24" s="116" t="s">
        <v>624</v>
      </c>
    </row>
    <row r="25">
      <c r="D25" s="89"/>
    </row>
    <row r="26">
      <c r="D26" s="116" t="s">
        <v>630</v>
      </c>
    </row>
    <row r="27">
      <c r="D27" s="116" t="s">
        <v>634</v>
      </c>
    </row>
    <row r="28">
      <c r="D28" s="89"/>
    </row>
    <row r="29">
      <c r="D29" s="114" t="s">
        <v>636</v>
      </c>
    </row>
    <row r="30">
      <c r="D30" s="114" t="s">
        <v>640</v>
      </c>
    </row>
    <row r="31">
      <c r="D31" s="110" t="s">
        <v>645</v>
      </c>
    </row>
    <row r="32">
      <c r="D32" s="110" t="s">
        <v>647</v>
      </c>
    </row>
    <row r="33">
      <c r="D33" s="116" t="s">
        <v>651</v>
      </c>
    </row>
    <row r="34">
      <c r="D34" s="110" t="s">
        <v>652</v>
      </c>
    </row>
    <row r="35">
      <c r="D35" s="110" t="s">
        <v>654</v>
      </c>
    </row>
    <row r="37">
      <c r="D37" s="110" t="s">
        <v>656</v>
      </c>
    </row>
    <row r="38">
      <c r="D38" s="110" t="s">
        <v>660</v>
      </c>
    </row>
    <row r="39">
      <c r="D39" s="110" t="s">
        <v>662</v>
      </c>
    </row>
    <row r="40">
      <c r="D40" s="110" t="s">
        <v>665</v>
      </c>
    </row>
    <row r="41">
      <c r="D41" s="110" t="s">
        <v>666</v>
      </c>
    </row>
    <row r="42">
      <c r="D42" s="84"/>
    </row>
    <row r="43">
      <c r="D43" s="84"/>
    </row>
    <row r="44">
      <c r="D44" s="84"/>
    </row>
    <row r="47">
      <c r="D47" s="110" t="s">
        <v>671</v>
      </c>
    </row>
    <row r="58">
      <c r="D58" s="110" t="s">
        <v>675</v>
      </c>
    </row>
  </sheetData>
  <hyperlinks>
    <hyperlink r:id="rId1" ref="D9"/>
    <hyperlink r:id="rId2" ref="D10"/>
    <hyperlink r:id="rId3" ref="D11"/>
    <hyperlink r:id="rId4" ref="D13"/>
    <hyperlink r:id="rId5" ref="D14"/>
    <hyperlink r:id="rId6" ref="D15"/>
    <hyperlink r:id="rId7" ref="D16"/>
    <hyperlink r:id="rId8" ref="D17"/>
    <hyperlink r:id="rId9" ref="D22"/>
    <hyperlink r:id="rId10" ref="D23"/>
    <hyperlink r:id="rId11" ref="D24"/>
    <hyperlink r:id="rId12" ref="D26"/>
    <hyperlink r:id="rId13" ref="D27"/>
    <hyperlink r:id="rId14" ref="D29"/>
    <hyperlink r:id="rId15" ref="D30"/>
    <hyperlink r:id="rId16" ref="D31"/>
    <hyperlink r:id="rId17" ref="D32"/>
    <hyperlink r:id="rId18" ref="D33"/>
    <hyperlink r:id="rId19" ref="D34"/>
    <hyperlink r:id="rId20" ref="D35"/>
    <hyperlink r:id="rId21" ref="D37"/>
    <hyperlink r:id="rId22" ref="D38"/>
    <hyperlink r:id="rId23" ref="D39"/>
    <hyperlink r:id="rId24" ref="D40"/>
    <hyperlink r:id="rId25" ref="D41"/>
    <hyperlink r:id="rId26" ref="D47"/>
    <hyperlink r:id="rId27" ref="D58"/>
  </hyperlinks>
  <drawing r:id="rId28"/>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sheetData>
    <row r="6">
      <c r="B6" s="84" t="s">
        <v>71</v>
      </c>
      <c r="C6" s="84" t="s">
        <v>738</v>
      </c>
      <c r="D6" s="84" t="s">
        <v>740</v>
      </c>
      <c r="E6" s="110" t="s">
        <v>741</v>
      </c>
    </row>
    <row r="7">
      <c r="B7" s="84" t="s">
        <v>140</v>
      </c>
      <c r="C7" s="84" t="s">
        <v>738</v>
      </c>
      <c r="D7" s="84" t="s">
        <v>751</v>
      </c>
    </row>
    <row r="8">
      <c r="B8" s="84" t="s">
        <v>114</v>
      </c>
      <c r="C8" s="84" t="s">
        <v>738</v>
      </c>
      <c r="D8" s="84" t="s">
        <v>752</v>
      </c>
    </row>
    <row r="9">
      <c r="B9" s="110" t="s">
        <v>754</v>
      </c>
    </row>
  </sheetData>
  <hyperlinks>
    <hyperlink r:id="rId1" ref="E6"/>
    <hyperlink r:id="rId2" ref="B9"/>
  </hyperlinks>
  <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2026-05-22T04:37:55Z</dcterms:created>
  <dc:creator>Robert Stefanovič</dc:creator>
</cp:coreProperties>
</file>