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OURCETREE\Holdenberg\Kalina-1\kalina-1-sw\content\doc\KALINA-V\"/>
    </mc:Choice>
  </mc:AlternateContent>
  <xr:revisionPtr revIDLastSave="0" documentId="13_ncr:1_{D1C69AE7-2DB6-475E-BEEC-5580CFA8E9DA}" xr6:coauthVersionLast="47" xr6:coauthVersionMax="47" xr10:uidLastSave="{00000000-0000-0000-0000-000000000000}"/>
  <bookViews>
    <workbookView xWindow="-120" yWindow="-120" windowWidth="29040" windowHeight="15840" activeTab="3" xr2:uid="{CDDDD6A9-03C4-4B8F-8FB9-559D796466AB}"/>
  </bookViews>
  <sheets>
    <sheet name="температупа" sheetId="1" r:id="rId1"/>
    <sheet name="температура контроллера" sheetId="2" r:id="rId2"/>
    <sheet name="напряжение источника" sheetId="3" r:id="rId3"/>
    <sheet name="фазный ток и ШИМ" sheetId="4" r:id="rId4"/>
    <sheet name="теплоотвод" sheetId="5" r:id="rId5"/>
    <sheet name="Лист1" sheetId="6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4" l="1"/>
  <c r="G19" i="5"/>
  <c r="B11" i="6"/>
  <c r="B10" i="6"/>
  <c r="B9" i="6"/>
  <c r="B2" i="6"/>
  <c r="B7" i="6"/>
  <c r="B8" i="6"/>
  <c r="B4" i="6"/>
  <c r="B5" i="6"/>
  <c r="B6" i="6"/>
  <c r="B3" i="6"/>
  <c r="I29" i="5"/>
  <c r="I27" i="5"/>
  <c r="I26" i="5"/>
  <c r="I28" i="5" s="1"/>
  <c r="I30" i="5" s="1"/>
  <c r="I18" i="5"/>
  <c r="I21" i="5" s="1"/>
  <c r="I15" i="5"/>
  <c r="I14" i="5"/>
  <c r="I24" i="5" s="1"/>
  <c r="I8" i="5"/>
  <c r="I5" i="5"/>
  <c r="I11" i="5" s="1"/>
  <c r="I12" i="5" s="1"/>
  <c r="I19" i="5" s="1"/>
  <c r="H29" i="5"/>
  <c r="H27" i="5"/>
  <c r="H26" i="5"/>
  <c r="H28" i="5" s="1"/>
  <c r="H30" i="5" s="1"/>
  <c r="H18" i="5"/>
  <c r="H15" i="5"/>
  <c r="H14" i="5"/>
  <c r="H24" i="5" s="1"/>
  <c r="H8" i="5"/>
  <c r="H11" i="5" s="1"/>
  <c r="H12" i="5" s="1"/>
  <c r="H19" i="5" s="1"/>
  <c r="H5" i="5"/>
  <c r="G24" i="5"/>
  <c r="G15" i="5"/>
  <c r="G14" i="5"/>
  <c r="G18" i="5"/>
  <c r="G29" i="5"/>
  <c r="G27" i="5"/>
  <c r="G26" i="5"/>
  <c r="G28" i="5" s="1"/>
  <c r="G30" i="5" s="1"/>
  <c r="G8" i="5"/>
  <c r="G11" i="5" s="1"/>
  <c r="G12" i="5" s="1"/>
  <c r="G5" i="5"/>
  <c r="F29" i="5"/>
  <c r="F27" i="5"/>
  <c r="F26" i="5"/>
  <c r="F28" i="5" s="1"/>
  <c r="F30" i="5" s="1"/>
  <c r="F15" i="5"/>
  <c r="F14" i="5"/>
  <c r="F24" i="5" s="1"/>
  <c r="F8" i="5"/>
  <c r="F11" i="5" s="1"/>
  <c r="F12" i="5" s="1"/>
  <c r="F19" i="5" s="1"/>
  <c r="F5" i="5"/>
  <c r="E16" i="5"/>
  <c r="E29" i="5"/>
  <c r="E27" i="5"/>
  <c r="E26" i="5"/>
  <c r="E28" i="5" s="1"/>
  <c r="E30" i="5" s="1"/>
  <c r="E15" i="5"/>
  <c r="E14" i="5"/>
  <c r="E24" i="5" s="1"/>
  <c r="E8" i="5"/>
  <c r="E11" i="5" s="1"/>
  <c r="E12" i="5" s="1"/>
  <c r="E19" i="5" s="1"/>
  <c r="E5" i="5"/>
  <c r="D29" i="5"/>
  <c r="D27" i="5"/>
  <c r="D26" i="5"/>
  <c r="D28" i="5" s="1"/>
  <c r="D30" i="5" s="1"/>
  <c r="D16" i="5"/>
  <c r="D15" i="5"/>
  <c r="D14" i="5"/>
  <c r="D17" i="5" s="1"/>
  <c r="D18" i="5" s="1"/>
  <c r="D8" i="5"/>
  <c r="D11" i="5" s="1"/>
  <c r="D12" i="5" s="1"/>
  <c r="D19" i="5" s="1"/>
  <c r="D5" i="5"/>
  <c r="C30" i="5"/>
  <c r="C29" i="5"/>
  <c r="C28" i="5"/>
  <c r="C26" i="5"/>
  <c r="C27" i="5"/>
  <c r="C24" i="5"/>
  <c r="C15" i="5"/>
  <c r="C14" i="5"/>
  <c r="C16" i="5"/>
  <c r="C11" i="5"/>
  <c r="C12" i="5" s="1"/>
  <c r="C19" i="5" s="1"/>
  <c r="C8" i="5"/>
  <c r="C5" i="5"/>
  <c r="K64" i="4"/>
  <c r="K65" i="4"/>
  <c r="K66" i="4"/>
  <c r="K67" i="4"/>
  <c r="K68" i="4"/>
  <c r="K69" i="4"/>
  <c r="K63" i="4"/>
  <c r="M62" i="4"/>
  <c r="L62" i="4"/>
  <c r="K62" i="4"/>
  <c r="H62" i="4"/>
  <c r="M61" i="4"/>
  <c r="L61" i="4"/>
  <c r="K61" i="4"/>
  <c r="H61" i="4"/>
  <c r="M60" i="4"/>
  <c r="L60" i="4"/>
  <c r="K60" i="4"/>
  <c r="H60" i="4"/>
  <c r="H47" i="4"/>
  <c r="H48" i="4"/>
  <c r="H49" i="4"/>
  <c r="M50" i="4"/>
  <c r="K50" i="4"/>
  <c r="M51" i="4"/>
  <c r="K51" i="4"/>
  <c r="H50" i="4"/>
  <c r="L50" i="4" s="1"/>
  <c r="H51" i="4"/>
  <c r="L51" i="4" s="1"/>
  <c r="M52" i="4"/>
  <c r="K52" i="4"/>
  <c r="H52" i="4"/>
  <c r="L52" i="4" s="1"/>
  <c r="M59" i="4"/>
  <c r="H59" i="4"/>
  <c r="L59" i="4" s="1"/>
  <c r="K59" i="4"/>
  <c r="M53" i="4"/>
  <c r="K53" i="4"/>
  <c r="H53" i="4"/>
  <c r="L53" i="4" s="1"/>
  <c r="M54" i="4"/>
  <c r="K54" i="4"/>
  <c r="H54" i="4"/>
  <c r="L54" i="4" s="1"/>
  <c r="M55" i="4"/>
  <c r="K55" i="4"/>
  <c r="H55" i="4"/>
  <c r="L55" i="4" s="1"/>
  <c r="M56" i="4"/>
  <c r="K56" i="4"/>
  <c r="H56" i="4"/>
  <c r="L56" i="4" s="1"/>
  <c r="M57" i="4"/>
  <c r="K57" i="4"/>
  <c r="H57" i="4"/>
  <c r="L57" i="4" s="1"/>
  <c r="M58" i="4"/>
  <c r="K58" i="4"/>
  <c r="H58" i="4"/>
  <c r="L58" i="4" s="1"/>
  <c r="H31" i="4"/>
  <c r="L31" i="4" s="1"/>
  <c r="M42" i="4"/>
  <c r="H42" i="4"/>
  <c r="L42" i="4" s="1"/>
  <c r="M40" i="4"/>
  <c r="M32" i="4"/>
  <c r="M33" i="4"/>
  <c r="M34" i="4"/>
  <c r="M35" i="4"/>
  <c r="M36" i="4"/>
  <c r="M37" i="4"/>
  <c r="M38" i="4"/>
  <c r="M39" i="4"/>
  <c r="M31" i="4"/>
  <c r="K32" i="4"/>
  <c r="K33" i="4"/>
  <c r="K34" i="4"/>
  <c r="K35" i="4"/>
  <c r="K36" i="4"/>
  <c r="K37" i="4"/>
  <c r="K38" i="4"/>
  <c r="K39" i="4"/>
  <c r="K40" i="4"/>
  <c r="K31" i="4"/>
  <c r="H39" i="4"/>
  <c r="L39" i="4" s="1"/>
  <c r="H38" i="4"/>
  <c r="L38" i="4" s="1"/>
  <c r="H37" i="4"/>
  <c r="L37" i="4" s="1"/>
  <c r="H36" i="4"/>
  <c r="L36" i="4" s="1"/>
  <c r="H32" i="4"/>
  <c r="L32" i="4" s="1"/>
  <c r="L33" i="4"/>
  <c r="H34" i="4"/>
  <c r="L34" i="4" s="1"/>
  <c r="H35" i="4"/>
  <c r="L35" i="4" s="1"/>
  <c r="I2" i="2"/>
  <c r="H2" i="2"/>
  <c r="F2" i="2"/>
  <c r="G2" i="2" s="1"/>
  <c r="M2" i="2"/>
  <c r="E5" i="2"/>
  <c r="D5" i="2"/>
  <c r="C5" i="2"/>
  <c r="E2" i="2"/>
  <c r="D27" i="1"/>
  <c r="D28" i="1"/>
  <c r="D29" i="1"/>
  <c r="D32" i="1"/>
  <c r="D34" i="1"/>
  <c r="D35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D31" i="1" s="1"/>
  <c r="C32" i="1"/>
  <c r="C33" i="1"/>
  <c r="D33" i="1" s="1"/>
  <c r="C34" i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3" i="1"/>
  <c r="D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I25" i="5" l="1"/>
  <c r="I31" i="5" s="1"/>
  <c r="H25" i="5"/>
  <c r="H21" i="5"/>
  <c r="G25" i="5"/>
  <c r="G21" i="5"/>
  <c r="F25" i="5"/>
  <c r="F16" i="5"/>
  <c r="F17" i="5"/>
  <c r="F18" i="5" s="1"/>
  <c r="F21" i="5" s="1"/>
  <c r="E25" i="5"/>
  <c r="E17" i="5"/>
  <c r="E18" i="5" s="1"/>
  <c r="E21" i="5" s="1"/>
  <c r="D21" i="5"/>
  <c r="D31" i="5" s="1"/>
  <c r="D24" i="5"/>
  <c r="D25" i="5" s="1"/>
  <c r="C25" i="5"/>
  <c r="C17" i="5"/>
  <c r="C18" i="5" s="1"/>
  <c r="C21" i="5" s="1"/>
  <c r="C31" i="5" s="1"/>
  <c r="N31" i="4"/>
  <c r="L40" i="4" s="1"/>
  <c r="H31" i="5" l="1"/>
  <c r="G31" i="5"/>
  <c r="F31" i="5"/>
  <c r="E31" i="5"/>
  <c r="L41" i="4"/>
</calcChain>
</file>

<file path=xl/sharedStrings.xml><?xml version="1.0" encoding="utf-8"?>
<sst xmlns="http://schemas.openxmlformats.org/spreadsheetml/2006/main" count="57" uniqueCount="53">
  <si>
    <t>R</t>
  </si>
  <si>
    <t>U</t>
  </si>
  <si>
    <t>Avg-Slop</t>
  </si>
  <si>
    <t>V25</t>
  </si>
  <si>
    <t>gain16</t>
  </si>
  <si>
    <t>offset</t>
  </si>
  <si>
    <t>Датчик температуры NTC</t>
  </si>
  <si>
    <t>mv</t>
  </si>
  <si>
    <t>voltage</t>
  </si>
  <si>
    <t>pp</t>
  </si>
  <si>
    <t>61V</t>
  </si>
  <si>
    <t>гавкнулся 72 градуса, 10 СЕКУНД</t>
  </si>
  <si>
    <t>S</t>
  </si>
  <si>
    <t>h</t>
  </si>
  <si>
    <t>W</t>
  </si>
  <si>
    <t>R(125)</t>
  </si>
  <si>
    <t>I</t>
  </si>
  <si>
    <t>a</t>
  </si>
  <si>
    <t>b</t>
  </si>
  <si>
    <t>K</t>
  </si>
  <si>
    <t>dT</t>
  </si>
  <si>
    <t>T(Cu)</t>
  </si>
  <si>
    <t>ro(Cu)</t>
  </si>
  <si>
    <t>a(Cu)</t>
  </si>
  <si>
    <t>b(Cu)</t>
  </si>
  <si>
    <t>h(Cu)</t>
  </si>
  <si>
    <t>V(Cu)</t>
  </si>
  <si>
    <t>m(Cu)</t>
  </si>
  <si>
    <t>dT(Cu25)</t>
  </si>
  <si>
    <t>C(Cu)</t>
  </si>
  <si>
    <t>Q(Cu)</t>
  </si>
  <si>
    <t>Один транзистор!</t>
  </si>
  <si>
    <t>Коэффициент Теплоотдачи радиатора</t>
  </si>
  <si>
    <t>Площадь теплоотдачи радиатора</t>
  </si>
  <si>
    <t>Теплоотдача радиатора</t>
  </si>
  <si>
    <t xml:space="preserve">Кратность эффективной площади радиатора </t>
  </si>
  <si>
    <t>a(Bo)</t>
  </si>
  <si>
    <t>b(Bo)</t>
  </si>
  <si>
    <t>Площадь теплоотдачи платы</t>
  </si>
  <si>
    <t>T(Bo)</t>
  </si>
  <si>
    <t>Теплоотдача платы</t>
  </si>
  <si>
    <t>Время нагрева</t>
  </si>
  <si>
    <t>Одна пластина с дешовской прокладкой</t>
  </si>
  <si>
    <t>Одна пластина с дорогой прокладкой</t>
  </si>
  <si>
    <t>ребристым радиатор c дешовской прокладкой</t>
  </si>
  <si>
    <t>ребристым радиатор c дорогой прокладкой</t>
  </si>
  <si>
    <t>алюминиевый радиатор c дорогой прокладкой</t>
  </si>
  <si>
    <t>алюминиевый радиатор c дишманской  прокладкой</t>
  </si>
  <si>
    <t>алюминиевый радиатор c дишманской  прокладкой и вентилятором</t>
  </si>
  <si>
    <t>вт</t>
  </si>
  <si>
    <t>плата</t>
  </si>
  <si>
    <t>1мм/18</t>
  </si>
  <si>
    <t>2мм.18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</si>
</sst>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температупа!$A$3:$A$44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xVal>
          <c:yVal>
            <c:numRef>
              <c:f>температупа!$B$3:$B$44</c:f>
              <c:numCache>
                <c:formatCode>0.0000</c:formatCode>
                <c:ptCount val="42"/>
                <c:pt idx="0">
                  <c:v>44.604999999999997</c:v>
                </c:pt>
                <c:pt idx="1">
                  <c:v>33.280999999999999</c:v>
                </c:pt>
                <c:pt idx="2">
                  <c:v>25.044</c:v>
                </c:pt>
                <c:pt idx="3">
                  <c:v>19.003</c:v>
                </c:pt>
                <c:pt idx="4">
                  <c:v>14.536</c:v>
                </c:pt>
                <c:pt idx="5">
                  <c:v>11.206</c:v>
                </c:pt>
                <c:pt idx="6">
                  <c:v>8.7041000000000004</c:v>
                </c:pt>
                <c:pt idx="7">
                  <c:v>6.8103999999999996</c:v>
                </c:pt>
                <c:pt idx="8">
                  <c:v>5.3665000000000003</c:v>
                </c:pt>
                <c:pt idx="9">
                  <c:v>4.2576000000000001</c:v>
                </c:pt>
                <c:pt idx="10">
                  <c:v>3.4001000000000001</c:v>
                </c:pt>
                <c:pt idx="11">
                  <c:v>2.7326000000000001</c:v>
                </c:pt>
                <c:pt idx="12">
                  <c:v>2.2096</c:v>
                </c:pt>
                <c:pt idx="13">
                  <c:v>1.7972999999999999</c:v>
                </c:pt>
                <c:pt idx="14">
                  <c:v>1.4702999999999999</c:v>
                </c:pt>
                <c:pt idx="15">
                  <c:v>1.2093</c:v>
                </c:pt>
                <c:pt idx="16">
                  <c:v>1</c:v>
                </c:pt>
                <c:pt idx="17">
                  <c:v>0.83113000000000004</c:v>
                </c:pt>
                <c:pt idx="18">
                  <c:v>0.69418000000000002</c:v>
                </c:pt>
                <c:pt idx="19">
                  <c:v>0.58255000000000001</c:v>
                </c:pt>
                <c:pt idx="20">
                  <c:v>0.49112</c:v>
                </c:pt>
                <c:pt idx="21">
                  <c:v>0.41587000000000002</c:v>
                </c:pt>
                <c:pt idx="22">
                  <c:v>0.35365000000000002</c:v>
                </c:pt>
                <c:pt idx="23">
                  <c:v>0.30197000000000002</c:v>
                </c:pt>
                <c:pt idx="24">
                  <c:v>0.25888</c:v>
                </c:pt>
                <c:pt idx="25">
                  <c:v>0.22278000000000001</c:v>
                </c:pt>
                <c:pt idx="26">
                  <c:v>0.19242999999999999</c:v>
                </c:pt>
                <c:pt idx="27">
                  <c:v>0.16681000000000001</c:v>
                </c:pt>
                <c:pt idx="28">
                  <c:v>0.14510000000000001</c:v>
                </c:pt>
                <c:pt idx="29">
                  <c:v>0.12662999999999999</c:v>
                </c:pt>
                <c:pt idx="30">
                  <c:v>0.11088000000000001</c:v>
                </c:pt>
                <c:pt idx="31">
                  <c:v>9.7380999999999995E-2</c:v>
                </c:pt>
                <c:pt idx="32">
                  <c:v>8.5788000000000003E-2</c:v>
                </c:pt>
                <c:pt idx="33">
                  <c:v>7.5795000000000001E-2</c:v>
                </c:pt>
                <c:pt idx="34">
                  <c:v>6.7155000000000006E-2</c:v>
                </c:pt>
                <c:pt idx="35">
                  <c:v>5.9663000000000001E-2</c:v>
                </c:pt>
                <c:pt idx="36">
                  <c:v>5.3145999999999999E-2</c:v>
                </c:pt>
                <c:pt idx="37">
                  <c:v>4.7462999999999998E-2</c:v>
                </c:pt>
                <c:pt idx="38">
                  <c:v>4.2493000000000003E-2</c:v>
                </c:pt>
                <c:pt idx="39">
                  <c:v>3.8134000000000001E-2</c:v>
                </c:pt>
                <c:pt idx="40">
                  <c:v>3.4301999999999999E-2</c:v>
                </c:pt>
                <c:pt idx="41">
                  <c:v>3.0925000000000001E-2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7D-4FA2-B85D-03F20612CF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температупа!$A$3:$A$44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xVal>
          <c:yVal>
            <c:numRef>
              <c:f>температупа!$C$3:$C$44</c:f>
              <c:numCache>
                <c:formatCode>General</c:formatCode>
                <c:ptCount val="42"/>
                <c:pt idx="0">
                  <c:v>446.04999999999995</c:v>
                </c:pt>
                <c:pt idx="1">
                  <c:v>332.81</c:v>
                </c:pt>
                <c:pt idx="2">
                  <c:v>250.44</c:v>
                </c:pt>
                <c:pt idx="3">
                  <c:v>190.03</c:v>
                </c:pt>
                <c:pt idx="4">
                  <c:v>145.35999999999999</c:v>
                </c:pt>
                <c:pt idx="5">
                  <c:v>112.06</c:v>
                </c:pt>
                <c:pt idx="6">
                  <c:v>87.040999999999997</c:v>
                </c:pt>
                <c:pt idx="7">
                  <c:v>68.103999999999999</c:v>
                </c:pt>
                <c:pt idx="8">
                  <c:v>53.665000000000006</c:v>
                </c:pt>
                <c:pt idx="9">
                  <c:v>42.576000000000001</c:v>
                </c:pt>
                <c:pt idx="10">
                  <c:v>34.001000000000005</c:v>
                </c:pt>
                <c:pt idx="11">
                  <c:v>27.326000000000001</c:v>
                </c:pt>
                <c:pt idx="12">
                  <c:v>22.096</c:v>
                </c:pt>
                <c:pt idx="13">
                  <c:v>17.972999999999999</c:v>
                </c:pt>
                <c:pt idx="14">
                  <c:v>14.702999999999999</c:v>
                </c:pt>
                <c:pt idx="15">
                  <c:v>12.093</c:v>
                </c:pt>
                <c:pt idx="16">
                  <c:v>10</c:v>
                </c:pt>
                <c:pt idx="17">
                  <c:v>8.311300000000001</c:v>
                </c:pt>
                <c:pt idx="18">
                  <c:v>6.9418000000000006</c:v>
                </c:pt>
                <c:pt idx="19">
                  <c:v>5.8254999999999999</c:v>
                </c:pt>
                <c:pt idx="20">
                  <c:v>4.9112</c:v>
                </c:pt>
                <c:pt idx="21">
                  <c:v>4.1587000000000005</c:v>
                </c:pt>
                <c:pt idx="22">
                  <c:v>3.5365000000000002</c:v>
                </c:pt>
                <c:pt idx="23">
                  <c:v>3.0197000000000003</c:v>
                </c:pt>
                <c:pt idx="24">
                  <c:v>2.5888</c:v>
                </c:pt>
                <c:pt idx="25">
                  <c:v>2.2278000000000002</c:v>
                </c:pt>
                <c:pt idx="26">
                  <c:v>1.9242999999999999</c:v>
                </c:pt>
                <c:pt idx="27">
                  <c:v>1.6681000000000001</c:v>
                </c:pt>
                <c:pt idx="28">
                  <c:v>1.4510000000000001</c:v>
                </c:pt>
                <c:pt idx="29">
                  <c:v>1.2663</c:v>
                </c:pt>
                <c:pt idx="30">
                  <c:v>1.1088</c:v>
                </c:pt>
                <c:pt idx="31">
                  <c:v>0.97380999999999995</c:v>
                </c:pt>
                <c:pt idx="32">
                  <c:v>0.85787999999999998</c:v>
                </c:pt>
                <c:pt idx="33">
                  <c:v>0.75795000000000001</c:v>
                </c:pt>
                <c:pt idx="34">
                  <c:v>0.67155000000000009</c:v>
                </c:pt>
                <c:pt idx="35">
                  <c:v>0.59662999999999999</c:v>
                </c:pt>
                <c:pt idx="36">
                  <c:v>0.53146000000000004</c:v>
                </c:pt>
                <c:pt idx="37">
                  <c:v>0.47463</c:v>
                </c:pt>
                <c:pt idx="38">
                  <c:v>0.42493000000000003</c:v>
                </c:pt>
                <c:pt idx="39">
                  <c:v>0.38134000000000001</c:v>
                </c:pt>
                <c:pt idx="40">
                  <c:v>0.34301999999999999</c:v>
                </c:pt>
                <c:pt idx="41">
                  <c:v>0.30925000000000002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7D-4FA2-B85D-03F20612CF1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температупа!$A$3:$A$44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xVal>
          <c:yVal>
            <c:numRef>
              <c:f>температупа!$D$3:$D$44</c:f>
              <c:numCache>
                <c:formatCode>General</c:formatCode>
                <c:ptCount val="42"/>
                <c:pt idx="0">
                  <c:v>89.814713298980379</c:v>
                </c:pt>
                <c:pt idx="1">
                  <c:v>119.4830955923106</c:v>
                </c:pt>
                <c:pt idx="2">
                  <c:v>157.27230840116727</c:v>
                </c:pt>
                <c:pt idx="3">
                  <c:v>204.76928460730889</c:v>
                </c:pt>
                <c:pt idx="4">
                  <c:v>263.64572605561278</c:v>
                </c:pt>
                <c:pt idx="5">
                  <c:v>335.57266917909226</c:v>
                </c:pt>
                <c:pt idx="6">
                  <c:v>422.08963221731022</c:v>
                </c:pt>
                <c:pt idx="7">
                  <c:v>524.42896650619684</c:v>
                </c:pt>
                <c:pt idx="8">
                  <c:v>643.36762742480164</c:v>
                </c:pt>
                <c:pt idx="9">
                  <c:v>779.0626902008521</c:v>
                </c:pt>
                <c:pt idx="10">
                  <c:v>930.88793436512799</c:v>
                </c:pt>
                <c:pt idx="11">
                  <c:v>1097.3584096876173</c:v>
                </c:pt>
                <c:pt idx="12">
                  <c:v>1276.1714855433697</c:v>
                </c:pt>
                <c:pt idx="13">
                  <c:v>1464.2691166481966</c:v>
                </c:pt>
                <c:pt idx="14">
                  <c:v>1658.098206695543</c:v>
                </c:pt>
                <c:pt idx="15">
                  <c:v>1853.9808989272619</c:v>
                </c:pt>
                <c:pt idx="16">
                  <c:v>2048</c:v>
                </c:pt>
                <c:pt idx="17">
                  <c:v>2236.8701293736649</c:v>
                </c:pt>
                <c:pt idx="18">
                  <c:v>2417.6887933985763</c:v>
                </c:pt>
                <c:pt idx="19">
                  <c:v>2588.2278600992072</c:v>
                </c:pt>
                <c:pt idx="20">
                  <c:v>2746.9284832877297</c:v>
                </c:pt>
                <c:pt idx="21">
                  <c:v>2892.9209602576507</c:v>
                </c:pt>
                <c:pt idx="22">
                  <c:v>3025.8929560817051</c:v>
                </c:pt>
                <c:pt idx="23">
                  <c:v>3146.0018279991091</c:v>
                </c:pt>
                <c:pt idx="24">
                  <c:v>3253.6858159633962</c:v>
                </c:pt>
                <c:pt idx="25">
                  <c:v>3349.7440259081764</c:v>
                </c:pt>
                <c:pt idx="26">
                  <c:v>3435.00247393977</c:v>
                </c:pt>
                <c:pt idx="27">
                  <c:v>3510.4258619655297</c:v>
                </c:pt>
                <c:pt idx="28">
                  <c:v>3576.9801764038075</c:v>
                </c:pt>
                <c:pt idx="29">
                  <c:v>3635.6212776155439</c:v>
                </c:pt>
                <c:pt idx="30">
                  <c:v>3687.1669307215898</c:v>
                </c:pt>
                <c:pt idx="31">
                  <c:v>3732.5231619647143</c:v>
                </c:pt>
                <c:pt idx="32">
                  <c:v>3772.3754545086149</c:v>
                </c:pt>
                <c:pt idx="33">
                  <c:v>3807.416840569068</c:v>
                </c:pt>
                <c:pt idx="34">
                  <c:v>3838.2428044660805</c:v>
                </c:pt>
                <c:pt idx="35">
                  <c:v>3865.3798424593483</c:v>
                </c:pt>
                <c:pt idx="36">
                  <c:v>3889.2992994323677</c:v>
                </c:pt>
                <c:pt idx="37">
                  <c:v>3910.4006537701093</c:v>
                </c:pt>
                <c:pt idx="38">
                  <c:v>3929.0431686351853</c:v>
                </c:pt>
                <c:pt idx="39">
                  <c:v>3945.5407490747825</c:v>
                </c:pt>
                <c:pt idx="40">
                  <c:v>3960.1586383860808</c:v>
                </c:pt>
                <c:pt idx="41">
                  <c:v>3973.1309261100464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7D-4FA2-B85D-03F20612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936"/>
        <c:axId val="5324688"/>
      </c:scatterChart>
      <c:valAx>
        <c:axId val="53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4688"/>
        <c:crosses val="autoZero"/>
        <c:crossBetween val="midCat"/>
      </c:valAx>
      <c:valAx>
        <c:axId val="53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температупа!$A$3:$A$44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xVal>
          <c:yVal>
            <c:numRef>
              <c:f>температупа!$H$11:$H$52</c:f>
              <c:numCache>
                <c:formatCode>General</c:formatCode>
                <c:ptCount val="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7-4436-BAC1-54E146F3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5472"/>
        <c:axId val="186386304"/>
      </c:scatterChart>
      <c:valAx>
        <c:axId val="1863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6304"/>
        <c:crosses val="autoZero"/>
        <c:crossBetween val="midCat"/>
      </c:valAx>
      <c:valAx>
        <c:axId val="1863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'напряжение источника'!$C$1:$C$8</c:f>
              <c:numCache>
                <c:formatCode>General</c:formatCode>
                <c:ptCount val="8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24.97</c:v>
                </c:pt>
                <c:pt idx="4">
                  <c:v>29.23</c:v>
                </c:pt>
                <c:pt idx="5">
                  <c:v>30</c:v>
                </c:pt>
                <c:pt idx="6">
                  <c:v>40</c:v>
                </c:pt>
                <c:pt idx="7">
                  <c:v>51</c:v>
                </c:pt>
              </c:numCache>
            </c:numRef>
          </c:xVal>
          <c:yVal>
            <c:numRef>
              <c:f>'напряжение источника'!$D$1:$D$8</c:f>
              <c:numCache>
                <c:formatCode>General</c:formatCode>
                <c:ptCount val="8"/>
                <c:pt idx="0">
                  <c:v>652</c:v>
                </c:pt>
                <c:pt idx="1">
                  <c:v>714</c:v>
                </c:pt>
                <c:pt idx="2">
                  <c:v>848</c:v>
                </c:pt>
                <c:pt idx="3">
                  <c:v>1046</c:v>
                </c:pt>
                <c:pt idx="4">
                  <c:v>1224</c:v>
                </c:pt>
                <c:pt idx="5">
                  <c:v>1250</c:v>
                </c:pt>
                <c:pt idx="6">
                  <c:v>1667</c:v>
                </c:pt>
                <c:pt idx="7">
                  <c:v>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D-4EE5-BCE5-0618A428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68320"/>
        <c:axId val="1705065824"/>
      </c:scatterChart>
      <c:valAx>
        <c:axId val="17050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065824"/>
        <c:crosses val="autoZero"/>
        <c:crossBetween val="midCat"/>
      </c:valAx>
      <c:valAx>
        <c:axId val="17050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0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'фазный ток и ШИМ'!$K$31:$K$42</c:f>
              <c:numCache>
                <c:formatCode>General</c:formatCode>
                <c:ptCount val="12"/>
                <c:pt idx="0">
                  <c:v>1800</c:v>
                </c:pt>
                <c:pt idx="1">
                  <c:v>2000</c:v>
                </c:pt>
                <c:pt idx="2">
                  <c:v>2200</c:v>
                </c:pt>
                <c:pt idx="3">
                  <c:v>2400</c:v>
                </c:pt>
                <c:pt idx="4">
                  <c:v>2500</c:v>
                </c:pt>
                <c:pt idx="5">
                  <c:v>2700</c:v>
                </c:pt>
                <c:pt idx="6">
                  <c:v>3000</c:v>
                </c:pt>
                <c:pt idx="7">
                  <c:v>3300</c:v>
                </c:pt>
                <c:pt idx="8">
                  <c:v>3500</c:v>
                </c:pt>
                <c:pt idx="9">
                  <c:v>3700</c:v>
                </c:pt>
                <c:pt idx="10">
                  <c:v>4000</c:v>
                </c:pt>
                <c:pt idx="11">
                  <c:v>4500</c:v>
                </c:pt>
              </c:numCache>
            </c:numRef>
          </c:xVal>
          <c:yVal>
            <c:numRef>
              <c:f>'фазный ток и ШИМ'!$L$31:$L$42</c:f>
              <c:numCache>
                <c:formatCode>General</c:formatCode>
                <c:ptCount val="12"/>
                <c:pt idx="0">
                  <c:v>12.2</c:v>
                </c:pt>
                <c:pt idx="1">
                  <c:v>17.899999999999999</c:v>
                </c:pt>
                <c:pt idx="2">
                  <c:v>24.5</c:v>
                </c:pt>
                <c:pt idx="3">
                  <c:v>31.6</c:v>
                </c:pt>
                <c:pt idx="4">
                  <c:v>34.799999999999997</c:v>
                </c:pt>
                <c:pt idx="5">
                  <c:v>40.200000000000003</c:v>
                </c:pt>
                <c:pt idx="6">
                  <c:v>49.8</c:v>
                </c:pt>
                <c:pt idx="7">
                  <c:v>57.999999999999993</c:v>
                </c:pt>
                <c:pt idx="8">
                  <c:v>64.5</c:v>
                </c:pt>
                <c:pt idx="9">
                  <c:v>67.242857142857147</c:v>
                </c:pt>
                <c:pt idx="10">
                  <c:v>79.548739495798316</c:v>
                </c:pt>
                <c:pt idx="11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5-4176-9C18-A4DC486A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3056"/>
        <c:axId val="126529312"/>
      </c:scatterChart>
      <c:valAx>
        <c:axId val="1312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29312"/>
        <c:crosses val="autoZero"/>
        <c:crossBetween val="midCat"/>
      </c:valAx>
      <c:valAx>
        <c:axId val="1265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'фазный ток и ШИМ'!$L$31:$L$42</c:f>
              <c:numCache>
                <c:formatCode>General</c:formatCode>
                <c:ptCount val="12"/>
                <c:pt idx="0">
                  <c:v>12.2</c:v>
                </c:pt>
                <c:pt idx="1">
                  <c:v>17.899999999999999</c:v>
                </c:pt>
                <c:pt idx="2">
                  <c:v>24.5</c:v>
                </c:pt>
                <c:pt idx="3">
                  <c:v>31.6</c:v>
                </c:pt>
                <c:pt idx="4">
                  <c:v>34.799999999999997</c:v>
                </c:pt>
                <c:pt idx="5">
                  <c:v>40.200000000000003</c:v>
                </c:pt>
                <c:pt idx="6">
                  <c:v>49.8</c:v>
                </c:pt>
                <c:pt idx="7">
                  <c:v>57.999999999999993</c:v>
                </c:pt>
                <c:pt idx="8">
                  <c:v>64.5</c:v>
                </c:pt>
                <c:pt idx="9">
                  <c:v>67.242857142857147</c:v>
                </c:pt>
                <c:pt idx="10">
                  <c:v>79.548739495798316</c:v>
                </c:pt>
                <c:pt idx="11">
                  <c:v>95.5</c:v>
                </c:pt>
              </c:numCache>
            </c:numRef>
          </c:xVal>
          <c:yVal>
            <c:numRef>
              <c:f>'фазный ток и ШИМ'!$M$31:$M$42</c:f>
              <c:numCache>
                <c:formatCode>General</c:formatCode>
                <c:ptCount val="12"/>
                <c:pt idx="0">
                  <c:v>54</c:v>
                </c:pt>
                <c:pt idx="1">
                  <c:v>75</c:v>
                </c:pt>
                <c:pt idx="2">
                  <c:v>117</c:v>
                </c:pt>
                <c:pt idx="3">
                  <c:v>132</c:v>
                </c:pt>
                <c:pt idx="4">
                  <c:v>148</c:v>
                </c:pt>
                <c:pt idx="5">
                  <c:v>177</c:v>
                </c:pt>
                <c:pt idx="6">
                  <c:v>212</c:v>
                </c:pt>
                <c:pt idx="7">
                  <c:v>256</c:v>
                </c:pt>
                <c:pt idx="8">
                  <c:v>292</c:v>
                </c:pt>
                <c:pt idx="9">
                  <c:v>306</c:v>
                </c:pt>
                <c:pt idx="10">
                  <c:v>362</c:v>
                </c:pt>
                <c:pt idx="11">
                  <c:v>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7-4F67-8880-AA9076C1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59040"/>
        <c:axId val="2115762784"/>
      </c:scatterChart>
      <c:valAx>
        <c:axId val="21157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762784"/>
        <c:crosses val="autoZero"/>
        <c:crossBetween val="midCat"/>
      </c:valAx>
      <c:valAx>
        <c:axId val="21157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7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'фазный ток и ШИМ'!$K$50:$K$69</c:f>
              <c:numCache>
                <c:formatCode>General</c:formatCode>
                <c:ptCount val="2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2500</c:v>
                </c:pt>
                <c:pt idx="13">
                  <c:v>2500</c:v>
                </c:pt>
                <c:pt idx="14">
                  <c:v>2800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3800</c:v>
                </c:pt>
                <c:pt idx="19">
                  <c:v>4300</c:v>
                </c:pt>
              </c:numCache>
            </c:numRef>
          </c:xVal>
          <c:yVal>
            <c:numRef>
              <c:f>'фазный ток и ШИМ'!$L$50:$L$69</c:f>
              <c:numCache>
                <c:formatCode>General</c:formatCode>
                <c:ptCount val="20"/>
                <c:pt idx="0">
                  <c:v>0.63500000000000001</c:v>
                </c:pt>
                <c:pt idx="1">
                  <c:v>0.72</c:v>
                </c:pt>
                <c:pt idx="2">
                  <c:v>0.88500000000000001</c:v>
                </c:pt>
                <c:pt idx="3">
                  <c:v>1.1000000000000001</c:v>
                </c:pt>
                <c:pt idx="4">
                  <c:v>1.83</c:v>
                </c:pt>
                <c:pt idx="5">
                  <c:v>3.66</c:v>
                </c:pt>
                <c:pt idx="6">
                  <c:v>6.8000000000000007</c:v>
                </c:pt>
                <c:pt idx="7">
                  <c:v>10.35</c:v>
                </c:pt>
                <c:pt idx="8">
                  <c:v>14.8</c:v>
                </c:pt>
                <c:pt idx="9">
                  <c:v>21.8</c:v>
                </c:pt>
                <c:pt idx="10">
                  <c:v>29.799999999999997</c:v>
                </c:pt>
                <c:pt idx="11">
                  <c:v>37.5</c:v>
                </c:pt>
                <c:pt idx="12">
                  <c:v>41.199999999999996</c:v>
                </c:pt>
                <c:pt idx="13">
                  <c:v>40.200000000000003</c:v>
                </c:pt>
                <c:pt idx="14">
                  <c:v>49.8</c:v>
                </c:pt>
                <c:pt idx="15">
                  <c:v>57.999999999999993</c:v>
                </c:pt>
                <c:pt idx="16">
                  <c:v>64.5</c:v>
                </c:pt>
                <c:pt idx="17">
                  <c:v>67.242857142857147</c:v>
                </c:pt>
                <c:pt idx="18">
                  <c:v>79.548739495798316</c:v>
                </c:pt>
                <c:pt idx="19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E-4927-9BF7-7F23993DE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2464"/>
        <c:axId val="176382880"/>
      </c:scatterChart>
      <c:valAx>
        <c:axId val="1763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82880"/>
        <c:crosses val="autoZero"/>
        <c:crossBetween val="midCat"/>
      </c:valAx>
      <c:valAx>
        <c:axId val="176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'фазный ток и ШИМ'!$L$53:$L$69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1.83</c:v>
                </c:pt>
                <c:pt idx="2">
                  <c:v>3.66</c:v>
                </c:pt>
                <c:pt idx="3">
                  <c:v>6.8000000000000007</c:v>
                </c:pt>
                <c:pt idx="4">
                  <c:v>10.35</c:v>
                </c:pt>
                <c:pt idx="5">
                  <c:v>14.8</c:v>
                </c:pt>
                <c:pt idx="6">
                  <c:v>21.8</c:v>
                </c:pt>
                <c:pt idx="7">
                  <c:v>29.799999999999997</c:v>
                </c:pt>
                <c:pt idx="8">
                  <c:v>37.5</c:v>
                </c:pt>
                <c:pt idx="9">
                  <c:v>41.199999999999996</c:v>
                </c:pt>
                <c:pt idx="10">
                  <c:v>40.200000000000003</c:v>
                </c:pt>
                <c:pt idx="11">
                  <c:v>49.8</c:v>
                </c:pt>
                <c:pt idx="12">
                  <c:v>57.999999999999993</c:v>
                </c:pt>
                <c:pt idx="13">
                  <c:v>64.5</c:v>
                </c:pt>
                <c:pt idx="14">
                  <c:v>67.242857142857147</c:v>
                </c:pt>
                <c:pt idx="15">
                  <c:v>79.548739495798316</c:v>
                </c:pt>
                <c:pt idx="16">
                  <c:v>95.5</c:v>
                </c:pt>
              </c:numCache>
            </c:numRef>
          </c:xVal>
          <c:yVal>
            <c:numRef>
              <c:f>'фазный ток и ШИМ'!$M$53:$M$69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29</c:v>
                </c:pt>
                <c:pt idx="4">
                  <c:v>46</c:v>
                </c:pt>
                <c:pt idx="5">
                  <c:v>61</c:v>
                </c:pt>
                <c:pt idx="6">
                  <c:v>97</c:v>
                </c:pt>
                <c:pt idx="7">
                  <c:v>120</c:v>
                </c:pt>
                <c:pt idx="8">
                  <c:v>165</c:v>
                </c:pt>
                <c:pt idx="9">
                  <c:v>184</c:v>
                </c:pt>
                <c:pt idx="10">
                  <c:v>177</c:v>
                </c:pt>
                <c:pt idx="11">
                  <c:v>212</c:v>
                </c:pt>
                <c:pt idx="12">
                  <c:v>256</c:v>
                </c:pt>
                <c:pt idx="13">
                  <c:v>292</c:v>
                </c:pt>
                <c:pt idx="14">
                  <c:v>306</c:v>
                </c:pt>
                <c:pt idx="15">
                  <c:v>362</c:v>
                </c:pt>
                <c:pt idx="16">
                  <c:v>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E-499E-862B-E42CFC54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3376"/>
        <c:axId val="213147536"/>
      </c:scatterChart>
      <c:valAx>
        <c:axId val="2131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47536"/>
        <c:crosses val="autoZero"/>
        <c:crossBetween val="midCat"/>
      </c:valAx>
      <c:valAx>
        <c:axId val="213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4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20</xdr:row>
      <xdr:rowOff>161925</xdr:rowOff>
    </xdr:from>
    <xdr:to>
      <xdr:col>18</xdr:col>
      <xdr:colOff>228600</xdr:colOff>
      <xdr:row>35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880446-4182-400A-9E5A-BA81DC1E9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24</xdr:row>
      <xdr:rowOff>57150</xdr:rowOff>
    </xdr:from>
    <xdr:to>
      <xdr:col>26</xdr:col>
      <xdr:colOff>438150</xdr:colOff>
      <xdr:row>38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9B1E62-3E59-439B-90B0-AA8F88BCC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166687</xdr:rowOff>
    </xdr:from>
    <xdr:to>
      <xdr:col>16</xdr:col>
      <xdr:colOff>152400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14C518-903D-4696-BEDA-79B8D1143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27</xdr:row>
      <xdr:rowOff>42862</xdr:rowOff>
    </xdr:from>
    <xdr:to>
      <xdr:col>23</xdr:col>
      <xdr:colOff>314325</xdr:colOff>
      <xdr:row>41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CD6459-464E-4FC7-82A5-E8A9E045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31</xdr:row>
      <xdr:rowOff>233362</xdr:rowOff>
    </xdr:from>
    <xdr:to>
      <xdr:col>31</xdr:col>
      <xdr:colOff>0</xdr:colOff>
      <xdr:row>51</xdr:row>
      <xdr:rowOff>23812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9A2AD75-36C5-4EA9-8E5D-2E198476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561975</xdr:colOff>
      <xdr:row>51</xdr:row>
      <xdr:rowOff>147637</xdr:rowOff>
    </xdr:from>
    <xdr:to>
      <xdr:col>22</xdr:col>
      <xdr:colOff>257175</xdr:colOff>
      <xdr:row>64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DD8435-C29F-40AF-BD63-7638B62F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66</xdr:row>
      <xdr:rowOff>71437</xdr:rowOff>
    </xdr:from>
    <xdr:to>
      <xdr:col>22</xdr:col>
      <xdr:colOff>209550</xdr:colOff>
      <xdr:row>80</xdr:row>
      <xdr:rowOff>147637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13EC285-06F8-4EB7-9FB4-599A12E19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D799-7A0B-46C1-BD1B-9DF527FB86C4}">
  <dimension ref="A1:K44"/>
  <sheetViews>
    <sheetView workbookViewId="0"/>
  </sheetViews>
  <sheetFormatPr defaultRowHeight="15" x14ac:dyDescent="0.25"/>
  <cols>
    <col min="5" max="5" width="9.140625" style="1"/>
    <col min="9" max="9" width="9.7109375" bestFit="1" customWidth="1"/>
  </cols>
  <sheetData>
    <row r="1" spans="1:11" x14ac:dyDescent="0.25">
      <c r="A1" t="s">
        <v>6</v>
      </c>
    </row>
    <row r="2" spans="1:11" x14ac:dyDescent="0.25">
      <c r="B2" s="1"/>
      <c r="C2" t="s">
        <v>0</v>
      </c>
      <c r="D2" t="s">
        <v>1</v>
      </c>
    </row>
    <row r="3" spans="1:11" x14ac:dyDescent="0.25">
      <c r="A3">
        <v>-55</v>
      </c>
      <c r="B3" s="1">
        <v>44.604999999999997</v>
      </c>
      <c r="C3">
        <f>B3*10</f>
        <v>446.04999999999995</v>
      </c>
      <c r="D3">
        <f>10/(10+C3)*4096</f>
        <v>89.814713298980379</v>
      </c>
    </row>
    <row r="4" spans="1:11" x14ac:dyDescent="0.25">
      <c r="A4">
        <f>A3+5</f>
        <v>-50</v>
      </c>
      <c r="B4" s="1">
        <v>33.280999999999999</v>
      </c>
      <c r="C4">
        <f t="shared" ref="C4:C44" si="0">B4*10</f>
        <v>332.81</v>
      </c>
      <c r="D4">
        <f t="shared" ref="D4:D44" si="1">10/(10+C4)*4096</f>
        <v>119.4830955923106</v>
      </c>
    </row>
    <row r="5" spans="1:11" x14ac:dyDescent="0.25">
      <c r="A5">
        <f t="shared" ref="A5:A44" si="2">A4+5</f>
        <v>-45</v>
      </c>
      <c r="B5" s="1">
        <v>25.044</v>
      </c>
      <c r="C5">
        <f t="shared" si="0"/>
        <v>250.44</v>
      </c>
      <c r="D5">
        <f t="shared" si="1"/>
        <v>157.27230840116727</v>
      </c>
      <c r="J5">
        <v>120</v>
      </c>
      <c r="K5">
        <v>2920</v>
      </c>
    </row>
    <row r="6" spans="1:11" x14ac:dyDescent="0.25">
      <c r="A6">
        <f t="shared" si="2"/>
        <v>-40</v>
      </c>
      <c r="B6" s="1">
        <v>19.003</v>
      </c>
      <c r="C6">
        <f t="shared" si="0"/>
        <v>190.03</v>
      </c>
      <c r="D6">
        <f t="shared" si="1"/>
        <v>204.76928460730889</v>
      </c>
      <c r="J6">
        <v>43</v>
      </c>
      <c r="K6">
        <v>2854</v>
      </c>
    </row>
    <row r="7" spans="1:11" x14ac:dyDescent="0.25">
      <c r="A7">
        <f t="shared" si="2"/>
        <v>-35</v>
      </c>
      <c r="B7" s="1">
        <v>14.536</v>
      </c>
      <c r="C7">
        <f t="shared" si="0"/>
        <v>145.35999999999999</v>
      </c>
      <c r="D7">
        <f t="shared" si="1"/>
        <v>263.64572605561278</v>
      </c>
      <c r="J7">
        <v>38</v>
      </c>
      <c r="K7">
        <v>2669</v>
      </c>
    </row>
    <row r="8" spans="1:11" x14ac:dyDescent="0.25">
      <c r="A8">
        <f t="shared" si="2"/>
        <v>-30</v>
      </c>
      <c r="B8" s="1">
        <v>11.206</v>
      </c>
      <c r="C8">
        <f t="shared" si="0"/>
        <v>112.06</v>
      </c>
      <c r="D8">
        <f t="shared" si="1"/>
        <v>335.57266917909226</v>
      </c>
      <c r="J8">
        <v>36</v>
      </c>
      <c r="K8">
        <v>2584</v>
      </c>
    </row>
    <row r="9" spans="1:11" x14ac:dyDescent="0.25">
      <c r="A9">
        <f t="shared" si="2"/>
        <v>-25</v>
      </c>
      <c r="B9" s="1">
        <v>8.7041000000000004</v>
      </c>
      <c r="C9">
        <f t="shared" si="0"/>
        <v>87.040999999999997</v>
      </c>
      <c r="D9">
        <f t="shared" si="1"/>
        <v>422.08963221731022</v>
      </c>
    </row>
    <row r="10" spans="1:11" x14ac:dyDescent="0.25">
      <c r="A10">
        <f t="shared" si="2"/>
        <v>-20</v>
      </c>
      <c r="B10" s="1">
        <v>6.8103999999999996</v>
      </c>
      <c r="C10">
        <f t="shared" si="0"/>
        <v>68.103999999999999</v>
      </c>
      <c r="D10">
        <f t="shared" si="1"/>
        <v>524.42896650619684</v>
      </c>
    </row>
    <row r="11" spans="1:11" x14ac:dyDescent="0.25">
      <c r="A11">
        <f t="shared" si="2"/>
        <v>-15</v>
      </c>
      <c r="B11" s="1">
        <v>5.3665000000000003</v>
      </c>
      <c r="C11">
        <f t="shared" si="0"/>
        <v>53.665000000000006</v>
      </c>
      <c r="D11">
        <f t="shared" si="1"/>
        <v>643.36762742480164</v>
      </c>
    </row>
    <row r="12" spans="1:11" x14ac:dyDescent="0.25">
      <c r="A12">
        <f t="shared" si="2"/>
        <v>-10</v>
      </c>
      <c r="B12" s="1">
        <v>4.2576000000000001</v>
      </c>
      <c r="C12">
        <f t="shared" si="0"/>
        <v>42.576000000000001</v>
      </c>
      <c r="D12">
        <f t="shared" si="1"/>
        <v>779.0626902008521</v>
      </c>
    </row>
    <row r="13" spans="1:11" x14ac:dyDescent="0.25">
      <c r="A13">
        <f t="shared" si="2"/>
        <v>-5</v>
      </c>
      <c r="B13" s="1">
        <v>3.4001000000000001</v>
      </c>
      <c r="C13">
        <f t="shared" si="0"/>
        <v>34.001000000000005</v>
      </c>
      <c r="D13">
        <f t="shared" si="1"/>
        <v>930.88793436512799</v>
      </c>
    </row>
    <row r="14" spans="1:11" x14ac:dyDescent="0.25">
      <c r="A14">
        <f t="shared" si="2"/>
        <v>0</v>
      </c>
      <c r="B14" s="1">
        <v>2.7326000000000001</v>
      </c>
      <c r="C14">
        <f t="shared" si="0"/>
        <v>27.326000000000001</v>
      </c>
      <c r="D14">
        <f t="shared" si="1"/>
        <v>1097.3584096876173</v>
      </c>
    </row>
    <row r="15" spans="1:11" x14ac:dyDescent="0.25">
      <c r="A15">
        <f t="shared" si="2"/>
        <v>5</v>
      </c>
      <c r="B15" s="1">
        <v>2.2096</v>
      </c>
      <c r="C15">
        <f t="shared" si="0"/>
        <v>22.096</v>
      </c>
      <c r="D15">
        <f t="shared" si="1"/>
        <v>1276.1714855433697</v>
      </c>
    </row>
    <row r="16" spans="1:11" x14ac:dyDescent="0.25">
      <c r="A16">
        <f t="shared" si="2"/>
        <v>10</v>
      </c>
      <c r="B16" s="1">
        <v>1.7972999999999999</v>
      </c>
      <c r="C16">
        <f t="shared" si="0"/>
        <v>17.972999999999999</v>
      </c>
      <c r="D16">
        <f t="shared" si="1"/>
        <v>1464.2691166481966</v>
      </c>
    </row>
    <row r="17" spans="1:4" x14ac:dyDescent="0.25">
      <c r="A17">
        <f t="shared" si="2"/>
        <v>15</v>
      </c>
      <c r="B17" s="1">
        <v>1.4702999999999999</v>
      </c>
      <c r="C17">
        <f t="shared" si="0"/>
        <v>14.702999999999999</v>
      </c>
      <c r="D17">
        <f t="shared" si="1"/>
        <v>1658.098206695543</v>
      </c>
    </row>
    <row r="18" spans="1:4" x14ac:dyDescent="0.25">
      <c r="A18">
        <f t="shared" si="2"/>
        <v>20</v>
      </c>
      <c r="B18" s="1">
        <v>1.2093</v>
      </c>
      <c r="C18">
        <f t="shared" si="0"/>
        <v>12.093</v>
      </c>
      <c r="D18">
        <f t="shared" si="1"/>
        <v>1853.9808989272619</v>
      </c>
    </row>
    <row r="19" spans="1:4" x14ac:dyDescent="0.25">
      <c r="A19">
        <f t="shared" si="2"/>
        <v>25</v>
      </c>
      <c r="B19" s="1">
        <v>1</v>
      </c>
      <c r="C19">
        <f t="shared" si="0"/>
        <v>10</v>
      </c>
      <c r="D19">
        <f t="shared" si="1"/>
        <v>2048</v>
      </c>
    </row>
    <row r="20" spans="1:4" x14ac:dyDescent="0.25">
      <c r="A20">
        <f t="shared" si="2"/>
        <v>30</v>
      </c>
      <c r="B20" s="1">
        <v>0.83113000000000004</v>
      </c>
      <c r="C20">
        <f t="shared" si="0"/>
        <v>8.311300000000001</v>
      </c>
      <c r="D20">
        <f t="shared" si="1"/>
        <v>2236.8701293736649</v>
      </c>
    </row>
    <row r="21" spans="1:4" x14ac:dyDescent="0.25">
      <c r="A21">
        <f t="shared" si="2"/>
        <v>35</v>
      </c>
      <c r="B21" s="1">
        <v>0.69418000000000002</v>
      </c>
      <c r="C21">
        <f t="shared" si="0"/>
        <v>6.9418000000000006</v>
      </c>
      <c r="D21">
        <f t="shared" si="1"/>
        <v>2417.6887933985763</v>
      </c>
    </row>
    <row r="22" spans="1:4" x14ac:dyDescent="0.25">
      <c r="A22">
        <f t="shared" si="2"/>
        <v>40</v>
      </c>
      <c r="B22" s="1">
        <v>0.58255000000000001</v>
      </c>
      <c r="C22">
        <f t="shared" si="0"/>
        <v>5.8254999999999999</v>
      </c>
      <c r="D22">
        <f t="shared" si="1"/>
        <v>2588.2278600992072</v>
      </c>
    </row>
    <row r="23" spans="1:4" x14ac:dyDescent="0.25">
      <c r="A23">
        <f t="shared" si="2"/>
        <v>45</v>
      </c>
      <c r="B23" s="1">
        <v>0.49112</v>
      </c>
      <c r="C23">
        <f t="shared" si="0"/>
        <v>4.9112</v>
      </c>
      <c r="D23">
        <f t="shared" si="1"/>
        <v>2746.9284832877297</v>
      </c>
    </row>
    <row r="24" spans="1:4" x14ac:dyDescent="0.25">
      <c r="A24">
        <f t="shared" si="2"/>
        <v>50</v>
      </c>
      <c r="B24" s="1">
        <v>0.41587000000000002</v>
      </c>
      <c r="C24">
        <f t="shared" si="0"/>
        <v>4.1587000000000005</v>
      </c>
      <c r="D24">
        <f t="shared" si="1"/>
        <v>2892.9209602576507</v>
      </c>
    </row>
    <row r="25" spans="1:4" x14ac:dyDescent="0.25">
      <c r="A25">
        <f t="shared" si="2"/>
        <v>55</v>
      </c>
      <c r="B25" s="1">
        <v>0.35365000000000002</v>
      </c>
      <c r="C25">
        <f t="shared" si="0"/>
        <v>3.5365000000000002</v>
      </c>
      <c r="D25">
        <f t="shared" si="1"/>
        <v>3025.8929560817051</v>
      </c>
    </row>
    <row r="26" spans="1:4" x14ac:dyDescent="0.25">
      <c r="A26">
        <f t="shared" si="2"/>
        <v>60</v>
      </c>
      <c r="B26" s="1">
        <v>0.30197000000000002</v>
      </c>
      <c r="C26">
        <f t="shared" si="0"/>
        <v>3.0197000000000003</v>
      </c>
      <c r="D26">
        <f t="shared" si="1"/>
        <v>3146.0018279991091</v>
      </c>
    </row>
    <row r="27" spans="1:4" x14ac:dyDescent="0.25">
      <c r="A27">
        <f t="shared" si="2"/>
        <v>65</v>
      </c>
      <c r="B27" s="1">
        <v>0.25888</v>
      </c>
      <c r="C27">
        <f t="shared" si="0"/>
        <v>2.5888</v>
      </c>
      <c r="D27">
        <f t="shared" si="1"/>
        <v>3253.6858159633962</v>
      </c>
    </row>
    <row r="28" spans="1:4" x14ac:dyDescent="0.25">
      <c r="A28">
        <f t="shared" si="2"/>
        <v>70</v>
      </c>
      <c r="B28" s="1">
        <v>0.22278000000000001</v>
      </c>
      <c r="C28">
        <f t="shared" si="0"/>
        <v>2.2278000000000002</v>
      </c>
      <c r="D28">
        <f t="shared" si="1"/>
        <v>3349.7440259081764</v>
      </c>
    </row>
    <row r="29" spans="1:4" x14ac:dyDescent="0.25">
      <c r="A29">
        <f t="shared" si="2"/>
        <v>75</v>
      </c>
      <c r="B29" s="1">
        <v>0.19242999999999999</v>
      </c>
      <c r="C29">
        <f t="shared" si="0"/>
        <v>1.9242999999999999</v>
      </c>
      <c r="D29">
        <f t="shared" si="1"/>
        <v>3435.00247393977</v>
      </c>
    </row>
    <row r="30" spans="1:4" x14ac:dyDescent="0.25">
      <c r="A30">
        <f t="shared" si="2"/>
        <v>80</v>
      </c>
      <c r="B30" s="1">
        <v>0.16681000000000001</v>
      </c>
      <c r="C30">
        <f t="shared" si="0"/>
        <v>1.6681000000000001</v>
      </c>
      <c r="D30">
        <f t="shared" si="1"/>
        <v>3510.4258619655297</v>
      </c>
    </row>
    <row r="31" spans="1:4" x14ac:dyDescent="0.25">
      <c r="A31">
        <f t="shared" si="2"/>
        <v>85</v>
      </c>
      <c r="B31" s="1">
        <v>0.14510000000000001</v>
      </c>
      <c r="C31">
        <f t="shared" si="0"/>
        <v>1.4510000000000001</v>
      </c>
      <c r="D31">
        <f t="shared" si="1"/>
        <v>3576.9801764038075</v>
      </c>
    </row>
    <row r="32" spans="1:4" x14ac:dyDescent="0.25">
      <c r="A32">
        <f>A31+5</f>
        <v>90</v>
      </c>
      <c r="B32" s="1">
        <v>0.12662999999999999</v>
      </c>
      <c r="C32">
        <f t="shared" si="0"/>
        <v>1.2663</v>
      </c>
      <c r="D32">
        <f t="shared" si="1"/>
        <v>3635.6212776155439</v>
      </c>
    </row>
    <row r="33" spans="1:4" x14ac:dyDescent="0.25">
      <c r="A33">
        <f t="shared" si="2"/>
        <v>95</v>
      </c>
      <c r="B33" s="1">
        <v>0.11088000000000001</v>
      </c>
      <c r="C33">
        <f t="shared" si="0"/>
        <v>1.1088</v>
      </c>
      <c r="D33">
        <f t="shared" si="1"/>
        <v>3687.1669307215898</v>
      </c>
    </row>
    <row r="34" spans="1:4" x14ac:dyDescent="0.25">
      <c r="A34">
        <f t="shared" si="2"/>
        <v>100</v>
      </c>
      <c r="B34" s="1">
        <v>9.7380999999999995E-2</v>
      </c>
      <c r="C34">
        <f t="shared" si="0"/>
        <v>0.97380999999999995</v>
      </c>
      <c r="D34">
        <f t="shared" si="1"/>
        <v>3732.5231619647143</v>
      </c>
    </row>
    <row r="35" spans="1:4" x14ac:dyDescent="0.25">
      <c r="A35">
        <f t="shared" si="2"/>
        <v>105</v>
      </c>
      <c r="B35" s="1">
        <v>8.5788000000000003E-2</v>
      </c>
      <c r="C35">
        <f t="shared" si="0"/>
        <v>0.85787999999999998</v>
      </c>
      <c r="D35">
        <f t="shared" si="1"/>
        <v>3772.3754545086149</v>
      </c>
    </row>
    <row r="36" spans="1:4" x14ac:dyDescent="0.25">
      <c r="A36">
        <f t="shared" si="2"/>
        <v>110</v>
      </c>
      <c r="B36" s="1">
        <v>7.5795000000000001E-2</v>
      </c>
      <c r="C36">
        <f t="shared" si="0"/>
        <v>0.75795000000000001</v>
      </c>
      <c r="D36">
        <f t="shared" si="1"/>
        <v>3807.416840569068</v>
      </c>
    </row>
    <row r="37" spans="1:4" x14ac:dyDescent="0.25">
      <c r="A37">
        <f t="shared" si="2"/>
        <v>115</v>
      </c>
      <c r="B37" s="1">
        <v>6.7155000000000006E-2</v>
      </c>
      <c r="C37">
        <f t="shared" si="0"/>
        <v>0.67155000000000009</v>
      </c>
      <c r="D37">
        <f t="shared" si="1"/>
        <v>3838.2428044660805</v>
      </c>
    </row>
    <row r="38" spans="1:4" x14ac:dyDescent="0.25">
      <c r="A38">
        <f t="shared" si="2"/>
        <v>120</v>
      </c>
      <c r="B38" s="1">
        <v>5.9663000000000001E-2</v>
      </c>
      <c r="C38">
        <f t="shared" si="0"/>
        <v>0.59662999999999999</v>
      </c>
      <c r="D38">
        <f t="shared" si="1"/>
        <v>3865.3798424593483</v>
      </c>
    </row>
    <row r="39" spans="1:4" x14ac:dyDescent="0.25">
      <c r="A39">
        <f t="shared" si="2"/>
        <v>125</v>
      </c>
      <c r="B39" s="1">
        <v>5.3145999999999999E-2</v>
      </c>
      <c r="C39">
        <f t="shared" si="0"/>
        <v>0.53146000000000004</v>
      </c>
      <c r="D39">
        <f t="shared" si="1"/>
        <v>3889.2992994323677</v>
      </c>
    </row>
    <row r="40" spans="1:4" x14ac:dyDescent="0.25">
      <c r="A40">
        <f t="shared" si="2"/>
        <v>130</v>
      </c>
      <c r="B40" s="1">
        <v>4.7462999999999998E-2</v>
      </c>
      <c r="C40">
        <f t="shared" si="0"/>
        <v>0.47463</v>
      </c>
      <c r="D40">
        <f t="shared" si="1"/>
        <v>3910.4006537701093</v>
      </c>
    </row>
    <row r="41" spans="1:4" x14ac:dyDescent="0.25">
      <c r="A41">
        <f t="shared" si="2"/>
        <v>135</v>
      </c>
      <c r="B41" s="1">
        <v>4.2493000000000003E-2</v>
      </c>
      <c r="C41">
        <f t="shared" si="0"/>
        <v>0.42493000000000003</v>
      </c>
      <c r="D41">
        <f t="shared" si="1"/>
        <v>3929.0431686351853</v>
      </c>
    </row>
    <row r="42" spans="1:4" x14ac:dyDescent="0.25">
      <c r="A42">
        <f t="shared" si="2"/>
        <v>140</v>
      </c>
      <c r="B42" s="1">
        <v>3.8134000000000001E-2</v>
      </c>
      <c r="C42">
        <f t="shared" si="0"/>
        <v>0.38134000000000001</v>
      </c>
      <c r="D42">
        <f t="shared" si="1"/>
        <v>3945.5407490747825</v>
      </c>
    </row>
    <row r="43" spans="1:4" x14ac:dyDescent="0.25">
      <c r="A43">
        <f t="shared" si="2"/>
        <v>145</v>
      </c>
      <c r="B43" s="1">
        <v>3.4301999999999999E-2</v>
      </c>
      <c r="C43">
        <f t="shared" si="0"/>
        <v>0.34301999999999999</v>
      </c>
      <c r="D43">
        <f t="shared" si="1"/>
        <v>3960.1586383860808</v>
      </c>
    </row>
    <row r="44" spans="1:4" x14ac:dyDescent="0.25">
      <c r="A44">
        <f t="shared" si="2"/>
        <v>150</v>
      </c>
      <c r="B44" s="1">
        <v>3.0925000000000001E-2</v>
      </c>
      <c r="C44">
        <f t="shared" si="0"/>
        <v>0.30925000000000002</v>
      </c>
      <c r="D44">
        <f t="shared" si="1"/>
        <v>3973.1309261100464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4DDD-527D-49A0-952B-07568AACE538}">
  <dimension ref="A1:M5"/>
  <sheetViews>
    <sheetView workbookViewId="0">
      <selection activeCell="B9" sqref="B9"/>
    </sheetView>
  </sheetViews>
  <sheetFormatPr defaultRowHeight="15" x14ac:dyDescent="0.25"/>
  <sheetData>
    <row r="1" spans="1:13" x14ac:dyDescent="0.25">
      <c r="B1" t="s">
        <v>2</v>
      </c>
      <c r="C1" t="s">
        <v>3</v>
      </c>
      <c r="E1" t="s">
        <v>4</v>
      </c>
      <c r="F1" t="s">
        <v>5</v>
      </c>
    </row>
    <row r="2" spans="1:13" x14ac:dyDescent="0.25">
      <c r="A2">
        <v>948</v>
      </c>
      <c r="B2">
        <v>2.5000000000000001E-3</v>
      </c>
      <c r="C2">
        <v>0.76</v>
      </c>
      <c r="E2">
        <f>3.3/4096/B2*65536</f>
        <v>21120</v>
      </c>
      <c r="F2">
        <f>C2*4096/3.3 - 25*B2*4096/3.3</f>
        <v>865.74545454545455</v>
      </c>
      <c r="G2">
        <f>(A2-F2)*E2/65536</f>
        <v>26.5078125</v>
      </c>
      <c r="H2">
        <f>25*B2*4096/3.3</f>
        <v>77.575757575757578</v>
      </c>
      <c r="I2">
        <f>H2*E2/65536</f>
        <v>25</v>
      </c>
      <c r="M2">
        <f>C2*4096/3.3</f>
        <v>943.32121212121217</v>
      </c>
    </row>
    <row r="5" spans="1:13" x14ac:dyDescent="0.25">
      <c r="B5">
        <v>948</v>
      </c>
      <c r="C5">
        <f>B5/4096*3.3</f>
        <v>0.76376953124999991</v>
      </c>
      <c r="D5">
        <f>C5-C2</f>
        <v>3.7695312499999023E-3</v>
      </c>
      <c r="E5">
        <f>D5/B2+25</f>
        <v>26.507812499999961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6F2F-5C92-4104-BD11-FB297CD54772}">
  <dimension ref="C1:K18"/>
  <sheetViews>
    <sheetView topLeftCell="A13" workbookViewId="0">
      <selection activeCell="G30" sqref="G30"/>
    </sheetView>
  </sheetViews>
  <sheetFormatPr defaultRowHeight="15" x14ac:dyDescent="0.25"/>
  <sheetData>
    <row r="1" spans="3:4" x14ac:dyDescent="0.25">
      <c r="C1">
        <v>15</v>
      </c>
      <c r="D1">
        <v>652</v>
      </c>
    </row>
    <row r="2" spans="3:4" x14ac:dyDescent="0.25">
      <c r="C2">
        <v>17</v>
      </c>
      <c r="D2">
        <v>714</v>
      </c>
    </row>
    <row r="3" spans="3:4" x14ac:dyDescent="0.25">
      <c r="C3">
        <v>20</v>
      </c>
      <c r="D3">
        <v>848</v>
      </c>
    </row>
    <row r="4" spans="3:4" x14ac:dyDescent="0.25">
      <c r="C4">
        <v>24.97</v>
      </c>
      <c r="D4">
        <v>1046</v>
      </c>
    </row>
    <row r="5" spans="3:4" x14ac:dyDescent="0.25">
      <c r="C5">
        <v>29.23</v>
      </c>
      <c r="D5">
        <v>1224</v>
      </c>
    </row>
    <row r="6" spans="3:4" x14ac:dyDescent="0.25">
      <c r="C6">
        <v>30</v>
      </c>
      <c r="D6">
        <v>1250</v>
      </c>
    </row>
    <row r="7" spans="3:4" x14ac:dyDescent="0.25">
      <c r="C7">
        <v>40</v>
      </c>
      <c r="D7">
        <v>1667</v>
      </c>
    </row>
    <row r="8" spans="3:4" x14ac:dyDescent="0.25">
      <c r="C8">
        <v>51</v>
      </c>
      <c r="D8">
        <v>2132</v>
      </c>
    </row>
    <row r="9" spans="3:4" x14ac:dyDescent="0.25">
      <c r="C9">
        <v>60</v>
      </c>
      <c r="D9">
        <v>2501</v>
      </c>
    </row>
    <row r="17" spans="3:11" x14ac:dyDescent="0.25">
      <c r="C17">
        <v>15</v>
      </c>
      <c r="D17">
        <v>17</v>
      </c>
      <c r="E17">
        <v>20</v>
      </c>
      <c r="F17">
        <v>24.97</v>
      </c>
      <c r="G17">
        <v>29.23</v>
      </c>
      <c r="H17">
        <v>30</v>
      </c>
      <c r="I17">
        <v>40</v>
      </c>
      <c r="J17">
        <v>51</v>
      </c>
      <c r="K17">
        <v>60</v>
      </c>
    </row>
    <row r="18" spans="3:11" x14ac:dyDescent="0.25">
      <c r="C18">
        <v>652</v>
      </c>
      <c r="D18">
        <v>714</v>
      </c>
      <c r="E18">
        <v>848</v>
      </c>
      <c r="F18">
        <v>1046</v>
      </c>
      <c r="G18">
        <v>1224</v>
      </c>
      <c r="H18">
        <v>1250</v>
      </c>
      <c r="I18">
        <v>1667</v>
      </c>
      <c r="J18">
        <v>2132</v>
      </c>
      <c r="K18">
        <v>2501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5BC3-6955-4143-938C-68655122FBFD}">
  <dimension ref="B24:R82"/>
  <sheetViews>
    <sheetView tabSelected="1" topLeftCell="A19" zoomScale="115" zoomScaleNormal="115" workbookViewId="0">
      <selection activeCell="K21" sqref="K21"/>
    </sheetView>
  </sheetViews>
  <sheetFormatPr defaultRowHeight="15" x14ac:dyDescent="0.25"/>
  <sheetData>
    <row r="24" spans="4:14" x14ac:dyDescent="0.25">
      <c r="D24" t="s">
        <v>10</v>
      </c>
      <c r="F24" t="s">
        <v>8</v>
      </c>
      <c r="G24" t="s">
        <v>7</v>
      </c>
      <c r="H24" t="s">
        <v>9</v>
      </c>
    </row>
    <row r="31" spans="4:14" ht="18.75" x14ac:dyDescent="0.3">
      <c r="E31">
        <v>10</v>
      </c>
      <c r="F31">
        <v>1800</v>
      </c>
      <c r="G31">
        <v>2.44</v>
      </c>
      <c r="H31">
        <f>G31*E31/2</f>
        <v>12.2</v>
      </c>
      <c r="I31">
        <v>54</v>
      </c>
      <c r="K31" s="2">
        <f>F31</f>
        <v>1800</v>
      </c>
      <c r="L31" s="2">
        <f>H31</f>
        <v>12.2</v>
      </c>
      <c r="M31" s="2">
        <f>I31</f>
        <v>54</v>
      </c>
      <c r="N31">
        <f>(L39-L31)/(M39-M31)</f>
        <v>0.21974789915966386</v>
      </c>
    </row>
    <row r="32" spans="4:14" ht="18.75" x14ac:dyDescent="0.3">
      <c r="E32">
        <v>10</v>
      </c>
      <c r="F32">
        <v>2000</v>
      </c>
      <c r="G32">
        <v>3.58</v>
      </c>
      <c r="H32">
        <f t="shared" ref="H32:H42" si="0">G32*E32/2</f>
        <v>17.899999999999999</v>
      </c>
      <c r="I32">
        <v>75</v>
      </c>
      <c r="K32" s="2">
        <f t="shared" ref="K32:K40" si="1">F32</f>
        <v>2000</v>
      </c>
      <c r="L32" s="2">
        <f t="shared" ref="L32:L39" si="2">H32</f>
        <v>17.899999999999999</v>
      </c>
      <c r="M32" s="2">
        <f t="shared" ref="M32:M40" si="3">I32</f>
        <v>75</v>
      </c>
    </row>
    <row r="33" spans="4:15" ht="18.75" x14ac:dyDescent="0.3">
      <c r="E33">
        <v>10</v>
      </c>
      <c r="F33">
        <v>2200</v>
      </c>
      <c r="G33">
        <v>4.9000000000000004</v>
      </c>
      <c r="H33">
        <f>G33*E33/2</f>
        <v>24.5</v>
      </c>
      <c r="I33">
        <v>117</v>
      </c>
      <c r="K33" s="2">
        <f t="shared" si="1"/>
        <v>2200</v>
      </c>
      <c r="L33" s="2">
        <f t="shared" si="2"/>
        <v>24.5</v>
      </c>
      <c r="M33" s="2">
        <f t="shared" si="3"/>
        <v>117</v>
      </c>
    </row>
    <row r="34" spans="4:15" ht="18.75" x14ac:dyDescent="0.3">
      <c r="E34">
        <v>10</v>
      </c>
      <c r="F34">
        <v>2400</v>
      </c>
      <c r="G34">
        <v>6.32</v>
      </c>
      <c r="H34">
        <f t="shared" si="0"/>
        <v>31.6</v>
      </c>
      <c r="I34">
        <v>132</v>
      </c>
      <c r="K34" s="2">
        <f t="shared" si="1"/>
        <v>2400</v>
      </c>
      <c r="L34" s="2">
        <f t="shared" si="2"/>
        <v>31.6</v>
      </c>
      <c r="M34" s="2">
        <f t="shared" si="3"/>
        <v>132</v>
      </c>
    </row>
    <row r="35" spans="4:15" ht="18.75" x14ac:dyDescent="0.3">
      <c r="E35">
        <v>100</v>
      </c>
      <c r="F35">
        <v>2500</v>
      </c>
      <c r="G35">
        <v>0.69599999999999995</v>
      </c>
      <c r="H35">
        <f t="shared" si="0"/>
        <v>34.799999999999997</v>
      </c>
      <c r="I35">
        <v>148</v>
      </c>
      <c r="K35" s="2">
        <f t="shared" si="1"/>
        <v>2500</v>
      </c>
      <c r="L35" s="2">
        <f t="shared" si="2"/>
        <v>34.799999999999997</v>
      </c>
      <c r="M35" s="2">
        <f t="shared" si="3"/>
        <v>148</v>
      </c>
    </row>
    <row r="36" spans="4:15" ht="18.75" x14ac:dyDescent="0.3">
      <c r="E36">
        <v>100</v>
      </c>
      <c r="F36">
        <v>2700</v>
      </c>
      <c r="G36">
        <v>0.80400000000000005</v>
      </c>
      <c r="H36">
        <f t="shared" si="0"/>
        <v>40.200000000000003</v>
      </c>
      <c r="I36">
        <v>177</v>
      </c>
      <c r="K36" s="2">
        <f t="shared" si="1"/>
        <v>2700</v>
      </c>
      <c r="L36" s="2">
        <f t="shared" si="2"/>
        <v>40.200000000000003</v>
      </c>
      <c r="M36" s="2">
        <f t="shared" si="3"/>
        <v>177</v>
      </c>
    </row>
    <row r="37" spans="4:15" ht="18.75" x14ac:dyDescent="0.3">
      <c r="E37">
        <v>100</v>
      </c>
      <c r="F37">
        <v>3000</v>
      </c>
      <c r="G37">
        <v>0.996</v>
      </c>
      <c r="H37">
        <f t="shared" si="0"/>
        <v>49.8</v>
      </c>
      <c r="I37">
        <v>212</v>
      </c>
      <c r="K37" s="2">
        <f t="shared" si="1"/>
        <v>3000</v>
      </c>
      <c r="L37" s="2">
        <f t="shared" si="2"/>
        <v>49.8</v>
      </c>
      <c r="M37" s="2">
        <f t="shared" si="3"/>
        <v>212</v>
      </c>
    </row>
    <row r="38" spans="4:15" ht="18.75" x14ac:dyDescent="0.3">
      <c r="E38">
        <v>100</v>
      </c>
      <c r="F38">
        <v>3300</v>
      </c>
      <c r="G38">
        <v>1.1599999999999999</v>
      </c>
      <c r="H38">
        <f t="shared" si="0"/>
        <v>57.999999999999993</v>
      </c>
      <c r="I38">
        <v>256</v>
      </c>
      <c r="K38" s="2">
        <f t="shared" si="1"/>
        <v>3300</v>
      </c>
      <c r="L38" s="2">
        <f t="shared" si="2"/>
        <v>57.999999999999993</v>
      </c>
      <c r="M38" s="2">
        <f t="shared" si="3"/>
        <v>256</v>
      </c>
    </row>
    <row r="39" spans="4:15" ht="18.75" x14ac:dyDescent="0.3">
      <c r="E39">
        <v>100</v>
      </c>
      <c r="F39">
        <v>3500</v>
      </c>
      <c r="G39">
        <v>1.29</v>
      </c>
      <c r="H39">
        <f t="shared" si="0"/>
        <v>64.5</v>
      </c>
      <c r="I39">
        <v>292</v>
      </c>
      <c r="K39" s="2">
        <f t="shared" si="1"/>
        <v>3500</v>
      </c>
      <c r="L39" s="2">
        <f t="shared" si="2"/>
        <v>64.5</v>
      </c>
      <c r="M39" s="2">
        <f t="shared" si="3"/>
        <v>292</v>
      </c>
    </row>
    <row r="40" spans="4:15" ht="18.75" x14ac:dyDescent="0.3">
      <c r="E40">
        <v>100</v>
      </c>
      <c r="F40">
        <v>3700</v>
      </c>
      <c r="I40">
        <v>306</v>
      </c>
      <c r="K40" s="2">
        <f t="shared" si="1"/>
        <v>3700</v>
      </c>
      <c r="L40" s="2">
        <f>M40*$N$31</f>
        <v>67.242857142857147</v>
      </c>
      <c r="M40" s="2">
        <f t="shared" si="3"/>
        <v>306</v>
      </c>
    </row>
    <row r="41" spans="4:15" ht="18.75" x14ac:dyDescent="0.3">
      <c r="K41" s="2">
        <v>4000</v>
      </c>
      <c r="L41" s="2">
        <f>M41*$N$31</f>
        <v>79.548739495798316</v>
      </c>
      <c r="M41" s="2">
        <v>362</v>
      </c>
    </row>
    <row r="42" spans="4:15" ht="18.75" x14ac:dyDescent="0.3">
      <c r="E42">
        <v>100</v>
      </c>
      <c r="F42">
        <v>4500</v>
      </c>
      <c r="G42">
        <v>1.91</v>
      </c>
      <c r="H42">
        <f t="shared" si="0"/>
        <v>95.5</v>
      </c>
      <c r="I42">
        <v>441</v>
      </c>
      <c r="K42" s="2">
        <v>4500</v>
      </c>
      <c r="L42" s="3">
        <f t="shared" ref="L42" si="4">H42</f>
        <v>95.5</v>
      </c>
      <c r="M42" s="2">
        <f t="shared" ref="M42" si="5">I42</f>
        <v>441</v>
      </c>
      <c r="O42" t="s">
        <v>11</v>
      </c>
    </row>
    <row r="44" spans="4:15" x14ac:dyDescent="0.25">
      <c r="D44" t="s">
        <v>10</v>
      </c>
      <c r="F44" t="s">
        <v>8</v>
      </c>
      <c r="G44" t="s">
        <v>7</v>
      </c>
      <c r="I44" t="s">
        <v>9</v>
      </c>
    </row>
    <row r="47" spans="4:15" x14ac:dyDescent="0.25">
      <c r="E47">
        <v>10</v>
      </c>
      <c r="F47">
        <v>200</v>
      </c>
      <c r="G47">
        <v>4.9000000000000002E-2</v>
      </c>
      <c r="H47">
        <f t="shared" ref="H47:H62" si="6">G47*E47/2</f>
        <v>0.245</v>
      </c>
    </row>
    <row r="48" spans="4:15" x14ac:dyDescent="0.25">
      <c r="E48">
        <v>10</v>
      </c>
      <c r="F48">
        <v>400</v>
      </c>
      <c r="G48">
        <v>0.08</v>
      </c>
      <c r="H48">
        <f t="shared" si="6"/>
        <v>0.4</v>
      </c>
    </row>
    <row r="49" spans="5:15" x14ac:dyDescent="0.25">
      <c r="E49">
        <v>10</v>
      </c>
      <c r="F49">
        <v>800</v>
      </c>
      <c r="G49">
        <v>0.11</v>
      </c>
      <c r="H49">
        <f t="shared" si="6"/>
        <v>0.55000000000000004</v>
      </c>
    </row>
    <row r="50" spans="5:15" ht="18.75" x14ac:dyDescent="0.3">
      <c r="E50">
        <v>10</v>
      </c>
      <c r="F50">
        <v>1000</v>
      </c>
      <c r="G50">
        <v>0.127</v>
      </c>
      <c r="H50">
        <f t="shared" si="6"/>
        <v>0.63500000000000001</v>
      </c>
      <c r="I50">
        <v>2</v>
      </c>
      <c r="K50" s="2">
        <f t="shared" ref="K50:K62" si="7">F50</f>
        <v>1000</v>
      </c>
      <c r="L50" s="2">
        <f t="shared" ref="L50:L62" si="8">H50</f>
        <v>0.63500000000000001</v>
      </c>
      <c r="M50" s="2">
        <f t="shared" ref="M50:M62" si="9">I50</f>
        <v>2</v>
      </c>
      <c r="N50">
        <v>35</v>
      </c>
    </row>
    <row r="51" spans="5:15" ht="18.75" x14ac:dyDescent="0.3">
      <c r="E51">
        <v>10</v>
      </c>
      <c r="F51">
        <v>1100</v>
      </c>
      <c r="G51">
        <v>0.14399999999999999</v>
      </c>
      <c r="H51">
        <f t="shared" si="6"/>
        <v>0.72</v>
      </c>
      <c r="I51">
        <v>3</v>
      </c>
      <c r="K51" s="2">
        <f t="shared" si="7"/>
        <v>1100</v>
      </c>
      <c r="L51" s="2">
        <f t="shared" si="8"/>
        <v>0.72</v>
      </c>
      <c r="M51" s="2">
        <f t="shared" si="9"/>
        <v>3</v>
      </c>
      <c r="N51">
        <v>35</v>
      </c>
    </row>
    <row r="52" spans="5:15" ht="18.75" x14ac:dyDescent="0.3">
      <c r="E52">
        <v>10</v>
      </c>
      <c r="F52">
        <v>1200</v>
      </c>
      <c r="G52">
        <v>0.17699999999999999</v>
      </c>
      <c r="H52">
        <f t="shared" si="6"/>
        <v>0.88500000000000001</v>
      </c>
      <c r="I52">
        <v>4</v>
      </c>
      <c r="K52" s="2">
        <f t="shared" si="7"/>
        <v>1200</v>
      </c>
      <c r="L52" s="2">
        <f t="shared" si="8"/>
        <v>0.88500000000000001</v>
      </c>
      <c r="M52" s="2">
        <f t="shared" si="9"/>
        <v>4</v>
      </c>
      <c r="N52">
        <v>35</v>
      </c>
    </row>
    <row r="53" spans="5:15" ht="18.75" x14ac:dyDescent="0.3">
      <c r="E53">
        <v>10</v>
      </c>
      <c r="F53">
        <v>1300</v>
      </c>
      <c r="G53">
        <v>0.22</v>
      </c>
      <c r="H53">
        <f t="shared" si="6"/>
        <v>1.1000000000000001</v>
      </c>
      <c r="I53">
        <v>5</v>
      </c>
      <c r="K53" s="2">
        <f t="shared" si="7"/>
        <v>1300</v>
      </c>
      <c r="L53" s="2">
        <f t="shared" si="8"/>
        <v>1.1000000000000001</v>
      </c>
      <c r="M53" s="2">
        <f t="shared" si="9"/>
        <v>5</v>
      </c>
      <c r="N53">
        <v>25</v>
      </c>
      <c r="O53">
        <v>40</v>
      </c>
    </row>
    <row r="54" spans="5:15" ht="18.75" x14ac:dyDescent="0.3">
      <c r="E54">
        <v>10</v>
      </c>
      <c r="F54">
        <v>1400</v>
      </c>
      <c r="G54">
        <v>0.36599999999999999</v>
      </c>
      <c r="H54">
        <f t="shared" si="6"/>
        <v>1.83</v>
      </c>
      <c r="I54">
        <v>10</v>
      </c>
      <c r="K54" s="2">
        <f t="shared" si="7"/>
        <v>1400</v>
      </c>
      <c r="L54" s="2">
        <f t="shared" si="8"/>
        <v>1.83</v>
      </c>
      <c r="M54" s="2">
        <f t="shared" si="9"/>
        <v>10</v>
      </c>
    </row>
    <row r="55" spans="5:15" ht="18.75" x14ac:dyDescent="0.3">
      <c r="E55">
        <v>10</v>
      </c>
      <c r="F55">
        <v>1500</v>
      </c>
      <c r="G55">
        <v>0.73199999999999998</v>
      </c>
      <c r="H55">
        <f t="shared" si="6"/>
        <v>3.66</v>
      </c>
      <c r="I55">
        <v>17</v>
      </c>
      <c r="K55" s="2">
        <f t="shared" si="7"/>
        <v>1500</v>
      </c>
      <c r="L55" s="2">
        <f t="shared" si="8"/>
        <v>3.66</v>
      </c>
      <c r="M55" s="2">
        <f t="shared" si="9"/>
        <v>17</v>
      </c>
    </row>
    <row r="56" spans="5:15" ht="18.75" x14ac:dyDescent="0.3">
      <c r="E56">
        <v>10</v>
      </c>
      <c r="F56">
        <v>1600</v>
      </c>
      <c r="G56">
        <v>1.36</v>
      </c>
      <c r="H56">
        <f t="shared" si="6"/>
        <v>6.8000000000000007</v>
      </c>
      <c r="I56">
        <v>29</v>
      </c>
      <c r="K56" s="2">
        <f t="shared" si="7"/>
        <v>1600</v>
      </c>
      <c r="L56" s="2">
        <f t="shared" si="8"/>
        <v>6.8000000000000007</v>
      </c>
      <c r="M56" s="2">
        <f t="shared" si="9"/>
        <v>29</v>
      </c>
      <c r="N56">
        <v>33</v>
      </c>
      <c r="O56">
        <v>40</v>
      </c>
    </row>
    <row r="57" spans="5:15" ht="18.75" x14ac:dyDescent="0.3">
      <c r="E57">
        <v>10</v>
      </c>
      <c r="F57">
        <v>1700</v>
      </c>
      <c r="G57">
        <v>2.0699999999999998</v>
      </c>
      <c r="H57">
        <f t="shared" si="6"/>
        <v>10.35</v>
      </c>
      <c r="I57">
        <v>46</v>
      </c>
      <c r="K57" s="2">
        <f t="shared" si="7"/>
        <v>1700</v>
      </c>
      <c r="L57" s="2">
        <f t="shared" si="8"/>
        <v>10.35</v>
      </c>
      <c r="M57" s="2">
        <f t="shared" si="9"/>
        <v>46</v>
      </c>
    </row>
    <row r="58" spans="5:15" ht="18.75" x14ac:dyDescent="0.3">
      <c r="E58">
        <v>10</v>
      </c>
      <c r="F58">
        <v>1800</v>
      </c>
      <c r="G58">
        <v>2.96</v>
      </c>
      <c r="H58">
        <f t="shared" si="6"/>
        <v>14.8</v>
      </c>
      <c r="I58">
        <v>61</v>
      </c>
      <c r="K58" s="2">
        <f t="shared" si="7"/>
        <v>1800</v>
      </c>
      <c r="L58" s="2">
        <f t="shared" si="8"/>
        <v>14.8</v>
      </c>
      <c r="M58" s="2">
        <f t="shared" si="9"/>
        <v>61</v>
      </c>
      <c r="N58">
        <v>37</v>
      </c>
    </row>
    <row r="59" spans="5:15" ht="18.75" x14ac:dyDescent="0.3">
      <c r="E59">
        <v>10</v>
      </c>
      <c r="F59">
        <v>2000</v>
      </c>
      <c r="G59">
        <v>4.3600000000000003</v>
      </c>
      <c r="H59">
        <f t="shared" si="6"/>
        <v>21.8</v>
      </c>
      <c r="I59">
        <v>97</v>
      </c>
      <c r="K59" s="2">
        <f t="shared" si="7"/>
        <v>2000</v>
      </c>
      <c r="L59" s="2">
        <f t="shared" si="8"/>
        <v>21.8</v>
      </c>
      <c r="M59" s="2">
        <f t="shared" si="9"/>
        <v>97</v>
      </c>
      <c r="N59">
        <v>50</v>
      </c>
    </row>
    <row r="60" spans="5:15" ht="18.75" x14ac:dyDescent="0.3">
      <c r="E60">
        <v>100</v>
      </c>
      <c r="F60">
        <v>2200</v>
      </c>
      <c r="G60">
        <v>0.59599999999999997</v>
      </c>
      <c r="H60">
        <f t="shared" si="6"/>
        <v>29.799999999999997</v>
      </c>
      <c r="I60">
        <v>120</v>
      </c>
      <c r="K60" s="2">
        <f t="shared" si="7"/>
        <v>2200</v>
      </c>
      <c r="L60" s="2">
        <f t="shared" si="8"/>
        <v>29.799999999999997</v>
      </c>
      <c r="M60" s="2">
        <f t="shared" si="9"/>
        <v>120</v>
      </c>
      <c r="N60">
        <v>63</v>
      </c>
    </row>
    <row r="61" spans="5:15" ht="18.75" x14ac:dyDescent="0.3">
      <c r="E61">
        <v>100</v>
      </c>
      <c r="F61">
        <v>2400</v>
      </c>
      <c r="G61">
        <v>0.75</v>
      </c>
      <c r="H61">
        <f t="shared" si="6"/>
        <v>37.5</v>
      </c>
      <c r="I61">
        <v>165</v>
      </c>
      <c r="K61" s="2">
        <f t="shared" si="7"/>
        <v>2400</v>
      </c>
      <c r="L61" s="2">
        <f t="shared" si="8"/>
        <v>37.5</v>
      </c>
      <c r="M61" s="2">
        <f t="shared" si="9"/>
        <v>165</v>
      </c>
    </row>
    <row r="62" spans="5:15" ht="18.75" x14ac:dyDescent="0.3">
      <c r="E62">
        <v>100</v>
      </c>
      <c r="F62">
        <v>2500</v>
      </c>
      <c r="G62">
        <v>0.82399999999999995</v>
      </c>
      <c r="H62">
        <f t="shared" si="6"/>
        <v>41.199999999999996</v>
      </c>
      <c r="I62">
        <v>184</v>
      </c>
      <c r="K62" s="2">
        <f t="shared" si="7"/>
        <v>2500</v>
      </c>
      <c r="L62" s="2">
        <f t="shared" si="8"/>
        <v>41.199999999999996</v>
      </c>
      <c r="M62" s="2">
        <f t="shared" si="9"/>
        <v>184</v>
      </c>
    </row>
    <row r="63" spans="5:15" x14ac:dyDescent="0.25">
      <c r="J63">
        <v>2700</v>
      </c>
      <c r="K63">
        <f>J63-200</f>
        <v>2500</v>
      </c>
      <c r="L63">
        <v>40.200000000000003</v>
      </c>
      <c r="M63">
        <v>177</v>
      </c>
    </row>
    <row r="64" spans="5:15" x14ac:dyDescent="0.25">
      <c r="J64">
        <v>3000</v>
      </c>
      <c r="K64">
        <f t="shared" ref="K64:K69" si="10">J64-200</f>
        <v>2800</v>
      </c>
      <c r="L64">
        <v>49.8</v>
      </c>
      <c r="M64">
        <v>212</v>
      </c>
    </row>
    <row r="65" spans="2:18" x14ac:dyDescent="0.25">
      <c r="J65">
        <v>3300</v>
      </c>
      <c r="K65">
        <f t="shared" si="10"/>
        <v>3100</v>
      </c>
      <c r="L65">
        <v>57.999999999999993</v>
      </c>
      <c r="M65">
        <v>256</v>
      </c>
    </row>
    <row r="66" spans="2:18" x14ac:dyDescent="0.25">
      <c r="J66">
        <v>3500</v>
      </c>
      <c r="K66">
        <f t="shared" si="10"/>
        <v>3300</v>
      </c>
      <c r="L66">
        <v>64.5</v>
      </c>
      <c r="M66">
        <v>292</v>
      </c>
    </row>
    <row r="67" spans="2:18" x14ac:dyDescent="0.25">
      <c r="J67">
        <v>3700</v>
      </c>
      <c r="K67">
        <f t="shared" si="10"/>
        <v>3500</v>
      </c>
      <c r="L67">
        <v>67.242857142857147</v>
      </c>
      <c r="M67">
        <v>306</v>
      </c>
    </row>
    <row r="68" spans="2:18" x14ac:dyDescent="0.25">
      <c r="J68">
        <v>4000</v>
      </c>
      <c r="K68">
        <f t="shared" si="10"/>
        <v>3800</v>
      </c>
      <c r="L68">
        <v>79.548739495798316</v>
      </c>
      <c r="M68">
        <v>362</v>
      </c>
    </row>
    <row r="69" spans="2:18" x14ac:dyDescent="0.25">
      <c r="J69">
        <v>4500</v>
      </c>
      <c r="K69">
        <f t="shared" si="10"/>
        <v>4300</v>
      </c>
      <c r="L69">
        <v>95.5</v>
      </c>
      <c r="M69">
        <v>441</v>
      </c>
    </row>
    <row r="73" spans="2:18" x14ac:dyDescent="0.25">
      <c r="B73">
        <v>1.1000000000000001</v>
      </c>
      <c r="C73">
        <v>1.83</v>
      </c>
      <c r="D73">
        <v>3.66</v>
      </c>
      <c r="E73">
        <v>6.8000000000000007</v>
      </c>
      <c r="F73">
        <v>10.35</v>
      </c>
      <c r="G73">
        <v>14.8</v>
      </c>
      <c r="H73">
        <v>21.8</v>
      </c>
      <c r="I73">
        <v>24.5</v>
      </c>
      <c r="J73">
        <v>31.6</v>
      </c>
      <c r="K73">
        <v>34.799999999999997</v>
      </c>
      <c r="L73">
        <v>40.200000000000003</v>
      </c>
      <c r="M73">
        <v>49.8</v>
      </c>
      <c r="N73">
        <v>57.999999999999993</v>
      </c>
      <c r="O73">
        <v>64.5</v>
      </c>
      <c r="P73">
        <v>67.242857142857147</v>
      </c>
      <c r="Q73">
        <v>79.548739495798316</v>
      </c>
      <c r="R73">
        <v>95.5</v>
      </c>
    </row>
    <row r="74" spans="2:18" x14ac:dyDescent="0.25">
      <c r="B74">
        <v>5</v>
      </c>
      <c r="C74">
        <v>10</v>
      </c>
      <c r="D74">
        <v>17</v>
      </c>
      <c r="E74">
        <v>29</v>
      </c>
      <c r="F74">
        <v>46</v>
      </c>
      <c r="G74">
        <v>61</v>
      </c>
      <c r="H74">
        <v>97</v>
      </c>
      <c r="I74">
        <v>117</v>
      </c>
      <c r="J74">
        <v>132</v>
      </c>
      <c r="K74">
        <v>148</v>
      </c>
      <c r="L74">
        <v>177</v>
      </c>
      <c r="M74">
        <v>212</v>
      </c>
      <c r="N74">
        <v>256</v>
      </c>
      <c r="O74">
        <v>292</v>
      </c>
      <c r="P74">
        <v>306</v>
      </c>
      <c r="Q74">
        <v>362</v>
      </c>
      <c r="R74">
        <v>441</v>
      </c>
    </row>
    <row r="81" spans="2:14" x14ac:dyDescent="0.25">
      <c r="B81">
        <v>1000</v>
      </c>
      <c r="C81">
        <v>1100</v>
      </c>
      <c r="D81">
        <v>1200</v>
      </c>
      <c r="E81">
        <v>1300</v>
      </c>
      <c r="F81">
        <v>1400</v>
      </c>
      <c r="G81">
        <v>1500</v>
      </c>
      <c r="H81">
        <v>1600</v>
      </c>
      <c r="I81">
        <v>1700</v>
      </c>
      <c r="J81">
        <v>1800</v>
      </c>
      <c r="K81">
        <v>2000</v>
      </c>
      <c r="L81">
        <v>2200</v>
      </c>
      <c r="M81">
        <v>2400</v>
      </c>
      <c r="N81">
        <v>2500</v>
      </c>
    </row>
    <row r="82" spans="2:14" x14ac:dyDescent="0.25">
      <c r="B82">
        <v>0.63500000000000001</v>
      </c>
      <c r="C82">
        <v>0.72</v>
      </c>
      <c r="D82">
        <v>0.88500000000000001</v>
      </c>
      <c r="E82">
        <v>1.1000000000000001</v>
      </c>
      <c r="F82">
        <v>1.83</v>
      </c>
      <c r="G82">
        <v>3.66</v>
      </c>
      <c r="H82">
        <v>6.8000000000000007</v>
      </c>
      <c r="I82">
        <v>10.35</v>
      </c>
      <c r="J82">
        <v>14.8</v>
      </c>
      <c r="K82">
        <v>21.8</v>
      </c>
      <c r="L82">
        <v>29.799999999999997</v>
      </c>
      <c r="M82">
        <v>37.5</v>
      </c>
      <c r="N82">
        <v>41.199999999999996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1870-629C-4328-82C0-D409FBE6428C}">
  <dimension ref="B1:I31"/>
  <sheetViews>
    <sheetView topLeftCell="A4" workbookViewId="0">
      <selection activeCell="G11" sqref="G11"/>
    </sheetView>
  </sheetViews>
  <sheetFormatPr defaultRowHeight="15" x14ac:dyDescent="0.25"/>
  <cols>
    <col min="2" max="2" width="28.5703125" customWidth="1"/>
    <col min="3" max="3" width="25.7109375" customWidth="1"/>
    <col min="4" max="4" width="22.7109375" customWidth="1"/>
    <col min="5" max="5" width="22.42578125" customWidth="1"/>
    <col min="6" max="6" width="32.7109375" customWidth="1"/>
    <col min="7" max="7" width="21.28515625" customWidth="1"/>
    <col min="8" max="8" width="27.28515625" customWidth="1"/>
    <col min="9" max="9" width="29.28515625" customWidth="1"/>
  </cols>
  <sheetData>
    <row r="1" spans="2:9" s="5" customFormat="1" ht="58.5" customHeight="1" x14ac:dyDescent="0.25">
      <c r="B1" s="5" t="s">
        <v>31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</row>
    <row r="3" spans="2:9" x14ac:dyDescent="0.25">
      <c r="B3" t="s">
        <v>17</v>
      </c>
      <c r="C3">
        <v>9.1500000000000001E-3</v>
      </c>
      <c r="D3">
        <v>9.1500000000000001E-3</v>
      </c>
      <c r="E3">
        <v>9.1500000000000001E-3</v>
      </c>
      <c r="F3">
        <v>9.1500000000000001E-3</v>
      </c>
      <c r="G3">
        <v>9.1500000000000001E-3</v>
      </c>
      <c r="H3">
        <v>9.1500000000000001E-3</v>
      </c>
      <c r="I3">
        <v>9.1500000000000001E-3</v>
      </c>
    </row>
    <row r="4" spans="2:9" x14ac:dyDescent="0.25">
      <c r="B4" t="s">
        <v>18</v>
      </c>
      <c r="C4">
        <v>7.1000000000000004E-3</v>
      </c>
      <c r="D4">
        <v>7.1000000000000004E-3</v>
      </c>
      <c r="E4">
        <v>7.1000000000000004E-3</v>
      </c>
      <c r="F4">
        <v>7.1000000000000004E-3</v>
      </c>
      <c r="G4">
        <v>7.1000000000000004E-3</v>
      </c>
      <c r="H4">
        <v>7.1000000000000004E-3</v>
      </c>
      <c r="I4">
        <v>7.1000000000000004E-3</v>
      </c>
    </row>
    <row r="5" spans="2:9" x14ac:dyDescent="0.25">
      <c r="B5" t="s">
        <v>12</v>
      </c>
      <c r="C5">
        <f t="shared" ref="C5:I5" si="0">C3*C4</f>
        <v>6.4964999999999999E-5</v>
      </c>
      <c r="D5">
        <f t="shared" si="0"/>
        <v>6.4964999999999999E-5</v>
      </c>
      <c r="E5">
        <f t="shared" si="0"/>
        <v>6.4964999999999999E-5</v>
      </c>
      <c r="F5">
        <f t="shared" si="0"/>
        <v>6.4964999999999999E-5</v>
      </c>
      <c r="G5">
        <f t="shared" si="0"/>
        <v>6.4964999999999999E-5</v>
      </c>
      <c r="H5">
        <f t="shared" si="0"/>
        <v>6.4964999999999999E-5</v>
      </c>
      <c r="I5">
        <f t="shared" si="0"/>
        <v>6.4964999999999999E-5</v>
      </c>
    </row>
    <row r="6" spans="2:9" x14ac:dyDescent="0.25">
      <c r="B6" t="s">
        <v>15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</row>
    <row r="7" spans="2:9" x14ac:dyDescent="0.25">
      <c r="B7" t="s">
        <v>16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</row>
    <row r="8" spans="2:9" x14ac:dyDescent="0.25">
      <c r="B8" t="s">
        <v>14</v>
      </c>
      <c r="C8">
        <f t="shared" ref="C8:I8" si="1">C6*C7*C7</f>
        <v>30</v>
      </c>
      <c r="D8">
        <f t="shared" si="1"/>
        <v>30</v>
      </c>
      <c r="E8">
        <f t="shared" si="1"/>
        <v>30</v>
      </c>
      <c r="F8">
        <f t="shared" si="1"/>
        <v>30</v>
      </c>
      <c r="G8">
        <f t="shared" si="1"/>
        <v>30</v>
      </c>
      <c r="H8">
        <f t="shared" si="1"/>
        <v>30</v>
      </c>
      <c r="I8">
        <f t="shared" si="1"/>
        <v>30</v>
      </c>
    </row>
    <row r="9" spans="2:9" x14ac:dyDescent="0.25">
      <c r="B9" t="s">
        <v>13</v>
      </c>
      <c r="C9">
        <v>1E-3</v>
      </c>
      <c r="D9">
        <v>1E-3</v>
      </c>
      <c r="E9">
        <v>1E-3</v>
      </c>
      <c r="F9">
        <v>1E-3</v>
      </c>
      <c r="G9">
        <v>1E-3</v>
      </c>
      <c r="H9">
        <v>1E-3</v>
      </c>
      <c r="I9">
        <v>1E-3</v>
      </c>
    </row>
    <row r="10" spans="2:9" x14ac:dyDescent="0.25">
      <c r="B10" t="s">
        <v>19</v>
      </c>
      <c r="C10" s="4">
        <v>6</v>
      </c>
      <c r="D10" s="4">
        <v>18</v>
      </c>
      <c r="E10" s="4">
        <v>6</v>
      </c>
      <c r="F10" s="4">
        <v>18</v>
      </c>
      <c r="G10" s="4">
        <v>18</v>
      </c>
      <c r="H10" s="4">
        <v>6</v>
      </c>
      <c r="I10" s="4">
        <v>6</v>
      </c>
    </row>
    <row r="11" spans="2:9" x14ac:dyDescent="0.25">
      <c r="B11" t="s">
        <v>20</v>
      </c>
      <c r="C11">
        <f t="shared" ref="C11:I11" si="2">C8*C9/(C10*C5)</f>
        <v>76.964519356576616</v>
      </c>
      <c r="D11">
        <f t="shared" si="2"/>
        <v>25.654839785525542</v>
      </c>
      <c r="E11">
        <f t="shared" si="2"/>
        <v>76.964519356576616</v>
      </c>
      <c r="F11">
        <f t="shared" si="2"/>
        <v>25.654839785525542</v>
      </c>
      <c r="G11">
        <f t="shared" si="2"/>
        <v>25.654839785525542</v>
      </c>
      <c r="H11">
        <f t="shared" si="2"/>
        <v>76.964519356576616</v>
      </c>
      <c r="I11">
        <f t="shared" si="2"/>
        <v>76.964519356576616</v>
      </c>
    </row>
    <row r="12" spans="2:9" x14ac:dyDescent="0.25">
      <c r="B12" t="s">
        <v>21</v>
      </c>
      <c r="C12">
        <f t="shared" ref="C12:I12" si="3">125-C11</f>
        <v>48.035480643423384</v>
      </c>
      <c r="D12">
        <f t="shared" si="3"/>
        <v>99.345160214474461</v>
      </c>
      <c r="E12">
        <f t="shared" si="3"/>
        <v>48.035480643423384</v>
      </c>
      <c r="F12">
        <f t="shared" si="3"/>
        <v>99.345160214474461</v>
      </c>
      <c r="G12">
        <f t="shared" si="3"/>
        <v>99.345160214474461</v>
      </c>
      <c r="H12">
        <f t="shared" si="3"/>
        <v>48.035480643423384</v>
      </c>
      <c r="I12">
        <f t="shared" si="3"/>
        <v>48.035480643423384</v>
      </c>
    </row>
    <row r="13" spans="2:9" x14ac:dyDescent="0.25">
      <c r="B13" t="s">
        <v>22</v>
      </c>
      <c r="C13">
        <v>9000</v>
      </c>
      <c r="D13">
        <v>9000</v>
      </c>
      <c r="E13">
        <v>9000</v>
      </c>
      <c r="F13">
        <v>9000</v>
      </c>
    </row>
    <row r="14" spans="2:9" x14ac:dyDescent="0.25">
      <c r="B14" t="s">
        <v>23</v>
      </c>
      <c r="C14">
        <f>0.025/2</f>
        <v>1.2500000000000001E-2</v>
      </c>
      <c r="D14">
        <f>0.025/2</f>
        <v>1.2500000000000001E-2</v>
      </c>
      <c r="E14">
        <f>0.025/2</f>
        <v>1.2500000000000001E-2</v>
      </c>
      <c r="F14">
        <f>0.025/2</f>
        <v>1.2500000000000001E-2</v>
      </c>
      <c r="G14">
        <f>0.15/3</f>
        <v>4.9999999999999996E-2</v>
      </c>
      <c r="H14">
        <f>0.15/3</f>
        <v>4.9999999999999996E-2</v>
      </c>
      <c r="I14">
        <f>0.15/3</f>
        <v>4.9999999999999996E-2</v>
      </c>
    </row>
    <row r="15" spans="2:9" x14ac:dyDescent="0.25">
      <c r="B15" t="s">
        <v>24</v>
      </c>
      <c r="C15">
        <f>0.13/3</f>
        <v>4.3333333333333335E-2</v>
      </c>
      <c r="D15">
        <f>0.13/3</f>
        <v>4.3333333333333335E-2</v>
      </c>
      <c r="E15">
        <f>0.13/3</f>
        <v>4.3333333333333335E-2</v>
      </c>
      <c r="F15">
        <f>0.13/3</f>
        <v>4.3333333333333335E-2</v>
      </c>
      <c r="G15">
        <f>0.06/2</f>
        <v>0.03</v>
      </c>
      <c r="H15">
        <f>0.06/2</f>
        <v>0.03</v>
      </c>
      <c r="I15">
        <f>0.06/2</f>
        <v>0.03</v>
      </c>
    </row>
    <row r="16" spans="2:9" x14ac:dyDescent="0.25">
      <c r="B16" t="s">
        <v>25</v>
      </c>
      <c r="C16">
        <f>0.003</f>
        <v>3.0000000000000001E-3</v>
      </c>
      <c r="D16">
        <f>0.003</f>
        <v>3.0000000000000001E-3</v>
      </c>
      <c r="E16">
        <f>0.003+E14/2</f>
        <v>9.2500000000000013E-3</v>
      </c>
      <c r="F16">
        <f>0.003+F14/2</f>
        <v>9.2500000000000013E-3</v>
      </c>
    </row>
    <row r="17" spans="2:9" x14ac:dyDescent="0.25">
      <c r="B17" t="s">
        <v>26</v>
      </c>
      <c r="C17">
        <f>C14*C15*C16</f>
        <v>1.6250000000000003E-6</v>
      </c>
      <c r="D17">
        <f>D14*D15*D16</f>
        <v>1.6250000000000003E-6</v>
      </c>
      <c r="E17">
        <f>E14*E15*E16</f>
        <v>5.0104166666666679E-6</v>
      </c>
      <c r="F17">
        <f>F14*F15*F16</f>
        <v>5.0104166666666679E-6</v>
      </c>
    </row>
    <row r="18" spans="2:9" x14ac:dyDescent="0.25">
      <c r="B18" t="s">
        <v>27</v>
      </c>
      <c r="C18">
        <f>C17*C13</f>
        <v>1.4625000000000003E-2</v>
      </c>
      <c r="D18">
        <f>D17*D13</f>
        <v>1.4625000000000003E-2</v>
      </c>
      <c r="E18">
        <f>E17*E13</f>
        <v>4.5093750000000009E-2</v>
      </c>
      <c r="F18">
        <f>F17*F13</f>
        <v>4.5093750000000009E-2</v>
      </c>
      <c r="G18">
        <f>0.16/6</f>
        <v>2.6666666666666668E-2</v>
      </c>
      <c r="H18">
        <f>0.16/6</f>
        <v>2.6666666666666668E-2</v>
      </c>
      <c r="I18">
        <f>0.16/6</f>
        <v>2.6666666666666668E-2</v>
      </c>
    </row>
    <row r="19" spans="2:9" x14ac:dyDescent="0.25">
      <c r="B19" t="s">
        <v>28</v>
      </c>
      <c r="C19">
        <f t="shared" ref="C19:I19" si="4">C12-25</f>
        <v>23.035480643423384</v>
      </c>
      <c r="D19">
        <f t="shared" si="4"/>
        <v>74.345160214474461</v>
      </c>
      <c r="E19">
        <f t="shared" si="4"/>
        <v>23.035480643423384</v>
      </c>
      <c r="F19">
        <f t="shared" si="4"/>
        <v>74.345160214474461</v>
      </c>
      <c r="G19">
        <f>G12-25</f>
        <v>74.345160214474461</v>
      </c>
      <c r="H19">
        <f t="shared" si="4"/>
        <v>23.035480643423384</v>
      </c>
      <c r="I19">
        <f t="shared" si="4"/>
        <v>23.035480643423384</v>
      </c>
    </row>
    <row r="20" spans="2:9" x14ac:dyDescent="0.25">
      <c r="B20" t="s">
        <v>29</v>
      </c>
      <c r="C20">
        <v>390</v>
      </c>
      <c r="D20">
        <v>390</v>
      </c>
      <c r="E20">
        <v>390</v>
      </c>
      <c r="F20">
        <v>390</v>
      </c>
      <c r="G20">
        <v>880</v>
      </c>
      <c r="H20">
        <v>880</v>
      </c>
      <c r="I20">
        <v>880</v>
      </c>
    </row>
    <row r="21" spans="2:9" x14ac:dyDescent="0.25">
      <c r="B21" t="s">
        <v>30</v>
      </c>
      <c r="C21">
        <f t="shared" ref="C21:I21" si="5">C20*C18*C19</f>
        <v>131.38862271992616</v>
      </c>
      <c r="D21">
        <f t="shared" si="5"/>
        <v>424.04620757330878</v>
      </c>
      <c r="E21">
        <f t="shared" si="5"/>
        <v>405.11492005310561</v>
      </c>
      <c r="F21">
        <f t="shared" si="5"/>
        <v>1307.4758066843688</v>
      </c>
      <c r="G21">
        <f t="shared" si="5"/>
        <v>1744.6330930330009</v>
      </c>
      <c r="H21">
        <f t="shared" si="5"/>
        <v>540.56594576566874</v>
      </c>
      <c r="I21">
        <f t="shared" si="5"/>
        <v>540.56594576566874</v>
      </c>
    </row>
    <row r="22" spans="2:9" x14ac:dyDescent="0.25">
      <c r="B22" t="s">
        <v>32</v>
      </c>
      <c r="C22">
        <v>15</v>
      </c>
      <c r="D22">
        <v>15</v>
      </c>
      <c r="E22">
        <v>15</v>
      </c>
      <c r="F22">
        <v>15</v>
      </c>
      <c r="G22">
        <v>15</v>
      </c>
      <c r="H22">
        <v>15</v>
      </c>
      <c r="I22">
        <v>75</v>
      </c>
    </row>
    <row r="23" spans="2:9" x14ac:dyDescent="0.25">
      <c r="B23" t="s">
        <v>35</v>
      </c>
      <c r="C23">
        <v>1</v>
      </c>
      <c r="D23">
        <v>1</v>
      </c>
      <c r="E23">
        <v>21</v>
      </c>
      <c r="F23">
        <v>21</v>
      </c>
      <c r="G23">
        <v>1</v>
      </c>
      <c r="H23">
        <v>1</v>
      </c>
      <c r="I23">
        <v>1</v>
      </c>
    </row>
    <row r="24" spans="2:9" x14ac:dyDescent="0.25">
      <c r="B24" t="s">
        <v>33</v>
      </c>
      <c r="C24">
        <f>C14*C15*C23</f>
        <v>5.4166666666666675E-4</v>
      </c>
      <c r="D24">
        <f>D14*D15*D23</f>
        <v>5.4166666666666675E-4</v>
      </c>
      <c r="E24">
        <f>E14*E15*E23</f>
        <v>1.1375000000000001E-2</v>
      </c>
      <c r="F24">
        <f>F14*F15*F23</f>
        <v>1.1375000000000001E-2</v>
      </c>
      <c r="G24">
        <f>G14*G15*G23+24/3*2*0.022*G15</f>
        <v>1.2059999999999998E-2</v>
      </c>
      <c r="H24">
        <f>H14*H15*H23+24/3*2*0.022*H15</f>
        <v>1.2059999999999998E-2</v>
      </c>
      <c r="I24">
        <f>I14*I15*I23+24/3*2*0.022*I15</f>
        <v>1.2059999999999998E-2</v>
      </c>
    </row>
    <row r="25" spans="2:9" x14ac:dyDescent="0.25">
      <c r="B25" t="s">
        <v>34</v>
      </c>
      <c r="C25" s="4">
        <f t="shared" ref="C25:I25" si="6">C22*C24*C19</f>
        <v>0.18716328022781503</v>
      </c>
      <c r="D25" s="4">
        <f t="shared" si="6"/>
        <v>0.60405442674260512</v>
      </c>
      <c r="E25" s="4">
        <f t="shared" si="6"/>
        <v>3.9304288847841153</v>
      </c>
      <c r="F25" s="4">
        <f t="shared" si="6"/>
        <v>12.685142961594707</v>
      </c>
      <c r="G25" s="4">
        <f t="shared" si="6"/>
        <v>13.449039482798428</v>
      </c>
      <c r="H25" s="4">
        <f t="shared" si="6"/>
        <v>4.1671184483952892</v>
      </c>
      <c r="I25" s="4">
        <f t="shared" si="6"/>
        <v>20.835592241976446</v>
      </c>
    </row>
    <row r="26" spans="2:9" x14ac:dyDescent="0.25">
      <c r="B26" t="s">
        <v>36</v>
      </c>
      <c r="C26">
        <f t="shared" ref="C26:I26" si="7">0.1/3</f>
        <v>3.3333333333333333E-2</v>
      </c>
      <c r="D26">
        <f t="shared" si="7"/>
        <v>3.3333333333333333E-2</v>
      </c>
      <c r="E26">
        <f t="shared" si="7"/>
        <v>3.3333333333333333E-2</v>
      </c>
      <c r="F26">
        <f t="shared" si="7"/>
        <v>3.3333333333333333E-2</v>
      </c>
      <c r="G26">
        <f t="shared" si="7"/>
        <v>3.3333333333333333E-2</v>
      </c>
      <c r="H26">
        <f t="shared" si="7"/>
        <v>3.3333333333333333E-2</v>
      </c>
      <c r="I26">
        <f t="shared" si="7"/>
        <v>3.3333333333333333E-2</v>
      </c>
    </row>
    <row r="27" spans="2:9" x14ac:dyDescent="0.25">
      <c r="B27" t="s">
        <v>37</v>
      </c>
      <c r="C27">
        <f t="shared" ref="C27:I27" si="8">0.035/2</f>
        <v>1.7500000000000002E-2</v>
      </c>
      <c r="D27">
        <f t="shared" si="8"/>
        <v>1.7500000000000002E-2</v>
      </c>
      <c r="E27">
        <f t="shared" si="8"/>
        <v>1.7500000000000002E-2</v>
      </c>
      <c r="F27">
        <f t="shared" si="8"/>
        <v>1.7500000000000002E-2</v>
      </c>
      <c r="G27">
        <f t="shared" si="8"/>
        <v>1.7500000000000002E-2</v>
      </c>
      <c r="H27">
        <f t="shared" si="8"/>
        <v>1.7500000000000002E-2</v>
      </c>
      <c r="I27">
        <f t="shared" si="8"/>
        <v>1.7500000000000002E-2</v>
      </c>
    </row>
    <row r="28" spans="2:9" x14ac:dyDescent="0.25">
      <c r="B28" t="s">
        <v>38</v>
      </c>
      <c r="C28">
        <f t="shared" ref="C28:I28" si="9">C26*C27</f>
        <v>5.8333333333333338E-4</v>
      </c>
      <c r="D28">
        <f t="shared" si="9"/>
        <v>5.8333333333333338E-4</v>
      </c>
      <c r="E28">
        <f t="shared" si="9"/>
        <v>5.8333333333333338E-4</v>
      </c>
      <c r="F28">
        <f t="shared" si="9"/>
        <v>5.8333333333333338E-4</v>
      </c>
      <c r="G28">
        <f t="shared" si="9"/>
        <v>5.8333333333333338E-4</v>
      </c>
      <c r="H28">
        <f t="shared" si="9"/>
        <v>5.8333333333333338E-4</v>
      </c>
      <c r="I28">
        <f t="shared" si="9"/>
        <v>5.8333333333333338E-4</v>
      </c>
    </row>
    <row r="29" spans="2:9" x14ac:dyDescent="0.25">
      <c r="B29" t="s">
        <v>39</v>
      </c>
      <c r="C29">
        <f>100</f>
        <v>100</v>
      </c>
      <c r="D29">
        <f>100</f>
        <v>100</v>
      </c>
      <c r="E29">
        <f>100</f>
        <v>100</v>
      </c>
      <c r="F29">
        <f>100</f>
        <v>100</v>
      </c>
      <c r="G29">
        <f>100</f>
        <v>100</v>
      </c>
      <c r="H29">
        <f>100</f>
        <v>100</v>
      </c>
      <c r="I29">
        <f>100</f>
        <v>100</v>
      </c>
    </row>
    <row r="30" spans="2:9" x14ac:dyDescent="0.25">
      <c r="B30" t="s">
        <v>40</v>
      </c>
      <c r="C30">
        <f t="shared" ref="C30:I30" si="10">C22*C28*C29</f>
        <v>0.87500000000000011</v>
      </c>
      <c r="D30">
        <f t="shared" si="10"/>
        <v>0.87500000000000011</v>
      </c>
      <c r="E30">
        <f t="shared" si="10"/>
        <v>0.87500000000000011</v>
      </c>
      <c r="F30">
        <f t="shared" si="10"/>
        <v>0.87500000000000011</v>
      </c>
      <c r="G30">
        <f t="shared" si="10"/>
        <v>0.87500000000000011</v>
      </c>
      <c r="H30">
        <f t="shared" si="10"/>
        <v>0.87500000000000011</v>
      </c>
      <c r="I30">
        <f t="shared" si="10"/>
        <v>4.375</v>
      </c>
    </row>
    <row r="31" spans="2:9" x14ac:dyDescent="0.25">
      <c r="B31" t="s">
        <v>41</v>
      </c>
      <c r="C31">
        <f t="shared" ref="C31:I31" si="11">C21/(C8-C30-C25)</f>
        <v>4.540374734720686</v>
      </c>
      <c r="D31">
        <f t="shared" si="11"/>
        <v>14.867887408716028</v>
      </c>
      <c r="E31">
        <f t="shared" si="11"/>
        <v>16.079452918666373</v>
      </c>
      <c r="F31">
        <f t="shared" si="11"/>
        <v>79.530850154594603</v>
      </c>
      <c r="G31">
        <f t="shared" si="11"/>
        <v>111.29353707663253</v>
      </c>
      <c r="H31">
        <f t="shared" si="11"/>
        <v>21.659127784862498</v>
      </c>
      <c r="I31">
        <f t="shared" si="11"/>
        <v>112.8669708399905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98DD-C163-4EA5-ADC8-425A993CF065}">
  <dimension ref="A1:K11"/>
  <sheetViews>
    <sheetView workbookViewId="0">
      <selection activeCell="C12" sqref="C12"/>
    </sheetView>
  </sheetViews>
  <sheetFormatPr defaultRowHeight="15" x14ac:dyDescent="0.25"/>
  <sheetData>
    <row r="1" spans="1:11" x14ac:dyDescent="0.25">
      <c r="C1" t="s">
        <v>49</v>
      </c>
      <c r="E1" t="s">
        <v>50</v>
      </c>
      <c r="G1" t="s">
        <v>51</v>
      </c>
      <c r="J1" t="s">
        <v>52</v>
      </c>
    </row>
    <row r="2" spans="1:11" x14ac:dyDescent="0.25">
      <c r="A2">
        <v>0</v>
      </c>
      <c r="B2">
        <f>A2*4.5</f>
        <v>0</v>
      </c>
      <c r="C2">
        <v>0.77400000000000002</v>
      </c>
      <c r="D2">
        <v>28</v>
      </c>
      <c r="E2">
        <v>28</v>
      </c>
      <c r="G2">
        <v>29</v>
      </c>
      <c r="J2">
        <v>28</v>
      </c>
    </row>
    <row r="3" spans="1:11" x14ac:dyDescent="0.25">
      <c r="A3">
        <v>10</v>
      </c>
      <c r="B3">
        <f>A3*4.5</f>
        <v>45</v>
      </c>
      <c r="C3">
        <v>3.7</v>
      </c>
      <c r="D3">
        <v>37</v>
      </c>
      <c r="E3">
        <v>33</v>
      </c>
      <c r="G3">
        <v>35</v>
      </c>
      <c r="J3">
        <v>30</v>
      </c>
    </row>
    <row r="4" spans="1:11" x14ac:dyDescent="0.25">
      <c r="A4">
        <v>16</v>
      </c>
      <c r="B4">
        <f t="shared" ref="B4:B7" si="0">A4*4.5</f>
        <v>72</v>
      </c>
      <c r="C4">
        <v>6.5</v>
      </c>
      <c r="D4">
        <v>39</v>
      </c>
      <c r="E4">
        <v>38</v>
      </c>
      <c r="G4">
        <v>37</v>
      </c>
      <c r="J4">
        <v>31</v>
      </c>
      <c r="K4">
        <v>26</v>
      </c>
    </row>
    <row r="5" spans="1:11" x14ac:dyDescent="0.25">
      <c r="A5">
        <v>20</v>
      </c>
      <c r="B5">
        <f t="shared" si="0"/>
        <v>90</v>
      </c>
      <c r="C5">
        <v>9</v>
      </c>
      <c r="D5">
        <v>41</v>
      </c>
      <c r="E5">
        <v>40</v>
      </c>
      <c r="G5">
        <v>38</v>
      </c>
      <c r="J5">
        <v>32</v>
      </c>
      <c r="K5">
        <v>28</v>
      </c>
    </row>
    <row r="6" spans="1:11" x14ac:dyDescent="0.25">
      <c r="A6">
        <v>30</v>
      </c>
      <c r="B6">
        <f t="shared" si="0"/>
        <v>135</v>
      </c>
      <c r="C6">
        <v>17</v>
      </c>
      <c r="D6">
        <v>56</v>
      </c>
      <c r="E6">
        <v>56</v>
      </c>
      <c r="G6">
        <v>43</v>
      </c>
      <c r="H6">
        <v>35</v>
      </c>
      <c r="J6">
        <v>34</v>
      </c>
      <c r="K6">
        <v>30</v>
      </c>
    </row>
    <row r="7" spans="1:11" x14ac:dyDescent="0.25">
      <c r="A7">
        <v>40</v>
      </c>
      <c r="B7">
        <f t="shared" si="0"/>
        <v>180</v>
      </c>
      <c r="C7">
        <v>27</v>
      </c>
      <c r="D7">
        <v>72</v>
      </c>
      <c r="E7">
        <v>72</v>
      </c>
      <c r="G7">
        <v>48</v>
      </c>
      <c r="H7">
        <v>39</v>
      </c>
      <c r="J7">
        <v>39</v>
      </c>
      <c r="K7">
        <v>33</v>
      </c>
    </row>
    <row r="8" spans="1:11" x14ac:dyDescent="0.25">
      <c r="A8">
        <v>46</v>
      </c>
      <c r="B8">
        <f>A8*4.5</f>
        <v>207</v>
      </c>
      <c r="C8">
        <v>37</v>
      </c>
      <c r="G8">
        <v>59</v>
      </c>
      <c r="H8">
        <v>50</v>
      </c>
      <c r="J8">
        <v>43</v>
      </c>
      <c r="K8">
        <v>36</v>
      </c>
    </row>
    <row r="9" spans="1:11" x14ac:dyDescent="0.25">
      <c r="A9">
        <v>76</v>
      </c>
      <c r="B9">
        <f>A9*4.5</f>
        <v>342</v>
      </c>
      <c r="C9">
        <v>100</v>
      </c>
      <c r="G9">
        <v>78</v>
      </c>
      <c r="H9">
        <v>50</v>
      </c>
      <c r="J9">
        <v>68</v>
      </c>
      <c r="K9">
        <v>46</v>
      </c>
    </row>
    <row r="10" spans="1:11" x14ac:dyDescent="0.25">
      <c r="A10">
        <v>90</v>
      </c>
      <c r="B10">
        <f>A10*4.5</f>
        <v>405</v>
      </c>
      <c r="C10">
        <v>140</v>
      </c>
    </row>
    <row r="11" spans="1:11" x14ac:dyDescent="0.25">
      <c r="A11">
        <v>100</v>
      </c>
      <c r="B11">
        <f>A11*4.5</f>
        <v>450</v>
      </c>
      <c r="C11">
        <v>170</v>
      </c>
      <c r="J11">
        <v>68</v>
      </c>
      <c r="K1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температупа</vt:lpstr>
      <vt:lpstr>температура контроллера</vt:lpstr>
      <vt:lpstr>напряжение источника</vt:lpstr>
      <vt:lpstr>фазный ток и ШИМ</vt:lpstr>
      <vt:lpstr>теплоотвод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2024-03-10T13:59:11Z</dcterms:created>
  <dcterms:modified xsi:type="dcterms:W3CDTF">2024-09-13T07:41:41Z</dcterms:modified>
</cp:coreProperties>
</file>