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C:\Users\andro\Dropbox\tabaco\tabacoDrive\smokingParticipationElasticity\documento\2019_12 Tobacco control Response 2\output\tables\"/>
    </mc:Choice>
  </mc:AlternateContent>
  <xr:revisionPtr revIDLastSave="0" documentId="13_ncr:1_{F7C6C5E6-5C57-411A-8516-0F2B02C4B345}" xr6:coauthVersionLast="45" xr6:coauthVersionMax="45" xr10:uidLastSave="{00000000-0000-0000-0000-000000000000}"/>
  <bookViews>
    <workbookView xWindow="-120" yWindow="-120" windowWidth="29040" windowHeight="15840" activeTab="1"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4" i="2" l="1"/>
  <c r="M15" i="2"/>
  <c r="M14" i="2"/>
  <c r="M13" i="2"/>
  <c r="AI4" i="2"/>
  <c r="AI6" i="2"/>
  <c r="AI9" i="2"/>
  <c r="AI14" i="2"/>
  <c r="AI13" i="2"/>
  <c r="AI12" i="2"/>
  <c r="AI10" i="2"/>
  <c r="AI7" i="2"/>
  <c r="X11" i="2"/>
  <c r="M8" i="2"/>
  <c r="M11" i="2"/>
  <c r="Q3" i="2"/>
  <c r="Q4" i="2"/>
  <c r="AH14" i="2"/>
  <c r="AH13" i="2"/>
  <c r="AH12" i="2"/>
  <c r="AH10" i="2"/>
  <c r="AH9" i="2"/>
  <c r="AH7" i="2"/>
  <c r="AH6" i="2"/>
  <c r="AH4" i="2"/>
  <c r="AI21" i="2"/>
  <c r="AH21" i="2"/>
  <c r="AI20" i="2"/>
  <c r="AH20" i="2"/>
  <c r="AH19" i="2"/>
  <c r="AH18" i="2"/>
  <c r="AD24" i="2"/>
  <c r="AD23" i="2"/>
  <c r="AD22" i="2"/>
  <c r="AD21" i="2"/>
  <c r="AD20" i="2"/>
  <c r="AD19" i="2"/>
  <c r="AC16" i="2"/>
  <c r="AC15" i="2"/>
  <c r="AC14" i="2"/>
  <c r="AC13" i="2"/>
  <c r="AB10" i="2"/>
  <c r="AB9" i="2"/>
  <c r="AB8" i="2"/>
  <c r="AB7" i="2"/>
  <c r="AA4" i="2"/>
  <c r="AA3" i="2"/>
  <c r="M23" i="2"/>
  <c r="L23" i="2"/>
  <c r="M22" i="2"/>
  <c r="L22" i="2"/>
  <c r="L21" i="2"/>
  <c r="L20" i="2"/>
  <c r="M19" i="2"/>
  <c r="L19" i="2"/>
  <c r="L15" i="2"/>
  <c r="L14" i="2"/>
  <c r="L13" i="2"/>
  <c r="L11" i="2"/>
  <c r="M10" i="2"/>
  <c r="L10" i="2"/>
  <c r="L8" i="2"/>
  <c r="M7" i="2"/>
  <c r="L7" i="2"/>
  <c r="M6" i="2"/>
  <c r="L6" i="2"/>
  <c r="L4" i="2"/>
  <c r="G26" i="2"/>
  <c r="G25" i="2"/>
  <c r="G24" i="2"/>
  <c r="G23" i="2"/>
  <c r="G22" i="2"/>
  <c r="G21" i="2"/>
  <c r="F18" i="2"/>
  <c r="F17" i="2"/>
  <c r="F16" i="2"/>
  <c r="F15" i="2"/>
  <c r="E12" i="2"/>
  <c r="E11" i="2"/>
  <c r="E10" i="2"/>
  <c r="E9" i="2"/>
  <c r="E8" i="2"/>
  <c r="E7" i="2"/>
  <c r="D4" i="2"/>
  <c r="D3" i="2"/>
  <c r="S19" i="2" l="1"/>
  <c r="R19" i="2"/>
  <c r="Q19" i="2"/>
  <c r="AD25" i="2"/>
  <c r="AC25" i="2"/>
  <c r="AB25" i="2"/>
  <c r="AA25" i="2"/>
  <c r="AC21" i="2"/>
  <c r="AB21" i="2"/>
  <c r="AA21" i="2"/>
  <c r="AC20" i="2"/>
  <c r="AB20" i="2"/>
  <c r="AA20" i="2"/>
  <c r="AC19" i="2"/>
  <c r="AB19" i="2"/>
  <c r="AA19" i="2"/>
  <c r="AC18" i="2"/>
  <c r="AB18" i="2"/>
  <c r="AA18" i="2"/>
  <c r="AC17" i="2"/>
  <c r="AB17" i="2"/>
  <c r="AA17" i="2"/>
  <c r="AB16" i="2"/>
  <c r="AA16" i="2"/>
  <c r="AD14" i="2"/>
  <c r="AB14" i="2"/>
  <c r="AA14" i="2"/>
  <c r="AD13" i="2"/>
  <c r="AB13" i="2"/>
  <c r="AA13" i="2"/>
  <c r="AD12" i="2"/>
  <c r="AB12" i="2"/>
  <c r="AA12" i="2"/>
  <c r="AD11" i="2"/>
  <c r="AB11" i="2"/>
  <c r="AA11" i="2"/>
  <c r="AD9" i="2"/>
  <c r="AC9" i="2"/>
  <c r="AA9" i="2"/>
  <c r="AD8" i="2"/>
  <c r="AC8" i="2"/>
  <c r="AA8" i="2"/>
  <c r="AD7" i="2"/>
  <c r="AC7" i="2"/>
  <c r="AA7" i="2"/>
  <c r="AD6" i="2"/>
  <c r="AC6" i="2"/>
  <c r="AA6" i="2"/>
  <c r="AD4" i="2"/>
  <c r="AC4" i="2"/>
  <c r="AB4" i="2"/>
  <c r="AD3" i="2"/>
  <c r="AC3" i="2"/>
  <c r="AB3" i="2"/>
  <c r="AG21" i="2"/>
  <c r="AG20" i="2"/>
  <c r="AG19" i="2"/>
  <c r="AC23" i="2"/>
  <c r="AC22" i="2"/>
  <c r="X17" i="2"/>
  <c r="W17" i="2"/>
  <c r="X16" i="2"/>
  <c r="W16" i="2"/>
  <c r="X15" i="2"/>
  <c r="W15" i="2"/>
  <c r="W11" i="2"/>
  <c r="X10" i="2"/>
  <c r="W10" i="2"/>
  <c r="X9" i="2"/>
  <c r="W9" i="2"/>
  <c r="X7" i="2"/>
  <c r="W7" i="2"/>
  <c r="X6" i="2"/>
  <c r="W6" i="2"/>
  <c r="X4" i="2"/>
  <c r="W4" i="2"/>
  <c r="V17" i="2"/>
  <c r="V16" i="2"/>
  <c r="V15" i="2"/>
  <c r="S18" i="2"/>
  <c r="S17" i="2"/>
  <c r="S16" i="2"/>
  <c r="S15" i="2"/>
  <c r="S14" i="2"/>
  <c r="S13" i="2"/>
  <c r="R10" i="2"/>
  <c r="R9" i="2"/>
  <c r="R8" i="2"/>
  <c r="R7" i="2"/>
  <c r="K23" i="2"/>
  <c r="K22" i="2"/>
  <c r="K21" i="2"/>
</calcChain>
</file>

<file path=xl/sharedStrings.xml><?xml version="1.0" encoding="utf-8"?>
<sst xmlns="http://schemas.openxmlformats.org/spreadsheetml/2006/main" count="155" uniqueCount="54">
  <si>
    <t xml:space="preserve">                </t>
  </si>
  <si>
    <t>N</t>
  </si>
  <si>
    <t xml:space="preserve">Pcig·Female </t>
  </si>
  <si>
    <t>Pcig · Male</t>
  </si>
  <si>
    <t>Pcig</t>
  </si>
  <si>
    <t xml:space="preserve">Pcig·Estrato 1-2 </t>
  </si>
  <si>
    <t>Pcig·Estrato 3</t>
  </si>
  <si>
    <t xml:space="preserve">Pcig·Estrato 4-6 </t>
  </si>
  <si>
    <t>Controls</t>
  </si>
  <si>
    <t>No</t>
  </si>
  <si>
    <t>Yes</t>
  </si>
  <si>
    <t>Male</t>
  </si>
  <si>
    <t xml:space="preserve">Female </t>
  </si>
  <si>
    <t>Prevalence 2008</t>
  </si>
  <si>
    <t>General</t>
  </si>
  <si>
    <t>PPE</t>
  </si>
  <si>
    <t>Gender</t>
  </si>
  <si>
    <t>Age group</t>
  </si>
  <si>
    <t>(1)</t>
  </si>
  <si>
    <t>(2)</t>
  </si>
  <si>
    <t>(3)</t>
  </si>
  <si>
    <t>(4)</t>
  </si>
  <si>
    <r>
      <t xml:space="preserve">Socio-economic Status: </t>
    </r>
    <r>
      <rPr>
        <b/>
        <i/>
        <sz val="10"/>
        <color theme="1"/>
        <rFont val="Cambria"/>
        <family val="1"/>
      </rPr>
      <t>Estrato</t>
    </r>
  </si>
  <si>
    <t>Table 3: PPE Estimates</t>
  </si>
  <si>
    <t>Table 2: Average marginal effects of cigarette price variations on the probability to report being a smoker after logistic regressions</t>
  </si>
  <si>
    <r>
      <rPr>
        <b/>
        <sz val="10"/>
        <color theme="1"/>
        <rFont val="Cambria"/>
        <family val="1"/>
      </rPr>
      <t xml:space="preserve">Notes: </t>
    </r>
    <r>
      <rPr>
        <sz val="10"/>
        <color theme="1"/>
        <rFont val="Cambria"/>
        <family val="1"/>
      </rPr>
      <t>All coefficients correspond to average marginal effects from logistic regressions. Controls include the food CPI index, dummies for status as household head, alcohol consumption, being male, being married, belonging to particular age groups (12-25 [B], 26-50, 51-64), occupation (not working [B], working, unemployed, studying), educational level (below primary [B], primary, secondary and tertiary), and socio-economic level (low for estrato 1 and 2 [B], medium for 3, and high for 4 to 6). All regressions include year-month and state (departamento) fixed effects. From columns (3) to (5) we present socio-demographic heterogeneous effects, for which equality tests are presented in the bottom panel of the table. Robust standard errors are shown in parentheses. ∗ p &lt; 0.1, ∗∗ p &lt; 0.05, ∗∗∗ p &lt; 0.001</t>
    </r>
  </si>
  <si>
    <t>Pcig · Young (≤25)</t>
  </si>
  <si>
    <t>Young (≤25)</t>
  </si>
  <si>
    <t>p-value</t>
  </si>
  <si>
    <t>Panel a: Estimates of the elasticities</t>
  </si>
  <si>
    <t>Panel b: test on the equivalence of elasticities</t>
  </si>
  <si>
    <t>Difference</t>
  </si>
  <si>
    <t>Null hypothesis</t>
  </si>
  <si>
    <t>Group</t>
  </si>
  <si>
    <t xml:space="preserve">Male = Female     </t>
  </si>
  <si>
    <t xml:space="preserve">SES 1: Estrato 1-2 </t>
  </si>
  <si>
    <t>SES 2: Estrato 3</t>
  </si>
  <si>
    <t xml:space="preserve">SES 3: Estrato 4-6 </t>
  </si>
  <si>
    <t>SES 1 = SES 2</t>
  </si>
  <si>
    <t>SES 2 = SES 3</t>
  </si>
  <si>
    <t>Note: Estimates of the participation elasticity (ME /E(Y/X) using an average price index of 139.1 per cigarette in 2008, given the average marginal effects (AME) of Table 2. Prevalences were computed using data from the NPSCS.</t>
  </si>
  <si>
    <t>Table A1: Average marginal effects of cigarette price variations on the probability to report being a after logistic regressions, for those respondents smoker under 25 years old and who started smoking at most in the past 5 years</t>
  </si>
  <si>
    <t>Table A3: Average marginal effects of cigarette price variations on the probability of cessation after logistic regressions, for those aged 26 and older who reported ever being a smoker and started smoking at least 5 years ago</t>
  </si>
  <si>
    <r>
      <rPr>
        <b/>
        <sz val="10"/>
        <color theme="1"/>
        <rFont val="Cambria"/>
        <family val="1"/>
      </rPr>
      <t xml:space="preserve">Notes: </t>
    </r>
    <r>
      <rPr>
        <sz val="10"/>
        <color theme="1"/>
        <rFont val="Cambria"/>
        <family val="1"/>
      </rPr>
      <t>All coefficients correspond to average marginal effects from logistic regressions. Controls include the food CPI index, dummies for status as household head, alcohol consumption, being male, being married, belonging to an occupation (not working [B], working, unemployed, studying), educational level (below primary [B], primary, secondary and tertiary), and socio-economic level (low for estrato 1 and 2 [B], medium for 3, and high for 4 to 6). All regressions include year-month and state (departamento) fixed effects. From columns (3) to (5) we present socio-demographic heterogeneous effects, for which equality tests are presented in the bottom panel of the table. Robust standard errors are shown in parentheses. ∗ p &lt; 0.1, ∗∗ p &lt; 0.05, ∗∗∗ p &lt; 0.001</t>
    </r>
  </si>
  <si>
    <t>Table A2: Initiation Price Elasticities Estimates (25 and younger)</t>
  </si>
  <si>
    <t>Table A4: Cessation Price Elasticities Estimates  (aged 26 and older)</t>
  </si>
  <si>
    <t>&lt;0.001</t>
  </si>
  <si>
    <t>Pcig · Adult (26 − 50)</t>
  </si>
  <si>
    <t>Adult (26 − 50)</t>
  </si>
  <si>
    <t>Pcig · Mature (≥51)</t>
  </si>
  <si>
    <t>Mature (≥51)</t>
  </si>
  <si>
    <t>Young (≤25) = Adult (26 − 50)</t>
  </si>
  <si>
    <t>Adult (26 − 50) = Mature (≥51)</t>
  </si>
  <si>
    <t>Adult (26 − 50) = Mature (≥41)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</si>
</sst>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00000"/>
    <numFmt numFmtId="166" formatCode="0.0%"/>
  </numFmts>
  <fonts count="8" x14ac:knownFonts="1">
    <font>
      <sz val="11"/>
      <color theme="1"/>
      <name val="Calibri"/>
      <family val="2"/>
      <scheme val="minor"/>
    </font>
    <font>
      <sz val="11"/>
      <color theme="1"/>
      <name val="Calibri"/>
      <family val="2"/>
      <scheme val="minor"/>
    </font>
    <font>
      <sz val="8"/>
      <color rgb="FF000000"/>
      <name val="Cambria"/>
      <family val="1"/>
    </font>
    <font>
      <sz val="10"/>
      <color theme="1"/>
      <name val="Cambria"/>
      <family val="1"/>
    </font>
    <font>
      <b/>
      <sz val="10"/>
      <color theme="1"/>
      <name val="Cambria"/>
      <family val="1"/>
    </font>
    <font>
      <b/>
      <i/>
      <sz val="10"/>
      <color theme="1"/>
      <name val="Cambria"/>
      <family val="1"/>
    </font>
    <font>
      <sz val="10"/>
      <color rgb="FF000000"/>
      <name val="Cambria"/>
      <family val="1"/>
    </font>
    <font>
      <i/>
      <sz val="10"/>
      <color theme="1"/>
      <name val="Cambria"/>
      <family val="1"/>
    </font>
  </fonts>
  <fills count="3">
    <fill>
      <patternFill patternType="none"/>
    </fill>
    <fill>
      <patternFill patternType="gray125"/>
    </fill>
    <fill>
      <patternFill patternType="solid">
        <fgColor theme="0"/>
        <bgColor indexed="64"/>
      </patternFill>
    </fill>
  </fills>
  <borders count="5">
    <border>
      <left/>
      <right/>
      <top/>
      <bottom/>
      <diagonal/>
    </border>
    <border>
      <left/>
      <right/>
      <top/>
      <bottom style="medium">
        <color rgb="FF000000"/>
      </bottom>
      <diagonal/>
    </border>
    <border>
      <left/>
      <right/>
      <top style="medium">
        <color rgb="FF000000"/>
      </top>
      <bottom/>
      <diagonal/>
    </border>
    <border>
      <left/>
      <right/>
      <top/>
      <bottom style="thin">
        <color indexed="64"/>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0" fontId="2" fillId="0" borderId="0" xfId="0" applyFont="1" applyBorder="1" applyAlignment="1">
      <alignment horizontal="left" vertical="center" wrapText="1"/>
    </xf>
    <xf numFmtId="0" fontId="0" fillId="2" borderId="0" xfId="0" applyFill="1"/>
    <xf numFmtId="0" fontId="3" fillId="2" borderId="0" xfId="0" applyFont="1" applyFill="1"/>
    <xf numFmtId="0" fontId="3" fillId="2" borderId="3" xfId="0" applyFont="1" applyFill="1" applyBorder="1"/>
    <xf numFmtId="49" fontId="3" fillId="2" borderId="3" xfId="0" applyNumberFormat="1" applyFont="1" applyFill="1" applyBorder="1" applyAlignment="1">
      <alignment horizontal="center"/>
    </xf>
    <xf numFmtId="166" fontId="3" fillId="2" borderId="0" xfId="1" applyNumberFormat="1" applyFont="1" applyFill="1"/>
    <xf numFmtId="0" fontId="3" fillId="2" borderId="0" xfId="0" applyFont="1" applyFill="1" applyAlignment="1">
      <alignment horizontal="right"/>
    </xf>
    <xf numFmtId="0" fontId="4" fillId="2" borderId="0" xfId="0" applyFont="1" applyFill="1"/>
    <xf numFmtId="0" fontId="3" fillId="0" borderId="0" xfId="0" applyFont="1"/>
    <xf numFmtId="0" fontId="3" fillId="2" borderId="3" xfId="0" applyFont="1" applyFill="1" applyBorder="1" applyAlignment="1">
      <alignment horizontal="right"/>
    </xf>
    <xf numFmtId="165" fontId="3" fillId="2" borderId="0" xfId="0" applyNumberFormat="1" applyFont="1" applyFill="1"/>
    <xf numFmtId="0" fontId="6" fillId="2" borderId="1" xfId="0" applyFont="1" applyFill="1" applyBorder="1" applyAlignment="1">
      <alignment horizontal="left" vertical="center" wrapText="1"/>
    </xf>
    <xf numFmtId="0" fontId="3" fillId="2" borderId="0" xfId="0" applyFont="1" applyFill="1" applyBorder="1"/>
    <xf numFmtId="0" fontId="3" fillId="2" borderId="4" xfId="0" applyFont="1" applyFill="1" applyBorder="1"/>
    <xf numFmtId="0" fontId="6" fillId="2" borderId="1" xfId="0" applyFont="1" applyFill="1" applyBorder="1" applyAlignment="1">
      <alignment horizontal="center" vertical="center" wrapText="1"/>
    </xf>
    <xf numFmtId="0" fontId="3" fillId="2" borderId="0" xfId="0" applyFont="1" applyFill="1" applyBorder="1" applyAlignment="1">
      <alignment horizontal="center" wrapText="1"/>
    </xf>
    <xf numFmtId="0" fontId="3" fillId="2" borderId="0" xfId="0" applyFont="1" applyFill="1" applyBorder="1" applyAlignment="1">
      <alignment horizontal="right"/>
    </xf>
    <xf numFmtId="0" fontId="4" fillId="2" borderId="3" xfId="0" applyFont="1" applyFill="1" applyBorder="1" applyAlignment="1"/>
    <xf numFmtId="166" fontId="3" fillId="2" borderId="0" xfId="1" applyNumberFormat="1" applyFont="1" applyFill="1" applyBorder="1"/>
    <xf numFmtId="0" fontId="4" fillId="2" borderId="0" xfId="0" applyFont="1" applyFill="1" applyBorder="1" applyAlignment="1"/>
    <xf numFmtId="0" fontId="7" fillId="2" borderId="0" xfId="0" applyFont="1" applyFill="1"/>
    <xf numFmtId="0" fontId="3" fillId="2" borderId="2" xfId="0" applyFont="1" applyFill="1" applyBorder="1" applyAlignment="1">
      <alignment horizontal="center" vertical="top" wrapText="1"/>
    </xf>
    <xf numFmtId="0" fontId="3" fillId="2" borderId="3" xfId="0" applyFont="1" applyFill="1" applyBorder="1" applyAlignment="1">
      <alignment horizontal="center" wrapText="1"/>
    </xf>
    <xf numFmtId="0" fontId="3" fillId="2" borderId="4" xfId="0" applyFont="1" applyFill="1" applyBorder="1" applyAlignment="1">
      <alignment horizontal="center" wrapText="1"/>
    </xf>
    <xf numFmtId="0" fontId="3" fillId="2" borderId="0" xfId="0" applyFont="1" applyFill="1" applyAlignment="1">
      <alignment horizontal="center"/>
    </xf>
    <xf numFmtId="0" fontId="3" fillId="2" borderId="3" xfId="0" applyFont="1" applyFill="1" applyBorder="1" applyAlignment="1">
      <alignment horizontal="center"/>
    </xf>
    <xf numFmtId="166" fontId="3" fillId="2" borderId="0" xfId="1" applyNumberFormat="1" applyFont="1" applyFill="1" applyAlignment="1">
      <alignment horizontal="center"/>
    </xf>
    <xf numFmtId="166" fontId="3" fillId="2" borderId="0" xfId="1" applyNumberFormat="1"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9"/>
  <sheetViews>
    <sheetView workbookViewId="0">
      <selection activeCell="D2" sqref="D2"/>
    </sheetView>
  </sheetViews>
  <sheetFormatPr defaultColWidth="9.140625" defaultRowHeight="15" x14ac:dyDescent="0.25"/>
  <sheetData>
    <row r="2" spans="2:2" x14ac:dyDescent="0.25">
      <c r="B2">
        <v>-1.9E-3</v>
      </c>
    </row>
    <row r="3" spans="2:2" x14ac:dyDescent="0.25">
      <c r="B3">
        <v>0.19800000000000001</v>
      </c>
    </row>
    <row r="4" spans="2:2" x14ac:dyDescent="0.25">
      <c r="B4">
        <v>-6.6400000000000001E-2</v>
      </c>
    </row>
    <row r="5" spans="2:2" x14ac:dyDescent="0.25">
      <c r="B5">
        <v>-0.11849999999999999</v>
      </c>
    </row>
    <row r="6" spans="2:2" x14ac:dyDescent="0.25">
      <c r="B6">
        <v>-0.2238</v>
      </c>
    </row>
    <row r="7" spans="2:2" x14ac:dyDescent="0.25">
      <c r="B7">
        <v>-0.1767</v>
      </c>
    </row>
    <row r="8" spans="2:2" x14ac:dyDescent="0.25">
      <c r="B8">
        <v>1.23E-2</v>
      </c>
    </row>
    <row r="9" spans="2:2" x14ac:dyDescent="0.25">
      <c r="B9">
        <v>-2.0000000000000001E-4</v>
      </c>
    </row>
    <row r="10" spans="2:2" x14ac:dyDescent="0.25">
      <c r="B10">
        <v>0.74819999999999998</v>
      </c>
    </row>
    <row r="11" spans="2:2" x14ac:dyDescent="0.25">
      <c r="B11">
        <v>0.124</v>
      </c>
    </row>
    <row r="12" spans="2:2" x14ac:dyDescent="0.25">
      <c r="B12">
        <v>-1.03E-2</v>
      </c>
    </row>
    <row r="13" spans="2:2" x14ac:dyDescent="0.25">
      <c r="B13">
        <v>-3.9600000000000003E-2</v>
      </c>
    </row>
    <row r="14" spans="2:2" x14ac:dyDescent="0.25">
      <c r="B14">
        <v>-8.2400000000000001E-2</v>
      </c>
    </row>
    <row r="15" spans="2:2" x14ac:dyDescent="0.25">
      <c r="B15">
        <v>-0.1071</v>
      </c>
    </row>
    <row r="16" spans="2:2" x14ac:dyDescent="0.25">
      <c r="B16">
        <v>-0.23960000000000001</v>
      </c>
    </row>
    <row r="17" spans="2:2" x14ac:dyDescent="0.25">
      <c r="B17">
        <v>-0.1348</v>
      </c>
    </row>
    <row r="18" spans="2:2" x14ac:dyDescent="0.25">
      <c r="B18">
        <v>-0.1434</v>
      </c>
    </row>
    <row r="19" spans="2:2" x14ac:dyDescent="0.25">
      <c r="B19">
        <v>-3.3123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I42"/>
  <sheetViews>
    <sheetView tabSelected="1" workbookViewId="0">
      <selection activeCell="A19" sqref="A19"/>
    </sheetView>
  </sheetViews>
  <sheetFormatPr defaultColWidth="9.140625" defaultRowHeight="15" x14ac:dyDescent="0.25"/>
  <cols>
    <col min="3" max="3" width="18.5703125" customWidth="1"/>
    <col min="4" max="4" width="10.5703125" customWidth="1"/>
    <col min="5" max="5" width="10.140625" customWidth="1"/>
    <col min="6" max="6" width="9.140625" customWidth="1"/>
    <col min="7" max="7" width="9.42578125" customWidth="1"/>
    <col min="10" max="10" width="22.140625" customWidth="1"/>
    <col min="11" max="11" width="15.5703125" bestFit="1" customWidth="1"/>
    <col min="12" max="12" width="9.28515625" bestFit="1" customWidth="1"/>
    <col min="16" max="16" width="27.85546875" bestFit="1" customWidth="1"/>
    <col min="17" max="17" width="8.85546875" bestFit="1" customWidth="1"/>
    <col min="18" max="18" width="9" bestFit="1" customWidth="1"/>
    <col min="19" max="19" width="10.5703125" bestFit="1" customWidth="1"/>
    <col min="21" max="21" width="14.42578125" customWidth="1"/>
    <col min="22" max="22" width="13.7109375" customWidth="1"/>
    <col min="23" max="24" width="12.28515625" customWidth="1"/>
    <col min="26" max="26" width="27.85546875" bestFit="1" customWidth="1"/>
    <col min="27" max="29" width="10.140625" bestFit="1" customWidth="1"/>
    <col min="30" max="30" width="10.28515625" bestFit="1" customWidth="1"/>
    <col min="32" max="32" width="17" customWidth="1"/>
    <col min="33" max="33" width="14" bestFit="1" customWidth="1"/>
    <col min="34" max="34" width="6" bestFit="1" customWidth="1"/>
  </cols>
  <sheetData>
    <row r="1" spans="2:35" ht="34.5" customHeight="1" x14ac:dyDescent="0.25">
      <c r="B1" s="3"/>
      <c r="C1" s="23" t="s">
        <v>24</v>
      </c>
      <c r="D1" s="23"/>
      <c r="E1" s="23"/>
      <c r="F1" s="23"/>
      <c r="G1" s="23"/>
      <c r="H1" s="3"/>
      <c r="I1" s="2"/>
      <c r="J1" s="23" t="s">
        <v>23</v>
      </c>
      <c r="K1" s="23"/>
      <c r="L1" s="23"/>
      <c r="M1" s="23"/>
      <c r="N1" s="16"/>
      <c r="P1" s="23" t="s">
        <v>41</v>
      </c>
      <c r="Q1" s="23"/>
      <c r="R1" s="23"/>
      <c r="S1" s="23"/>
      <c r="T1" s="3"/>
      <c r="U1" s="23" t="s">
        <v>44</v>
      </c>
      <c r="V1" s="23"/>
      <c r="W1" s="23"/>
      <c r="X1" s="23"/>
      <c r="Z1" s="23" t="s">
        <v>42</v>
      </c>
      <c r="AA1" s="23"/>
      <c r="AB1" s="23"/>
      <c r="AC1" s="23"/>
      <c r="AD1" s="23"/>
      <c r="AF1" s="23" t="s">
        <v>45</v>
      </c>
      <c r="AG1" s="23"/>
      <c r="AH1" s="23"/>
      <c r="AI1" s="23"/>
    </row>
    <row r="2" spans="2:35" x14ac:dyDescent="0.25">
      <c r="B2" s="3"/>
      <c r="C2" s="13"/>
      <c r="D2" s="5" t="s">
        <v>18</v>
      </c>
      <c r="E2" s="5" t="s">
        <v>19</v>
      </c>
      <c r="F2" s="5" t="s">
        <v>20</v>
      </c>
      <c r="G2" s="5" t="s">
        <v>21</v>
      </c>
      <c r="H2" s="3"/>
      <c r="I2" s="2"/>
      <c r="J2" s="8" t="s">
        <v>29</v>
      </c>
      <c r="K2" s="3"/>
      <c r="L2" s="3"/>
      <c r="M2" s="3"/>
      <c r="N2" s="3"/>
      <c r="P2" s="13"/>
      <c r="Q2" s="5" t="s">
        <v>18</v>
      </c>
      <c r="R2" s="5" t="s">
        <v>20</v>
      </c>
      <c r="S2" s="5" t="s">
        <v>21</v>
      </c>
      <c r="T2" s="3"/>
      <c r="U2" s="8" t="s">
        <v>29</v>
      </c>
      <c r="V2" s="3"/>
      <c r="W2" s="3"/>
      <c r="X2" s="3"/>
      <c r="Z2" s="13"/>
      <c r="AA2" s="5" t="s">
        <v>18</v>
      </c>
      <c r="AB2" s="5" t="s">
        <v>19</v>
      </c>
      <c r="AC2" s="5" t="s">
        <v>20</v>
      </c>
      <c r="AD2" s="5" t="s">
        <v>21</v>
      </c>
      <c r="AF2" s="8" t="s">
        <v>29</v>
      </c>
      <c r="AG2" s="3"/>
      <c r="AH2" s="3"/>
      <c r="AI2" s="3"/>
    </row>
    <row r="3" spans="2:35" x14ac:dyDescent="0.25">
      <c r="B3" s="3"/>
      <c r="C3" s="3" t="s">
        <v>4</v>
      </c>
      <c r="D3" s="25" t="str">
        <f>"-0.00822**"</f>
        <v>-0.00822**</v>
      </c>
      <c r="E3" s="25"/>
      <c r="F3" s="25"/>
      <c r="G3" s="25" t="s">
        <v>0</v>
      </c>
      <c r="H3" s="3"/>
      <c r="I3" s="2"/>
      <c r="J3" s="21" t="s">
        <v>33</v>
      </c>
      <c r="K3" s="21" t="s">
        <v>13</v>
      </c>
      <c r="L3" s="21" t="s">
        <v>15</v>
      </c>
      <c r="M3" s="21" t="s">
        <v>28</v>
      </c>
      <c r="N3" s="3"/>
      <c r="P3" s="3" t="s">
        <v>4</v>
      </c>
      <c r="Q3" s="3" t="str">
        <f>"-0.00452"</f>
        <v>-0.00452</v>
      </c>
      <c r="R3" s="7"/>
      <c r="S3" s="7" t="s">
        <v>0</v>
      </c>
      <c r="T3" s="3"/>
      <c r="U3" s="21" t="s">
        <v>33</v>
      </c>
      <c r="V3" s="21" t="s">
        <v>13</v>
      </c>
      <c r="W3" s="21" t="s">
        <v>15</v>
      </c>
      <c r="X3" s="21" t="s">
        <v>28</v>
      </c>
      <c r="Z3" s="3" t="s">
        <v>4</v>
      </c>
      <c r="AA3" s="25" t="str">
        <f>"-0.0307**"</f>
        <v>-0.0307**</v>
      </c>
      <c r="AB3" s="25" t="str">
        <f>""</f>
        <v/>
      </c>
      <c r="AC3" s="25" t="str">
        <f>""</f>
        <v/>
      </c>
      <c r="AD3" s="25" t="str">
        <f>""</f>
        <v/>
      </c>
      <c r="AF3" s="21" t="s">
        <v>33</v>
      </c>
      <c r="AG3" s="21" t="s">
        <v>13</v>
      </c>
      <c r="AH3" s="21" t="s">
        <v>15</v>
      </c>
      <c r="AI3" s="21" t="s">
        <v>28</v>
      </c>
    </row>
    <row r="4" spans="2:35" x14ac:dyDescent="0.25">
      <c r="B4" s="3"/>
      <c r="C4" s="3"/>
      <c r="D4" s="25" t="str">
        <f>"(0.00413)"</f>
        <v>(0.00413)</v>
      </c>
      <c r="E4" s="25"/>
      <c r="F4" s="25"/>
      <c r="G4" s="25" t="s">
        <v>0</v>
      </c>
      <c r="H4" s="3"/>
      <c r="I4" s="2"/>
      <c r="J4" s="3" t="s">
        <v>14</v>
      </c>
      <c r="K4" s="27">
        <v>0.17331350000000001</v>
      </c>
      <c r="L4" s="25" t="str">
        <f>"-0.660"</f>
        <v>-0.660</v>
      </c>
      <c r="M4" s="25" t="str">
        <f>"0.046"</f>
        <v>0.046</v>
      </c>
      <c r="N4" s="3"/>
      <c r="P4" s="3"/>
      <c r="Q4" s="3" t="str">
        <f>"(0.00612)"</f>
        <v>(0.00612)</v>
      </c>
      <c r="R4" s="7"/>
      <c r="S4" s="7" t="s">
        <v>0</v>
      </c>
      <c r="T4" s="3"/>
      <c r="U4" s="3" t="s">
        <v>14</v>
      </c>
      <c r="V4" s="6">
        <v>0.147588</v>
      </c>
      <c r="W4" s="3" t="str">
        <f>"-0.363"</f>
        <v>-0.363</v>
      </c>
      <c r="X4" s="3" t="str">
        <f>"0.460"</f>
        <v>0.460</v>
      </c>
      <c r="Z4" s="3"/>
      <c r="AA4" s="25" t="str">
        <f>"(0.0106)"</f>
        <v>(0.0106)</v>
      </c>
      <c r="AB4" s="25" t="str">
        <f>""</f>
        <v/>
      </c>
      <c r="AC4" s="25" t="str">
        <f>""</f>
        <v/>
      </c>
      <c r="AD4" s="25" t="str">
        <f>""</f>
        <v/>
      </c>
      <c r="AF4" s="3" t="s">
        <v>14</v>
      </c>
      <c r="AG4" s="27">
        <v>0.38179999999999997</v>
      </c>
      <c r="AH4" s="25" t="str">
        <f>"-1.120"</f>
        <v>-1.120</v>
      </c>
      <c r="AI4" s="25" t="str">
        <f>"0.003"</f>
        <v>0.003</v>
      </c>
    </row>
    <row r="5" spans="2:35" x14ac:dyDescent="0.25">
      <c r="B5" s="3"/>
      <c r="C5" s="3"/>
      <c r="D5" s="25"/>
      <c r="E5" s="25"/>
      <c r="F5" s="25"/>
      <c r="G5" s="25"/>
      <c r="H5" s="3"/>
      <c r="I5" s="2"/>
      <c r="J5" s="3"/>
      <c r="K5" s="27"/>
      <c r="L5" s="25"/>
      <c r="M5" s="25"/>
      <c r="N5" s="7"/>
      <c r="P5" s="3"/>
      <c r="Q5" s="7"/>
      <c r="R5" s="7"/>
      <c r="S5" s="7"/>
      <c r="T5" s="3"/>
      <c r="U5" s="3"/>
      <c r="V5" s="6"/>
      <c r="W5" s="3"/>
      <c r="X5" s="3"/>
      <c r="Z5" s="3"/>
      <c r="AA5" s="25"/>
      <c r="AB5" s="25"/>
      <c r="AC5" s="25"/>
      <c r="AD5" s="25"/>
      <c r="AF5" s="3"/>
      <c r="AG5" s="27"/>
      <c r="AH5" s="25"/>
      <c r="AI5" s="25"/>
    </row>
    <row r="6" spans="2:35" x14ac:dyDescent="0.25">
      <c r="B6" s="3"/>
      <c r="C6" s="8" t="s">
        <v>17</v>
      </c>
      <c r="D6" s="25"/>
      <c r="E6" s="25"/>
      <c r="F6" s="25"/>
      <c r="G6" s="25" t="s">
        <v>0</v>
      </c>
      <c r="H6" s="3"/>
      <c r="I6" s="2"/>
      <c r="J6" s="3" t="s">
        <v>27</v>
      </c>
      <c r="K6" s="27">
        <v>0.14758859999999999</v>
      </c>
      <c r="L6" s="25" t="str">
        <f>"-0.468"</f>
        <v>-0.468</v>
      </c>
      <c r="M6" s="25" t="str">
        <f>"0.248"</f>
        <v>0.248</v>
      </c>
      <c r="P6" s="8" t="s">
        <v>16</v>
      </c>
      <c r="Q6" s="7"/>
      <c r="R6" s="7"/>
      <c r="S6" s="7"/>
      <c r="T6" s="3"/>
      <c r="U6" s="3" t="s">
        <v>11</v>
      </c>
      <c r="V6" s="6">
        <v>0.2156621</v>
      </c>
      <c r="W6" s="3" t="str">
        <f>"-0.329"</f>
        <v>-0.329</v>
      </c>
      <c r="X6" s="3" t="str">
        <f>"0.410"</f>
        <v>0.410</v>
      </c>
      <c r="Z6" s="8" t="s">
        <v>17</v>
      </c>
      <c r="AA6" s="25" t="str">
        <f>""</f>
        <v/>
      </c>
      <c r="AB6" s="25"/>
      <c r="AC6" s="25" t="str">
        <f>""</f>
        <v/>
      </c>
      <c r="AD6" s="25" t="str">
        <f>""</f>
        <v/>
      </c>
      <c r="AF6" s="3" t="s">
        <v>48</v>
      </c>
      <c r="AG6" s="27">
        <v>0.42395830000000001</v>
      </c>
      <c r="AH6" s="25" t="str">
        <f>"-0.934"</f>
        <v>-0.934</v>
      </c>
      <c r="AI6" s="25" t="str">
        <f>"0.007"</f>
        <v>0.007</v>
      </c>
    </row>
    <row r="7" spans="2:35" x14ac:dyDescent="0.25">
      <c r="B7" s="3"/>
      <c r="C7" s="3" t="s">
        <v>26</v>
      </c>
      <c r="D7" s="25"/>
      <c r="E7" s="25" t="str">
        <f>"-0.00496"</f>
        <v>-0.00496</v>
      </c>
      <c r="F7" s="25"/>
      <c r="G7" s="25" t="s">
        <v>0</v>
      </c>
      <c r="H7" s="3"/>
      <c r="I7" s="2"/>
      <c r="J7" s="3" t="s">
        <v>48</v>
      </c>
      <c r="K7" s="27">
        <v>0.1935769</v>
      </c>
      <c r="L7" s="25" t="str">
        <f>"-0.487"</f>
        <v>-0.487</v>
      </c>
      <c r="M7" s="25" t="str">
        <f>"0.104"</f>
        <v>0.104</v>
      </c>
      <c r="P7" s="3" t="s">
        <v>3</v>
      </c>
      <c r="Q7" s="7"/>
      <c r="R7" s="3" t="str">
        <f>"-0.00510"</f>
        <v>-0.00510</v>
      </c>
      <c r="S7" s="7" t="s">
        <v>0</v>
      </c>
      <c r="T7" s="3"/>
      <c r="U7" s="3" t="s">
        <v>12</v>
      </c>
      <c r="V7" s="6">
        <v>8.4544999999999995E-2</v>
      </c>
      <c r="W7" s="3" t="str">
        <f>"-0.532"</f>
        <v>-0.532</v>
      </c>
      <c r="X7" s="3" t="str">
        <f>"0.601"</f>
        <v>0.601</v>
      </c>
      <c r="Z7" s="3" t="s">
        <v>47</v>
      </c>
      <c r="AA7" s="25" t="str">
        <f>""</f>
        <v/>
      </c>
      <c r="AB7" s="25" t="str">
        <f>"-0.0285**"</f>
        <v>-0.0285**</v>
      </c>
      <c r="AC7" s="25" t="str">
        <f>""</f>
        <v/>
      </c>
      <c r="AD7" s="25" t="str">
        <f>""</f>
        <v/>
      </c>
      <c r="AF7" s="3" t="s">
        <v>50</v>
      </c>
      <c r="AG7" s="27">
        <v>0.28217609999999999</v>
      </c>
      <c r="AH7" s="25" t="str">
        <f>"-1.817"</f>
        <v>-1.817</v>
      </c>
      <c r="AI7" s="25" t="str">
        <f>"&lt;0.001"</f>
        <v>&lt;0.001</v>
      </c>
    </row>
    <row r="8" spans="2:35" x14ac:dyDescent="0.25">
      <c r="B8" s="3"/>
      <c r="C8" s="3"/>
      <c r="D8" s="25"/>
      <c r="E8" s="25" t="str">
        <f>"(0.00430)"</f>
        <v>(0.00430)</v>
      </c>
      <c r="F8" s="25"/>
      <c r="G8" s="25"/>
      <c r="H8" s="3"/>
      <c r="I8" s="2"/>
      <c r="J8" s="3" t="s">
        <v>50</v>
      </c>
      <c r="K8" s="27">
        <v>0.16869899999999999</v>
      </c>
      <c r="L8" s="25" t="str">
        <f>"-1.334"</f>
        <v>-1.334</v>
      </c>
      <c r="M8" s="25" t="str">
        <f>"&lt;0.001"</f>
        <v>&lt;0.001</v>
      </c>
      <c r="N8" s="7"/>
      <c r="P8" s="3"/>
      <c r="Q8" s="7"/>
      <c r="R8" s="3" t="str">
        <f>"(0.00619)"</f>
        <v>(0.00619)</v>
      </c>
      <c r="S8" s="7" t="s">
        <v>0</v>
      </c>
      <c r="T8" s="3"/>
      <c r="U8" s="8"/>
      <c r="V8" s="6"/>
      <c r="W8" s="7"/>
      <c r="X8" s="7"/>
      <c r="Z8" s="3"/>
      <c r="AA8" s="25" t="str">
        <f>""</f>
        <v/>
      </c>
      <c r="AB8" s="25" t="str">
        <f>"(0.0106)"</f>
        <v>(0.0106)</v>
      </c>
      <c r="AC8" s="25" t="str">
        <f>""</f>
        <v/>
      </c>
      <c r="AD8" s="25" t="str">
        <f>""</f>
        <v/>
      </c>
      <c r="AF8" s="3"/>
      <c r="AG8" s="27"/>
      <c r="AH8" s="25"/>
      <c r="AI8" s="25"/>
    </row>
    <row r="9" spans="2:35" x14ac:dyDescent="0.25">
      <c r="B9" s="3"/>
      <c r="C9" s="3" t="s">
        <v>47</v>
      </c>
      <c r="D9" s="25"/>
      <c r="E9" s="25" t="str">
        <f>"-0.00678"</f>
        <v>-0.00678</v>
      </c>
      <c r="F9" s="25"/>
      <c r="G9" s="25" t="s">
        <v>0</v>
      </c>
      <c r="H9" s="3"/>
      <c r="I9" s="2"/>
      <c r="J9" s="3"/>
      <c r="K9" s="27"/>
      <c r="L9" s="25"/>
      <c r="M9" s="25"/>
      <c r="N9" s="7"/>
      <c r="P9" s="3" t="s">
        <v>2</v>
      </c>
      <c r="Q9" s="7"/>
      <c r="R9" s="3" t="str">
        <f>"-0.00323"</f>
        <v>-0.00323</v>
      </c>
      <c r="S9" s="7"/>
      <c r="T9" s="3"/>
      <c r="U9" s="3" t="s">
        <v>35</v>
      </c>
      <c r="V9" s="6">
        <v>0.13006000000000001</v>
      </c>
      <c r="W9" s="3" t="str">
        <f>"-0.316"</f>
        <v>-0.316</v>
      </c>
      <c r="X9" s="3" t="str">
        <f>"0.631"</f>
        <v>0.631</v>
      </c>
      <c r="Z9" s="3" t="s">
        <v>49</v>
      </c>
      <c r="AA9" s="25" t="str">
        <f>""</f>
        <v/>
      </c>
      <c r="AB9" s="25" t="str">
        <f>"-0.0369***"</f>
        <v>-0.0369***</v>
      </c>
      <c r="AC9" s="25" t="str">
        <f>""</f>
        <v/>
      </c>
      <c r="AD9" s="25" t="str">
        <f>""</f>
        <v/>
      </c>
      <c r="AF9" s="3" t="s">
        <v>11</v>
      </c>
      <c r="AG9" s="27">
        <v>0.40512500000000001</v>
      </c>
      <c r="AH9" s="25" t="str">
        <f>"-0.939"</f>
        <v>-0.939</v>
      </c>
      <c r="AI9" s="25" t="str">
        <f>"0.011"</f>
        <v>0.011</v>
      </c>
    </row>
    <row r="10" spans="2:35" x14ac:dyDescent="0.25">
      <c r="B10" s="3"/>
      <c r="C10" s="3"/>
      <c r="D10" s="25"/>
      <c r="E10" s="25" t="str">
        <f>"(0.00417)"</f>
        <v>(0.00417)</v>
      </c>
      <c r="F10" s="25"/>
      <c r="G10" s="25" t="s">
        <v>0</v>
      </c>
      <c r="H10" s="3"/>
      <c r="I10" s="2"/>
      <c r="J10" s="3" t="s">
        <v>11</v>
      </c>
      <c r="K10" s="27">
        <v>0.24257290000000001</v>
      </c>
      <c r="L10" s="25" t="str">
        <f>"-0.347"</f>
        <v>-0.347</v>
      </c>
      <c r="M10" s="25" t="str">
        <f>"0.149"</f>
        <v>0.149</v>
      </c>
      <c r="P10" s="3"/>
      <c r="Q10" s="7"/>
      <c r="R10" s="3" t="str">
        <f>"(0.00618)"</f>
        <v>(0.00618)</v>
      </c>
      <c r="S10" s="7" t="s">
        <v>0</v>
      </c>
      <c r="T10" s="3"/>
      <c r="U10" s="3" t="s">
        <v>36</v>
      </c>
      <c r="V10" s="6">
        <v>0.15919</v>
      </c>
      <c r="W10" s="3" t="str">
        <f>"-0.561"</f>
        <v>-0.561</v>
      </c>
      <c r="X10" s="3" t="str">
        <f>"0.315"</f>
        <v>0.315</v>
      </c>
      <c r="Z10" s="3"/>
      <c r="AA10" s="25"/>
      <c r="AB10" s="25" t="str">
        <f>"(0.0110)"</f>
        <v>(0.0110)</v>
      </c>
      <c r="AC10" s="25"/>
      <c r="AD10" s="25"/>
      <c r="AF10" s="3" t="s">
        <v>12</v>
      </c>
      <c r="AG10" s="27">
        <v>0.34739979999999998</v>
      </c>
      <c r="AH10" s="25" t="str">
        <f>"-1.474"</f>
        <v>-1.474</v>
      </c>
      <c r="AI10" s="25" t="str">
        <f>"&lt;0.001"</f>
        <v>&lt;0.001</v>
      </c>
    </row>
    <row r="11" spans="2:35" ht="15" customHeight="1" x14ac:dyDescent="0.25">
      <c r="B11" s="3"/>
      <c r="C11" s="3" t="s">
        <v>49</v>
      </c>
      <c r="D11" s="25"/>
      <c r="E11" s="25" t="str">
        <f>"-0.0162***"</f>
        <v>-0.0162***</v>
      </c>
      <c r="F11" s="25"/>
      <c r="G11" s="25"/>
      <c r="H11" s="3"/>
      <c r="I11" s="2"/>
      <c r="J11" s="3" t="s">
        <v>12</v>
      </c>
      <c r="K11" s="27">
        <v>0.1123422</v>
      </c>
      <c r="L11" s="25" t="str">
        <f>"-1.364"</f>
        <v>-1.364</v>
      </c>
      <c r="M11" s="25" t="str">
        <f>"0.008"</f>
        <v>0.008</v>
      </c>
      <c r="N11" s="7"/>
      <c r="P11" s="3"/>
      <c r="Q11" s="7"/>
      <c r="R11" s="7"/>
      <c r="S11" s="7" t="s">
        <v>0</v>
      </c>
      <c r="T11" s="3"/>
      <c r="U11" s="13" t="s">
        <v>37</v>
      </c>
      <c r="V11" s="19">
        <v>0.19760240000000001</v>
      </c>
      <c r="W11" s="3" t="str">
        <f>"-0.836"</f>
        <v>-0.836</v>
      </c>
      <c r="X11" s="3" t="str">
        <f>"0.093"</f>
        <v>0.093</v>
      </c>
      <c r="Z11" s="3"/>
      <c r="AA11" s="25" t="str">
        <f>""</f>
        <v/>
      </c>
      <c r="AB11" s="25" t="str">
        <f>""</f>
        <v/>
      </c>
      <c r="AC11" s="25"/>
      <c r="AD11" s="25" t="str">
        <f>""</f>
        <v/>
      </c>
      <c r="AF11" s="8"/>
      <c r="AG11" s="27"/>
      <c r="AH11" s="25"/>
      <c r="AI11" s="25"/>
    </row>
    <row r="12" spans="2:35" x14ac:dyDescent="0.25">
      <c r="B12" s="3"/>
      <c r="C12" s="3"/>
      <c r="D12" s="25"/>
      <c r="E12" s="25" t="str">
        <f>"(0.00440)"</f>
        <v>(0.00440)</v>
      </c>
      <c r="F12" s="25"/>
      <c r="G12" s="25" t="s">
        <v>0</v>
      </c>
      <c r="H12" s="3"/>
      <c r="I12" s="2"/>
      <c r="J12" s="8"/>
      <c r="K12" s="27"/>
      <c r="L12" s="25"/>
      <c r="M12" s="25"/>
      <c r="N12" s="7"/>
      <c r="P12" s="8" t="s">
        <v>22</v>
      </c>
      <c r="Q12" s="7"/>
      <c r="R12" s="7"/>
      <c r="S12" s="7"/>
      <c r="T12" s="3"/>
      <c r="U12" s="3"/>
      <c r="V12" s="3"/>
      <c r="W12" s="3"/>
      <c r="X12" s="3"/>
      <c r="Z12" s="8" t="s">
        <v>16</v>
      </c>
      <c r="AA12" s="25" t="str">
        <f>""</f>
        <v/>
      </c>
      <c r="AB12" s="25" t="str">
        <f>""</f>
        <v/>
      </c>
      <c r="AC12" s="25"/>
      <c r="AD12" s="25" t="str">
        <f>""</f>
        <v/>
      </c>
      <c r="AF12" s="3" t="s">
        <v>35</v>
      </c>
      <c r="AG12" s="27">
        <v>0.36925989999999997</v>
      </c>
      <c r="AH12" s="25" t="str">
        <f>"-1.192"</f>
        <v>-1.192</v>
      </c>
      <c r="AI12" s="25" t="str">
        <f>"0.003"</f>
        <v>0.003</v>
      </c>
    </row>
    <row r="13" spans="2:35" x14ac:dyDescent="0.25">
      <c r="B13" s="3"/>
      <c r="C13" s="3"/>
      <c r="D13" s="25"/>
      <c r="E13" s="25"/>
      <c r="F13" s="25"/>
      <c r="G13" s="25" t="s">
        <v>0</v>
      </c>
      <c r="H13" s="3"/>
      <c r="I13" s="2"/>
      <c r="J13" s="3" t="s">
        <v>35</v>
      </c>
      <c r="K13" s="27">
        <v>0.15718779999999999</v>
      </c>
      <c r="L13" s="25" t="str">
        <f>"-0.705"</f>
        <v>-0.705</v>
      </c>
      <c r="M13" s="25" t="str">
        <f>"0.055"</f>
        <v>0.055</v>
      </c>
      <c r="P13" s="3" t="s">
        <v>5</v>
      </c>
      <c r="Q13" s="7"/>
      <c r="R13" s="7"/>
      <c r="S13" s="3" t="str">
        <f>"-0.00295"</f>
        <v>-0.00295</v>
      </c>
      <c r="T13" s="3"/>
      <c r="U13" s="18" t="s">
        <v>30</v>
      </c>
      <c r="V13" s="18"/>
      <c r="W13" s="18"/>
      <c r="X13" s="18"/>
      <c r="Z13" s="3" t="s">
        <v>3</v>
      </c>
      <c r="AA13" s="25" t="str">
        <f>""</f>
        <v/>
      </c>
      <c r="AB13" s="25" t="str">
        <f>""</f>
        <v/>
      </c>
      <c r="AC13" s="25" t="str">
        <f>"-0.0273**"</f>
        <v>-0.0273**</v>
      </c>
      <c r="AD13" s="25" t="str">
        <f>""</f>
        <v/>
      </c>
      <c r="AF13" s="3" t="s">
        <v>36</v>
      </c>
      <c r="AG13" s="27">
        <v>0.3973698</v>
      </c>
      <c r="AH13" s="25" t="str">
        <f>"-1.085"</f>
        <v>-1.085</v>
      </c>
      <c r="AI13" s="25" t="str">
        <f>"0.005"</f>
        <v>0.005</v>
      </c>
    </row>
    <row r="14" spans="2:35" x14ac:dyDescent="0.25">
      <c r="B14" s="3"/>
      <c r="C14" s="8" t="s">
        <v>16</v>
      </c>
      <c r="D14" s="25"/>
      <c r="E14" s="25"/>
      <c r="F14" s="25"/>
      <c r="G14" s="25"/>
      <c r="H14" s="3"/>
      <c r="I14" s="2"/>
      <c r="J14" s="3" t="s">
        <v>36</v>
      </c>
      <c r="K14" s="27">
        <v>0.18642329999999999</v>
      </c>
      <c r="L14" s="25" t="str">
        <f>"-0.624"</f>
        <v>-0.624</v>
      </c>
      <c r="M14" s="25" t="str">
        <f>"0.054"</f>
        <v>0.054</v>
      </c>
      <c r="P14" s="3"/>
      <c r="Q14" s="7"/>
      <c r="R14" s="7"/>
      <c r="S14" s="3" t="str">
        <f>"(0.00614)"</f>
        <v>(0.00614)</v>
      </c>
      <c r="T14" s="3"/>
      <c r="U14" s="21" t="s">
        <v>32</v>
      </c>
      <c r="V14" s="21"/>
      <c r="W14" s="21" t="s">
        <v>31</v>
      </c>
      <c r="X14" s="21" t="s">
        <v>28</v>
      </c>
      <c r="Z14" s="3"/>
      <c r="AA14" s="25" t="str">
        <f>""</f>
        <v/>
      </c>
      <c r="AB14" s="25" t="str">
        <f>""</f>
        <v/>
      </c>
      <c r="AC14" s="25" t="str">
        <f>"(0.0107)"</f>
        <v>(0.0107)</v>
      </c>
      <c r="AD14" s="25" t="str">
        <f>""</f>
        <v/>
      </c>
      <c r="AF14" s="13" t="s">
        <v>37</v>
      </c>
      <c r="AG14" s="28">
        <v>0.38591550000000002</v>
      </c>
      <c r="AH14" s="25" t="str">
        <f>"-0.877"</f>
        <v>-0.877</v>
      </c>
      <c r="AI14" s="25" t="str">
        <f>"0.056"</f>
        <v>0.056</v>
      </c>
    </row>
    <row r="15" spans="2:35" ht="15" customHeight="1" x14ac:dyDescent="0.25">
      <c r="B15" s="3"/>
      <c r="C15" s="3" t="s">
        <v>3</v>
      </c>
      <c r="D15" s="25"/>
      <c r="E15" s="25"/>
      <c r="F15" s="25" t="str">
        <f>"-0.00604"</f>
        <v>-0.00604</v>
      </c>
      <c r="G15" s="25" t="s">
        <v>0</v>
      </c>
      <c r="H15" s="3"/>
      <c r="I15" s="2"/>
      <c r="J15" s="13" t="s">
        <v>37</v>
      </c>
      <c r="K15" s="28">
        <v>0.1989361</v>
      </c>
      <c r="L15" s="25" t="str">
        <f>"-0.721"</f>
        <v>-0.721</v>
      </c>
      <c r="M15" s="25" t="str">
        <f>"0.041"</f>
        <v>0.041</v>
      </c>
      <c r="P15" s="3" t="s">
        <v>6</v>
      </c>
      <c r="Q15" s="7"/>
      <c r="R15" s="7"/>
      <c r="S15" s="3" t="str">
        <f>"-0.00642"</f>
        <v>-0.00642</v>
      </c>
      <c r="T15" s="3"/>
      <c r="U15" s="3" t="s">
        <v>34</v>
      </c>
      <c r="V15" s="7" t="str">
        <f>""</f>
        <v/>
      </c>
      <c r="W15" s="3" t="str">
        <f>"0.203"</f>
        <v>0.203</v>
      </c>
      <c r="X15" s="3" t="str">
        <f>"0.757"</f>
        <v>0.757</v>
      </c>
      <c r="Z15" s="3" t="s">
        <v>2</v>
      </c>
      <c r="AA15" s="25"/>
      <c r="AB15" s="25"/>
      <c r="AC15" s="25" t="str">
        <f>"-0.0368***"</f>
        <v>-0.0368***</v>
      </c>
      <c r="AD15" s="25"/>
      <c r="AF15" s="3"/>
      <c r="AG15" s="3"/>
      <c r="AH15" s="3"/>
      <c r="AI15" s="3"/>
    </row>
    <row r="16" spans="2:35" x14ac:dyDescent="0.25">
      <c r="B16" s="3"/>
      <c r="C16" s="3"/>
      <c r="D16" s="25"/>
      <c r="E16" s="25"/>
      <c r="F16" s="25" t="str">
        <f>"(0.00419)"</f>
        <v>(0.00419)</v>
      </c>
      <c r="G16" s="25" t="s">
        <v>0</v>
      </c>
      <c r="H16" s="3"/>
      <c r="J16" s="3"/>
      <c r="K16" s="25"/>
      <c r="L16" s="25"/>
      <c r="M16" s="25"/>
      <c r="N16" s="3"/>
      <c r="P16" s="3"/>
      <c r="Q16" s="7"/>
      <c r="R16" s="7"/>
      <c r="S16" s="3" t="str">
        <f>"(0.00640)"</f>
        <v>(0.00640)</v>
      </c>
      <c r="T16" s="3"/>
      <c r="U16" s="3" t="s">
        <v>38</v>
      </c>
      <c r="V16" s="7" t="str">
        <f>""</f>
        <v/>
      </c>
      <c r="W16" s="3" t="str">
        <f>"0.245"</f>
        <v>0.245</v>
      </c>
      <c r="X16" s="3" t="str">
        <f>"0.367"</f>
        <v>0.367</v>
      </c>
      <c r="Z16" s="3"/>
      <c r="AA16" s="25" t="str">
        <f>""</f>
        <v/>
      </c>
      <c r="AB16" s="25" t="str">
        <f>""</f>
        <v/>
      </c>
      <c r="AC16" s="25" t="str">
        <f>"(0.0108)"</f>
        <v>(0.0108)</v>
      </c>
      <c r="AD16" s="25"/>
      <c r="AF16" s="18" t="s">
        <v>30</v>
      </c>
      <c r="AG16" s="18"/>
      <c r="AH16" s="18"/>
      <c r="AI16" s="18"/>
    </row>
    <row r="17" spans="2:35" x14ac:dyDescent="0.25">
      <c r="B17" s="3"/>
      <c r="C17" s="3" t="s">
        <v>2</v>
      </c>
      <c r="D17" s="25"/>
      <c r="E17" s="25"/>
      <c r="F17" s="25" t="str">
        <f>"-0.0110**"</f>
        <v>-0.0110**</v>
      </c>
      <c r="G17" s="25"/>
      <c r="H17" s="3"/>
      <c r="I17" s="20"/>
      <c r="J17" s="18" t="s">
        <v>30</v>
      </c>
      <c r="K17" s="18"/>
      <c r="L17" s="18"/>
      <c r="M17" s="18"/>
      <c r="N17" s="3"/>
      <c r="P17" s="3" t="s">
        <v>7</v>
      </c>
      <c r="Q17" s="7"/>
      <c r="R17" s="7"/>
      <c r="S17" s="3" t="str">
        <f>"-0.0119*"</f>
        <v>-0.0119*</v>
      </c>
      <c r="T17" s="3"/>
      <c r="U17" s="13" t="s">
        <v>39</v>
      </c>
      <c r="V17" s="17" t="str">
        <f>""</f>
        <v/>
      </c>
      <c r="W17" s="3" t="str">
        <f>"0.275"</f>
        <v>0.275</v>
      </c>
      <c r="X17" s="3" t="str">
        <f>"0.407"</f>
        <v>0.407</v>
      </c>
      <c r="Z17" s="3"/>
      <c r="AA17" s="25" t="str">
        <f>""</f>
        <v/>
      </c>
      <c r="AB17" s="25" t="str">
        <f>""</f>
        <v/>
      </c>
      <c r="AC17" s="25" t="str">
        <f>""</f>
        <v/>
      </c>
      <c r="AD17" s="25"/>
      <c r="AF17" s="21" t="s">
        <v>32</v>
      </c>
      <c r="AG17" s="21"/>
      <c r="AH17" s="21" t="s">
        <v>31</v>
      </c>
      <c r="AI17" s="21" t="s">
        <v>28</v>
      </c>
    </row>
    <row r="18" spans="2:35" ht="15" customHeight="1" x14ac:dyDescent="0.25">
      <c r="B18" s="3"/>
      <c r="C18" s="3"/>
      <c r="D18" s="25"/>
      <c r="E18" s="25"/>
      <c r="F18" s="25" t="str">
        <f>"(0.00419)"</f>
        <v>(0.00419)</v>
      </c>
      <c r="G18" s="25" t="s">
        <v>0</v>
      </c>
      <c r="H18" s="3"/>
      <c r="J18" s="21" t="s">
        <v>32</v>
      </c>
      <c r="K18" s="21"/>
      <c r="L18" s="21" t="s">
        <v>31</v>
      </c>
      <c r="M18" s="21" t="s">
        <v>28</v>
      </c>
      <c r="N18" s="3"/>
      <c r="P18" s="4"/>
      <c r="Q18" s="10"/>
      <c r="R18" s="10"/>
      <c r="S18" s="4" t="str">
        <f>"(0.00707)"</f>
        <v>(0.00707)</v>
      </c>
      <c r="T18" s="3"/>
      <c r="U18" s="24" t="s">
        <v>40</v>
      </c>
      <c r="V18" s="24"/>
      <c r="W18" s="24"/>
      <c r="X18" s="24"/>
      <c r="Z18" s="8" t="s">
        <v>22</v>
      </c>
      <c r="AA18" s="25" t="str">
        <f>""</f>
        <v/>
      </c>
      <c r="AB18" s="25" t="str">
        <f>""</f>
        <v/>
      </c>
      <c r="AC18" s="25" t="str">
        <f>""</f>
        <v/>
      </c>
      <c r="AD18" s="25"/>
      <c r="AF18" s="3" t="s">
        <v>53</v>
      </c>
      <c r="AG18" s="3"/>
      <c r="AH18" s="3" t="str">
        <f>"0.883"</f>
        <v>0.883</v>
      </c>
      <c r="AI18" s="3" t="s">
        <v>46</v>
      </c>
    </row>
    <row r="19" spans="2:35" x14ac:dyDescent="0.25">
      <c r="B19" s="3"/>
      <c r="C19" s="3"/>
      <c r="D19" s="25"/>
      <c r="E19" s="25"/>
      <c r="F19" s="25"/>
      <c r="G19" s="25" t="s">
        <v>0</v>
      </c>
      <c r="H19" s="3"/>
      <c r="J19" s="3" t="s">
        <v>51</v>
      </c>
      <c r="K19" s="3"/>
      <c r="L19" s="3" t="str">
        <f>"0.0192"</f>
        <v>0.0192</v>
      </c>
      <c r="M19" s="3" t="str">
        <f>"0.913"</f>
        <v>0.913</v>
      </c>
      <c r="N19" s="3"/>
      <c r="P19" s="14" t="s">
        <v>1</v>
      </c>
      <c r="Q19" s="3" t="str">
        <f>"10869"</f>
        <v>10869</v>
      </c>
      <c r="R19" s="3" t="str">
        <f>"10869"</f>
        <v>10869</v>
      </c>
      <c r="S19" s="3" t="str">
        <f>"10869"</f>
        <v>10869</v>
      </c>
      <c r="Z19" s="3" t="s">
        <v>5</v>
      </c>
      <c r="AA19" s="25" t="str">
        <f>""</f>
        <v/>
      </c>
      <c r="AB19" s="25" t="str">
        <f>""</f>
        <v/>
      </c>
      <c r="AC19" s="25" t="str">
        <f>""</f>
        <v/>
      </c>
      <c r="AD19" s="25" t="str">
        <f>"-0.0316**"</f>
        <v>-0.0316**</v>
      </c>
      <c r="AF19" s="3" t="s">
        <v>34</v>
      </c>
      <c r="AG19" s="7" t="str">
        <f>""</f>
        <v/>
      </c>
      <c r="AH19" s="3" t="str">
        <f>"0.535"</f>
        <v>0.535</v>
      </c>
      <c r="AI19" s="3" t="s">
        <v>46</v>
      </c>
    </row>
    <row r="20" spans="2:35" ht="15.75" thickBot="1" x14ac:dyDescent="0.3">
      <c r="B20" s="3"/>
      <c r="C20" s="8" t="s">
        <v>22</v>
      </c>
      <c r="D20" s="25"/>
      <c r="E20" s="25"/>
      <c r="F20" s="25"/>
      <c r="G20" s="25"/>
      <c r="H20" s="3"/>
      <c r="J20" s="3" t="s">
        <v>52</v>
      </c>
      <c r="K20" s="3"/>
      <c r="L20" s="3" t="str">
        <f>"0.847"</f>
        <v>0.847</v>
      </c>
      <c r="M20" s="3" t="s">
        <v>46</v>
      </c>
      <c r="N20" s="3"/>
      <c r="P20" s="12" t="s">
        <v>8</v>
      </c>
      <c r="Q20" s="12" t="s">
        <v>9</v>
      </c>
      <c r="R20" s="12" t="s">
        <v>10</v>
      </c>
      <c r="S20" s="12" t="s">
        <v>10</v>
      </c>
      <c r="Z20" s="3"/>
      <c r="AA20" s="25" t="str">
        <f>""</f>
        <v/>
      </c>
      <c r="AB20" s="25" t="str">
        <f>""</f>
        <v/>
      </c>
      <c r="AC20" s="25" t="str">
        <f>""</f>
        <v/>
      </c>
      <c r="AD20" s="25" t="str">
        <f>"(0.0106)"</f>
        <v>(0.0106)</v>
      </c>
      <c r="AF20" s="3" t="s">
        <v>38</v>
      </c>
      <c r="AG20" s="7" t="str">
        <f>""</f>
        <v/>
      </c>
      <c r="AH20" s="3" t="str">
        <f>"-0.107"</f>
        <v>-0.107</v>
      </c>
      <c r="AI20" s="3" t="str">
        <f>"0.475"</f>
        <v>0.475</v>
      </c>
    </row>
    <row r="21" spans="2:35" x14ac:dyDescent="0.25">
      <c r="B21" s="3"/>
      <c r="C21" s="3" t="s">
        <v>5</v>
      </c>
      <c r="D21" s="25"/>
      <c r="E21" s="25"/>
      <c r="F21" s="25"/>
      <c r="G21" s="25" t="str">
        <f>"-0.00796*"</f>
        <v>-0.00796*</v>
      </c>
      <c r="H21" s="3"/>
      <c r="J21" s="3" t="s">
        <v>34</v>
      </c>
      <c r="K21" s="7" t="str">
        <f>""</f>
        <v/>
      </c>
      <c r="L21" s="3" t="str">
        <f>"1.017"</f>
        <v>1.017</v>
      </c>
      <c r="M21" s="3" t="s">
        <v>46</v>
      </c>
      <c r="N21" s="3"/>
      <c r="P21" s="22" t="s">
        <v>43</v>
      </c>
      <c r="Q21" s="22"/>
      <c r="R21" s="22"/>
      <c r="S21" s="22"/>
      <c r="Z21" s="3" t="s">
        <v>6</v>
      </c>
      <c r="AA21" s="25" t="str">
        <f>""</f>
        <v/>
      </c>
      <c r="AB21" s="25" t="str">
        <f>""</f>
        <v/>
      </c>
      <c r="AC21" s="25" t="str">
        <f>""</f>
        <v/>
      </c>
      <c r="AD21" s="25" t="str">
        <f>"-0.0310**"</f>
        <v>-0.0310**</v>
      </c>
      <c r="AF21" s="13" t="s">
        <v>39</v>
      </c>
      <c r="AG21" s="17" t="str">
        <f>""</f>
        <v/>
      </c>
      <c r="AH21" s="3" t="str">
        <f>"-0.209"</f>
        <v>-0.209</v>
      </c>
      <c r="AI21" s="3" t="str">
        <f>"0.463"</f>
        <v>0.463</v>
      </c>
    </row>
    <row r="22" spans="2:35" x14ac:dyDescent="0.25">
      <c r="B22" s="3"/>
      <c r="C22" s="3"/>
      <c r="D22" s="25"/>
      <c r="E22" s="25"/>
      <c r="F22" s="25"/>
      <c r="G22" s="25" t="str">
        <f>"(0.00414)"</f>
        <v>(0.00414)</v>
      </c>
      <c r="H22" s="3"/>
      <c r="J22" s="3" t="s">
        <v>38</v>
      </c>
      <c r="K22" s="7" t="str">
        <f>""</f>
        <v/>
      </c>
      <c r="L22" s="3" t="str">
        <f>"-0.0813"</f>
        <v>-0.0813</v>
      </c>
      <c r="M22" s="3" t="str">
        <f>"0.566"</f>
        <v>0.566</v>
      </c>
      <c r="N22" s="3"/>
      <c r="Z22" s="3"/>
      <c r="AA22" s="25"/>
      <c r="AB22" s="25"/>
      <c r="AC22" s="25" t="str">
        <f>""</f>
        <v/>
      </c>
      <c r="AD22" s="25" t="str">
        <f>"(0.0111)"</f>
        <v>(0.0111)</v>
      </c>
      <c r="AF22" s="24" t="s">
        <v>40</v>
      </c>
      <c r="AG22" s="24"/>
      <c r="AH22" s="24"/>
      <c r="AI22" s="24"/>
    </row>
    <row r="23" spans="2:35" ht="15" customHeight="1" x14ac:dyDescent="0.25">
      <c r="B23" s="3"/>
      <c r="C23" s="3" t="s">
        <v>6</v>
      </c>
      <c r="D23" s="25"/>
      <c r="E23" s="25"/>
      <c r="F23" s="25"/>
      <c r="G23" s="25" t="str">
        <f>"-0.00835*"</f>
        <v>-0.00835*</v>
      </c>
      <c r="H23" s="3"/>
      <c r="J23" s="13" t="s">
        <v>39</v>
      </c>
      <c r="K23" s="17" t="str">
        <f>""</f>
        <v/>
      </c>
      <c r="L23" s="3" t="str">
        <f>"0.0978"</f>
        <v>0.0978</v>
      </c>
      <c r="M23" s="3" t="str">
        <f>"0.667"</f>
        <v>0.667</v>
      </c>
      <c r="N23" s="3"/>
      <c r="Z23" s="3" t="s">
        <v>7</v>
      </c>
      <c r="AA23" s="25"/>
      <c r="AB23" s="25"/>
      <c r="AC23" s="25" t="str">
        <f>""</f>
        <v/>
      </c>
      <c r="AD23" s="25" t="str">
        <f>"-0.0243*"</f>
        <v>-0.0243*</v>
      </c>
      <c r="AF23" s="3"/>
      <c r="AG23" s="3"/>
      <c r="AH23" s="3"/>
      <c r="AI23" s="3"/>
    </row>
    <row r="24" spans="2:35" x14ac:dyDescent="0.25">
      <c r="B24" s="3"/>
      <c r="C24" s="3"/>
      <c r="D24" s="25"/>
      <c r="E24" s="25"/>
      <c r="F24" s="25"/>
      <c r="G24" s="25" t="str">
        <f>"(0.00433)"</f>
        <v>(0.00433)</v>
      </c>
      <c r="H24" s="3"/>
      <c r="J24" s="24" t="s">
        <v>40</v>
      </c>
      <c r="K24" s="24"/>
      <c r="L24" s="24"/>
      <c r="M24" s="24"/>
      <c r="N24" s="11"/>
      <c r="Z24" s="4"/>
      <c r="AA24" s="26"/>
      <c r="AB24" s="26"/>
      <c r="AC24" s="26"/>
      <c r="AD24" s="26" t="str">
        <f>"(0.0127)"</f>
        <v>(0.0127)</v>
      </c>
    </row>
    <row r="25" spans="2:35" x14ac:dyDescent="0.25">
      <c r="B25" s="3"/>
      <c r="C25" s="3" t="s">
        <v>7</v>
      </c>
      <c r="D25" s="25"/>
      <c r="E25" s="25"/>
      <c r="F25" s="25"/>
      <c r="G25" s="25" t="str">
        <f>"-0.0103**"</f>
        <v>-0.0103**</v>
      </c>
      <c r="H25" s="3"/>
      <c r="J25" s="9"/>
      <c r="K25" s="9"/>
      <c r="L25" s="9"/>
      <c r="M25" s="9"/>
      <c r="N25" s="3"/>
      <c r="Z25" s="14" t="s">
        <v>1</v>
      </c>
      <c r="AA25" s="3" t="str">
        <f>"13001"</f>
        <v>13001</v>
      </c>
      <c r="AB25" s="3" t="str">
        <f>"12987"</f>
        <v>12987</v>
      </c>
      <c r="AC25" s="3" t="str">
        <f>"12987"</f>
        <v>12987</v>
      </c>
      <c r="AD25" s="3" t="str">
        <f>"12987"</f>
        <v>12987</v>
      </c>
    </row>
    <row r="26" spans="2:35" ht="15.75" thickBot="1" x14ac:dyDescent="0.3">
      <c r="B26" s="3"/>
      <c r="C26" s="4"/>
      <c r="D26" s="26"/>
      <c r="E26" s="26"/>
      <c r="F26" s="26"/>
      <c r="G26" s="25" t="str">
        <f>"(0.00503)"</f>
        <v>(0.00503)</v>
      </c>
      <c r="H26" s="3"/>
      <c r="J26" s="9"/>
      <c r="K26" s="9"/>
      <c r="L26" s="9"/>
      <c r="M26" s="9"/>
      <c r="N26" s="11"/>
      <c r="Z26" s="12" t="s">
        <v>8</v>
      </c>
      <c r="AA26" s="12" t="s">
        <v>9</v>
      </c>
      <c r="AB26" s="12" t="s">
        <v>10</v>
      </c>
      <c r="AC26" s="12" t="s">
        <v>10</v>
      </c>
      <c r="AD26" s="12" t="s">
        <v>10</v>
      </c>
    </row>
    <row r="27" spans="2:35" ht="15" customHeight="1" x14ac:dyDescent="0.25">
      <c r="B27" s="3"/>
      <c r="C27" s="14" t="s">
        <v>1</v>
      </c>
      <c r="D27" s="14">
        <v>42706</v>
      </c>
      <c r="E27" s="14">
        <v>42706</v>
      </c>
      <c r="F27" s="14">
        <v>42706</v>
      </c>
      <c r="G27" s="14">
        <v>42706</v>
      </c>
      <c r="H27" s="3"/>
      <c r="N27" s="3"/>
      <c r="Z27" s="22" t="s">
        <v>25</v>
      </c>
      <c r="AA27" s="22"/>
      <c r="AB27" s="22"/>
      <c r="AC27" s="22"/>
      <c r="AD27" s="22"/>
    </row>
    <row r="28" spans="2:35" ht="15.75" thickBot="1" x14ac:dyDescent="0.3">
      <c r="B28" s="3"/>
      <c r="C28" s="12" t="s">
        <v>8</v>
      </c>
      <c r="D28" s="15" t="s">
        <v>10</v>
      </c>
      <c r="E28" s="15" t="s">
        <v>10</v>
      </c>
      <c r="F28" s="15" t="s">
        <v>10</v>
      </c>
      <c r="G28" s="15" t="s">
        <v>10</v>
      </c>
      <c r="H28" s="3"/>
      <c r="J28" s="9"/>
      <c r="K28" s="9"/>
      <c r="L28" s="9"/>
      <c r="M28" s="9"/>
      <c r="N28" s="9"/>
    </row>
    <row r="29" spans="2:35" x14ac:dyDescent="0.25">
      <c r="B29" s="3"/>
      <c r="C29" s="22" t="s">
        <v>25</v>
      </c>
      <c r="D29" s="22"/>
      <c r="E29" s="22"/>
      <c r="F29" s="22"/>
      <c r="G29" s="22"/>
      <c r="H29" s="3"/>
      <c r="J29" s="9"/>
      <c r="K29" s="9"/>
      <c r="L29" s="9"/>
      <c r="M29" s="9"/>
      <c r="N29" s="9"/>
    </row>
    <row r="30" spans="2:35" x14ac:dyDescent="0.25">
      <c r="B30" s="3"/>
      <c r="H30" s="3"/>
      <c r="J30" s="9"/>
      <c r="K30" s="9"/>
      <c r="L30" s="9"/>
      <c r="M30" s="9"/>
      <c r="N30" s="9"/>
    </row>
    <row r="31" spans="2:35" x14ac:dyDescent="0.25">
      <c r="B31" s="3"/>
      <c r="H31" s="3"/>
      <c r="J31" s="9"/>
      <c r="K31" s="9"/>
      <c r="L31" s="9"/>
      <c r="M31" s="9"/>
      <c r="N31" s="9"/>
    </row>
    <row r="32" spans="2:35" x14ac:dyDescent="0.25">
      <c r="B32" s="3"/>
      <c r="H32" s="3"/>
      <c r="J32" s="9"/>
      <c r="K32" s="9"/>
      <c r="L32" s="9"/>
      <c r="M32" s="9"/>
      <c r="N32" s="16"/>
    </row>
    <row r="33" spans="2:14" x14ac:dyDescent="0.25">
      <c r="B33" s="3"/>
      <c r="H33" s="3"/>
      <c r="J33" s="9"/>
      <c r="K33" s="9"/>
      <c r="L33" s="9"/>
      <c r="M33" s="9"/>
      <c r="N33" s="9"/>
    </row>
    <row r="34" spans="2:14" x14ac:dyDescent="0.25">
      <c r="B34" s="3"/>
      <c r="H34" s="3"/>
      <c r="J34" s="9"/>
      <c r="K34" s="9"/>
      <c r="L34" s="9"/>
      <c r="M34" s="9"/>
      <c r="N34" s="9"/>
    </row>
    <row r="35" spans="2:14" x14ac:dyDescent="0.25">
      <c r="B35" s="3"/>
      <c r="H35" s="3"/>
      <c r="J35" s="9"/>
      <c r="K35" s="9"/>
      <c r="L35" s="9"/>
      <c r="M35" s="9"/>
      <c r="N35" s="9"/>
    </row>
    <row r="36" spans="2:14" x14ac:dyDescent="0.25">
      <c r="B36" s="3"/>
      <c r="H36" s="3"/>
      <c r="J36" s="9"/>
      <c r="K36" s="9"/>
      <c r="L36" s="9"/>
      <c r="M36" s="9"/>
      <c r="N36" s="9"/>
    </row>
    <row r="37" spans="2:14" x14ac:dyDescent="0.25">
      <c r="B37" s="3"/>
      <c r="H37" s="3"/>
      <c r="J37" s="9"/>
      <c r="K37" s="9"/>
      <c r="L37" s="9"/>
      <c r="M37" s="9"/>
      <c r="N37" s="9"/>
    </row>
    <row r="38" spans="2:14" x14ac:dyDescent="0.25">
      <c r="B38" s="3"/>
      <c r="H38" s="3"/>
      <c r="N38" s="9"/>
    </row>
    <row r="39" spans="2:14" x14ac:dyDescent="0.25">
      <c r="B39" s="3"/>
      <c r="H39" s="3"/>
      <c r="N39" s="9"/>
    </row>
    <row r="40" spans="2:14" ht="146.25" customHeight="1" x14ac:dyDescent="0.25">
      <c r="B40" s="3"/>
      <c r="H40" s="3"/>
      <c r="I40" s="1"/>
      <c r="N40" s="9"/>
    </row>
    <row r="41" spans="2:14" x14ac:dyDescent="0.25">
      <c r="B41" s="3"/>
      <c r="H41" s="3"/>
      <c r="N41" s="9"/>
    </row>
    <row r="42" spans="2:14" x14ac:dyDescent="0.25">
      <c r="B42" s="3"/>
      <c r="C42" s="3"/>
      <c r="D42" s="3"/>
      <c r="E42" s="3"/>
      <c r="F42" s="3"/>
      <c r="G42" s="3"/>
      <c r="H42" s="3"/>
      <c r="N42" s="9"/>
    </row>
  </sheetData>
  <mergeCells count="12">
    <mergeCell ref="Z1:AD1"/>
    <mergeCell ref="Z27:AD27"/>
    <mergeCell ref="U1:X1"/>
    <mergeCell ref="U18:X18"/>
    <mergeCell ref="AF1:AI1"/>
    <mergeCell ref="AF22:AI22"/>
    <mergeCell ref="C29:G29"/>
    <mergeCell ref="C1:G1"/>
    <mergeCell ref="P1:S1"/>
    <mergeCell ref="P21:S21"/>
    <mergeCell ref="J1:M1"/>
    <mergeCell ref="J24:M2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Andrés Rodríguez Lesmes</dc:creator>
  <cp:lastModifiedBy>Paul Andrés Rodríguez Lesmes</cp:lastModifiedBy>
  <dcterms:created xsi:type="dcterms:W3CDTF">2019-09-23T20:05:01Z</dcterms:created>
  <dcterms:modified xsi:type="dcterms:W3CDTF">2019-12-14T15:27:51Z</dcterms:modified>
</cp:coreProperties>
</file>