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558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G6" i="1"/>
  <c r="C33" i="1" l="1"/>
  <c r="C100" i="1" l="1"/>
  <c r="C99" i="1"/>
  <c r="C98" i="1"/>
  <c r="C97" i="1"/>
  <c r="C93" i="1"/>
  <c r="C92" i="1"/>
  <c r="C88" i="1"/>
  <c r="C89" i="1" s="1"/>
  <c r="C58" i="1" l="1"/>
  <c r="C42" i="1" l="1"/>
  <c r="C23" i="1"/>
  <c r="C27" i="1" s="1"/>
  <c r="C38" i="1" s="1"/>
  <c r="C18" i="1"/>
  <c r="C62" i="1" s="1"/>
  <c r="C82" i="1"/>
  <c r="G3" i="1"/>
  <c r="C83" i="1" l="1"/>
  <c r="C85" i="1" s="1"/>
  <c r="G7" i="1"/>
  <c r="C52" i="1"/>
  <c r="G4" i="1"/>
  <c r="C51" i="1"/>
  <c r="C37" i="1"/>
  <c r="C35" i="1"/>
  <c r="C36" i="1"/>
  <c r="C53" i="1" l="1"/>
  <c r="C55" i="1" s="1"/>
  <c r="C56" i="1" s="1"/>
  <c r="C59" i="1" s="1"/>
  <c r="C86" i="1"/>
  <c r="C94" i="1" s="1"/>
  <c r="C96" i="1" s="1"/>
  <c r="C40" i="1"/>
  <c r="C44" i="1" s="1"/>
  <c r="C63" i="1" l="1"/>
  <c r="C65" i="1" s="1"/>
  <c r="C67" i="1" s="1"/>
  <c r="C68" i="1" s="1"/>
  <c r="C75" i="1" s="1"/>
  <c r="C105" i="1"/>
  <c r="C104" i="1"/>
  <c r="C103" i="1"/>
  <c r="C102" i="1"/>
  <c r="C70" i="1" l="1"/>
  <c r="C71" i="1" l="1"/>
  <c r="C72" i="1" s="1"/>
  <c r="C107" i="1" s="1"/>
  <c r="C109" i="1" s="1"/>
  <c r="C110" i="1" s="1"/>
  <c r="C111" i="1" s="1"/>
</calcChain>
</file>

<file path=xl/sharedStrings.xml><?xml version="1.0" encoding="utf-8"?>
<sst xmlns="http://schemas.openxmlformats.org/spreadsheetml/2006/main" count="183" uniqueCount="160">
  <si>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</si>
  <si>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</si>
  <si>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</si>
  <si>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</si>
  <si>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</si>
  <si>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</si>
  <si>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</si>
  <si>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</si>
  <si>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</si>
  <si>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</si>
  <si>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</si>
  <si>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</si>
  <si>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</si>
  <si>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</si>
  <si>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</si>
  <si>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</si>
  <si>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</si>
  <si>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</si>
  <si>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</si>
  <si>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</si>
  <si>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</si>
  <si>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</si>
  <si>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</si>
  <si>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</si>
  <si>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</si>
  <si>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</si>
  <si>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</si>
  <si>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</si>
  <si>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</si>
  <si>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</si>
  <si>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</si>
  <si>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</si>
  <si>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</si>
  <si>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</si>
  <si>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</si>
  <si>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</si>
  <si>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</si>
  <si>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</si>
  <si>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</si>
  <si>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</si>
  <si>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</si>
  <si>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</si>
  <si>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</si>
  <si>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</si>
  <si>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</si>
  <si>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</si>
  <si>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</si>
  <si>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</si>
  <si>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</si>
  <si>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</si>
  <si>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</si>
  <si>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</si>
  <si>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</si>
  <si>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</si>
  <si>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</si>
  <si>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</si>
  <si>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</si>
  <si>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</si>
  <si>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</si>
  <si>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</si>
  <si>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</si>
  <si>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</si>
  <si>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</si>
  <si>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</si>
  <si>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</si>
  <si>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</si>
  <si>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</si>
  <si>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</si>
  <si>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</si>
  <si>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</si>
  <si>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</si>
  <si>
    <t>Руководитель</t>
  </si>
  <si>
    <t>Исполнитель</t>
  </si>
  <si>
    <t>Трудоемкость руководителя(дней)</t>
  </si>
  <si>
    <t>Трудоемкость исполнителя(дней)</t>
  </si>
  <si>
    <t>Заработная плата руководителя</t>
  </si>
  <si>
    <t>Заработная плата исполнителя</t>
  </si>
  <si>
    <t>Всего заработная платы</t>
  </si>
  <si>
    <t>Заработной платы с учетом премий</t>
  </si>
  <si>
    <t>Дополнительная заработная плата</t>
  </si>
  <si>
    <t>Зд</t>
  </si>
  <si>
    <t>Зо</t>
  </si>
  <si>
    <t>Рсоц</t>
  </si>
  <si>
    <t>Отчисления на социанльные нужды</t>
  </si>
  <si>
    <t>Нсоц</t>
  </si>
  <si>
    <t>Страховые взносы</t>
  </si>
  <si>
    <t>Нмв</t>
  </si>
  <si>
    <t>Норматив расхода машинного времени на отладку исходного кода %</t>
  </si>
  <si>
    <t>Рм</t>
  </si>
  <si>
    <t>Расходы "Машинное время"</t>
  </si>
  <si>
    <t>Рнакл</t>
  </si>
  <si>
    <t>Сп</t>
  </si>
  <si>
    <t>Общая сумма расходов</t>
  </si>
  <si>
    <t>Рса</t>
  </si>
  <si>
    <t>Затраты на сопровождение и адаптацию</t>
  </si>
  <si>
    <t>Нрса</t>
  </si>
  <si>
    <t>Норматив расходов на сопровождение и адаптацию</t>
  </si>
  <si>
    <t>Споб</t>
  </si>
  <si>
    <t>Полная себестоимость программного продукта</t>
  </si>
  <si>
    <t>Пп</t>
  </si>
  <si>
    <t>Полная прибыль</t>
  </si>
  <si>
    <t>НДС</t>
  </si>
  <si>
    <t>Налог на добавленную прибыль</t>
  </si>
  <si>
    <t>Цп</t>
  </si>
  <si>
    <t>Прогнозируемая отпускная цена</t>
  </si>
  <si>
    <t>Кос</t>
  </si>
  <si>
    <t>Затраты пользователя на освоение ПП</t>
  </si>
  <si>
    <t>Нос</t>
  </si>
  <si>
    <t>Норматив расходов на освоение программного продукта</t>
  </si>
  <si>
    <t>Ко</t>
  </si>
  <si>
    <t>Общие копитальные затраты заказчика</t>
  </si>
  <si>
    <t>Тс</t>
  </si>
  <si>
    <t>До внедрения стоимость работ</t>
  </si>
  <si>
    <t>После внедрения стоимость работ</t>
  </si>
  <si>
    <t>Тч</t>
  </si>
  <si>
    <t>Средняя продолжительность рабочего дня</t>
  </si>
  <si>
    <t>Др</t>
  </si>
  <si>
    <t>Стреднемесячное количество рабочий дней</t>
  </si>
  <si>
    <t>Сзо</t>
  </si>
  <si>
    <t>Экономия затрат на основную зарботную плату работника</t>
  </si>
  <si>
    <t>Ззд</t>
  </si>
  <si>
    <t>Экономия затрат на дополнитульную заработную плату</t>
  </si>
  <si>
    <t>Число заявок на использование ПП</t>
  </si>
  <si>
    <t>Сз</t>
  </si>
  <si>
    <t>Экономич затрат на заработную плату при использовании нового ПП</t>
  </si>
  <si>
    <t>Соз</t>
  </si>
  <si>
    <t>Экономия затрат за счет сокращения начислений на ЗП</t>
  </si>
  <si>
    <t>Сме</t>
  </si>
  <si>
    <t xml:space="preserve">Экономия затрат на оплату машинного времени </t>
  </si>
  <si>
    <t>См</t>
  </si>
  <si>
    <t>Экономия затрат на оплату машинного времени в расчете на выполненный объем работ</t>
  </si>
  <si>
    <t>Мтс</t>
  </si>
  <si>
    <t>средний расход материалов до внедрения</t>
  </si>
  <si>
    <t>Мтн</t>
  </si>
  <si>
    <t>средний расход материалов после внедрения</t>
  </si>
  <si>
    <t>Смте</t>
  </si>
  <si>
    <t>Экономия затрат на материалы</t>
  </si>
  <si>
    <t>Смт</t>
  </si>
  <si>
    <t>Экономия затрат на материалы при использовании нового ПП</t>
  </si>
  <si>
    <t>Общая годовая экономия затрат</t>
  </si>
  <si>
    <t>Пч</t>
  </si>
  <si>
    <t>Дополнительная прибыль</t>
  </si>
  <si>
    <t>Со</t>
  </si>
  <si>
    <t>а1</t>
  </si>
  <si>
    <t>а2</t>
  </si>
  <si>
    <t>а3</t>
  </si>
  <si>
    <t>а4</t>
  </si>
  <si>
    <t>коэффициент приведения 1</t>
  </si>
  <si>
    <t>коэффициент приведения 2</t>
  </si>
  <si>
    <t>коэффициент приведения 3</t>
  </si>
  <si>
    <t>коэффициент приведения 4</t>
  </si>
  <si>
    <t>Пч * а1</t>
  </si>
  <si>
    <t>Пч * а2</t>
  </si>
  <si>
    <t>Пч * а3</t>
  </si>
  <si>
    <t>Пч * а4</t>
  </si>
  <si>
    <t>Пч - Ко</t>
  </si>
  <si>
    <t>Прибыль в 2019</t>
  </si>
  <si>
    <t>Прибыль в 2020</t>
  </si>
  <si>
    <t>Прибыль в 2021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</si>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</sst>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10">
  <autoFilter ref="F1:H27"/>
  <tableColumns count="3">
    <tableColumn id="1" name="Имя" dataDxfId="9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114" totalsRowShown="0">
  <autoFilter ref="A20:C114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89" zoomScale="85" zoomScaleNormal="85" workbookViewId="0">
      <selection activeCell="C85" sqref="C85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3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24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504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6.0000000000000001E-3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0.14000000000000001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5" t="s">
        <v>159</v>
      </c>
      <c r="B33" s="16"/>
      <c r="C33" s="26">
        <f>SUM(C29:C32)</f>
        <v>1</v>
      </c>
    </row>
    <row r="34" spans="1:3" x14ac:dyDescent="0.25">
      <c r="A34" s="19"/>
      <c r="B34" s="20"/>
      <c r="C34" s="29"/>
    </row>
    <row r="35" spans="1:3" x14ac:dyDescent="0.25">
      <c r="A35" s="15" t="s">
        <v>54</v>
      </c>
      <c r="B35" s="16" t="s">
        <v>59</v>
      </c>
      <c r="C35" s="30">
        <f>C29 * C27</f>
        <v>24.882227999999998</v>
      </c>
    </row>
    <row r="36" spans="1:3" x14ac:dyDescent="0.25">
      <c r="A36" s="15" t="s">
        <v>56</v>
      </c>
      <c r="B36" s="16" t="s">
        <v>60</v>
      </c>
      <c r="C36" s="30">
        <f>C30 * C27</f>
        <v>38.705688000000002</v>
      </c>
    </row>
    <row r="37" spans="1:3" x14ac:dyDescent="0.25">
      <c r="A37" s="15" t="s">
        <v>57</v>
      </c>
      <c r="B37" s="16" t="s">
        <v>61</v>
      </c>
      <c r="C37" s="30">
        <f>C31 * C27</f>
        <v>168.64621199999999</v>
      </c>
    </row>
    <row r="38" spans="1:3" x14ac:dyDescent="0.25">
      <c r="A38" s="17" t="s">
        <v>58</v>
      </c>
      <c r="B38" s="18" t="s">
        <v>62</v>
      </c>
      <c r="C38" s="33">
        <f>C32 * C27</f>
        <v>44.235072000000002</v>
      </c>
    </row>
    <row r="39" spans="1:3" x14ac:dyDescent="0.25">
      <c r="A39" s="15"/>
      <c r="B39" s="16"/>
      <c r="C39" s="30"/>
    </row>
    <row r="40" spans="1:3" x14ac:dyDescent="0.25">
      <c r="A40" s="15" t="s">
        <v>63</v>
      </c>
      <c r="B40" s="16" t="s">
        <v>64</v>
      </c>
      <c r="C40" s="30">
        <f>SUM(C35:C38)</f>
        <v>276.4692</v>
      </c>
    </row>
    <row r="41" spans="1:3" x14ac:dyDescent="0.25">
      <c r="A41" s="17"/>
      <c r="B41" s="18"/>
      <c r="C41" s="27"/>
    </row>
    <row r="42" spans="1:3" x14ac:dyDescent="0.25">
      <c r="A42" s="15" t="s">
        <v>65</v>
      </c>
      <c r="B42" s="16" t="s">
        <v>66</v>
      </c>
      <c r="C42" s="32">
        <f>365-4-112-24</f>
        <v>225</v>
      </c>
    </row>
    <row r="43" spans="1:3" x14ac:dyDescent="0.25">
      <c r="A43" s="15" t="s">
        <v>67</v>
      </c>
      <c r="B43" s="16" t="s">
        <v>68</v>
      </c>
      <c r="C43" s="26">
        <v>0.5</v>
      </c>
    </row>
    <row r="44" spans="1:3" x14ac:dyDescent="0.25">
      <c r="A44" s="15" t="s">
        <v>69</v>
      </c>
      <c r="B44" s="16" t="s">
        <v>70</v>
      </c>
      <c r="C44" s="30">
        <f>C40 / (C43 * C42)</f>
        <v>2.4575040000000001</v>
      </c>
    </row>
    <row r="45" spans="1:3" x14ac:dyDescent="0.25">
      <c r="A45" s="34"/>
      <c r="B45" s="35"/>
      <c r="C45" s="36"/>
    </row>
    <row r="46" spans="1:3" x14ac:dyDescent="0.25">
      <c r="A46" s="15"/>
      <c r="B46" s="16" t="s">
        <v>71</v>
      </c>
      <c r="C46" s="26">
        <v>1</v>
      </c>
    </row>
    <row r="47" spans="1:3" x14ac:dyDescent="0.25">
      <c r="A47" s="15"/>
      <c r="B47" s="16" t="s">
        <v>72</v>
      </c>
      <c r="C47" s="26">
        <v>2</v>
      </c>
    </row>
    <row r="48" spans="1:3" x14ac:dyDescent="0.25">
      <c r="A48" s="15"/>
      <c r="B48" s="16" t="s">
        <v>73</v>
      </c>
      <c r="C48" s="26">
        <v>76</v>
      </c>
    </row>
    <row r="49" spans="1:3" x14ac:dyDescent="0.25">
      <c r="A49" s="15"/>
      <c r="B49" s="16" t="s">
        <v>74</v>
      </c>
      <c r="C49" s="26">
        <v>100</v>
      </c>
    </row>
    <row r="50" spans="1:3" x14ac:dyDescent="0.25">
      <c r="A50" s="15"/>
      <c r="B50" s="16"/>
      <c r="C50" s="26"/>
    </row>
    <row r="51" spans="1:3" x14ac:dyDescent="0.25">
      <c r="A51" s="15"/>
      <c r="B51" s="16" t="s">
        <v>75</v>
      </c>
      <c r="C51" s="32">
        <f>C46 * (C48 * G3)</f>
        <v>2128</v>
      </c>
    </row>
    <row r="52" spans="1:3" x14ac:dyDescent="0.25">
      <c r="A52" s="15"/>
      <c r="B52" s="16" t="s">
        <v>76</v>
      </c>
      <c r="C52" s="32">
        <f>C47 * (C49 * G6)</f>
        <v>4800</v>
      </c>
    </row>
    <row r="53" spans="1:3" x14ac:dyDescent="0.25">
      <c r="A53" s="15"/>
      <c r="B53" s="16" t="s">
        <v>77</v>
      </c>
      <c r="C53" s="32">
        <f>C51 + C52</f>
        <v>6928</v>
      </c>
    </row>
    <row r="54" spans="1:3" x14ac:dyDescent="0.25">
      <c r="A54" s="15"/>
      <c r="B54" s="16"/>
      <c r="C54" s="32"/>
    </row>
    <row r="55" spans="1:3" x14ac:dyDescent="0.25">
      <c r="A55" s="15" t="s">
        <v>81</v>
      </c>
      <c r="B55" s="16" t="s">
        <v>78</v>
      </c>
      <c r="C55" s="32">
        <f>C53 + (G8 * C53)</f>
        <v>10392</v>
      </c>
    </row>
    <row r="56" spans="1:3" x14ac:dyDescent="0.25">
      <c r="A56" s="34" t="s">
        <v>80</v>
      </c>
      <c r="B56" s="35" t="s">
        <v>79</v>
      </c>
      <c r="C56" s="37">
        <f>C55 * G9</f>
        <v>1039.2</v>
      </c>
    </row>
    <row r="57" spans="1:3" x14ac:dyDescent="0.25">
      <c r="A57" s="39"/>
      <c r="B57" s="40"/>
      <c r="C57" s="41"/>
    </row>
    <row r="58" spans="1:3" x14ac:dyDescent="0.25">
      <c r="A58" s="15" t="s">
        <v>84</v>
      </c>
      <c r="B58" s="16" t="s">
        <v>85</v>
      </c>
      <c r="C58" s="32">
        <f>G11 + G12</f>
        <v>0.34600000000000003</v>
      </c>
    </row>
    <row r="59" spans="1:3" x14ac:dyDescent="0.25">
      <c r="A59" s="17" t="s">
        <v>82</v>
      </c>
      <c r="B59" s="18" t="s">
        <v>83</v>
      </c>
      <c r="C59" s="43">
        <f>(C55 + C56) * C58</f>
        <v>3955.1952000000006</v>
      </c>
    </row>
    <row r="60" spans="1:3" x14ac:dyDescent="0.25">
      <c r="A60" s="19"/>
      <c r="B60" s="20"/>
      <c r="C60" s="29"/>
    </row>
    <row r="61" spans="1:3" ht="30" x14ac:dyDescent="0.25">
      <c r="A61" s="15" t="s">
        <v>86</v>
      </c>
      <c r="B61" s="16" t="s">
        <v>87</v>
      </c>
      <c r="C61" s="26">
        <v>0.12</v>
      </c>
    </row>
    <row r="62" spans="1:3" x14ac:dyDescent="0.25">
      <c r="A62" s="15" t="s">
        <v>88</v>
      </c>
      <c r="B62" s="16" t="s">
        <v>89</v>
      </c>
      <c r="C62" s="32">
        <f>G16 * C18 * C61</f>
        <v>2150.4</v>
      </c>
    </row>
    <row r="63" spans="1:3" x14ac:dyDescent="0.25">
      <c r="A63" s="17" t="s">
        <v>90</v>
      </c>
      <c r="B63" s="18" t="s">
        <v>14</v>
      </c>
      <c r="C63" s="38">
        <f>C55 * G17</f>
        <v>11431.2</v>
      </c>
    </row>
    <row r="64" spans="1:3" x14ac:dyDescent="0.25">
      <c r="A64" s="19"/>
      <c r="B64" s="20"/>
      <c r="C64" s="29"/>
    </row>
    <row r="65" spans="1:3" x14ac:dyDescent="0.25">
      <c r="A65" s="15" t="s">
        <v>91</v>
      </c>
      <c r="B65" s="16" t="s">
        <v>92</v>
      </c>
      <c r="C65" s="42">
        <f>C55 + C56 + C59 + C62 + C63</f>
        <v>28967.995200000001</v>
      </c>
    </row>
    <row r="66" spans="1:3" ht="30" x14ac:dyDescent="0.25">
      <c r="A66" s="15" t="s">
        <v>95</v>
      </c>
      <c r="B66" s="16" t="s">
        <v>96</v>
      </c>
      <c r="C66" s="26">
        <v>0.05</v>
      </c>
    </row>
    <row r="67" spans="1:3" x14ac:dyDescent="0.25">
      <c r="A67" s="15" t="s">
        <v>93</v>
      </c>
      <c r="B67" s="16" t="s">
        <v>94</v>
      </c>
      <c r="C67" s="42">
        <f>C65 * C66</f>
        <v>1448.3997600000002</v>
      </c>
    </row>
    <row r="68" spans="1:3" ht="30" x14ac:dyDescent="0.25">
      <c r="A68" s="17" t="s">
        <v>97</v>
      </c>
      <c r="B68" s="18" t="s">
        <v>98</v>
      </c>
      <c r="C68" s="43">
        <f>C65 + C67</f>
        <v>30416.394960000001</v>
      </c>
    </row>
    <row r="69" spans="1:3" x14ac:dyDescent="0.25">
      <c r="A69" s="19"/>
      <c r="B69" s="19"/>
      <c r="C69" s="29"/>
    </row>
    <row r="70" spans="1:3" x14ac:dyDescent="0.25">
      <c r="A70" s="15" t="s">
        <v>99</v>
      </c>
      <c r="B70" s="16" t="s">
        <v>100</v>
      </c>
      <c r="C70" s="42">
        <f>C68 * G19</f>
        <v>4562.4592439999997</v>
      </c>
    </row>
    <row r="71" spans="1:3" x14ac:dyDescent="0.25">
      <c r="A71" s="15" t="s">
        <v>101</v>
      </c>
      <c r="B71" s="16" t="s">
        <v>102</v>
      </c>
      <c r="C71" s="42">
        <f>(C68 + C70) * G13</f>
        <v>6995.7708408000008</v>
      </c>
    </row>
    <row r="72" spans="1:3" x14ac:dyDescent="0.25">
      <c r="A72" s="17" t="s">
        <v>103</v>
      </c>
      <c r="B72" s="18" t="s">
        <v>104</v>
      </c>
      <c r="C72" s="43">
        <f>C68 + C70 + C71</f>
        <v>41974.625044800006</v>
      </c>
    </row>
    <row r="73" spans="1:3" x14ac:dyDescent="0.25">
      <c r="A73" s="44"/>
      <c r="B73" s="45"/>
      <c r="C73" s="46"/>
    </row>
    <row r="74" spans="1:3" ht="30" x14ac:dyDescent="0.25">
      <c r="A74" s="15" t="s">
        <v>107</v>
      </c>
      <c r="B74" s="16" t="s">
        <v>108</v>
      </c>
      <c r="C74" s="26">
        <v>0.1</v>
      </c>
    </row>
    <row r="75" spans="1:3" x14ac:dyDescent="0.25">
      <c r="A75" s="15" t="s">
        <v>105</v>
      </c>
      <c r="B75" s="16" t="s">
        <v>106</v>
      </c>
      <c r="C75" s="42">
        <f>C68 * C74</f>
        <v>3041.6394960000002</v>
      </c>
    </row>
    <row r="76" spans="1:3" x14ac:dyDescent="0.25">
      <c r="A76" s="34" t="s">
        <v>109</v>
      </c>
      <c r="B76" s="35" t="s">
        <v>110</v>
      </c>
      <c r="C76" s="47">
        <f>C72 + C75</f>
        <v>45016.26454080001</v>
      </c>
    </row>
    <row r="77" spans="1:3" x14ac:dyDescent="0.25">
      <c r="A77" s="39"/>
      <c r="B77" s="40"/>
      <c r="C77" s="48"/>
    </row>
    <row r="78" spans="1:3" x14ac:dyDescent="0.25">
      <c r="A78" s="15" t="s">
        <v>111</v>
      </c>
      <c r="B78" s="16" t="s">
        <v>112</v>
      </c>
      <c r="C78" s="26">
        <v>4</v>
      </c>
    </row>
    <row r="79" spans="1:3" x14ac:dyDescent="0.25">
      <c r="A79" s="15" t="s">
        <v>41</v>
      </c>
      <c r="B79" s="16" t="s">
        <v>113</v>
      </c>
      <c r="C79" s="26">
        <v>2.5</v>
      </c>
    </row>
    <row r="80" spans="1:3" x14ac:dyDescent="0.25">
      <c r="A80" s="15" t="s">
        <v>114</v>
      </c>
      <c r="B80" s="16" t="s">
        <v>115</v>
      </c>
      <c r="C80" s="26">
        <v>8</v>
      </c>
    </row>
    <row r="81" spans="1:3" x14ac:dyDescent="0.25">
      <c r="A81" s="15" t="s">
        <v>116</v>
      </c>
      <c r="B81" s="16" t="s">
        <v>117</v>
      </c>
      <c r="C81" s="26">
        <v>22</v>
      </c>
    </row>
    <row r="82" spans="1:3" ht="30" x14ac:dyDescent="0.25">
      <c r="A82" s="15" t="s">
        <v>118</v>
      </c>
      <c r="B82" s="16" t="s">
        <v>119</v>
      </c>
      <c r="C82" s="42">
        <f>(G6 * C81) * (C78 - C79) / C80 / C81 * (1 + G8)</f>
        <v>6.75</v>
      </c>
    </row>
    <row r="83" spans="1:3" ht="30" x14ac:dyDescent="0.25">
      <c r="A83" s="15" t="s">
        <v>120</v>
      </c>
      <c r="B83" s="16" t="s">
        <v>121</v>
      </c>
      <c r="C83" s="42">
        <f>C82 * G9</f>
        <v>0.67500000000000004</v>
      </c>
    </row>
    <row r="84" spans="1:3" x14ac:dyDescent="0.25">
      <c r="A84" s="15"/>
      <c r="B84" s="16" t="s">
        <v>122</v>
      </c>
      <c r="C84" s="26">
        <v>1900</v>
      </c>
    </row>
    <row r="85" spans="1:3" ht="30" x14ac:dyDescent="0.25">
      <c r="A85" s="15" t="s">
        <v>123</v>
      </c>
      <c r="B85" s="16" t="s">
        <v>124</v>
      </c>
      <c r="C85" s="32">
        <f>(C82 + C83) * C84</f>
        <v>14107.5</v>
      </c>
    </row>
    <row r="86" spans="1:3" ht="30" x14ac:dyDescent="0.25">
      <c r="A86" s="34" t="s">
        <v>125</v>
      </c>
      <c r="B86" s="35" t="s">
        <v>126</v>
      </c>
      <c r="C86" s="47">
        <f>C85 * C58</f>
        <v>4881.1950000000006</v>
      </c>
    </row>
    <row r="87" spans="1:3" x14ac:dyDescent="0.25">
      <c r="A87" s="39"/>
      <c r="B87" s="40"/>
      <c r="C87" s="48"/>
    </row>
    <row r="88" spans="1:3" ht="30" x14ac:dyDescent="0.25">
      <c r="A88" s="15" t="s">
        <v>127</v>
      </c>
      <c r="B88" s="16" t="s">
        <v>128</v>
      </c>
      <c r="C88" s="32">
        <f>G16 * (C78 - C79)</f>
        <v>1.2000000000000002</v>
      </c>
    </row>
    <row r="89" spans="1:3" ht="45" x14ac:dyDescent="0.25">
      <c r="A89" s="15" t="s">
        <v>129</v>
      </c>
      <c r="B89" s="16" t="s">
        <v>130</v>
      </c>
      <c r="C89" s="32">
        <f>C88 * C84</f>
        <v>2280.0000000000005</v>
      </c>
    </row>
    <row r="90" spans="1:3" x14ac:dyDescent="0.25">
      <c r="A90" s="15" t="s">
        <v>131</v>
      </c>
      <c r="B90" s="16" t="s">
        <v>132</v>
      </c>
      <c r="C90" s="26">
        <v>0.14000000000000001</v>
      </c>
    </row>
    <row r="91" spans="1:3" x14ac:dyDescent="0.25">
      <c r="A91" s="15" t="s">
        <v>133</v>
      </c>
      <c r="B91" s="16" t="s">
        <v>134</v>
      </c>
      <c r="C91" s="26">
        <v>0.12</v>
      </c>
    </row>
    <row r="92" spans="1:3" x14ac:dyDescent="0.25">
      <c r="A92" s="15" t="s">
        <v>135</v>
      </c>
      <c r="B92" s="16" t="s">
        <v>136</v>
      </c>
      <c r="C92" s="32">
        <f>C90 - C91</f>
        <v>2.0000000000000018E-2</v>
      </c>
    </row>
    <row r="93" spans="1:3" ht="30" x14ac:dyDescent="0.25">
      <c r="A93" s="15" t="s">
        <v>137</v>
      </c>
      <c r="B93" s="16" t="s">
        <v>138</v>
      </c>
      <c r="C93" s="32">
        <f>C92 * C84</f>
        <v>38.000000000000036</v>
      </c>
    </row>
    <row r="94" spans="1:3" x14ac:dyDescent="0.25">
      <c r="A94" s="34" t="s">
        <v>142</v>
      </c>
      <c r="B94" s="35" t="s">
        <v>139</v>
      </c>
      <c r="C94" s="47">
        <f>C85 + C86 + C89 + C93</f>
        <v>21306.695</v>
      </c>
    </row>
    <row r="95" spans="1:3" x14ac:dyDescent="0.25">
      <c r="A95" s="39"/>
      <c r="B95" s="40"/>
      <c r="C95" s="48"/>
    </row>
    <row r="96" spans="1:3" x14ac:dyDescent="0.25">
      <c r="A96" s="15" t="s">
        <v>140</v>
      </c>
      <c r="B96" s="16" t="s">
        <v>141</v>
      </c>
      <c r="C96" s="42">
        <f>C94 - (C94 * G14)</f>
        <v>17471.4899</v>
      </c>
    </row>
    <row r="97" spans="1:3" x14ac:dyDescent="0.25">
      <c r="A97" s="15" t="s">
        <v>143</v>
      </c>
      <c r="B97" s="16" t="s">
        <v>147</v>
      </c>
      <c r="C97" s="42">
        <f>(1 + G21)^(1 - 1)</f>
        <v>1</v>
      </c>
    </row>
    <row r="98" spans="1:3" x14ac:dyDescent="0.25">
      <c r="A98" s="15" t="s">
        <v>144</v>
      </c>
      <c r="B98" s="16" t="s">
        <v>148</v>
      </c>
      <c r="C98" s="42">
        <f>(1 + G21)^(1 - 2)</f>
        <v>0.90497737556561086</v>
      </c>
    </row>
    <row r="99" spans="1:3" x14ac:dyDescent="0.25">
      <c r="A99" s="15" t="s">
        <v>145</v>
      </c>
      <c r="B99" s="16" t="s">
        <v>149</v>
      </c>
      <c r="C99" s="42">
        <f>(1 + G21)^(1 - 3)</f>
        <v>0.81898405028562071</v>
      </c>
    </row>
    <row r="100" spans="1:3" x14ac:dyDescent="0.25">
      <c r="A100" s="15" t="s">
        <v>146</v>
      </c>
      <c r="B100" s="16" t="s">
        <v>150</v>
      </c>
      <c r="C100" s="42">
        <f>(1 + G21)^(1 - 4)</f>
        <v>0.74116203645757528</v>
      </c>
    </row>
    <row r="101" spans="1:3" x14ac:dyDescent="0.25">
      <c r="A101" s="15"/>
      <c r="B101" s="16"/>
      <c r="C101" s="32"/>
    </row>
    <row r="102" spans="1:3" x14ac:dyDescent="0.25">
      <c r="A102" s="15" t="s">
        <v>151</v>
      </c>
      <c r="B102" s="16"/>
      <c r="C102" s="42">
        <f>$C96 * C97</f>
        <v>17471.4899</v>
      </c>
    </row>
    <row r="103" spans="1:3" x14ac:dyDescent="0.25">
      <c r="A103" s="15" t="s">
        <v>152</v>
      </c>
      <c r="B103" s="16"/>
      <c r="C103" s="42">
        <f>C96 * C98</f>
        <v>15811.303076923077</v>
      </c>
    </row>
    <row r="104" spans="1:3" x14ac:dyDescent="0.25">
      <c r="A104" s="15" t="s">
        <v>153</v>
      </c>
      <c r="B104" s="16"/>
      <c r="C104" s="42">
        <f>C96 * C99</f>
        <v>14308.871562826314</v>
      </c>
    </row>
    <row r="105" spans="1:3" x14ac:dyDescent="0.25">
      <c r="A105" s="15" t="s">
        <v>154</v>
      </c>
      <c r="B105" s="16"/>
      <c r="C105" s="42">
        <f>C96 * C100</f>
        <v>12949.205034231958</v>
      </c>
    </row>
    <row r="106" spans="1:3" x14ac:dyDescent="0.25">
      <c r="A106" s="15"/>
      <c r="B106" s="16"/>
      <c r="C106" s="32"/>
    </row>
    <row r="107" spans="1:3" x14ac:dyDescent="0.25">
      <c r="A107" s="15" t="s">
        <v>155</v>
      </c>
      <c r="B107" s="16"/>
      <c r="C107" s="42">
        <f>C96 - C76</f>
        <v>-27544.774640800009</v>
      </c>
    </row>
    <row r="108" spans="1:3" x14ac:dyDescent="0.25">
      <c r="A108" s="15"/>
      <c r="B108" s="16"/>
      <c r="C108" s="26"/>
    </row>
    <row r="109" spans="1:3" x14ac:dyDescent="0.25">
      <c r="A109" s="15"/>
      <c r="B109" s="16" t="s">
        <v>156</v>
      </c>
      <c r="C109" s="42">
        <f>C107 + C103</f>
        <v>-11733.471563876932</v>
      </c>
    </row>
    <row r="110" spans="1:3" x14ac:dyDescent="0.25">
      <c r="A110" s="15"/>
      <c r="B110" s="16" t="s">
        <v>157</v>
      </c>
      <c r="C110" s="42">
        <f>C109 + C104</f>
        <v>2575.3999989493823</v>
      </c>
    </row>
    <row r="111" spans="1:3" x14ac:dyDescent="0.25">
      <c r="A111" s="15"/>
      <c r="B111" s="16" t="s">
        <v>158</v>
      </c>
      <c r="C111" s="42">
        <f>C110 + C105</f>
        <v>15524.60503318134</v>
      </c>
    </row>
    <row r="112" spans="1:3" x14ac:dyDescent="0.25">
      <c r="A112" s="15"/>
      <c r="B112" s="16"/>
      <c r="C112" s="26"/>
    </row>
    <row r="113" spans="1:3" x14ac:dyDescent="0.25">
      <c r="A113" s="15"/>
      <c r="B113" s="16"/>
      <c r="C113" s="26"/>
    </row>
    <row r="114" spans="1:3" x14ac:dyDescent="0.25">
      <c r="A114" s="15"/>
      <c r="B114" s="16"/>
      <c r="C114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2018-04-24T16:52:47Z</dcterms:modified>
</cp:coreProperties>
</file>