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AE136F26-DA70-4D8A-86ED-BA607B0D04DF}" xr6:coauthVersionLast="47" xr6:coauthVersionMax="47" xr10:uidLastSave="{00000000-0000-0000-0000-000000000000}"/>
  <bookViews>
    <workbookView xWindow="39830" yWindow="4370" windowWidth="28850" windowHeight="1699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I309" i="1" l="1"/>
  <c r="L309" i="1"/>
  <c r="H309" i="1" s="1"/>
  <c r="I201" i="1"/>
  <c r="L201" i="1"/>
  <c r="H201" i="1" s="1"/>
  <c r="J309" i="1" l="1"/>
  <c r="J201" i="1"/>
  <c r="I7" i="1"/>
  <c r="L7" i="1"/>
  <c r="H7" i="1" s="1"/>
  <c r="K24" i="1" l="1"/>
  <c r="AE4" i="1" l="1"/>
  <c r="AA22" i="1"/>
  <c r="L16" i="1"/>
  <c r="L121" i="4" l="1"/>
  <c r="H121" i="4" s="1"/>
  <c r="I121" i="4"/>
  <c r="H109" i="1"/>
  <c r="J121" i="4" l="1"/>
  <c r="J109" i="1"/>
  <c r="R22" i="1" l="1"/>
  <c r="Q22" i="1"/>
  <c r="P22" i="1"/>
  <c r="N22" i="1"/>
  <c r="O22" i="1" s="1"/>
  <c r="F120" i="4" l="1"/>
  <c r="I120" i="4"/>
  <c r="E120" i="4" s="1"/>
  <c r="G120" i="4" s="1"/>
  <c r="L370" i="1" l="1"/>
  <c r="H370" i="1" s="1"/>
  <c r="I370" i="1"/>
  <c r="J370" i="1" l="1"/>
  <c r="I430" i="1"/>
  <c r="L430" i="1"/>
  <c r="H430" i="1" s="1"/>
  <c r="J430" i="1" l="1"/>
  <c r="I377" i="1" l="1"/>
  <c r="L377" i="1"/>
  <c r="H377" i="1" s="1"/>
  <c r="J377" i="1" l="1"/>
  <c r="I92" i="1"/>
  <c r="L92" i="1"/>
  <c r="H92" i="1" s="1"/>
  <c r="J92" i="1" l="1"/>
  <c r="I229" i="1" l="1"/>
  <c r="L229" i="1"/>
  <c r="H229" i="1" s="1"/>
  <c r="J229" i="1" l="1"/>
  <c r="I258" i="1"/>
  <c r="L258" i="1"/>
  <c r="H258" i="1" s="1"/>
  <c r="J258" i="1" l="1"/>
  <c r="I162" i="1" l="1"/>
  <c r="L162" i="1"/>
  <c r="H162" i="1" s="1"/>
  <c r="J162" i="1" l="1"/>
  <c r="I252" i="1" l="1"/>
  <c r="L252" i="1"/>
  <c r="H252" i="1" s="1"/>
  <c r="J252" i="1" l="1"/>
  <c r="I251" i="1"/>
  <c r="L251" i="1"/>
  <c r="H251" i="1" s="1"/>
  <c r="J251" i="1" l="1"/>
  <c r="I425" i="1" l="1"/>
  <c r="L425" i="1"/>
  <c r="H425" i="1" s="1"/>
  <c r="AN1" i="6"/>
  <c r="J425" i="1" l="1"/>
  <c r="I369" i="1"/>
  <c r="L369" i="1"/>
  <c r="H369" i="1" s="1"/>
  <c r="J369" i="1" l="1"/>
  <c r="R16" i="1" l="1"/>
  <c r="Q16" i="1"/>
  <c r="P16" i="1"/>
  <c r="N16" i="1" l="1"/>
  <c r="O16" i="1" s="1"/>
  <c r="N19" i="9" l="1"/>
  <c r="N16" i="9" s="1"/>
  <c r="I426" i="1" l="1"/>
  <c r="L426" i="1"/>
  <c r="H426" i="1" s="1"/>
  <c r="I417" i="1"/>
  <c r="L417" i="1"/>
  <c r="H417" i="1" s="1"/>
  <c r="I401" i="1"/>
  <c r="L401" i="1"/>
  <c r="H401" i="1" s="1"/>
  <c r="J417" i="1" l="1"/>
  <c r="J426" i="1"/>
  <c r="J401" i="1"/>
  <c r="I232" i="1" l="1"/>
  <c r="L232" i="1"/>
  <c r="H232" i="1" s="1"/>
  <c r="J232" i="1" l="1"/>
  <c r="I165" i="1"/>
  <c r="L165" i="1"/>
  <c r="H165" i="1" s="1"/>
  <c r="I283" i="1"/>
  <c r="L283" i="1"/>
  <c r="H283" i="1" s="1"/>
  <c r="L544" i="1"/>
  <c r="H544" i="1" s="1"/>
  <c r="J165" i="1" l="1"/>
  <c r="J283" i="1"/>
  <c r="I98" i="1"/>
  <c r="L98" i="1"/>
  <c r="H98" i="1" s="1"/>
  <c r="J98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7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7" i="1" l="1"/>
  <c r="Q7" i="1"/>
  <c r="P7" i="1"/>
  <c r="P9" i="1" l="1"/>
  <c r="R6" i="1" l="1"/>
  <c r="Q6" i="1"/>
  <c r="P6" i="1"/>
  <c r="R5" i="1"/>
  <c r="Q5" i="1"/>
  <c r="P5" i="1"/>
  <c r="N5" i="1"/>
  <c r="N6" i="1" l="1"/>
  <c r="O6" i="1" s="1"/>
  <c r="O5" i="1" l="1"/>
  <c r="D6" i="1" l="1"/>
  <c r="D7" i="1" s="1"/>
  <c r="D8" i="1" s="1"/>
  <c r="I459" i="1"/>
  <c r="L459" i="1"/>
  <c r="H459" i="1" s="1"/>
  <c r="I256" i="1"/>
  <c r="L256" i="1"/>
  <c r="H256" i="1" s="1"/>
  <c r="I458" i="1"/>
  <c r="L458" i="1"/>
  <c r="H458" i="1" s="1"/>
  <c r="J459" i="1" l="1"/>
  <c r="J256" i="1"/>
  <c r="J458" i="1"/>
  <c r="K9" i="1"/>
  <c r="I253" i="1" l="1"/>
  <c r="L253" i="1"/>
  <c r="H253" i="1" s="1"/>
  <c r="J253" i="1" l="1"/>
  <c r="I212" i="1"/>
  <c r="L212" i="1"/>
  <c r="H212" i="1" s="1"/>
  <c r="I257" i="1"/>
  <c r="L257" i="1"/>
  <c r="H257" i="1" s="1"/>
  <c r="J212" i="1" l="1"/>
  <c r="J257" i="1"/>
  <c r="I362" i="1"/>
  <c r="L362" i="1"/>
  <c r="H362" i="1" s="1"/>
  <c r="J362" i="1" l="1"/>
  <c r="I84" i="1" l="1"/>
  <c r="L84" i="1"/>
  <c r="H84" i="1" s="1"/>
  <c r="I361" i="1"/>
  <c r="L361" i="1"/>
  <c r="H361" i="1" s="1"/>
  <c r="I457" i="1"/>
  <c r="L457" i="1"/>
  <c r="H457" i="1" s="1"/>
  <c r="I404" i="1"/>
  <c r="L404" i="1"/>
  <c r="H404" i="1" s="1"/>
  <c r="L402" i="1"/>
  <c r="H402" i="1" s="1"/>
  <c r="I402" i="1"/>
  <c r="I408" i="1"/>
  <c r="L408" i="1"/>
  <c r="H408" i="1" s="1"/>
  <c r="I453" i="1"/>
  <c r="L453" i="1"/>
  <c r="H453" i="1" s="1"/>
  <c r="I456" i="1"/>
  <c r="L456" i="1"/>
  <c r="H456" i="1" s="1"/>
  <c r="I403" i="1"/>
  <c r="L403" i="1"/>
  <c r="H403" i="1" s="1"/>
  <c r="J453" i="1" l="1"/>
  <c r="J361" i="1"/>
  <c r="J84" i="1"/>
  <c r="J457" i="1"/>
  <c r="J404" i="1"/>
  <c r="J402" i="1"/>
  <c r="J408" i="1"/>
  <c r="J456" i="1"/>
  <c r="J403" i="1"/>
  <c r="H19" i="1" l="1"/>
  <c r="I113" i="1" l="1"/>
  <c r="L113" i="1"/>
  <c r="H113" i="1" s="1"/>
  <c r="I462" i="1"/>
  <c r="L462" i="1"/>
  <c r="H462" i="1" s="1"/>
  <c r="J113" i="1" l="1"/>
  <c r="J462" i="1"/>
  <c r="I346" i="1"/>
  <c r="L346" i="1"/>
  <c r="H346" i="1" s="1"/>
  <c r="J346" i="1" l="1"/>
  <c r="N9" i="1" l="1"/>
  <c r="O9" i="1" s="1"/>
  <c r="I405" i="1"/>
  <c r="L405" i="1"/>
  <c r="H405" i="1" s="1"/>
  <c r="I455" i="1"/>
  <c r="L455" i="1"/>
  <c r="H455" i="1" s="1"/>
  <c r="I460" i="1"/>
  <c r="L460" i="1"/>
  <c r="H460" i="1" s="1"/>
  <c r="L431" i="1"/>
  <c r="J405" i="1" l="1"/>
  <c r="J455" i="1"/>
  <c r="J460" i="1"/>
  <c r="I118" i="1"/>
  <c r="L118" i="1"/>
  <c r="H118" i="1" s="1"/>
  <c r="J118" i="1" l="1"/>
  <c r="I90" i="1"/>
  <c r="L90" i="1"/>
  <c r="H90" i="1" s="1"/>
  <c r="J90" i="1" l="1"/>
  <c r="J6" i="12"/>
  <c r="I407" i="1" l="1"/>
  <c r="L407" i="1"/>
  <c r="H407" i="1" s="1"/>
  <c r="J407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8" i="1" l="1"/>
  <c r="L58" i="1"/>
  <c r="H58" i="1" s="1"/>
  <c r="J58" i="1" l="1"/>
  <c r="I81" i="1"/>
  <c r="L81" i="1"/>
  <c r="H81" i="1" s="1"/>
  <c r="J81" i="1" l="1"/>
  <c r="I91" i="1" l="1"/>
  <c r="L91" i="1"/>
  <c r="H91" i="1" s="1"/>
  <c r="I96" i="1"/>
  <c r="L96" i="1"/>
  <c r="H96" i="1" s="1"/>
  <c r="I79" i="1"/>
  <c r="L79" i="1"/>
  <c r="H79" i="1" s="1"/>
  <c r="O49" i="6"/>
  <c r="N49" i="6"/>
  <c r="M49" i="6"/>
  <c r="J91" i="1" l="1"/>
  <c r="J96" i="1"/>
  <c r="J79" i="1"/>
  <c r="I261" i="1"/>
  <c r="L261" i="1"/>
  <c r="H261" i="1" s="1"/>
  <c r="I431" i="1"/>
  <c r="H431" i="1"/>
  <c r="J431" i="1" l="1"/>
  <c r="J261" i="1"/>
  <c r="I104" i="1" l="1"/>
  <c r="L104" i="1"/>
  <c r="H104" i="1" s="1"/>
  <c r="J104" i="1" l="1"/>
  <c r="I260" i="1" l="1"/>
  <c r="L260" i="1"/>
  <c r="H260" i="1" s="1"/>
  <c r="J260" i="1" l="1"/>
  <c r="I103" i="1"/>
  <c r="L103" i="1"/>
  <c r="H103" i="1" s="1"/>
  <c r="J103" i="1" l="1"/>
  <c r="I101" i="1"/>
  <c r="L101" i="1"/>
  <c r="H101" i="1" s="1"/>
  <c r="J101" i="1" l="1"/>
  <c r="I114" i="1"/>
  <c r="L114" i="1"/>
  <c r="H114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8" i="1"/>
  <c r="L78" i="1"/>
  <c r="H78" i="1" s="1"/>
  <c r="J78" i="1" l="1"/>
  <c r="I228" i="1" l="1"/>
  <c r="L228" i="1"/>
  <c r="H228" i="1" s="1"/>
  <c r="J228" i="1" l="1"/>
  <c r="I230" i="1"/>
  <c r="L230" i="1"/>
  <c r="H230" i="1" s="1"/>
  <c r="I301" i="1"/>
  <c r="L301" i="1"/>
  <c r="H301" i="1" s="1"/>
  <c r="J230" i="1" l="1"/>
  <c r="J301" i="1"/>
  <c r="I542" i="1"/>
  <c r="L542" i="1"/>
  <c r="H542" i="1" s="1"/>
  <c r="J542" i="1" l="1"/>
  <c r="I461" i="1"/>
  <c r="L461" i="1"/>
  <c r="H461" i="1" s="1"/>
  <c r="J461" i="1" l="1"/>
  <c r="I454" i="1"/>
  <c r="L454" i="1"/>
  <c r="H454" i="1" s="1"/>
  <c r="I302" i="1"/>
  <c r="L302" i="1"/>
  <c r="H302" i="1" s="1"/>
  <c r="I115" i="1"/>
  <c r="L115" i="1"/>
  <c r="H115" i="1" s="1"/>
  <c r="J115" i="1" l="1"/>
  <c r="J302" i="1"/>
  <c r="J454" i="1"/>
  <c r="I75" i="1"/>
  <c r="L75" i="1"/>
  <c r="H75" i="1" s="1"/>
  <c r="J75" i="1" l="1"/>
  <c r="I82" i="1"/>
  <c r="L82" i="1"/>
  <c r="H82" i="1" s="1"/>
  <c r="I70" i="1"/>
  <c r="L70" i="1"/>
  <c r="I76" i="1"/>
  <c r="L76" i="1"/>
  <c r="H76" i="1" s="1"/>
  <c r="J82" i="1" l="1"/>
  <c r="J76" i="1"/>
  <c r="H70" i="1" l="1"/>
  <c r="J70" i="1" s="1"/>
  <c r="I125" i="1" l="1"/>
  <c r="H125" i="1"/>
  <c r="J125" i="1" l="1"/>
  <c r="I310" i="1" l="1"/>
  <c r="L310" i="1"/>
  <c r="H310" i="1" s="1"/>
  <c r="J310" i="1" l="1"/>
  <c r="I63" i="1"/>
  <c r="L63" i="1"/>
  <c r="H63" i="1" s="1"/>
  <c r="K122" i="1"/>
  <c r="M122" i="1"/>
  <c r="J63" i="1" l="1"/>
  <c r="I124" i="1"/>
  <c r="L124" i="1"/>
  <c r="H124" i="1" s="1"/>
  <c r="J114" i="1"/>
  <c r="J124" i="1" l="1"/>
  <c r="I126" i="1"/>
  <c r="L126" i="1"/>
  <c r="H126" i="1" s="1"/>
  <c r="I55" i="1"/>
  <c r="L55" i="1"/>
  <c r="H55" i="1" s="1"/>
  <c r="J126" i="1" l="1"/>
  <c r="J55" i="1"/>
  <c r="I231" i="1"/>
  <c r="L231" i="1"/>
  <c r="H231" i="1" s="1"/>
  <c r="J231" i="1" l="1"/>
  <c r="I307" i="1" l="1"/>
  <c r="L307" i="1"/>
  <c r="H307" i="1" s="1"/>
  <c r="I93" i="1"/>
  <c r="J307" i="1" l="1"/>
  <c r="L93" i="1"/>
  <c r="H93" i="1" s="1"/>
  <c r="J93" i="1" s="1"/>
  <c r="I304" i="1" l="1"/>
  <c r="L304" i="1"/>
  <c r="H304" i="1" s="1"/>
  <c r="I86" i="1"/>
  <c r="L86" i="1"/>
  <c r="H86" i="1" s="1"/>
  <c r="J304" i="1" l="1"/>
  <c r="J86" i="1"/>
  <c r="I227" i="1"/>
  <c r="L227" i="1"/>
  <c r="H227" i="1" s="1"/>
  <c r="J227" i="1" l="1"/>
  <c r="I306" i="1" l="1"/>
  <c r="L306" i="1"/>
  <c r="H306" i="1" s="1"/>
  <c r="J306" i="1" l="1"/>
  <c r="I105" i="1"/>
  <c r="L105" i="1"/>
  <c r="H105" i="1" s="1"/>
  <c r="J105" i="1" l="1"/>
  <c r="L127" i="1" l="1"/>
  <c r="H127" i="1" s="1"/>
  <c r="I127" i="1"/>
  <c r="J127" i="1" l="1"/>
  <c r="L110" i="1"/>
  <c r="H110" i="1" s="1"/>
  <c r="I110" i="1"/>
  <c r="I499" i="1"/>
  <c r="L499" i="1"/>
  <c r="H499" i="1" s="1"/>
  <c r="J110" i="1" l="1"/>
  <c r="J499" i="1"/>
  <c r="R9" i="1"/>
  <c r="Q9" i="1"/>
  <c r="I80" i="1" l="1"/>
  <c r="L80" i="1"/>
  <c r="H80" i="1" s="1"/>
  <c r="J80" i="1" l="1"/>
  <c r="I519" i="1"/>
  <c r="L519" i="1"/>
  <c r="H519" i="1" s="1"/>
  <c r="I305" i="1"/>
  <c r="L305" i="1"/>
  <c r="H305" i="1" s="1"/>
  <c r="J519" i="1" l="1"/>
  <c r="J305" i="1"/>
  <c r="I102" i="1"/>
  <c r="L102" i="1"/>
  <c r="H102" i="1" s="1"/>
  <c r="J102" i="1" l="1"/>
  <c r="I62" i="1" l="1"/>
  <c r="L62" i="1"/>
  <c r="H62" i="1" s="1"/>
  <c r="I54" i="1"/>
  <c r="L54" i="1"/>
  <c r="H54" i="1" s="1"/>
  <c r="J62" i="1" l="1"/>
  <c r="J54" i="1"/>
  <c r="I121" i="1"/>
  <c r="L121" i="1" l="1"/>
  <c r="H121" i="1" s="1"/>
  <c r="J121" i="1" s="1"/>
  <c r="I111" i="1"/>
  <c r="L111" i="1"/>
  <c r="H111" i="1" s="1"/>
  <c r="I83" i="1"/>
  <c r="L83" i="1"/>
  <c r="H83" i="1" s="1"/>
  <c r="I36" i="1"/>
  <c r="L36" i="1"/>
  <c r="H36" i="1" s="1"/>
  <c r="I56" i="1"/>
  <c r="L56" i="1"/>
  <c r="H56" i="1" s="1"/>
  <c r="I57" i="1"/>
  <c r="L57" i="1"/>
  <c r="H57" i="1" s="1"/>
  <c r="I106" i="1"/>
  <c r="L106" i="1"/>
  <c r="H106" i="1" s="1"/>
  <c r="I72" i="1"/>
  <c r="L72" i="1"/>
  <c r="H72" i="1" s="1"/>
  <c r="J111" i="1" l="1"/>
  <c r="J83" i="1"/>
  <c r="J36" i="1"/>
  <c r="J72" i="1"/>
  <c r="J56" i="1"/>
  <c r="J57" i="1"/>
  <c r="J106" i="1"/>
  <c r="L95" i="1" l="1"/>
  <c r="H95" i="1" s="1"/>
  <c r="I52" i="1" l="1"/>
  <c r="L66" i="1" l="1"/>
  <c r="H66" i="1" s="1"/>
  <c r="I66" i="1"/>
  <c r="I47" i="1" l="1"/>
  <c r="I35" i="1" l="1"/>
  <c r="L35" i="1"/>
  <c r="H35" i="1" s="1"/>
  <c r="I48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5" i="1" l="1"/>
  <c r="L435" i="1"/>
  <c r="H435" i="1" s="1"/>
  <c r="J435" i="1" l="1"/>
  <c r="I18" i="1"/>
  <c r="I6" i="1" l="1"/>
  <c r="I17" i="1" l="1"/>
  <c r="K12" i="1" l="1"/>
  <c r="I16" i="1" l="1"/>
  <c r="I20" i="1" l="1"/>
  <c r="I19" i="1"/>
  <c r="K20" i="1"/>
  <c r="M20" i="1"/>
  <c r="M9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6" i="1" l="1"/>
  <c r="H406" i="1" s="1"/>
  <c r="I406" i="1"/>
  <c r="J406" i="1" l="1"/>
  <c r="L123" i="1"/>
  <c r="H123" i="1" s="1"/>
  <c r="I123" i="1"/>
  <c r="J123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99" i="1" l="1"/>
  <c r="L99" i="1"/>
  <c r="H99" i="1" s="1"/>
  <c r="I26" i="1"/>
  <c r="J99" i="1" l="1"/>
  <c r="I164" i="1"/>
  <c r="L164" i="1"/>
  <c r="H164" i="1" s="1"/>
  <c r="I163" i="1"/>
  <c r="L163" i="1"/>
  <c r="H163" i="1" s="1"/>
  <c r="J164" i="1" l="1"/>
  <c r="J163" i="1"/>
  <c r="L116" i="1"/>
  <c r="H116" i="1" s="1"/>
  <c r="I116" i="1"/>
  <c r="F12" i="5" a="1"/>
  <c r="F12" i="5" s="1"/>
  <c r="I303" i="1"/>
  <c r="L303" i="1"/>
  <c r="H303" i="1" s="1"/>
  <c r="I308" i="1"/>
  <c r="L308" i="1"/>
  <c r="G308" i="1"/>
  <c r="J116" i="1" l="1"/>
  <c r="H308" i="1"/>
  <c r="J308" i="1" s="1"/>
  <c r="J303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6" i="1"/>
  <c r="H166" i="1" s="1"/>
  <c r="I166" i="1"/>
  <c r="J166" i="1" l="1"/>
  <c r="I108" i="1"/>
  <c r="L108" i="1"/>
  <c r="H108" i="1" s="1"/>
  <c r="J108" i="1" l="1"/>
  <c r="L94" i="1"/>
  <c r="H94" i="1" s="1"/>
  <c r="I65" i="1" l="1"/>
  <c r="L65" i="1"/>
  <c r="H65" i="1" s="1"/>
  <c r="J65" i="1" l="1"/>
  <c r="I29" i="1"/>
  <c r="H29" i="1"/>
  <c r="J29" i="1" l="1"/>
  <c r="L60" i="1"/>
  <c r="H60" i="1" s="1"/>
  <c r="J60" i="1" s="1"/>
  <c r="L48" i="1"/>
  <c r="H48" i="1" s="1"/>
  <c r="I67" i="1"/>
  <c r="L67" i="1"/>
  <c r="H67" i="1" s="1"/>
  <c r="J48" i="1" l="1"/>
  <c r="J67" i="1"/>
  <c r="M14" i="1"/>
  <c r="I51" i="1" l="1"/>
  <c r="I50" i="1"/>
  <c r="L51" i="1"/>
  <c r="H51" i="1" s="1"/>
  <c r="L50" i="1"/>
  <c r="H50" i="1" s="1"/>
  <c r="I117" i="1"/>
  <c r="L117" i="1"/>
  <c r="H117" i="1" s="1"/>
  <c r="I68" i="1"/>
  <c r="L68" i="1"/>
  <c r="H68" i="1" s="1"/>
  <c r="I107" i="1"/>
  <c r="L107" i="1"/>
  <c r="H107" i="1" s="1"/>
  <c r="J117" i="1" l="1"/>
  <c r="J51" i="1"/>
  <c r="J50" i="1"/>
  <c r="J68" i="1"/>
  <c r="J107" i="1"/>
  <c r="I77" i="1"/>
  <c r="L77" i="1"/>
  <c r="H77" i="1" s="1"/>
  <c r="L47" i="1"/>
  <c r="H47" i="1" s="1"/>
  <c r="J77" i="1" l="1"/>
  <c r="J47" i="1"/>
  <c r="L73" i="1"/>
  <c r="H73" i="1" s="1"/>
  <c r="I73" i="1"/>
  <c r="J73" i="1" l="1"/>
  <c r="L17" i="1" l="1"/>
  <c r="I120" i="1" l="1"/>
  <c r="L120" i="1"/>
  <c r="H120" i="1" s="1"/>
  <c r="J120" i="1" l="1"/>
  <c r="I545" i="1"/>
  <c r="L545" i="1"/>
  <c r="H545" i="1" s="1"/>
  <c r="J545" i="1" l="1"/>
  <c r="L49" i="1"/>
  <c r="I49" i="1"/>
  <c r="N15" i="1" l="1"/>
  <c r="O15" i="1" s="1"/>
  <c r="I44" i="1"/>
  <c r="L44" i="1"/>
  <c r="H44" i="1" s="1"/>
  <c r="J44" i="1" l="1"/>
  <c r="L6" i="1"/>
  <c r="H6" i="1" s="1"/>
  <c r="J6" i="1" l="1"/>
  <c r="V6" i="1" l="1"/>
  <c r="T6" i="1"/>
  <c r="S6" i="1"/>
  <c r="U6" i="1"/>
  <c r="W6" i="1"/>
  <c r="L42" i="1"/>
  <c r="H42" i="1" s="1"/>
  <c r="J42" i="1" s="1"/>
  <c r="L52" i="1"/>
  <c r="H52" i="1" s="1"/>
  <c r="I95" i="1"/>
  <c r="L32" i="1"/>
  <c r="H32" i="1" s="1" a="1"/>
  <c r="H32" i="1" s="1"/>
  <c r="J32" i="1" s="1"/>
  <c r="H206" i="1"/>
  <c r="J52" i="1" l="1"/>
  <c r="J95" i="1"/>
  <c r="I87" i="1"/>
  <c r="L87" i="1"/>
  <c r="H87" i="1" s="1"/>
  <c r="J87" i="1" l="1"/>
  <c r="L53" i="1"/>
  <c r="H53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D9" i="1"/>
  <c r="D10" i="1" s="1"/>
  <c r="D11" i="1" s="1"/>
  <c r="H49" i="1"/>
  <c r="J49" i="1" s="1"/>
  <c r="J66" i="1" l="1"/>
  <c r="L37" i="1"/>
  <c r="H37" i="1" s="1"/>
  <c r="I37" i="1"/>
  <c r="H34" i="1"/>
  <c r="J34" i="1" s="1"/>
  <c r="I12" i="1"/>
  <c r="L12" i="1"/>
  <c r="H12" i="1" s="1"/>
  <c r="I11" i="1"/>
  <c r="L11" i="1"/>
  <c r="H11" i="1" s="1"/>
  <c r="J37" i="1" l="1"/>
  <c r="J12" i="1"/>
  <c r="J11" i="1"/>
  <c r="I46" i="1"/>
  <c r="L46" i="1"/>
  <c r="H46" i="1" s="1"/>
  <c r="W11" i="1" l="1"/>
  <c r="V11" i="1"/>
  <c r="U11" i="1"/>
  <c r="T11" i="1"/>
  <c r="S11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3" i="1" l="1"/>
  <c r="L543" i="1"/>
  <c r="H543" i="1" s="1"/>
  <c r="L119" i="1"/>
  <c r="H119" i="1" s="1"/>
  <c r="I119" i="1"/>
  <c r="I161" i="1"/>
  <c r="L161" i="1"/>
  <c r="H161" i="1" s="1"/>
  <c r="J543" i="1" l="1"/>
  <c r="J161" i="1"/>
  <c r="J119" i="1"/>
  <c r="L27" i="1"/>
  <c r="H27" i="1" s="1"/>
  <c r="J27" i="1" s="1"/>
  <c r="L26" i="1"/>
  <c r="H26" i="1" s="1"/>
  <c r="J26" i="1" s="1"/>
  <c r="L23" i="1"/>
  <c r="L24" i="1" s="1"/>
  <c r="I255" i="1" l="1"/>
  <c r="L255" i="1"/>
  <c r="H255" i="1" s="1"/>
  <c r="I97" i="1"/>
  <c r="L97" i="1"/>
  <c r="H97" i="1" s="1"/>
  <c r="J97" i="1" l="1"/>
  <c r="J255" i="1"/>
  <c r="L64" i="1"/>
  <c r="H64" i="1" s="1"/>
  <c r="J64" i="1" s="1"/>
  <c r="L88" i="1" l="1"/>
  <c r="H88" i="1" s="1"/>
  <c r="I88" i="1"/>
  <c r="L22" i="1"/>
  <c r="J88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4" i="1"/>
  <c r="L494" i="1"/>
  <c r="H494" i="1" s="1"/>
  <c r="I89" i="1"/>
  <c r="L89" i="1"/>
  <c r="H89" i="1" s="1"/>
  <c r="J89" i="1" l="1"/>
  <c r="J494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9" i="1"/>
  <c r="I8" i="1"/>
  <c r="L9" i="1"/>
  <c r="H9" i="1" s="1"/>
  <c r="L8" i="1"/>
  <c r="H8" i="1" s="1"/>
  <c r="J9" i="1" l="1"/>
  <c r="I5" i="1" l="1"/>
  <c r="L5" i="1"/>
  <c r="H5" i="1" s="1"/>
  <c r="I10" i="1" l="1"/>
  <c r="L10" i="1" l="1"/>
  <c r="H10" i="1" s="1"/>
  <c r="I74" i="1" l="1"/>
  <c r="L74" i="1"/>
  <c r="H74" i="1" s="1"/>
  <c r="J74" i="1" l="1"/>
  <c r="I213" i="1"/>
  <c r="H213" i="1"/>
  <c r="J213" i="1" l="1"/>
  <c r="J59" i="1" l="1"/>
  <c r="I544" i="1"/>
  <c r="H22" i="1"/>
  <c r="I22" i="1"/>
  <c r="J544" i="1" l="1"/>
  <c r="J22" i="1"/>
  <c r="I259" i="1"/>
  <c r="H259" i="1"/>
  <c r="W22" i="1" l="1"/>
  <c r="V22" i="1"/>
  <c r="U22" i="1"/>
  <c r="S22" i="1"/>
  <c r="T22" i="1"/>
  <c r="J41" i="1"/>
  <c r="J259" i="1"/>
  <c r="I94" i="1"/>
  <c r="J94" i="1" l="1"/>
  <c r="I53" i="1" l="1"/>
  <c r="J53" i="1" l="1"/>
  <c r="I496" i="1"/>
  <c r="H496" i="1"/>
  <c r="I495" i="1"/>
  <c r="H495" i="1"/>
  <c r="I550" i="1"/>
  <c r="H550" i="1"/>
  <c r="I493" i="1"/>
  <c r="H493" i="1"/>
  <c r="J8" i="1"/>
  <c r="J7" i="1"/>
  <c r="W7" i="1" l="1"/>
  <c r="U7" i="1"/>
  <c r="X7" i="1"/>
  <c r="T7" i="1"/>
  <c r="S7" i="1"/>
  <c r="V7" i="1"/>
  <c r="W8" i="1"/>
  <c r="U8" i="1"/>
  <c r="S8" i="1"/>
  <c r="T8" i="1"/>
  <c r="V8" i="1"/>
  <c r="H2" i="1"/>
  <c r="J497" i="1"/>
  <c r="J24" i="1"/>
  <c r="J13" i="1"/>
  <c r="J496" i="1"/>
  <c r="J498" i="1"/>
  <c r="J19" i="1"/>
  <c r="J23" i="1"/>
  <c r="J550" i="1"/>
  <c r="J16" i="1"/>
  <c r="J254" i="1"/>
  <c r="J493" i="1"/>
  <c r="J10" i="1"/>
  <c r="J21" i="1"/>
  <c r="J495" i="1"/>
  <c r="S21" i="1" l="1"/>
  <c r="T21" i="1"/>
  <c r="U21" i="1"/>
  <c r="W21" i="1"/>
  <c r="V21" i="1"/>
  <c r="S24" i="1"/>
  <c r="V24" i="1"/>
  <c r="W24" i="1"/>
  <c r="U24" i="1"/>
  <c r="T24" i="1"/>
  <c r="X10" i="1"/>
  <c r="W10" i="1"/>
  <c r="U10" i="1"/>
  <c r="V10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12" i="1" l="1"/>
  <c r="D13" i="1" l="1"/>
  <c r="D14" i="1" s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7" i="1" s="1"/>
  <c r="D48" i="1" s="1"/>
  <c r="D49" i="1" s="1"/>
  <c r="D50" i="1" s="1"/>
  <c r="D51" i="1" s="1"/>
  <c r="D52" i="1" s="1"/>
  <c r="A34" i="6"/>
  <c r="A35" i="6" s="1"/>
  <c r="A23" i="6" s="1"/>
  <c r="A17" i="6" s="1"/>
  <c r="A24" i="6" s="1"/>
  <c r="A18" i="6"/>
  <c r="D53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7" i="1" l="1"/>
  <c r="O7" i="1" s="1"/>
  <c r="O2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l="1"/>
  <c r="D66" i="1" s="1"/>
  <c r="D68" i="1" s="1"/>
  <c r="D69" i="1" s="1"/>
  <c r="D70" i="1" l="1"/>
  <c r="D71" i="1" s="1"/>
  <c r="D72" i="1" s="1"/>
  <c r="D73" i="1" s="1"/>
  <c r="D74" i="1" s="1"/>
  <c r="D75" i="1" s="1"/>
  <c r="D76" i="1" s="1"/>
  <c r="D77" i="1" s="1"/>
  <c r="D78" i="1" s="1"/>
  <c r="D67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l="1"/>
  <c r="D199" i="1" s="1"/>
  <c r="D200" i="1" s="1"/>
  <c r="D201" i="1" s="1"/>
  <c r="D202" i="1" s="1"/>
  <c r="D203" i="1" s="1"/>
  <c r="D204" i="1" s="1"/>
  <c r="D205" i="1" s="1"/>
  <c r="D206" i="1" s="1"/>
  <c r="D232" i="1" s="1"/>
  <c r="D207" i="1" s="1"/>
  <c r="D208" i="1" s="1"/>
  <c r="D209" i="1" s="1"/>
  <c r="D210" i="1" s="1"/>
  <c r="D211" i="1" s="1"/>
  <c r="D212" i="1" s="1"/>
  <c r="D214" i="1" s="1"/>
  <c r="D215" i="1" l="1"/>
  <c r="D216" i="1" l="1"/>
  <c r="D217" i="1" l="1"/>
  <c r="D218" i="1" l="1"/>
  <c r="D219" i="1" l="1"/>
  <c r="D220" i="1" l="1"/>
  <c r="D221" i="1" l="1"/>
  <c r="D222" i="1" l="1"/>
  <c r="D223" i="1" l="1"/>
  <c r="D224" i="1" l="1"/>
  <c r="D544" i="1" s="1"/>
  <c r="D545" i="1" s="1"/>
  <c r="D546" i="1" s="1"/>
  <c r="D121" i="4" l="1"/>
  <c r="D547" i="1" s="1"/>
  <c r="D548" i="1" s="1"/>
  <c r="D549" i="1" s="1"/>
  <c r="D225" i="1" s="1"/>
  <c r="D226" i="1" s="1"/>
  <c r="D227" i="1" s="1"/>
  <c r="D542" i="1" s="1"/>
  <c r="D213" i="1" s="1"/>
  <c r="D228" i="1" s="1"/>
  <c r="D543" i="1" s="1"/>
  <c r="D229" i="1" s="1"/>
  <c r="D230" i="1" s="1"/>
  <c r="D519" i="1" s="1"/>
  <c r="D231" i="1" s="1"/>
  <c r="D435" i="1" s="1"/>
  <c r="D233" i="1" s="1"/>
  <c r="D520" i="1" s="1"/>
  <c r="D234" i="1" s="1"/>
  <c r="D235" i="1" s="1"/>
  <c r="D492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l="1"/>
  <c r="D247" i="1" s="1"/>
  <c r="D248" i="1" s="1"/>
  <c r="D249" i="1" s="1"/>
  <c r="D250" i="1" s="1"/>
  <c r="D251" i="1" s="1"/>
  <c r="D252" i="1" s="1"/>
  <c r="D253" i="1" s="1"/>
  <c r="D254" i="1" s="1"/>
  <c r="D255" i="1" s="1"/>
  <c r="D256" i="1" l="1"/>
  <c r="D257" i="1" s="1"/>
  <c r="D493" i="1" s="1"/>
  <c r="D258" i="1" s="1"/>
  <c r="D259" i="1" s="1"/>
  <c r="D550" i="1" s="1"/>
  <c r="D260" i="1" s="1"/>
  <c r="D494" i="1" s="1"/>
  <c r="D495" i="1" s="1"/>
  <c r="D496" i="1" s="1"/>
  <c r="D497" i="1" s="1"/>
  <c r="D498" i="1" s="1"/>
  <c r="D261" i="1" s="1"/>
  <c r="D499" i="1" s="1"/>
  <c r="D500" i="1" s="1"/>
  <c r="D501" i="1" s="1"/>
  <c r="D502" i="1" s="1"/>
  <c r="D503" i="1" s="1"/>
  <c r="D262" i="1" s="1"/>
  <c r="D504" i="1" s="1"/>
  <c r="D505" i="1" s="1"/>
  <c r="D506" i="1" s="1"/>
  <c r="D263" i="1" s="1"/>
  <c r="D264" i="1" s="1"/>
  <c r="D507" i="1" s="1"/>
  <c r="D265" i="1" s="1"/>
  <c r="D508" i="1" s="1"/>
  <c r="D509" i="1" s="1"/>
  <c r="D266" i="1" s="1"/>
  <c r="D267" i="1" s="1"/>
  <c r="D510" i="1" s="1"/>
  <c r="D268" i="1" s="1"/>
  <c r="D269" i="1" s="1"/>
  <c r="D270" i="1" s="1"/>
  <c r="D271" i="1" s="1"/>
  <c r="D272" i="1" s="1"/>
  <c r="D511" i="1" s="1"/>
  <c r="D512" i="1" s="1"/>
  <c r="D513" i="1" s="1"/>
  <c r="D273" i="1" s="1"/>
  <c r="D274" i="1" s="1"/>
  <c r="D275" i="1" s="1"/>
  <c r="D514" i="1" s="1"/>
  <c r="D515" i="1" s="1"/>
  <c r="D516" i="1" s="1"/>
  <c r="D517" i="1" s="1"/>
  <c r="D518" i="1" s="1"/>
  <c r="D276" i="1" s="1"/>
  <c r="D277" i="1" s="1"/>
  <c r="D278" i="1" s="1"/>
  <c r="D530" i="1" s="1"/>
  <c r="D531" i="1" s="1"/>
  <c r="D532" i="1" s="1"/>
  <c r="D533" i="1" s="1"/>
  <c r="D534" i="1" s="1"/>
  <c r="D535" i="1" s="1"/>
  <c r="D279" i="1" s="1"/>
  <c r="D280" i="1" s="1"/>
  <c r="D281" i="1" s="1"/>
  <c r="D536" i="1" s="1"/>
  <c r="D537" i="1" s="1"/>
  <c r="D282" i="1" s="1"/>
  <c r="D527" i="1" s="1"/>
  <c r="D528" i="1" s="1"/>
  <c r="D529" i="1" s="1"/>
  <c r="D283" i="1" s="1"/>
  <c r="D284" i="1" s="1"/>
  <c r="D285" i="1" s="1"/>
  <c r="D286" i="1" s="1"/>
  <c r="D287" i="1" s="1"/>
  <c r="D538" i="1" s="1"/>
  <c r="D539" i="1" s="1"/>
  <c r="D288" i="1" s="1"/>
  <c r="D289" i="1" s="1"/>
  <c r="D290" i="1" s="1"/>
  <c r="D291" i="1" s="1"/>
  <c r="D540" i="1" s="1"/>
  <c r="D541" i="1" s="1"/>
  <c r="D292" i="1" s="1"/>
  <c r="D2" i="1"/>
  <c r="D293" i="1" l="1"/>
  <c r="D294" i="1" l="1"/>
  <c r="D295" i="1" s="1"/>
  <c r="D309" i="1" s="1"/>
  <c r="D296" i="1" s="1"/>
  <c r="D297" i="1" s="1"/>
  <c r="D298" i="1" s="1"/>
  <c r="D299" i="1" l="1"/>
  <c r="D524" i="1" s="1"/>
  <c r="D525" i="1" s="1"/>
  <c r="D300" i="1" s="1"/>
  <c r="D526" i="1" s="1"/>
  <c r="D301" i="1" s="1"/>
  <c r="D302" i="1" s="1"/>
  <c r="D303" i="1" s="1"/>
  <c r="D304" i="1" s="1"/>
  <c r="D305" i="1" s="1"/>
  <c r="D306" i="1" s="1"/>
  <c r="D307" i="1" s="1"/>
  <c r="D308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521" i="1" s="1"/>
  <c r="D522" i="1" s="1"/>
  <c r="D523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l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491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482" i="1" s="1"/>
  <c r="D483" i="1" s="1"/>
  <c r="D484" i="1" s="1"/>
  <c r="D485" i="1" s="1"/>
  <c r="D486" i="1" s="1"/>
  <c r="D487" i="1" s="1"/>
  <c r="D488" i="1" s="1"/>
  <c r="D489" i="1" s="1"/>
  <c r="D490" i="1" s="1"/>
  <c r="D380" i="1" s="1"/>
  <c r="D381" i="1" s="1"/>
  <c r="D382" i="1" s="1"/>
  <c r="D481" i="1" s="1"/>
  <c r="D383" i="1" s="1"/>
  <c r="D476" i="1" s="1"/>
  <c r="D477" i="1" s="1"/>
  <c r="D478" i="1" s="1"/>
  <c r="D479" i="1" s="1"/>
  <c r="D480" i="1" s="1"/>
  <c r="D384" i="1" s="1"/>
  <c r="D385" i="1" s="1"/>
  <c r="D386" i="1" s="1"/>
  <c r="D387" i="1" s="1"/>
  <c r="D388" i="1" s="1"/>
  <c r="D470" i="1" s="1"/>
  <c r="D471" i="1" s="1"/>
  <c r="D472" i="1" s="1"/>
  <c r="D473" i="1" s="1"/>
  <c r="D474" i="1" s="1"/>
  <c r="D475" i="1" s="1"/>
  <c r="D389" i="1" s="1"/>
  <c r="D390" i="1" s="1"/>
  <c r="D469" i="1" s="1"/>
  <c r="D391" i="1" s="1"/>
  <c r="D392" i="1" s="1"/>
  <c r="D468" i="1" s="1"/>
  <c r="D393" i="1" s="1"/>
  <c r="D465" i="1" s="1"/>
  <c r="D466" i="1" s="1"/>
  <c r="D467" i="1" s="1"/>
  <c r="D394" i="1" s="1"/>
  <c r="D395" i="1" s="1"/>
  <c r="D396" i="1" s="1"/>
  <c r="D397" i="1" s="1"/>
  <c r="D398" i="1" s="1"/>
  <c r="D399" i="1" s="1"/>
  <c r="D400" i="1" s="1"/>
  <c r="D463" i="1" s="1"/>
  <c r="D464" i="1" s="1"/>
  <c r="D401" i="1" s="1"/>
  <c r="D460" i="1" s="1"/>
  <c r="D461" i="1" s="1"/>
  <c r="D462" i="1" s="1"/>
  <c r="D402" i="1" s="1"/>
  <c r="D403" i="1" s="1"/>
  <c r="D404" i="1" s="1"/>
  <c r="D459" i="1" s="1"/>
  <c r="D405" i="1" s="1"/>
  <c r="D406" i="1" s="1"/>
  <c r="D454" i="1" s="1"/>
  <c r="D455" i="1" s="1"/>
  <c r="D456" i="1" s="1"/>
  <c r="D457" i="1" s="1"/>
  <c r="D458" i="1" s="1"/>
  <c r="D407" i="1" s="1"/>
  <c r="D453" i="1" s="1"/>
  <c r="D408" i="1" s="1"/>
  <c r="D450" i="1" s="1"/>
  <c r="D451" i="1" s="1"/>
  <c r="D452" i="1" s="1"/>
  <c r="D409" i="1" s="1"/>
  <c r="D448" i="1" s="1"/>
  <c r="D449" i="1" s="1"/>
  <c r="D410" i="1" s="1"/>
  <c r="D442" i="1" s="1"/>
  <c r="D443" i="1" s="1"/>
  <c r="D444" i="1" s="1"/>
  <c r="D445" i="1" s="1"/>
  <c r="D446" i="1" s="1"/>
  <c r="D447" i="1" s="1"/>
  <c r="D411" i="1" s="1"/>
  <c r="D412" i="1" s="1"/>
  <c r="D413" i="1" s="1"/>
  <c r="D414" i="1" s="1"/>
  <c r="D415" i="1" s="1"/>
  <c r="D416" i="1" s="1"/>
  <c r="D417" i="1" s="1"/>
  <c r="D441" i="1" s="1"/>
  <c r="D418" i="1" s="1"/>
  <c r="D419" i="1" s="1"/>
  <c r="D420" i="1" s="1"/>
  <c r="D421" i="1" s="1"/>
  <c r="D436" i="1" s="1"/>
  <c r="D437" i="1" s="1"/>
  <c r="D438" i="1" s="1"/>
  <c r="D439" i="1" s="1"/>
  <c r="D440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6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<sst xmlns="http://schemas.openxmlformats.org/spreadsheetml/2006/main" count="3451" uniqueCount="1977">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</sst>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theme" Target="theme/theme1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sharedStrings" Target="sharedStrings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heetMetadata" Target="metadata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microsoft.com/office/2017/10/relationships/person" Target="persons/person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calcChain" Target="calcChain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INMB.xlsx" TargetMode="External"/><Relationship Id="rId1" Type="http://schemas.openxmlformats.org/officeDocument/2006/relationships/externalLinkPath" Target="INMB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8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88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8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687.76126161582386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98.277032000000005</v>
          </cell>
        </row>
        <row r="5">
          <cell r="L5">
            <v>647</v>
          </cell>
        </row>
        <row r="6">
          <cell r="L6">
            <v>1138.289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AD"/>
      <sheetName val="TNF"/>
      <sheetName val="Glossary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186.10355799999999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6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printerSettings" Target="../printerSettings/printerSettings1.bin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../Downloads/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openxmlformats.org/officeDocument/2006/relationships/vmlDrawing" Target="../drawings/vmlDrawing1.vm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18" Type="http://schemas.openxmlformats.org/officeDocument/2006/relationships/comments" Target="../comments1.xm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219" Type="http://schemas.microsoft.com/office/2017/10/relationships/threadedComment" Target="../threadedComments/threadedComment1.xml"/><Relationship Id="rId3" Type="http://schemas.openxmlformats.org/officeDocument/2006/relationships/hyperlink" Target="PFE.xlsx" TargetMode="External"/><Relationship Id="rId214" Type="http://schemas.openxmlformats.org/officeDocument/2006/relationships/hyperlink" Target="RYTM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hyperlink" Target="NKT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../Downloads/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0"/>
  <sheetViews>
    <sheetView tabSelected="1" zoomScale="145" zoomScaleNormal="145" workbookViewId="0">
      <pane xSplit="5" ySplit="3" topLeftCell="F227" activePane="bottomRight" state="frozen"/>
      <selection pane="topRight" activeCell="C1" sqref="C1"/>
      <selection pane="bottomLeft" activeCell="A4" sqref="A4"/>
      <selection pane="bottomRight" activeCell="G242" sqref="G242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20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24" width="7.453125" style="4" customWidth="1"/>
    <col min="25" max="30" width="7.453125" style="62" customWidth="1"/>
    <col min="31" max="16384" width="9.1796875" style="1"/>
  </cols>
  <sheetData>
    <row r="1" spans="1:32" x14ac:dyDescent="0.25">
      <c r="Y1" s="4"/>
      <c r="Z1" s="4"/>
      <c r="AA1" s="4"/>
      <c r="AB1" s="4"/>
      <c r="AC1" s="4"/>
      <c r="AD1" s="4"/>
    </row>
    <row r="2" spans="1:32" x14ac:dyDescent="0.25">
      <c r="D2" s="1">
        <f ca="1">RANDBETWEEN(1,D255)</f>
        <v>177</v>
      </c>
      <c r="H2" s="6">
        <f>SUM(H5:H415)-H8-H11-H13-H19-H23-H26-H50-H56</f>
        <v>4716074.1032323027</v>
      </c>
      <c r="M2" s="9">
        <f>MIN(M5:M95)</f>
        <v>45532</v>
      </c>
      <c r="O2" s="10">
        <f>AVERAGE(O5:O25)</f>
        <v>0.20579308141669758</v>
      </c>
      <c r="S2" s="108" t="s">
        <v>311</v>
      </c>
      <c r="T2" s="108"/>
      <c r="U2" s="108"/>
      <c r="V2" s="108"/>
      <c r="W2" s="108"/>
      <c r="X2" s="108"/>
      <c r="Y2" s="108" t="s">
        <v>310</v>
      </c>
      <c r="Z2" s="108"/>
      <c r="AA2" s="108"/>
      <c r="AB2" s="108"/>
      <c r="AC2" s="108"/>
      <c r="AD2" s="108"/>
    </row>
    <row r="3" spans="1:32" x14ac:dyDescent="0.25">
      <c r="B3" s="1" t="s">
        <v>1636</v>
      </c>
      <c r="C3" s="1" t="s">
        <v>1637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995</v>
      </c>
    </row>
    <row r="4" spans="1:32" s="24" customFormat="1" ht="13" x14ac:dyDescent="0.3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 t="shared" ref="S4:X4" si="0">TRIMMEAN(S5:S299,10%)</f>
        <v>39.605715984435392</v>
      </c>
      <c r="T4" s="106">
        <f t="shared" si="0"/>
        <v>81.809988254950156</v>
      </c>
      <c r="U4" s="106">
        <f t="shared" si="0"/>
        <v>48.717844482534488</v>
      </c>
      <c r="V4" s="106">
        <f t="shared" si="0"/>
        <v>17.765463963274446</v>
      </c>
      <c r="W4" s="106">
        <f t="shared" si="0"/>
        <v>15.901815581352844</v>
      </c>
      <c r="X4" s="106">
        <f t="shared" si="0"/>
        <v>15.416903286823738</v>
      </c>
      <c r="Y4" s="44" t="s">
        <v>1681</v>
      </c>
      <c r="Z4" s="44" t="s">
        <v>1681</v>
      </c>
      <c r="AA4" s="44" t="s">
        <v>1681</v>
      </c>
      <c r="AB4" s="44" t="s">
        <v>1681</v>
      </c>
      <c r="AC4" s="44" t="s">
        <v>1681</v>
      </c>
      <c r="AD4" s="44" t="s">
        <v>1681</v>
      </c>
      <c r="AE4" s="107">
        <f>AVERAGE(AE5:AE222)</f>
        <v>1968.3142857142857</v>
      </c>
    </row>
    <row r="5" spans="1:32" x14ac:dyDescent="0.25">
      <c r="A5" s="101" t="s">
        <v>333</v>
      </c>
      <c r="D5" s="1">
        <v>1</v>
      </c>
      <c r="E5" s="5" t="s">
        <v>19</v>
      </c>
      <c r="F5" s="1" t="s">
        <v>20</v>
      </c>
      <c r="G5" s="7">
        <v>753</v>
      </c>
      <c r="H5" s="6">
        <f>+G5*L5</f>
        <v>678151.8</v>
      </c>
      <c r="I5" s="6">
        <f>+[1]Main!$J$5-[1]Main!$J$6</f>
        <v>-32073</v>
      </c>
      <c r="J5" s="6">
        <f t="shared" ref="J5:J25" si="1">H5-I5</f>
        <v>710224.8</v>
      </c>
      <c r="K5" s="3" t="s">
        <v>1843</v>
      </c>
      <c r="L5" s="6">
        <f>+[1]Main!$J$3</f>
        <v>900.6</v>
      </c>
      <c r="M5" s="9">
        <v>45789</v>
      </c>
      <c r="N5" s="7">
        <f>[1]Model!$FY$101</f>
        <v>915.83268582057224</v>
      </c>
      <c r="O5" s="10">
        <f>+N5/G5-1</f>
        <v>0.21624526669398714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S6" si="2">($J5/$L5)/Y5</f>
        <v>114.29172821983411</v>
      </c>
      <c r="T5" s="11">
        <f t="shared" ref="T5" si="3">($J5/$L5)/Z5</f>
        <v>135.96774564083714</v>
      </c>
      <c r="U5" s="11">
        <f t="shared" ref="U5" si="4">($J5/$L5)/AA5</f>
        <v>67.345254032182353</v>
      </c>
      <c r="V5" s="11">
        <f t="shared" ref="V5" si="5">($J5/$L5)/AB5</f>
        <v>36.174904803525479</v>
      </c>
      <c r="W5" s="11">
        <f t="shared" ref="W5" si="6">($J5/$L5)/AC5</f>
        <v>26.588433065301938</v>
      </c>
      <c r="X5" s="11" t="s">
        <v>1681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1681</v>
      </c>
      <c r="AE5" s="1">
        <v>1876</v>
      </c>
    </row>
    <row r="6" spans="1:32" x14ac:dyDescent="0.25">
      <c r="A6" s="101" t="s">
        <v>333</v>
      </c>
      <c r="B6"/>
      <c r="C6"/>
      <c r="D6">
        <f>+D5+1</f>
        <v>2</v>
      </c>
      <c r="E6" s="5" t="s">
        <v>17</v>
      </c>
      <c r="F6" t="s">
        <v>18</v>
      </c>
      <c r="G6" s="53">
        <v>207</v>
      </c>
      <c r="H6" s="29">
        <f>+G6*L6</f>
        <v>366804</v>
      </c>
      <c r="I6" s="29">
        <f>+[2]Main!$K$5-[2]Main!$K$6</f>
        <v>-64426</v>
      </c>
      <c r="J6" s="29">
        <f t="shared" si="1"/>
        <v>431230</v>
      </c>
      <c r="K6" s="27" t="s">
        <v>1843</v>
      </c>
      <c r="L6" s="29">
        <f>+[2]Main!$K$3</f>
        <v>1772</v>
      </c>
      <c r="M6" s="9">
        <v>45789</v>
      </c>
      <c r="N6" s="7">
        <f>[2]Model!$DT$78</f>
        <v>229.98813295611873</v>
      </c>
      <c r="O6" s="10">
        <f>+N6/G6-1</f>
        <v>0.11105378239670882</v>
      </c>
      <c r="P6" s="10">
        <f>[2]Model!$DT$76</f>
        <v>0</v>
      </c>
      <c r="Q6" s="10">
        <f>[2]Model!$DT$75</f>
        <v>-0.01</v>
      </c>
      <c r="R6" s="10">
        <f>[2]Model!$DT$74</f>
        <v>0.06</v>
      </c>
      <c r="S6" s="11">
        <f t="shared" si="2"/>
        <v>36.70554868934898</v>
      </c>
      <c r="T6" s="11">
        <f t="shared" ref="T6" si="7">($J6/$L6)/Z6</f>
        <v>89.469774930288139</v>
      </c>
      <c r="U6" s="11">
        <f t="shared" ref="U6" si="8">($J6/$L6)/AA6</f>
        <v>101.82334218007688</v>
      </c>
      <c r="V6" s="11">
        <f t="shared" ref="V6" si="9">($J6/$L6)/AB6</f>
        <v>19.898429093244786</v>
      </c>
      <c r="W6" s="11">
        <f t="shared" ref="W6" si="10">($J6/$L6)/AC6</f>
        <v>17.395124218040294</v>
      </c>
      <c r="X6" s="4" t="s">
        <v>1681</v>
      </c>
      <c r="Y6" s="62">
        <v>6.63</v>
      </c>
      <c r="Z6" s="62">
        <v>2.72</v>
      </c>
      <c r="AA6" s="62">
        <v>2.39</v>
      </c>
      <c r="AB6" s="62">
        <v>12.23</v>
      </c>
      <c r="AC6" s="62">
        <v>13.99</v>
      </c>
      <c r="AD6" s="62" t="s">
        <v>1681</v>
      </c>
      <c r="AE6" s="1">
        <v>1888</v>
      </c>
    </row>
    <row r="7" spans="1:32" x14ac:dyDescent="0.25">
      <c r="A7" s="101" t="s">
        <v>333</v>
      </c>
      <c r="D7" s="1">
        <f>+D6+1</f>
        <v>3</v>
      </c>
      <c r="E7" s="5" t="s">
        <v>14</v>
      </c>
      <c r="F7" s="1" t="s">
        <v>15</v>
      </c>
      <c r="G7" s="7">
        <v>154.29</v>
      </c>
      <c r="H7" s="6">
        <f>+G7*L7</f>
        <v>371221.74</v>
      </c>
      <c r="I7" s="6">
        <f>+[3]Main!$L$5-[3]Main!$L$6</f>
        <v>-13471</v>
      </c>
      <c r="J7" s="6">
        <f t="shared" si="1"/>
        <v>384692.74</v>
      </c>
      <c r="K7" s="3" t="s">
        <v>1843</v>
      </c>
      <c r="L7" s="6">
        <f>+[3]Main!$L$3</f>
        <v>2406</v>
      </c>
      <c r="M7" s="9">
        <v>45764</v>
      </c>
      <c r="N7" s="7">
        <f>[3]Model!$FN$86</f>
        <v>145.91208892328871</v>
      </c>
      <c r="O7" s="10">
        <f>N7/G7-1</f>
        <v>-5.429976717033691E-2</v>
      </c>
      <c r="P7" s="10">
        <f>[3]Model!$FN$78</f>
        <v>0.01</v>
      </c>
      <c r="Q7" s="10">
        <f>[3]Model!$FN$79</f>
        <v>5.0000000000000001E-3</v>
      </c>
      <c r="R7" s="10">
        <f>[3]Model!$FN$80</f>
        <v>6.5500000000000003E-2</v>
      </c>
      <c r="S7" s="11">
        <f t="shared" ref="S7" si="11">($J7/$L7)/Y7</f>
        <v>23.757640322176229</v>
      </c>
      <c r="T7" s="11">
        <f t="shared" ref="T7" si="12">($J7/$L7)/Z7</f>
        <v>28.913005310713569</v>
      </c>
      <c r="U7" s="11">
        <f t="shared" ref="U7" si="13">($J7/$L7)/AA7</f>
        <v>27.614666557555445</v>
      </c>
      <c r="V7" s="11">
        <f t="shared" ref="V7" si="14">($J7/$L7)/AB7</f>
        <v>15.069643672784736</v>
      </c>
      <c r="W7" s="11">
        <f t="shared" ref="W7:X7" si="15">($J7/$L7)/AC7</f>
        <v>14.404407150292435</v>
      </c>
      <c r="X7" s="11">
        <f t="shared" si="15"/>
        <v>16.683292584326168</v>
      </c>
      <c r="Y7" s="62">
        <v>6.73</v>
      </c>
      <c r="Z7" s="62">
        <v>5.53</v>
      </c>
      <c r="AA7" s="62">
        <v>5.79</v>
      </c>
      <c r="AB7" s="62">
        <v>10.61</v>
      </c>
      <c r="AC7" s="62">
        <v>11.1</v>
      </c>
      <c r="AD7" s="62">
        <f>+[3]Model!$FB$77</f>
        <v>9.5837748190342538</v>
      </c>
      <c r="AE7">
        <v>1886</v>
      </c>
    </row>
    <row r="8" spans="1:32" x14ac:dyDescent="0.25">
      <c r="A8" s="101" t="s">
        <v>333</v>
      </c>
      <c r="B8"/>
      <c r="C8"/>
      <c r="D8" s="1">
        <f>+D7+1</f>
        <v>4</v>
      </c>
      <c r="E8" s="5" t="s">
        <v>25</v>
      </c>
      <c r="F8" s="1" t="s">
        <v>26</v>
      </c>
      <c r="G8" s="7">
        <v>67.59</v>
      </c>
      <c r="H8" s="6">
        <f>+L8*G8</f>
        <v>301518.99</v>
      </c>
      <c r="I8" s="6">
        <f>([4]Main!$J$5-[4]Main!$J$6)/DKK</f>
        <v>2576.3072126966131</v>
      </c>
      <c r="J8" s="6">
        <f t="shared" si="1"/>
        <v>298942.68278730341</v>
      </c>
      <c r="K8" s="3" t="s">
        <v>1276</v>
      </c>
      <c r="L8" s="6">
        <f>+[4]Main!$J$3</f>
        <v>4461</v>
      </c>
      <c r="M8" s="9">
        <v>45671</v>
      </c>
      <c r="N8" s="7" t="s">
        <v>1681</v>
      </c>
      <c r="O8" s="10" t="s">
        <v>1681</v>
      </c>
      <c r="P8" s="3" t="s">
        <v>1681</v>
      </c>
      <c r="Q8" s="3" t="s">
        <v>1681</v>
      </c>
      <c r="R8" s="3" t="s">
        <v>1681</v>
      </c>
      <c r="S8" s="11">
        <f t="shared" ref="S8" si="16">($J8/$L8)/Y8</f>
        <v>38.73553880416447</v>
      </c>
      <c r="T8" s="11">
        <f t="shared" ref="T8" si="17">($J8/$L8)/Z8</f>
        <v>24.727853184946323</v>
      </c>
      <c r="U8" s="11">
        <f t="shared" ref="U8" si="18">($J8/$L8)/AA8</f>
        <v>20.368535602189827</v>
      </c>
      <c r="V8" s="11">
        <f t="shared" ref="V8" si="19">($J8/$L8)/AB8</f>
        <v>16.837307068141843</v>
      </c>
      <c r="W8" s="11">
        <f t="shared" ref="W8" si="20">($J8/$L8)/AC8</f>
        <v>14.197559773560284</v>
      </c>
      <c r="X8" s="11" t="s">
        <v>1681</v>
      </c>
      <c r="Y8" s="62">
        <v>1.73</v>
      </c>
      <c r="Z8" s="62">
        <v>2.71</v>
      </c>
      <c r="AA8" s="62">
        <v>3.29</v>
      </c>
      <c r="AB8" s="62">
        <v>3.98</v>
      </c>
      <c r="AC8" s="62">
        <v>4.72</v>
      </c>
      <c r="AD8" s="62" t="s">
        <v>1681</v>
      </c>
      <c r="AE8" s="1">
        <v>1923</v>
      </c>
    </row>
    <row r="9" spans="1:32" x14ac:dyDescent="0.25">
      <c r="A9" s="101" t="s">
        <v>333</v>
      </c>
      <c r="B9"/>
      <c r="C9"/>
      <c r="D9" s="1">
        <f>+D8</f>
        <v>4</v>
      </c>
      <c r="E9" s="5" t="s">
        <v>25</v>
      </c>
      <c r="F9" t="s">
        <v>317</v>
      </c>
      <c r="G9" s="55">
        <v>469.8</v>
      </c>
      <c r="H9" s="6">
        <f>+G9*L9/DKK</f>
        <v>296978.57446507015</v>
      </c>
      <c r="I9" s="6">
        <f>([4]Main!$J$5-[4]Main!$J$6)/DKK</f>
        <v>2576.3072126966131</v>
      </c>
      <c r="J9" s="6">
        <f t="shared" si="1"/>
        <v>294402.26725237357</v>
      </c>
      <c r="K9" s="3" t="str">
        <f>+K8</f>
        <v>Q324</v>
      </c>
      <c r="L9" s="6">
        <f>+[4]Main!$J$3</f>
        <v>4461</v>
      </c>
      <c r="M9" s="9">
        <f>+M8</f>
        <v>45671</v>
      </c>
      <c r="N9" s="7">
        <f>+[4]Model!$DM$53</f>
        <v>687.76126161582386</v>
      </c>
      <c r="O9" s="10">
        <f>N9/G9-1</f>
        <v>0.46394478845428666</v>
      </c>
      <c r="P9" s="10">
        <f>[4]Model!$DM$49*-1</f>
        <v>0.01</v>
      </c>
      <c r="Q9" s="10">
        <f>+[4]Model!$DM$50</f>
        <v>-0.01</v>
      </c>
      <c r="R9" s="10">
        <f>+[4]Model!$DM$51</f>
        <v>0.08</v>
      </c>
      <c r="S9" s="4" t="s">
        <v>1681</v>
      </c>
      <c r="T9" s="4" t="s">
        <v>1681</v>
      </c>
      <c r="U9" s="4" t="s">
        <v>1681</v>
      </c>
      <c r="V9" s="4" t="s">
        <v>1681</v>
      </c>
      <c r="W9" s="4" t="s">
        <v>1681</v>
      </c>
      <c r="X9" s="4" t="s">
        <v>1681</v>
      </c>
      <c r="Y9" s="62" t="s">
        <v>1681</v>
      </c>
      <c r="Z9" s="62" t="s">
        <v>1681</v>
      </c>
      <c r="AA9" s="62" t="s">
        <v>1681</v>
      </c>
      <c r="AB9" s="62" t="s">
        <v>1681</v>
      </c>
      <c r="AC9" s="62" t="s">
        <v>1681</v>
      </c>
      <c r="AD9" s="62" t="s">
        <v>1681</v>
      </c>
      <c r="AE9" s="1">
        <v>1923</v>
      </c>
    </row>
    <row r="10" spans="1:32" x14ac:dyDescent="0.25">
      <c r="A10" s="101" t="s">
        <v>333</v>
      </c>
      <c r="B10"/>
      <c r="C10"/>
      <c r="D10" s="1">
        <f>+D9+1</f>
        <v>5</v>
      </c>
      <c r="E10" s="5" t="s">
        <v>21</v>
      </c>
      <c r="F10" s="1" t="s">
        <v>22</v>
      </c>
      <c r="G10" s="20">
        <v>290.5</v>
      </c>
      <c r="H10" s="6">
        <f>+L10*G10</f>
        <v>232517.07150000002</v>
      </c>
      <c r="I10" s="6">
        <f>+[5]Main!$J$5-[5]Main!$J$6</f>
        <v>-17337</v>
      </c>
      <c r="J10" s="6">
        <f t="shared" si="1"/>
        <v>249854.07150000002</v>
      </c>
      <c r="K10" s="3" t="s">
        <v>1113</v>
      </c>
      <c r="L10" s="6">
        <f>+[5]Main!$J$3</f>
        <v>800.40300000000002</v>
      </c>
      <c r="M10" s="9">
        <v>45754</v>
      </c>
      <c r="N10" s="9"/>
      <c r="O10" s="9"/>
      <c r="P10" s="9"/>
      <c r="Q10" s="9"/>
      <c r="R10" s="9"/>
      <c r="S10" s="4" t="s">
        <v>1681</v>
      </c>
      <c r="T10" s="11" t="s">
        <v>1681</v>
      </c>
      <c r="U10" s="11">
        <f t="shared" ref="U10:U11" si="21">($J10/$L10)/AA10</f>
        <v>16.882657577308169</v>
      </c>
      <c r="V10" s="11">
        <f t="shared" ref="V10:V11" si="22">($J10/$L10)/AB10</f>
        <v>15.600216821810495</v>
      </c>
      <c r="W10" s="11">
        <f t="shared" ref="W10:W11" si="23">($J10/$L10)/AC10</f>
        <v>14.655414957954367</v>
      </c>
      <c r="X10" s="11">
        <f t="shared" ref="X10" si="24">($J10/$L10)/AD10</f>
        <v>14.150513989321308</v>
      </c>
      <c r="Y10" s="62" t="s">
        <v>1681</v>
      </c>
      <c r="Z10" s="62" t="s">
        <v>1681</v>
      </c>
      <c r="AA10" s="62">
        <v>18.489999999999998</v>
      </c>
      <c r="AB10" s="62">
        <v>20.010000000000002</v>
      </c>
      <c r="AC10" s="62">
        <v>21.3</v>
      </c>
      <c r="AD10" s="62">
        <v>22.06</v>
      </c>
      <c r="AE10" s="1">
        <v>1896</v>
      </c>
    </row>
    <row r="11" spans="1:32" x14ac:dyDescent="0.25">
      <c r="A11" s="101" t="s">
        <v>333</v>
      </c>
      <c r="B11"/>
      <c r="C11"/>
      <c r="D11" s="1">
        <f>+D10+1</f>
        <v>6</v>
      </c>
      <c r="E11" s="5" t="s">
        <v>37</v>
      </c>
      <c r="F11" s="1" t="s">
        <v>38</v>
      </c>
      <c r="G11" s="7">
        <v>72.989999999999995</v>
      </c>
      <c r="H11" s="6">
        <f>+G11*L11*2</f>
        <v>227728.8</v>
      </c>
      <c r="I11" s="6">
        <f>+[6]Main!$K$5-[6]Main!$K$6</f>
        <v>-26324</v>
      </c>
      <c r="J11" s="6">
        <f t="shared" si="1"/>
        <v>254052.8</v>
      </c>
      <c r="K11" s="3" t="s">
        <v>1070</v>
      </c>
      <c r="L11" s="6">
        <f>+[6]Main!$K$3</f>
        <v>1560</v>
      </c>
      <c r="M11" s="9">
        <v>45608</v>
      </c>
      <c r="S11" s="11">
        <f t="shared" ref="S11" si="25">($J11/$L11)/Y11</f>
        <v>153.6361877116594</v>
      </c>
      <c r="T11" s="11">
        <f t="shared" ref="T11" si="26">($J11/$L11)/Z11</f>
        <v>84.819978632478637</v>
      </c>
      <c r="U11" s="11">
        <f t="shared" si="21"/>
        <v>71.74200835874845</v>
      </c>
      <c r="V11" s="11">
        <f t="shared" si="22"/>
        <v>36.109613963272501</v>
      </c>
      <c r="W11" s="11">
        <f t="shared" si="23"/>
        <v>31.994962470404513</v>
      </c>
      <c r="X11" s="11" t="s">
        <v>1681</v>
      </c>
      <c r="Y11" s="62">
        <v>1.06</v>
      </c>
      <c r="Z11" s="62">
        <v>1.92</v>
      </c>
      <c r="AA11" s="62">
        <v>2.27</v>
      </c>
      <c r="AB11" s="62">
        <v>4.51</v>
      </c>
      <c r="AC11" s="62">
        <v>5.09</v>
      </c>
      <c r="AD11" s="62" t="s">
        <v>1681</v>
      </c>
    </row>
    <row r="12" spans="1:32" x14ac:dyDescent="0.25">
      <c r="A12" s="101" t="s">
        <v>333</v>
      </c>
      <c r="B12"/>
      <c r="C12"/>
      <c r="D12" s="1">
        <f>+D11</f>
        <v>6</v>
      </c>
      <c r="E12" s="5" t="s">
        <v>37</v>
      </c>
      <c r="F12" s="1" t="s">
        <v>416</v>
      </c>
      <c r="G12" s="15">
        <v>11254</v>
      </c>
      <c r="H12" s="6">
        <f>+G12*L12/100*GBP</f>
        <v>228231.12</v>
      </c>
      <c r="I12" s="6">
        <f>+[6]Main!$K$5-[6]Main!$K$6</f>
        <v>-26324</v>
      </c>
      <c r="J12" s="6">
        <f t="shared" si="1"/>
        <v>254555.12</v>
      </c>
      <c r="K12" s="3" t="str">
        <f>+K11</f>
        <v>Q224</v>
      </c>
      <c r="L12" s="6">
        <f>+[6]Main!$K$3</f>
        <v>1560</v>
      </c>
      <c r="M12" s="9">
        <v>45608</v>
      </c>
      <c r="N12" s="3" t="s">
        <v>1681</v>
      </c>
      <c r="O12" s="3" t="s">
        <v>1681</v>
      </c>
      <c r="P12" s="3" t="s">
        <v>1681</v>
      </c>
      <c r="Q12" s="3" t="s">
        <v>1681</v>
      </c>
      <c r="R12" s="3" t="s">
        <v>1681</v>
      </c>
      <c r="S12" s="4" t="s">
        <v>1681</v>
      </c>
      <c r="T12" s="4" t="s">
        <v>1681</v>
      </c>
      <c r="U12" s="4" t="s">
        <v>1681</v>
      </c>
      <c r="V12" s="4" t="s">
        <v>1681</v>
      </c>
      <c r="W12" s="4" t="s">
        <v>1681</v>
      </c>
      <c r="X12" s="4" t="s">
        <v>1681</v>
      </c>
      <c r="Y12" s="62" t="s">
        <v>1681</v>
      </c>
      <c r="Z12" s="62" t="s">
        <v>1681</v>
      </c>
      <c r="AA12" s="62" t="s">
        <v>1681</v>
      </c>
      <c r="AB12" s="62" t="s">
        <v>1681</v>
      </c>
      <c r="AC12" s="62" t="s">
        <v>1681</v>
      </c>
      <c r="AD12" s="62" t="s">
        <v>1681</v>
      </c>
    </row>
    <row r="13" spans="1:32" x14ac:dyDescent="0.25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110.58</v>
      </c>
      <c r="H13" s="6">
        <f>+G13*L13</f>
        <v>216654.29714663999</v>
      </c>
      <c r="I13" s="6">
        <f>+[7]Main!$K$6-[7]Main!$K$7</f>
        <v>-22271</v>
      </c>
      <c r="J13" s="6">
        <f t="shared" si="1"/>
        <v>238925.29714663999</v>
      </c>
      <c r="K13" s="3" t="s">
        <v>1843</v>
      </c>
      <c r="L13" s="6">
        <f>+[7]Main!$K$4</f>
        <v>1959.2539079999999</v>
      </c>
      <c r="M13" s="9">
        <v>45793</v>
      </c>
      <c r="S13" s="11">
        <f t="shared" ref="S13" si="27">($J13/$L13)/Y13</f>
        <v>38.22792541888041</v>
      </c>
      <c r="T13" s="11">
        <f t="shared" ref="T13" si="28">($J13/$L13)/Z13</f>
        <v>17.055535956115875</v>
      </c>
      <c r="U13" s="11">
        <f t="shared" ref="U13" si="29">($J13/$L13)/AA13</f>
        <v>20.599169271322381</v>
      </c>
      <c r="V13" s="11">
        <f t="shared" ref="V13" si="30">($J13/$L13)/AB13</f>
        <v>14.081649201643014</v>
      </c>
      <c r="W13" s="11">
        <f t="shared" ref="W13" si="31">($J13/$L13)/AC13</f>
        <v>13.534637301468203</v>
      </c>
      <c r="X13" s="4" t="s">
        <v>1681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1681</v>
      </c>
    </row>
    <row r="14" spans="1:32" x14ac:dyDescent="0.25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97.84</v>
      </c>
      <c r="H14" s="6">
        <f>+G14*L14/CHF</f>
        <v>210652.09050408789</v>
      </c>
      <c r="I14" s="6">
        <f>+[7]Main!$K$6-[7]Main!$K$7</f>
        <v>-22271</v>
      </c>
      <c r="J14" s="6">
        <f t="shared" si="1"/>
        <v>232923.09050408789</v>
      </c>
      <c r="K14" s="3" t="s">
        <v>1843</v>
      </c>
      <c r="L14" s="6">
        <f>+[7]Main!$K$4</f>
        <v>1959.2539079999999</v>
      </c>
      <c r="M14" s="9">
        <f>+M13</f>
        <v>45793</v>
      </c>
      <c r="N14" s="3" t="s">
        <v>1681</v>
      </c>
      <c r="O14" s="3" t="s">
        <v>1681</v>
      </c>
      <c r="P14" s="3" t="s">
        <v>1681</v>
      </c>
      <c r="Q14" s="3" t="s">
        <v>1681</v>
      </c>
      <c r="R14" s="3" t="s">
        <v>1681</v>
      </c>
      <c r="S14" s="4" t="s">
        <v>1681</v>
      </c>
      <c r="T14" s="4" t="s">
        <v>1681</v>
      </c>
      <c r="U14" s="4" t="s">
        <v>1681</v>
      </c>
      <c r="V14" s="4" t="s">
        <v>1681</v>
      </c>
      <c r="W14" s="4" t="s">
        <v>1681</v>
      </c>
      <c r="X14" s="4" t="s">
        <v>1681</v>
      </c>
      <c r="Y14" s="62" t="s">
        <v>1681</v>
      </c>
      <c r="Z14" s="62" t="s">
        <v>1681</v>
      </c>
      <c r="AA14" s="62" t="s">
        <v>1681</v>
      </c>
      <c r="AB14" s="62" t="s">
        <v>1681</v>
      </c>
      <c r="AC14" s="62" t="s">
        <v>1681</v>
      </c>
      <c r="AD14" s="62" t="s">
        <v>1681</v>
      </c>
    </row>
    <row r="15" spans="1:32" x14ac:dyDescent="0.25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77.790000000000006</v>
      </c>
      <c r="H15" s="6">
        <f>+G15*L15</f>
        <v>196500.35910960002</v>
      </c>
      <c r="I15" s="6">
        <f>+[8]Main!$J$5-[8]Main!$J$6</f>
        <v>-22959</v>
      </c>
      <c r="J15" s="6">
        <f t="shared" si="1"/>
        <v>219459.35910960002</v>
      </c>
      <c r="K15" s="3" t="s">
        <v>1277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0.24898760668719921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" si="32">($J15/$L15)/Y15</f>
        <v>15.215226486342189</v>
      </c>
      <c r="T15" s="11">
        <f t="shared" ref="T15" si="33">($J15/$L15)/Z15</f>
        <v>620.56388026438492</v>
      </c>
      <c r="U15" s="11">
        <f t="shared" ref="U15" si="34">($J15/$L15)/AA15</f>
        <v>12.890050925372982</v>
      </c>
      <c r="V15" s="11">
        <f t="shared" ref="V15" si="35">($J15/$L15)/AB15</f>
        <v>9.7616790153948205</v>
      </c>
      <c r="W15" s="11">
        <f t="shared" ref="W15" si="36">($J15/$L15)/AC15</f>
        <v>8.9381628844664505</v>
      </c>
      <c r="X15" s="4" t="s">
        <v>1681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1681</v>
      </c>
      <c r="AE15">
        <v>1919</v>
      </c>
    </row>
    <row r="16" spans="1:32" x14ac:dyDescent="0.25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285</v>
      </c>
      <c r="H16" s="6">
        <f>+G16*L16</f>
        <v>154185</v>
      </c>
      <c r="I16" s="6">
        <f>[9]Main!$J$5-[9]Main!$J$6</f>
        <v>-48571</v>
      </c>
      <c r="J16" s="6">
        <f t="shared" si="1"/>
        <v>202756</v>
      </c>
      <c r="K16" s="3" t="s">
        <v>1843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4.0050645238477234E-2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ref="S16:S18" si="37">($J16/$L16)/Y16</f>
        <v>30.947979931344076</v>
      </c>
      <c r="T16" s="11">
        <f t="shared" ref="T16:T17" si="38">($J16/$L16)/Z16</f>
        <v>30.0064080839533</v>
      </c>
      <c r="U16" s="11">
        <f>($J16/$L16)/AA16</f>
        <v>49.574078964097453</v>
      </c>
      <c r="V16" s="11">
        <f>($J16/$L16)/AB16</f>
        <v>17.975061725111591</v>
      </c>
      <c r="W16" s="11">
        <f>($J16/$L16)/AC16</f>
        <v>17.415429227164346</v>
      </c>
      <c r="X16" s="4" t="s">
        <v>1681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1681</v>
      </c>
      <c r="AE16" s="1">
        <v>1980</v>
      </c>
    </row>
    <row r="17" spans="1:31" x14ac:dyDescent="0.25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23.75</v>
      </c>
      <c r="H17" s="6">
        <f>+L17*G17</f>
        <v>135612.5</v>
      </c>
      <c r="I17" s="6">
        <f>+[10]Main!$K$5-[10]Main!$K$6</f>
        <v>-42779</v>
      </c>
      <c r="J17" s="6">
        <f t="shared" si="1"/>
        <v>178391.5</v>
      </c>
      <c r="K17" s="3" t="s">
        <v>1843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7"/>
        <v>5.7115071221148952</v>
      </c>
      <c r="T17" s="11">
        <f t="shared" si="38"/>
        <v>82.215641994653879</v>
      </c>
      <c r="U17" s="11">
        <f t="shared" ref="U17" si="39">($J17/$L17)/AA17</f>
        <v>22.157407062388991</v>
      </c>
      <c r="V17" s="11">
        <f>($J17/$L17)/AB17</f>
        <v>10.413981319322826</v>
      </c>
      <c r="W17" s="11">
        <f>($J17/$L17)/AC17</f>
        <v>10.143488298041714</v>
      </c>
      <c r="X17" s="4" t="s">
        <v>1681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1681</v>
      </c>
    </row>
    <row r="18" spans="1:31" x14ac:dyDescent="0.25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104.56</v>
      </c>
      <c r="H18" s="6">
        <f>+G18*L18</f>
        <v>131641.04</v>
      </c>
      <c r="I18" s="6">
        <f>+[11]Main!$J$5-[11]Main!$J$6</f>
        <v>-16720</v>
      </c>
      <c r="J18" s="6">
        <f t="shared" si="1"/>
        <v>148361.04</v>
      </c>
      <c r="K18" s="3" t="s">
        <v>1277</v>
      </c>
      <c r="L18" s="6">
        <f>+[11]Main!$J$3</f>
        <v>1259</v>
      </c>
      <c r="M18" s="9">
        <v>45768</v>
      </c>
      <c r="S18" s="11">
        <f t="shared" si="37"/>
        <v>32.373731114001174</v>
      </c>
      <c r="T18" s="11">
        <f t="shared" ref="T18:U18" si="40">($J18/$L18)/Z18</f>
        <v>26.186751389992061</v>
      </c>
      <c r="U18" s="11">
        <f t="shared" si="40"/>
        <v>310.10626646043227</v>
      </c>
      <c r="V18" s="11">
        <f>($J18/$L18)/AB18</f>
        <v>14.748483260946717</v>
      </c>
      <c r="W18" s="11">
        <f>($J18/$L18)/AC18</f>
        <v>13.831030663728201</v>
      </c>
      <c r="X18" s="4" t="s">
        <v>1681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1681</v>
      </c>
    </row>
    <row r="19" spans="1:31" x14ac:dyDescent="0.25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1112</v>
      </c>
      <c r="G19" s="14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 t="shared" si="1"/>
        <v>154273.26120000001</v>
      </c>
      <c r="K19" s="3" t="s">
        <v>1070</v>
      </c>
      <c r="L19" s="6">
        <f>+[12]Main!$K$3</f>
        <v>1251</v>
      </c>
      <c r="M19" s="9">
        <v>45776</v>
      </c>
      <c r="S19" s="4" t="s">
        <v>1681</v>
      </c>
      <c r="T19" s="4" t="s">
        <v>1681</v>
      </c>
      <c r="U19" s="4" t="s">
        <v>1681</v>
      </c>
      <c r="V19" s="11">
        <f t="shared" ref="V19:W19" si="41">($J19/$L19)/AB19</f>
        <v>26.925753929607406</v>
      </c>
      <c r="W19" s="11">
        <f t="shared" si="41"/>
        <v>24.516889263936765</v>
      </c>
      <c r="X19" s="4" t="s">
        <v>1681</v>
      </c>
      <c r="Y19" s="62" t="s">
        <v>1681</v>
      </c>
      <c r="Z19" s="62" t="s">
        <v>1681</v>
      </c>
      <c r="AA19" s="62" t="s">
        <v>1681</v>
      </c>
      <c r="AB19" s="62">
        <v>4.58</v>
      </c>
      <c r="AC19" s="62">
        <v>5.03</v>
      </c>
      <c r="AD19" s="62" t="s">
        <v>1681</v>
      </c>
    </row>
    <row r="20" spans="1:31" x14ac:dyDescent="0.25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53.57</v>
      </c>
      <c r="H20" s="6">
        <f>+G20*L20*2</f>
        <v>134032.14000000001</v>
      </c>
      <c r="I20" s="6">
        <f>([13]Main!$K$5-[13]Main!$K$6)*EUR</f>
        <v>-12746.130000000001</v>
      </c>
      <c r="J20" s="6">
        <f t="shared" si="1"/>
        <v>146778.27000000002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1681</v>
      </c>
      <c r="O20" s="4" t="s">
        <v>1681</v>
      </c>
      <c r="P20" s="4" t="s">
        <v>1681</v>
      </c>
      <c r="Q20" s="4" t="s">
        <v>1681</v>
      </c>
      <c r="R20" s="4" t="s">
        <v>1681</v>
      </c>
      <c r="S20" s="4" t="s">
        <v>1681</v>
      </c>
      <c r="T20" s="4" t="s">
        <v>1681</v>
      </c>
      <c r="U20" s="4" t="s">
        <v>1681</v>
      </c>
      <c r="V20" s="4" t="s">
        <v>1681</v>
      </c>
      <c r="W20" s="4" t="s">
        <v>1681</v>
      </c>
      <c r="X20" s="4" t="s">
        <v>1681</v>
      </c>
      <c r="Y20" s="4" t="s">
        <v>1681</v>
      </c>
      <c r="Z20" s="4" t="s">
        <v>1681</v>
      </c>
      <c r="AA20" s="4" t="s">
        <v>1681</v>
      </c>
      <c r="AB20" s="4" t="s">
        <v>1681</v>
      </c>
      <c r="AC20" s="4" t="s">
        <v>1681</v>
      </c>
      <c r="AD20" s="4" t="s">
        <v>1681</v>
      </c>
    </row>
    <row r="21" spans="1:31" x14ac:dyDescent="0.25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47.75</v>
      </c>
      <c r="H21" s="6">
        <f>+G21*L21</f>
        <v>96884.75</v>
      </c>
      <c r="I21" s="6">
        <f>+[14]Main!$K$5-[14]Main!$K$6</f>
        <v>-38470</v>
      </c>
      <c r="J21" s="6">
        <f t="shared" si="1"/>
        <v>135354.75</v>
      </c>
      <c r="K21" s="3" t="s">
        <v>1277</v>
      </c>
      <c r="L21" s="6">
        <f>+[14]Main!$K$3</f>
        <v>2029</v>
      </c>
      <c r="M21" s="9">
        <v>45771</v>
      </c>
      <c r="S21" s="11">
        <f t="shared" ref="S21" si="42">($J21/$L21)/Y21</f>
        <v>22.613586053077828</v>
      </c>
      <c r="T21" s="11">
        <f t="shared" ref="T21" si="43">($J21/$L21)/Z21</f>
        <v>17.28240384885482</v>
      </c>
      <c r="U21" s="11">
        <f t="shared" ref="U21" si="44">($J21/$L21)/AA21</f>
        <v>-15.127002008294694</v>
      </c>
      <c r="V21" s="11">
        <f>($J21/$L21)/AB21</f>
        <v>9.7245012910465878</v>
      </c>
      <c r="W21" s="11">
        <f>($J21/$L21)/AC21</f>
        <v>10.990128312451334</v>
      </c>
      <c r="X21" s="4" t="s">
        <v>1681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1681</v>
      </c>
      <c r="AE21" s="1">
        <v>1887</v>
      </c>
    </row>
    <row r="22" spans="1:31" x14ac:dyDescent="0.25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430</v>
      </c>
      <c r="H22" s="6">
        <f>+G22*[15]Main!$M$3</f>
        <v>110422.79041</v>
      </c>
      <c r="I22" s="6">
        <f>+[15]Main!$M$5-[15]Main!$M$6</f>
        <v>11358</v>
      </c>
      <c r="J22" s="6">
        <f t="shared" si="1"/>
        <v>99064.790410000001</v>
      </c>
      <c r="K22" s="3" t="s">
        <v>1843</v>
      </c>
      <c r="L22" s="6">
        <f>+[15]Main!$M$3</f>
        <v>256.79718700000001</v>
      </c>
      <c r="M22" s="9">
        <v>45789</v>
      </c>
      <c r="N22" s="7">
        <f>+[15]Model!$BK$34</f>
        <v>608.26477647512127</v>
      </c>
      <c r="O22" s="10">
        <f>N22/G22-1</f>
        <v>0.414569247616561</v>
      </c>
      <c r="P22" s="10">
        <f>+[15]Model!$BK$32</f>
        <v>0.01</v>
      </c>
      <c r="Q22" s="10">
        <f>+[15]Model!$BK$30</f>
        <v>-0.05</v>
      </c>
      <c r="R22" s="10">
        <f>[15]Model!$BK$30</f>
        <v>-0.05</v>
      </c>
      <c r="S22" s="11">
        <f t="shared" ref="S22:S23" si="45">($J22/$L22)/Y22</f>
        <v>30.091306048807535</v>
      </c>
      <c r="T22" s="11">
        <f t="shared" ref="T22:T23" si="46">($J22/$L22)/Z22</f>
        <v>27.77325727470933</v>
      </c>
      <c r="U22" s="11">
        <f t="shared" ref="U22:W23" si="47">($J22/$L22)/AA22</f>
        <v>32.581971583252752</v>
      </c>
      <c r="V22" s="11">
        <f t="shared" si="47"/>
        <v>21.443609980306427</v>
      </c>
      <c r="W22" s="11">
        <f t="shared" si="47"/>
        <v>18.537748368366778</v>
      </c>
      <c r="X22" s="4" t="s">
        <v>1681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1681</v>
      </c>
    </row>
    <row r="23" spans="1:31" x14ac:dyDescent="0.25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39.229999999999997</v>
      </c>
      <c r="H23" s="6">
        <f>+G23*L23/2</f>
        <v>81147.25499999999</v>
      </c>
      <c r="I23" s="6">
        <f>([16]Main!$J$6-[16]Main!$J$7)*GBP</f>
        <v>-18131.100000000002</v>
      </c>
      <c r="J23" s="6">
        <f t="shared" si="1"/>
        <v>99278.354999999996</v>
      </c>
      <c r="K23" s="3" t="s">
        <v>1843</v>
      </c>
      <c r="L23" s="6">
        <f>+[16]Main!$J$4</f>
        <v>4137</v>
      </c>
      <c r="M23" s="9">
        <v>45805</v>
      </c>
      <c r="S23" s="11">
        <f t="shared" si="45"/>
        <v>6.955845971140608</v>
      </c>
      <c r="T23" s="11">
        <f t="shared" si="46"/>
        <v>6.217012590786295</v>
      </c>
      <c r="U23" s="11">
        <f t="shared" ref="U23" si="48">($J23/$L23)/AA23</f>
        <v>5.8962330713599744</v>
      </c>
      <c r="V23" s="11">
        <f t="shared" ref="V23" si="49">($J23/$L23)/AB23</f>
        <v>5.3686059508803359</v>
      </c>
      <c r="W23" s="11">
        <f t="shared" si="47"/>
        <v>4.8578276519099388</v>
      </c>
      <c r="X23" s="4" t="s">
        <v>1681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5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1462</v>
      </c>
      <c r="H24" s="6">
        <f>+G24*L24/100*GBP</f>
        <v>78627.822</v>
      </c>
      <c r="I24" s="6">
        <f>([16]Main!$J$6-[16]Main!$J$7)*GBP</f>
        <v>-18131.100000000002</v>
      </c>
      <c r="J24" s="6">
        <f t="shared" si="1"/>
        <v>96758.922000000006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1681</v>
      </c>
      <c r="O24" s="3" t="s">
        <v>1681</v>
      </c>
      <c r="P24" s="3" t="s">
        <v>1681</v>
      </c>
      <c r="Q24" s="3" t="s">
        <v>1681</v>
      </c>
      <c r="R24" s="3" t="s">
        <v>1681</v>
      </c>
      <c r="S24" s="11">
        <f t="shared" ref="S24" si="50">($J24/$L24)/Y24</f>
        <v>16.706191857453643</v>
      </c>
      <c r="T24" s="11">
        <f t="shared" ref="T24" si="51">($J24/$L24)/Z24</f>
        <v>15.089463613183934</v>
      </c>
      <c r="U24" s="11">
        <f t="shared" ref="U24" si="52">($J24/$L24)/AA24</f>
        <v>14.709854465682453</v>
      </c>
      <c r="V24" s="11">
        <f t="shared" ref="V24" si="53">($J24/$L24)/AB24</f>
        <v>14.174950666930364</v>
      </c>
      <c r="W24" s="11">
        <f t="shared" ref="W24" si="54">($J24/$L24)/AC24</f>
        <v>12.850916813425879</v>
      </c>
      <c r="X24" s="4" t="s">
        <v>1681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5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249.28</v>
      </c>
      <c r="H25" s="6">
        <f>+G25*L25*AUD</f>
        <v>81036.823776803198</v>
      </c>
      <c r="I25" s="6">
        <f>[17]Main!$J$5-[17]Main!$J$6</f>
        <v>-10363</v>
      </c>
      <c r="J25" s="6">
        <f t="shared" si="1"/>
        <v>91399.823776803198</v>
      </c>
      <c r="K25" s="3" t="s">
        <v>1070</v>
      </c>
      <c r="L25" s="6">
        <f>+[17]Main!$J$3</f>
        <v>485.19930699999998</v>
      </c>
      <c r="M25" s="9">
        <v>45535</v>
      </c>
      <c r="S25" s="11">
        <f t="shared" ref="S25" si="55">($J25/$L25)/Y25</f>
        <v>28.115796016185257</v>
      </c>
      <c r="T25" s="11">
        <f t="shared" ref="T25" si="56">($J25/$L25)/Z25</f>
        <v>20.86111110835451</v>
      </c>
      <c r="U25" s="11">
        <f t="shared" ref="U25" si="57">($J25/$L25)/AA25</f>
        <v>20.321017616876077</v>
      </c>
      <c r="V25" s="11">
        <f t="shared" ref="V25" si="58">($J25/$L25)/AB25</f>
        <v>17.704495611695602</v>
      </c>
      <c r="W25" s="11">
        <f t="shared" ref="W25" si="59">($J25/$L25)/AC25</f>
        <v>15.478704462484901</v>
      </c>
      <c r="X25" s="4" t="s">
        <v>1681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5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14.78</v>
      </c>
      <c r="H26" s="6">
        <f>+G26*2*L26</f>
        <v>46379.64</v>
      </c>
      <c r="I26" s="6">
        <f>([18]Main!$K$6-[18]Main!$K$7)/JPY</f>
        <v>-27370.051635111875</v>
      </c>
      <c r="J26" s="6">
        <f>+H26-I26</f>
        <v>73749.691635111871</v>
      </c>
      <c r="K26" s="3" t="s">
        <v>1070</v>
      </c>
      <c r="L26" s="6">
        <f>+[18]Main!$K$4</f>
        <v>1569</v>
      </c>
      <c r="M26" s="9">
        <v>45812</v>
      </c>
    </row>
    <row r="27" spans="1:31" x14ac:dyDescent="0.25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4413</v>
      </c>
      <c r="H27" s="6">
        <f>+G27*L27/JPY</f>
        <v>47669.514629948368</v>
      </c>
      <c r="I27" s="6">
        <f>([18]Main!$K$6-[18]Main!$K$7)/JPY</f>
        <v>-27370.051635111875</v>
      </c>
      <c r="J27" s="6">
        <f>+H27-I27</f>
        <v>75039.566265060246</v>
      </c>
      <c r="K27" s="3" t="s">
        <v>1070</v>
      </c>
      <c r="L27" s="6">
        <f>+[18]Main!$K$4</f>
        <v>1569</v>
      </c>
      <c r="M27" s="9">
        <f>+M26</f>
        <v>45812</v>
      </c>
    </row>
    <row r="28" spans="1:31" x14ac:dyDescent="0.25">
      <c r="A28" s="101" t="s">
        <v>333</v>
      </c>
      <c r="B28"/>
      <c r="C28"/>
      <c r="D28" s="1">
        <f t="shared" ref="D28:D56" si="60">+D27+1</f>
        <v>18</v>
      </c>
      <c r="E28" s="13" t="s">
        <v>55</v>
      </c>
      <c r="F28" s="1" t="s">
        <v>56</v>
      </c>
      <c r="G28" s="16">
        <v>6799</v>
      </c>
      <c r="H28" s="6">
        <f>+G28*L28/JPY</f>
        <v>77019.101817301198</v>
      </c>
      <c r="I28" s="6">
        <f>([19]Main!$J$5-[19]Main!$J$6)/JPY</f>
        <v>5615.545611015491</v>
      </c>
      <c r="J28" s="6">
        <f>+H28-I28</f>
        <v>71403.556206285706</v>
      </c>
      <c r="K28" s="3" t="s">
        <v>1070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5">
      <c r="A29" s="101" t="s">
        <v>333</v>
      </c>
      <c r="B29"/>
      <c r="C29"/>
      <c r="D29" s="1">
        <f t="shared" si="60"/>
        <v>19</v>
      </c>
      <c r="E29" s="5" t="s">
        <v>42</v>
      </c>
      <c r="F29" s="1" t="s">
        <v>43</v>
      </c>
      <c r="G29" s="14">
        <v>126.6</v>
      </c>
      <c r="H29" s="6">
        <f>+G29*L29</f>
        <v>55071</v>
      </c>
      <c r="I29" s="6">
        <f>([20]Main!$J$5-[20]Main!$J$6)*EUR</f>
        <v>-8824.5</v>
      </c>
      <c r="J29" s="6">
        <f>H29-I29</f>
        <v>63895.5</v>
      </c>
      <c r="K29" s="3" t="s">
        <v>1070</v>
      </c>
      <c r="L29" s="3">
        <v>435</v>
      </c>
      <c r="M29" s="9">
        <v>45532</v>
      </c>
    </row>
    <row r="30" spans="1:31" x14ac:dyDescent="0.25">
      <c r="A30" s="101" t="s">
        <v>333</v>
      </c>
      <c r="B30"/>
      <c r="C30"/>
      <c r="D30" s="1">
        <f t="shared" si="60"/>
        <v>20</v>
      </c>
      <c r="E30" s="5" t="s">
        <v>254</v>
      </c>
      <c r="F30" t="s">
        <v>255</v>
      </c>
      <c r="G30" s="14">
        <v>22.07</v>
      </c>
      <c r="H30" s="6">
        <f>+G30*L30*EUR</f>
        <v>24067.030434</v>
      </c>
      <c r="I30" s="6">
        <f>([21]Main!$J$5-[21]Main!$J$6)</f>
        <v>-36760</v>
      </c>
      <c r="J30" s="6">
        <f>+H30-I30</f>
        <v>60827.030434</v>
      </c>
      <c r="K30" s="3" t="s">
        <v>1070</v>
      </c>
      <c r="L30" s="6">
        <f>+[21]Main!$J$3</f>
        <v>982.42</v>
      </c>
      <c r="M30" s="9">
        <v>45534</v>
      </c>
    </row>
    <row r="31" spans="1:31" x14ac:dyDescent="0.25">
      <c r="A31" s="101" t="s">
        <v>333</v>
      </c>
      <c r="B31"/>
      <c r="C31"/>
      <c r="D31" s="1">
        <f t="shared" si="60"/>
        <v>21</v>
      </c>
      <c r="E31" s="5" t="s">
        <v>51</v>
      </c>
      <c r="F31" s="1" t="s">
        <v>52</v>
      </c>
      <c r="G31" s="7">
        <v>493</v>
      </c>
      <c r="H31" s="6">
        <f>+G31*L31</f>
        <v>54821.599999999999</v>
      </c>
      <c r="I31" s="6">
        <f>+[22]Main!$J$5-[22]Main!$J$6</f>
        <v>15641</v>
      </c>
      <c r="J31" s="6">
        <f>H31-I31</f>
        <v>39180.6</v>
      </c>
      <c r="K31" s="3" t="s">
        <v>1843</v>
      </c>
      <c r="L31" s="6">
        <f>+[22]Main!$J$3</f>
        <v>111.2</v>
      </c>
      <c r="M31" s="9">
        <v>45776</v>
      </c>
      <c r="AE31" s="1">
        <v>1988</v>
      </c>
    </row>
    <row r="32" spans="1:31" x14ac:dyDescent="0.25">
      <c r="A32" s="101" t="s">
        <v>333</v>
      </c>
      <c r="B32"/>
      <c r="C32"/>
      <c r="D32" s="1">
        <f t="shared" si="60"/>
        <v>22</v>
      </c>
      <c r="E32" s="5" t="s">
        <v>264</v>
      </c>
      <c r="F32" t="s">
        <v>265</v>
      </c>
      <c r="G32" s="17">
        <v>1733.95</v>
      </c>
      <c r="H32" s="6" cm="1">
        <f t="array" ref="H32">+G32*L32/INR</f>
        <v>50390.624470018178</v>
      </c>
      <c r="I32" s="6">
        <f>([23]Main!$J$5-[23]Main!$J$6)/INR</f>
        <v>361.34100545124147</v>
      </c>
      <c r="J32" s="6">
        <f>H32-I32</f>
        <v>50029.283464566935</v>
      </c>
      <c r="K32" s="3" t="s">
        <v>1070</v>
      </c>
      <c r="L32" s="6">
        <f>+[23]Main!$J$3</f>
        <v>2399</v>
      </c>
      <c r="M32" s="9">
        <v>45537</v>
      </c>
      <c r="AE32" s="1">
        <v>1983</v>
      </c>
    </row>
    <row r="33" spans="1:32" x14ac:dyDescent="0.25">
      <c r="A33" s="101" t="s">
        <v>333</v>
      </c>
      <c r="B33"/>
      <c r="C33"/>
      <c r="D33" s="1">
        <f t="shared" si="60"/>
        <v>23</v>
      </c>
      <c r="E33" s="5" t="s">
        <v>256</v>
      </c>
      <c r="F33" t="s">
        <v>257</v>
      </c>
      <c r="G33" s="19">
        <v>1014000</v>
      </c>
      <c r="H33" s="6">
        <f>+G33*L33/KRW</f>
        <v>50363.179344033495</v>
      </c>
      <c r="I33" s="6">
        <f>([24]Main!$M$5-[24]Main!$M$6)/KRW*1000</f>
        <v>439.56163852058603</v>
      </c>
      <c r="J33" s="6">
        <f>+H33-I33</f>
        <v>49923.617705512908</v>
      </c>
      <c r="K33" s="3" t="s">
        <v>1040</v>
      </c>
      <c r="L33" s="6">
        <f>+[24]Main!$M$3</f>
        <v>71.174000000000007</v>
      </c>
      <c r="M33" s="9">
        <v>45536</v>
      </c>
    </row>
    <row r="34" spans="1:32" x14ac:dyDescent="0.25">
      <c r="A34" s="101" t="s">
        <v>333</v>
      </c>
      <c r="D34" s="1">
        <f t="shared" si="60"/>
        <v>24</v>
      </c>
      <c r="E34" s="5" t="s">
        <v>82</v>
      </c>
      <c r="F34" s="1" t="s">
        <v>83</v>
      </c>
      <c r="G34" s="16">
        <v>3511</v>
      </c>
      <c r="H34" s="6">
        <f>+G34*L34/JPY</f>
        <v>46274.202624716003</v>
      </c>
      <c r="I34" s="6">
        <f>([25]Main!$M$5-[25]Main!$M$6)*1000/JPY</f>
        <v>6914.7607573149744</v>
      </c>
      <c r="J34" s="6">
        <f>+H34-I34</f>
        <v>39359.44186740103</v>
      </c>
      <c r="K34" s="3" t="s">
        <v>1070</v>
      </c>
      <c r="L34" s="6">
        <f>+[25]Main!$M$3</f>
        <v>1914.36284</v>
      </c>
      <c r="M34" s="9">
        <v>45535</v>
      </c>
    </row>
    <row r="35" spans="1:32" x14ac:dyDescent="0.25">
      <c r="A35" s="101" t="s">
        <v>333</v>
      </c>
      <c r="D35" s="1">
        <f t="shared" si="60"/>
        <v>25</v>
      </c>
      <c r="E35" s="5" t="s">
        <v>270</v>
      </c>
      <c r="F35" t="s">
        <v>270</v>
      </c>
      <c r="G35" s="14">
        <v>162.75</v>
      </c>
      <c r="H35" s="6">
        <f>+G35*L35*EUR</f>
        <v>34323.975000000006</v>
      </c>
      <c r="I35" s="6">
        <f>([26]Main!$J$5-[26]Main!$J$6)*EUR</f>
        <v>-2901.5400000000004</v>
      </c>
      <c r="J35" s="6">
        <f>H35-I35</f>
        <v>37225.515000000007</v>
      </c>
      <c r="K35" s="3" t="s">
        <v>1070</v>
      </c>
      <c r="L35" s="6">
        <f>+[26]Main!$J$3</f>
        <v>190</v>
      </c>
      <c r="M35" s="9">
        <v>45537</v>
      </c>
    </row>
    <row r="36" spans="1:32" x14ac:dyDescent="0.25">
      <c r="A36" s="101" t="s">
        <v>333</v>
      </c>
      <c r="D36" s="1">
        <f t="shared" si="60"/>
        <v>26</v>
      </c>
      <c r="E36" s="5" t="s">
        <v>94</v>
      </c>
      <c r="F36" s="1" t="s">
        <v>95</v>
      </c>
      <c r="G36" s="7">
        <v>16.91</v>
      </c>
      <c r="H36" s="6">
        <f>+G36*L36</f>
        <v>19159.03</v>
      </c>
      <c r="I36" s="6">
        <f>+[27]Main!$M$5-[27]Main!$M$6</f>
        <v>-16382</v>
      </c>
      <c r="J36" s="6">
        <f>+H36-I36</f>
        <v>35541.03</v>
      </c>
      <c r="K36" s="3" t="s">
        <v>1843</v>
      </c>
      <c r="L36" s="6">
        <f>+[27]Main!$M$3</f>
        <v>1133</v>
      </c>
      <c r="M36" s="9">
        <v>45793</v>
      </c>
    </row>
    <row r="37" spans="1:32" x14ac:dyDescent="0.25">
      <c r="A37" s="101" t="s">
        <v>333</v>
      </c>
      <c r="B37"/>
      <c r="C37"/>
      <c r="D37" s="1">
        <f t="shared" si="60"/>
        <v>27</v>
      </c>
      <c r="E37" s="5" t="s">
        <v>57</v>
      </c>
      <c r="F37" s="1" t="s">
        <v>58</v>
      </c>
      <c r="G37" s="7">
        <v>264</v>
      </c>
      <c r="H37" s="6">
        <f>+G37*L37</f>
        <v>33892.455432000002</v>
      </c>
      <c r="I37" s="6">
        <f>+[28]Main!$L$5-[28]Main!$L$6</f>
        <v>246.8090000000002</v>
      </c>
      <c r="J37" s="6">
        <f>H37-I37</f>
        <v>33645.646432000001</v>
      </c>
      <c r="K37" s="3" t="s">
        <v>1070</v>
      </c>
      <c r="L37" s="6">
        <f>+[28]Main!$L$3</f>
        <v>128.38051300000001</v>
      </c>
      <c r="M37" s="9">
        <v>45537</v>
      </c>
      <c r="AE37" s="1">
        <v>2002</v>
      </c>
      <c r="AF37" s="1" t="s">
        <v>608</v>
      </c>
    </row>
    <row r="38" spans="1:32" x14ac:dyDescent="0.25">
      <c r="A38" s="101" t="s">
        <v>333</v>
      </c>
      <c r="B38"/>
      <c r="C38"/>
      <c r="D38" s="1">
        <f t="shared" si="60"/>
        <v>28</v>
      </c>
      <c r="E38" s="5" t="s">
        <v>63</v>
      </c>
      <c r="F38" s="1" t="s">
        <v>64</v>
      </c>
      <c r="G38" s="7">
        <v>542</v>
      </c>
      <c r="H38" s="6">
        <f>+G38*L38</f>
        <v>32574.2</v>
      </c>
      <c r="I38" s="6">
        <f>+[29]Main!$K$5-[29]Main!$K$6</f>
        <v>3374</v>
      </c>
      <c r="J38" s="6">
        <f>H38-I38</f>
        <v>29200.2</v>
      </c>
      <c r="K38" s="3" t="s">
        <v>1276</v>
      </c>
      <c r="L38" s="6">
        <f>+[29]Main!$K$3</f>
        <v>60.1</v>
      </c>
      <c r="M38" s="9">
        <v>45757</v>
      </c>
      <c r="AE38">
        <v>2008</v>
      </c>
    </row>
    <row r="39" spans="1:32" x14ac:dyDescent="0.25">
      <c r="A39" s="101" t="s">
        <v>333</v>
      </c>
      <c r="B39"/>
      <c r="C39"/>
      <c r="D39" s="1">
        <f t="shared" si="60"/>
        <v>29</v>
      </c>
      <c r="E39" s="5" t="s">
        <v>65</v>
      </c>
      <c r="F39" s="1" t="s">
        <v>66</v>
      </c>
      <c r="G39" s="3">
        <v>33.94</v>
      </c>
      <c r="H39" s="6">
        <f>+G39*L39</f>
        <v>17309.399999999998</v>
      </c>
      <c r="I39" s="6">
        <f>+[30]Main!$K$5-[30]Main!$K$6</f>
        <v>-10809</v>
      </c>
      <c r="J39" s="6">
        <f>+H39-I39</f>
        <v>28118.399999999998</v>
      </c>
      <c r="K39" s="3" t="s">
        <v>1070</v>
      </c>
      <c r="L39" s="6">
        <f>+[30]Main!$K$3</f>
        <v>510</v>
      </c>
      <c r="M39" s="9">
        <v>45536</v>
      </c>
      <c r="AE39" s="1">
        <v>1931</v>
      </c>
    </row>
    <row r="40" spans="1:32" x14ac:dyDescent="0.25">
      <c r="A40" s="101" t="s">
        <v>333</v>
      </c>
      <c r="B40"/>
      <c r="C40"/>
      <c r="D40" s="1">
        <f t="shared" si="60"/>
        <v>30</v>
      </c>
      <c r="E40" s="1" t="s">
        <v>1827</v>
      </c>
      <c r="F40" t="s">
        <v>1828</v>
      </c>
      <c r="H40" s="6"/>
      <c r="I40" s="6"/>
      <c r="J40" s="6"/>
      <c r="L40" s="6"/>
      <c r="M40" s="9"/>
    </row>
    <row r="41" spans="1:32" x14ac:dyDescent="0.25">
      <c r="A41" s="101" t="s">
        <v>333</v>
      </c>
      <c r="D41" s="1">
        <f t="shared" si="60"/>
        <v>31</v>
      </c>
      <c r="E41" s="5" t="s">
        <v>75</v>
      </c>
      <c r="F41" s="1" t="s">
        <v>76</v>
      </c>
      <c r="G41" s="7">
        <v>8.74</v>
      </c>
      <c r="H41" s="6">
        <f>G41*[31]Main!$M$3</f>
        <v>10257.980365360001</v>
      </c>
      <c r="I41" s="6">
        <f>[31]Main!$M$5-[31]Main!$M$6</f>
        <v>-13431</v>
      </c>
      <c r="J41" s="6">
        <f>H41-I41</f>
        <v>23688.980365360003</v>
      </c>
      <c r="K41" s="3" t="s">
        <v>1070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25">
      <c r="A42" s="101" t="s">
        <v>333</v>
      </c>
      <c r="D42" s="1">
        <f t="shared" si="60"/>
        <v>32</v>
      </c>
      <c r="E42" s="5" t="s">
        <v>79</v>
      </c>
      <c r="F42" s="1" t="s">
        <v>1826</v>
      </c>
      <c r="G42" s="7">
        <v>266.36</v>
      </c>
      <c r="H42" s="6">
        <f>+G42*L42</f>
        <v>27887.534811239999</v>
      </c>
      <c r="I42" s="6">
        <f>[32]Main!$L$5-[32]Main!$L$6</f>
        <v>1581.0029999999999</v>
      </c>
      <c r="J42" s="6">
        <f>H42-I42</f>
        <v>26306.531811239998</v>
      </c>
      <c r="K42" s="3" t="s">
        <v>1070</v>
      </c>
      <c r="L42" s="6">
        <f>+[32]Main!$L$3</f>
        <v>104.69865899999999</v>
      </c>
      <c r="M42" s="9">
        <v>45537</v>
      </c>
    </row>
    <row r="43" spans="1:32" x14ac:dyDescent="0.25">
      <c r="A43" s="101" t="s">
        <v>333</v>
      </c>
      <c r="D43" s="1">
        <f t="shared" si="60"/>
        <v>33</v>
      </c>
      <c r="E43" s="5" t="s">
        <v>80</v>
      </c>
      <c r="F43" s="1" t="s">
        <v>81</v>
      </c>
      <c r="G43" s="16">
        <v>1446.5</v>
      </c>
      <c r="H43" s="6">
        <f>+G43*L43/JPY</f>
        <v>18150.841339070568</v>
      </c>
      <c r="I43" s="6">
        <f>([33]Main!$K$5-[33]Main!$K$6)/JPY</f>
        <v>-5033.4526678141137</v>
      </c>
      <c r="J43" s="6">
        <f>+H43-I43</f>
        <v>23184.29400688468</v>
      </c>
      <c r="K43" s="3" t="s">
        <v>1070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5">
      <c r="A44" s="101" t="s">
        <v>333</v>
      </c>
      <c r="B44"/>
      <c r="C44"/>
      <c r="D44" s="1">
        <f t="shared" si="60"/>
        <v>34</v>
      </c>
      <c r="E44" s="5" t="s">
        <v>67</v>
      </c>
      <c r="F44" s="1" t="s">
        <v>68</v>
      </c>
      <c r="G44" s="16">
        <v>7753</v>
      </c>
      <c r="H44" s="6">
        <f>+G44*L44/JPY</f>
        <v>28969.036460757314</v>
      </c>
      <c r="I44" s="6">
        <f>([34]Main!$L$5-[34]Main!$L$6)/JPY</f>
        <v>6437.1703958691915</v>
      </c>
      <c r="J44" s="6">
        <f>H44-I44</f>
        <v>22531.866064888123</v>
      </c>
      <c r="K44" s="3" t="s">
        <v>1070</v>
      </c>
      <c r="L44" s="6">
        <f>+[34]Main!$L$3</f>
        <v>542.72572500000001</v>
      </c>
      <c r="M44" s="9">
        <v>45539</v>
      </c>
    </row>
    <row r="45" spans="1:32" x14ac:dyDescent="0.25">
      <c r="A45" s="101" t="s">
        <v>333</v>
      </c>
      <c r="B45"/>
      <c r="C45"/>
      <c r="D45" s="1">
        <f t="shared" si="60"/>
        <v>35</v>
      </c>
      <c r="E45" s="5" t="s">
        <v>77</v>
      </c>
      <c r="F45" s="1" t="s">
        <v>78</v>
      </c>
      <c r="G45" s="7">
        <v>30.74</v>
      </c>
      <c r="H45" s="6">
        <f>+G45*L45</f>
        <v>18242.934209520001</v>
      </c>
      <c r="I45" s="6">
        <f>+[35]Main!$L$5-[35]Main!$L$6</f>
        <v>-4677.3590000000004</v>
      </c>
      <c r="J45" s="6">
        <f>+H45-I45</f>
        <v>22920.293209520001</v>
      </c>
      <c r="K45" s="3" t="s">
        <v>1070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5">
      <c r="A46" s="101" t="s">
        <v>333</v>
      </c>
      <c r="B46"/>
      <c r="C46"/>
      <c r="D46" s="1">
        <f t="shared" si="60"/>
        <v>36</v>
      </c>
      <c r="E46" s="5" t="s">
        <v>262</v>
      </c>
      <c r="F46" t="s">
        <v>263</v>
      </c>
      <c r="G46" s="7">
        <v>135.72</v>
      </c>
      <c r="H46" s="6">
        <f>+G46*L46</f>
        <v>19815.12</v>
      </c>
      <c r="I46" s="6">
        <f>+[36]Main!$J$5-[36]Main!$J$6</f>
        <v>-1500</v>
      </c>
      <c r="J46" s="6">
        <f>+H46-I46</f>
        <v>21315.119999999999</v>
      </c>
      <c r="K46" s="3" t="s">
        <v>1070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5">
      <c r="A47" s="101" t="s">
        <v>333</v>
      </c>
      <c r="B47"/>
      <c r="C47"/>
      <c r="D47" s="1">
        <f t="shared" si="60"/>
        <v>37</v>
      </c>
      <c r="E47" s="5" t="s">
        <v>352</v>
      </c>
      <c r="F47" t="s">
        <v>353</v>
      </c>
      <c r="G47" s="19">
        <v>169000</v>
      </c>
      <c r="H47" s="6">
        <f>+G47*L47/KRW</f>
        <v>16804.130769713887</v>
      </c>
      <c r="I47" s="6">
        <f>([37]Main!$J$5-[37]Main!$J$6)/KRW</f>
        <v>-768.78087927424986</v>
      </c>
      <c r="J47" s="6">
        <f t="shared" ref="J47:J54" si="61">H47-I47</f>
        <v>17572.911648988138</v>
      </c>
      <c r="K47" s="3" t="s">
        <v>1070</v>
      </c>
      <c r="L47" s="6">
        <f>+[37]Main!$J$3</f>
        <v>142.48709700000001</v>
      </c>
      <c r="M47" s="9">
        <v>45537</v>
      </c>
    </row>
    <row r="48" spans="1:32" x14ac:dyDescent="0.25">
      <c r="A48" s="101" t="s">
        <v>333</v>
      </c>
      <c r="B48">
        <v>1</v>
      </c>
      <c r="C48">
        <v>3</v>
      </c>
      <c r="D48" s="1">
        <f t="shared" si="60"/>
        <v>38</v>
      </c>
      <c r="E48" s="5" t="s">
        <v>84</v>
      </c>
      <c r="F48" s="1" t="s">
        <v>85</v>
      </c>
      <c r="G48" s="7">
        <v>7.19</v>
      </c>
      <c r="H48" s="6">
        <f>+G48*L48</f>
        <v>4943.5197885200005</v>
      </c>
      <c r="I48" s="6">
        <f>([38]Main!$L$5-[38]Main!$L$6)*EUR</f>
        <v>-9653.0694899999999</v>
      </c>
      <c r="J48" s="6">
        <f t="shared" si="61"/>
        <v>14596.589278520001</v>
      </c>
      <c r="K48" s="3" t="s">
        <v>1277</v>
      </c>
      <c r="L48" s="6">
        <f>+[38]Main!$L$3</f>
        <v>687.55490800000007</v>
      </c>
      <c r="M48" s="9">
        <v>45749</v>
      </c>
    </row>
    <row r="49" spans="1:32" x14ac:dyDescent="0.25">
      <c r="A49" s="101" t="s">
        <v>333</v>
      </c>
      <c r="B49">
        <v>8</v>
      </c>
      <c r="C49">
        <v>8</v>
      </c>
      <c r="D49" s="1">
        <f t="shared" si="60"/>
        <v>39</v>
      </c>
      <c r="E49" s="5" t="s">
        <v>69</v>
      </c>
      <c r="F49" s="1" t="s">
        <v>70</v>
      </c>
      <c r="G49" s="7">
        <v>58.91</v>
      </c>
      <c r="H49" s="6">
        <f>+G49*L49</f>
        <v>11546.359999999999</v>
      </c>
      <c r="I49" s="6">
        <f>+[39]Main!$L$5-[39]Main!$L$6</f>
        <v>1183</v>
      </c>
      <c r="J49" s="6">
        <f t="shared" si="61"/>
        <v>10363.359999999999</v>
      </c>
      <c r="K49" s="3" t="s">
        <v>1843</v>
      </c>
      <c r="L49" s="6">
        <f>+[39]Main!$L$3</f>
        <v>196</v>
      </c>
      <c r="M49" s="9">
        <v>45798</v>
      </c>
      <c r="AE49">
        <v>1997</v>
      </c>
      <c r="AF49" s="1" t="s">
        <v>1124</v>
      </c>
    </row>
    <row r="50" spans="1:32" x14ac:dyDescent="0.25">
      <c r="A50" s="101" t="s">
        <v>333</v>
      </c>
      <c r="B50"/>
      <c r="C50"/>
      <c r="D50" s="1">
        <f t="shared" si="60"/>
        <v>40</v>
      </c>
      <c r="E50" s="5" t="s">
        <v>59</v>
      </c>
      <c r="F50" s="1" t="s">
        <v>60</v>
      </c>
      <c r="G50" s="3">
        <v>19.489999999999998</v>
      </c>
      <c r="H50" s="6">
        <f>+G50*L50*10</f>
        <v>12901.842855599998</v>
      </c>
      <c r="I50" s="6">
        <f>([40]Main!$K$7-[40]Main!$K$8)/DKK</f>
        <v>0</v>
      </c>
      <c r="J50" s="6">
        <f t="shared" si="61"/>
        <v>12901.842855599998</v>
      </c>
      <c r="K50" s="3" t="s">
        <v>1070</v>
      </c>
      <c r="L50" s="6">
        <f>+[40]Main!$K$4</f>
        <v>66.197243999999998</v>
      </c>
      <c r="M50" s="9">
        <v>45537</v>
      </c>
      <c r="AE50" s="1">
        <v>1999</v>
      </c>
      <c r="AF50" s="1" t="s">
        <v>1125</v>
      </c>
    </row>
    <row r="51" spans="1:32" x14ac:dyDescent="0.25">
      <c r="A51" s="101" t="s">
        <v>333</v>
      </c>
      <c r="B51"/>
      <c r="C51"/>
      <c r="D51" s="1">
        <f t="shared" si="60"/>
        <v>41</v>
      </c>
      <c r="E51" s="5" t="s">
        <v>59</v>
      </c>
      <c r="F51" t="s">
        <v>513</v>
      </c>
      <c r="G51" s="6">
        <v>1340</v>
      </c>
      <c r="H51" s="6">
        <f>+G51*L51/DKK</f>
        <v>12569.690656086155</v>
      </c>
      <c r="I51" s="6">
        <f>([40]Main!$K$7-[40]Main!$K$8)/DKK</f>
        <v>0</v>
      </c>
      <c r="J51" s="6">
        <f t="shared" si="61"/>
        <v>12569.690656086155</v>
      </c>
      <c r="K51" s="3" t="s">
        <v>1070</v>
      </c>
      <c r="L51" s="6">
        <f>+[40]Main!$K$4</f>
        <v>66.197243999999998</v>
      </c>
      <c r="M51" s="9">
        <v>45537</v>
      </c>
      <c r="AE51" s="1">
        <v>1999</v>
      </c>
      <c r="AF51" s="1" t="s">
        <v>1125</v>
      </c>
    </row>
    <row r="52" spans="1:32" x14ac:dyDescent="0.25">
      <c r="A52" s="101" t="s">
        <v>333</v>
      </c>
      <c r="B52"/>
      <c r="C52"/>
      <c r="D52" s="1">
        <f t="shared" si="60"/>
        <v>42</v>
      </c>
      <c r="E52" s="5" t="s">
        <v>408</v>
      </c>
      <c r="F52" t="s">
        <v>409</v>
      </c>
      <c r="G52" s="18">
        <v>24.5</v>
      </c>
      <c r="H52" s="6">
        <f>+G52*L52/CNY</f>
        <v>20503.113782087446</v>
      </c>
      <c r="I52" s="6">
        <f>([41]Main!$J$5-[41]Main!$J$6)/CNY</f>
        <v>3006.8781382228485</v>
      </c>
      <c r="J52" s="6">
        <f t="shared" si="61"/>
        <v>17496.235643864598</v>
      </c>
      <c r="K52" s="3" t="s">
        <v>1113</v>
      </c>
      <c r="L52" s="6">
        <f>+[41]Main!$J$3</f>
        <v>5933.3500700000004</v>
      </c>
      <c r="M52" s="9">
        <v>45539</v>
      </c>
      <c r="AE52" s="1">
        <v>1995</v>
      </c>
    </row>
    <row r="53" spans="1:32" x14ac:dyDescent="0.25">
      <c r="A53" s="101" t="s">
        <v>333</v>
      </c>
      <c r="B53"/>
      <c r="C53"/>
      <c r="D53" s="1">
        <f t="shared" si="60"/>
        <v>43</v>
      </c>
      <c r="E53" s="5" t="s">
        <v>88</v>
      </c>
      <c r="F53" s="1" t="s">
        <v>89</v>
      </c>
      <c r="G53" s="7">
        <v>304.37</v>
      </c>
      <c r="H53" s="6">
        <f>+G53*L53</f>
        <v>13541.779239120002</v>
      </c>
      <c r="I53" s="6">
        <f>[42]Main!$K$5-[42]Main!$K$6</f>
        <v>3801.8999999999996</v>
      </c>
      <c r="J53" s="6">
        <f t="shared" si="61"/>
        <v>9739.8792391200022</v>
      </c>
      <c r="K53" s="3" t="s">
        <v>1070</v>
      </c>
      <c r="L53" s="6">
        <f>+[42]Main!$K$3</f>
        <v>44.491176000000003</v>
      </c>
      <c r="M53" s="9">
        <v>45537</v>
      </c>
    </row>
    <row r="54" spans="1:32" x14ac:dyDescent="0.25">
      <c r="A54" s="101" t="s">
        <v>333</v>
      </c>
      <c r="B54"/>
      <c r="C54"/>
      <c r="D54" s="1">
        <f t="shared" si="60"/>
        <v>44</v>
      </c>
      <c r="E54" s="5" t="s">
        <v>707</v>
      </c>
      <c r="F54" t="s">
        <v>708</v>
      </c>
      <c r="G54" s="7">
        <v>19.28</v>
      </c>
      <c r="H54" s="6">
        <f>+G54*L54</f>
        <v>14224.726931200001</v>
      </c>
      <c r="I54" s="6">
        <f>+[43]Main!$K$5-[43]Main!$K$6</f>
        <v>412.34900000000005</v>
      </c>
      <c r="J54" s="6">
        <f t="shared" si="61"/>
        <v>13812.377931200001</v>
      </c>
      <c r="K54" s="3" t="s">
        <v>1070</v>
      </c>
      <c r="L54" s="6">
        <f>+[43]Main!$K$3</f>
        <v>737.79704000000004</v>
      </c>
      <c r="M54" s="9">
        <v>45544</v>
      </c>
    </row>
    <row r="55" spans="1:32" x14ac:dyDescent="0.25">
      <c r="A55" s="101" t="s">
        <v>333</v>
      </c>
      <c r="B55"/>
      <c r="C55"/>
      <c r="D55" s="1">
        <f t="shared" si="60"/>
        <v>45</v>
      </c>
      <c r="E55" s="5" t="s">
        <v>113</v>
      </c>
      <c r="F55" s="1" t="s">
        <v>114</v>
      </c>
      <c r="G55" s="3">
        <v>9.31</v>
      </c>
      <c r="H55" s="6">
        <f>+G55*L55</f>
        <v>2397.0780708700004</v>
      </c>
      <c r="I55" s="6">
        <f>[44]Main!$L$5-[44]Main!$L$6</f>
        <v>-8205</v>
      </c>
      <c r="J55" s="6">
        <f>+H55-I55</f>
        <v>10602.07807087</v>
      </c>
      <c r="K55" s="3" t="s">
        <v>1070</v>
      </c>
      <c r="L55" s="6">
        <f>+[44]Main!$L$3</f>
        <v>257.473477</v>
      </c>
      <c r="M55" s="9">
        <v>45562</v>
      </c>
    </row>
    <row r="56" spans="1:32" customFormat="1" x14ac:dyDescent="0.25">
      <c r="A56" s="101" t="s">
        <v>333</v>
      </c>
      <c r="D56" s="1">
        <f t="shared" si="60"/>
        <v>46</v>
      </c>
      <c r="E56" s="5" t="s">
        <v>380</v>
      </c>
      <c r="F56" t="s">
        <v>381</v>
      </c>
      <c r="G56" s="45">
        <v>24.83</v>
      </c>
      <c r="H56" s="30">
        <f>+G56*L56/CNY</f>
        <v>9359.0493644753169</v>
      </c>
      <c r="I56" s="6">
        <f>([45]Main!$K$6-[45]Main!$K$7)/CNY</f>
        <v>-2662.9055007052189</v>
      </c>
      <c r="J56" s="6">
        <f>+H56-I56</f>
        <v>12021.954865180536</v>
      </c>
      <c r="K56" s="3" t="s">
        <v>1113</v>
      </c>
      <c r="L56" s="6">
        <f>+[45]Main!$K$4</f>
        <v>2672.3987109999998</v>
      </c>
      <c r="M56" s="9">
        <v>45542</v>
      </c>
      <c r="Y56" s="40"/>
      <c r="Z56" s="40"/>
      <c r="AA56" s="40"/>
      <c r="AB56" s="40"/>
      <c r="AC56" s="40"/>
      <c r="AD56" s="40"/>
    </row>
    <row r="57" spans="1:32" x14ac:dyDescent="0.25">
      <c r="A57" s="101" t="s">
        <v>333</v>
      </c>
      <c r="B57"/>
      <c r="C57"/>
      <c r="D57" s="1">
        <f>+D56</f>
        <v>46</v>
      </c>
      <c r="E57" s="5" t="s">
        <v>380</v>
      </c>
      <c r="F57" t="s">
        <v>382</v>
      </c>
      <c r="G57" s="3">
        <v>14.96</v>
      </c>
      <c r="H57" s="6">
        <f>+G57*L57/HKD</f>
        <v>5125.5236816102561</v>
      </c>
      <c r="I57" s="6">
        <f>([45]Main!$K$6-[45]Main!$K$7)/CNY</f>
        <v>-2662.9055007052189</v>
      </c>
      <c r="J57" s="6">
        <f>+H57-I57</f>
        <v>7788.4291823154745</v>
      </c>
      <c r="K57" s="3" t="s">
        <v>1113</v>
      </c>
      <c r="L57" s="6">
        <f>+[45]Main!$K$4</f>
        <v>2672.3987109999998</v>
      </c>
      <c r="M57" s="9">
        <v>45542</v>
      </c>
    </row>
    <row r="58" spans="1:32" x14ac:dyDescent="0.25">
      <c r="A58" s="101" t="s">
        <v>333</v>
      </c>
      <c r="B58"/>
      <c r="C58"/>
      <c r="D58" s="1">
        <f t="shared" ref="D58:D89" si="62">+D57+1</f>
        <v>47</v>
      </c>
      <c r="E58" s="5" t="s">
        <v>174</v>
      </c>
      <c r="F58" s="1" t="s">
        <v>175</v>
      </c>
      <c r="G58" s="7">
        <v>75.44</v>
      </c>
      <c r="H58" s="6">
        <f>+G58*L58</f>
        <v>12964.296330320001</v>
      </c>
      <c r="I58" s="6">
        <f>+[46]Main!$L$5-[46]Main!$L$6</f>
        <v>299.97399999999993</v>
      </c>
      <c r="J58" s="6">
        <f>+H58-I58</f>
        <v>12664.322330320001</v>
      </c>
      <c r="K58" s="3" t="s">
        <v>1070</v>
      </c>
      <c r="L58" s="6">
        <f>+[46]Main!$L$3</f>
        <v>171.84910300000001</v>
      </c>
      <c r="M58" s="9">
        <v>45583</v>
      </c>
      <c r="AE58" s="1">
        <v>1999</v>
      </c>
    </row>
    <row r="59" spans="1:32" x14ac:dyDescent="0.25">
      <c r="A59" s="101" t="s">
        <v>333</v>
      </c>
      <c r="D59" s="1">
        <f t="shared" si="62"/>
        <v>48</v>
      </c>
      <c r="E59" s="5" t="s">
        <v>49</v>
      </c>
      <c r="F59" s="1" t="s">
        <v>50</v>
      </c>
      <c r="G59" s="7">
        <v>59.65</v>
      </c>
      <c r="H59" s="6">
        <f>+G59*L59</f>
        <v>11488.47231055</v>
      </c>
      <c r="I59" s="6">
        <f>+[47]Main!$K$5-[47]Main!$K$6</f>
        <v>1549.0429999999999</v>
      </c>
      <c r="J59" s="6">
        <f>H59-I59</f>
        <v>9939.4293105500001</v>
      </c>
      <c r="K59" s="3" t="s">
        <v>1070</v>
      </c>
      <c r="L59" s="6">
        <f>+[47]Main!$K$3</f>
        <v>192.598027</v>
      </c>
      <c r="M59" s="9">
        <v>45537</v>
      </c>
    </row>
    <row r="60" spans="1:32" x14ac:dyDescent="0.25">
      <c r="A60" s="101" t="s">
        <v>333</v>
      </c>
      <c r="B60"/>
      <c r="C60"/>
      <c r="D60" s="1">
        <f t="shared" si="62"/>
        <v>49</v>
      </c>
      <c r="E60" s="5" t="s">
        <v>273</v>
      </c>
      <c r="F60" t="s">
        <v>274</v>
      </c>
      <c r="G60" s="16">
        <v>4145</v>
      </c>
      <c r="H60" s="6">
        <f>+G60*L60/JPY</f>
        <v>8171.4975748020661</v>
      </c>
      <c r="I60" s="6">
        <f>+([48]Main!$K$5-[48]Main!$K$6)/JPY</f>
        <v>861.49397590361446</v>
      </c>
      <c r="J60" s="6">
        <f>H60-I60</f>
        <v>7310.0035988984519</v>
      </c>
      <c r="K60" s="3" t="s">
        <v>1070</v>
      </c>
      <c r="L60" s="6">
        <f>+[48]Main!$K$3</f>
        <v>286.34741200000002</v>
      </c>
      <c r="M60" s="9">
        <v>45537</v>
      </c>
    </row>
    <row r="61" spans="1:32" x14ac:dyDescent="0.25">
      <c r="A61" s="101" t="s">
        <v>333</v>
      </c>
      <c r="B61"/>
      <c r="C61"/>
      <c r="D61" s="1">
        <f t="shared" si="62"/>
        <v>50</v>
      </c>
      <c r="E61" s="5" t="s">
        <v>92</v>
      </c>
      <c r="F61" s="1" t="s">
        <v>93</v>
      </c>
      <c r="G61" s="7">
        <v>122.9</v>
      </c>
      <c r="H61" s="6">
        <f>+G61*L61</f>
        <v>7574.6761588999998</v>
      </c>
      <c r="I61" s="6">
        <f>+[49]Main!$K$5-[49]Main!$K$6</f>
        <v>-2795.5349999999999</v>
      </c>
      <c r="J61" s="6">
        <f>+H61-I61</f>
        <v>10370.2111589</v>
      </c>
      <c r="K61" s="3" t="s">
        <v>1070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5">
      <c r="A62" s="101" t="s">
        <v>333</v>
      </c>
      <c r="B62"/>
      <c r="C62"/>
      <c r="D62" s="1">
        <f t="shared" si="62"/>
        <v>51</v>
      </c>
      <c r="E62" s="5" t="s">
        <v>1118</v>
      </c>
      <c r="F62" t="s">
        <v>1119</v>
      </c>
      <c r="G62" s="7">
        <v>34.57</v>
      </c>
      <c r="H62" s="6">
        <f>+G62*L62</f>
        <v>3858.3463264700003</v>
      </c>
      <c r="I62" s="6">
        <f>+[50]Main!$L$5-[50]Main!$L$6</f>
        <v>1853.0430000000001</v>
      </c>
      <c r="J62" s="6">
        <f>+H62-I62</f>
        <v>2005.3033264700002</v>
      </c>
      <c r="K62" s="3" t="s">
        <v>1070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5">
      <c r="A63" s="101" t="s">
        <v>333</v>
      </c>
      <c r="D63" s="1">
        <f t="shared" si="62"/>
        <v>52</v>
      </c>
      <c r="E63" s="5" t="s">
        <v>365</v>
      </c>
      <c r="F63" t="s">
        <v>366</v>
      </c>
      <c r="G63" s="14">
        <v>106.4</v>
      </c>
      <c r="H63" s="6">
        <f>+G63*L63*EUR</f>
        <v>9898.8307787040012</v>
      </c>
      <c r="I63" s="6">
        <f>([51]Main!$L$5-[51]Main!$L$6)*EUR</f>
        <v>7.548</v>
      </c>
      <c r="J63" s="6">
        <f>+H63-I63</f>
        <v>9891.2827787040005</v>
      </c>
      <c r="K63" s="3" t="s">
        <v>1070</v>
      </c>
      <c r="L63" s="6">
        <f>+[51]Main!$L$3</f>
        <v>83.814526000000001</v>
      </c>
      <c r="M63" s="9">
        <v>45563</v>
      </c>
    </row>
    <row r="64" spans="1:32" x14ac:dyDescent="0.25">
      <c r="A64" s="88" t="s">
        <v>333</v>
      </c>
      <c r="B64"/>
      <c r="C64"/>
      <c r="D64" s="1">
        <f t="shared" si="62"/>
        <v>53</v>
      </c>
      <c r="E64" s="5" t="s">
        <v>73</v>
      </c>
      <c r="F64" s="1" t="s">
        <v>74</v>
      </c>
      <c r="G64" s="7">
        <v>88.86</v>
      </c>
      <c r="H64" s="6">
        <f>+G64*L64</f>
        <v>21303.27436272</v>
      </c>
      <c r="I64" s="6">
        <f>+[52]Main!$K$5-[52]Main!$K$6</f>
        <v>18066.8</v>
      </c>
      <c r="J64" s="6">
        <f>+H64-I64</f>
        <v>3236.4743627200005</v>
      </c>
      <c r="K64" s="3" t="s">
        <v>1276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5">
      <c r="A65" s="88" t="s">
        <v>333</v>
      </c>
      <c r="D65" s="1">
        <f t="shared" si="62"/>
        <v>54</v>
      </c>
      <c r="E65" s="5" t="s">
        <v>363</v>
      </c>
      <c r="F65" t="s">
        <v>364</v>
      </c>
      <c r="G65" s="14">
        <v>52.3</v>
      </c>
      <c r="H65" s="23">
        <f>G65*L65</f>
        <v>10789.446067999999</v>
      </c>
      <c r="I65" s="6">
        <f>([53]Main!$M$5-[53]Main!$M$6)*EUR</f>
        <v>-1631.0340000000003</v>
      </c>
      <c r="J65" s="6">
        <f>+H65-I65</f>
        <v>12420.480067999999</v>
      </c>
      <c r="K65" s="3" t="s">
        <v>1070</v>
      </c>
      <c r="L65" s="6">
        <f>[53]Main!$M$3</f>
        <v>206.29916</v>
      </c>
      <c r="M65" s="9">
        <v>45540</v>
      </c>
      <c r="AE65" s="1">
        <v>1926</v>
      </c>
    </row>
    <row r="66" spans="1:32" x14ac:dyDescent="0.25">
      <c r="A66" s="88" t="s">
        <v>333</v>
      </c>
      <c r="D66" s="1">
        <f t="shared" si="62"/>
        <v>55</v>
      </c>
      <c r="E66" s="5" t="s">
        <v>90</v>
      </c>
      <c r="F66" s="1" t="s">
        <v>91</v>
      </c>
      <c r="G66" s="7">
        <v>110.93</v>
      </c>
      <c r="H66" s="6">
        <f>+G66*L66</f>
        <v>11425.79</v>
      </c>
      <c r="I66" s="6">
        <f>+[54]Main!$L$5-[54]Main!$L$6</f>
        <v>1940</v>
      </c>
      <c r="J66" s="6">
        <f>H66-I66</f>
        <v>9485.7900000000009</v>
      </c>
      <c r="K66" s="3" t="s">
        <v>1277</v>
      </c>
      <c r="L66" s="6">
        <f>+[54]Main!$L$3</f>
        <v>103</v>
      </c>
      <c r="M66" s="9">
        <v>45707</v>
      </c>
    </row>
    <row r="67" spans="1:32" x14ac:dyDescent="0.25">
      <c r="A67" s="88" t="s">
        <v>333</v>
      </c>
      <c r="D67">
        <f>+D78+1</f>
        <v>67</v>
      </c>
      <c r="E67" s="5" t="s">
        <v>121</v>
      </c>
      <c r="F67" s="1" t="s">
        <v>122</v>
      </c>
      <c r="G67" s="7">
        <v>42.57</v>
      </c>
      <c r="H67" s="6">
        <f>+G67*L67</f>
        <v>11609.1914796</v>
      </c>
      <c r="I67" s="6">
        <f>+[55]Main!$M$5-[55]Main!$M$6</f>
        <v>1650.7570000000001</v>
      </c>
      <c r="J67" s="6">
        <f>+H67-I67</f>
        <v>9958.4344796000005</v>
      </c>
      <c r="K67" s="3" t="s">
        <v>1843</v>
      </c>
      <c r="L67" s="6">
        <f>+[55]Main!$M$3</f>
        <v>272.70828</v>
      </c>
      <c r="M67" s="9">
        <v>45812</v>
      </c>
    </row>
    <row r="68" spans="1:32" x14ac:dyDescent="0.25">
      <c r="A68" s="88" t="s">
        <v>333</v>
      </c>
      <c r="B68"/>
      <c r="C68"/>
      <c r="D68" s="1">
        <f>+D66+1</f>
        <v>56</v>
      </c>
      <c r="E68" s="5" t="s">
        <v>98</v>
      </c>
      <c r="F68" s="1" t="s">
        <v>99</v>
      </c>
      <c r="G68" s="7">
        <v>63</v>
      </c>
      <c r="H68" s="6">
        <f>+G68*L68</f>
        <v>7980.7139999999999</v>
      </c>
      <c r="I68" s="6">
        <f>+[56]Main!$M$5-[56]Main!$M$6</f>
        <v>-973.48500000000013</v>
      </c>
      <c r="J68" s="6">
        <f>+H68-I68</f>
        <v>8954.1990000000005</v>
      </c>
      <c r="K68" s="3" t="s">
        <v>1070</v>
      </c>
      <c r="L68" s="6">
        <f>+[56]Main!$M$3</f>
        <v>126.678</v>
      </c>
      <c r="M68" s="9">
        <v>45538</v>
      </c>
    </row>
    <row r="69" spans="1:32" x14ac:dyDescent="0.25">
      <c r="A69"/>
      <c r="B69"/>
      <c r="C69"/>
      <c r="D69" s="1">
        <f t="shared" si="62"/>
        <v>57</v>
      </c>
      <c r="E69" s="5" t="s">
        <v>138</v>
      </c>
      <c r="F69" s="1" t="s">
        <v>139</v>
      </c>
      <c r="G69" s="3">
        <v>97.64</v>
      </c>
      <c r="H69" s="6">
        <f>+G69*L69</f>
        <v>6779.2078848800011</v>
      </c>
      <c r="I69" s="6">
        <f>+[57]Main!$K$5-[57]Main!$K$6</f>
        <v>310.25300000000004</v>
      </c>
      <c r="J69" s="6">
        <f>+H69-I69</f>
        <v>6468.9548848800014</v>
      </c>
      <c r="K69" s="3" t="s">
        <v>1070</v>
      </c>
      <c r="L69" s="6">
        <f>+[57]Main!$K$3</f>
        <v>69.430642000000006</v>
      </c>
      <c r="M69" s="9">
        <v>45586</v>
      </c>
    </row>
    <row r="70" spans="1:32" x14ac:dyDescent="0.25">
      <c r="A70" s="88" t="s">
        <v>333</v>
      </c>
      <c r="B70"/>
      <c r="C70"/>
      <c r="D70" s="1">
        <f t="shared" si="62"/>
        <v>58</v>
      </c>
      <c r="E70" s="5" t="s">
        <v>371</v>
      </c>
      <c r="F70" t="s">
        <v>372</v>
      </c>
      <c r="G70" s="3">
        <v>54.86</v>
      </c>
      <c r="H70" s="6">
        <f>+G70*L70*EUR</f>
        <v>8594.2984763999993</v>
      </c>
      <c r="I70" s="6">
        <f>([58]Main!$L$5-[58]Main!$L$6)*EUR</f>
        <v>-123.432</v>
      </c>
      <c r="J70" s="6">
        <f>+H70-I70</f>
        <v>8717.7304764</v>
      </c>
      <c r="K70" s="3" t="s">
        <v>1070</v>
      </c>
      <c r="L70" s="6">
        <f>+[58]Main!$L$3</f>
        <v>141.13399999999999</v>
      </c>
      <c r="M70" s="9">
        <v>45566</v>
      </c>
    </row>
    <row r="71" spans="1:32" x14ac:dyDescent="0.25">
      <c r="A71" s="88" t="s">
        <v>333</v>
      </c>
      <c r="D71" s="1">
        <f t="shared" si="62"/>
        <v>59</v>
      </c>
      <c r="E71" s="5" t="s">
        <v>136</v>
      </c>
      <c r="F71" s="1" t="s">
        <v>137</v>
      </c>
      <c r="G71" s="7">
        <v>152</v>
      </c>
      <c r="H71" s="6">
        <f>G71*L71</f>
        <v>8851.112000000001</v>
      </c>
      <c r="I71" s="6">
        <f>[59]Main!$K$5-[59]Main!$K$6</f>
        <v>-413.63900000000001</v>
      </c>
      <c r="J71" s="6">
        <f>H71-I71</f>
        <v>9264.7510000000002</v>
      </c>
      <c r="K71" s="3" t="s">
        <v>1070</v>
      </c>
      <c r="L71" s="6">
        <f>[59]Main!$K$3</f>
        <v>58.231000000000002</v>
      </c>
      <c r="M71" s="9">
        <v>45539</v>
      </c>
      <c r="AE71" s="1">
        <v>2007</v>
      </c>
      <c r="AF71" s="1" t="s">
        <v>1141</v>
      </c>
    </row>
    <row r="72" spans="1:32" s="24" customFormat="1" ht="13" x14ac:dyDescent="0.3">
      <c r="A72" s="88" t="s">
        <v>333</v>
      </c>
      <c r="D72" s="24">
        <f t="shared" si="62"/>
        <v>60</v>
      </c>
      <c r="E72" s="42" t="s">
        <v>1058</v>
      </c>
      <c r="F72" s="24" t="s">
        <v>1059</v>
      </c>
      <c r="G72" s="46">
        <v>24.11</v>
      </c>
      <c r="H72" s="26">
        <f>+G72*L72</f>
        <v>2507.44</v>
      </c>
      <c r="I72" s="25">
        <f>+[60]Main!$K$5-[60]Main!$K$6</f>
        <v>711</v>
      </c>
      <c r="J72" s="26">
        <f t="shared" ref="J72:J87" si="63">+H72-I72</f>
        <v>1796.44</v>
      </c>
      <c r="K72" s="25" t="s">
        <v>1113</v>
      </c>
      <c r="L72" s="25">
        <f>+[60]Main!$K$3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25">
      <c r="A73" s="88" t="s">
        <v>333</v>
      </c>
      <c r="D73">
        <f t="shared" si="62"/>
        <v>61</v>
      </c>
      <c r="E73" s="5" t="s">
        <v>100</v>
      </c>
      <c r="F73" s="1" t="s">
        <v>101</v>
      </c>
      <c r="G73" s="3">
        <v>29.92</v>
      </c>
      <c r="H73" s="6">
        <f>+G73*L73</f>
        <v>4374.6358427200003</v>
      </c>
      <c r="I73" s="6">
        <f>+[61]Main!$L$5-[61]Main!$L$6</f>
        <v>309.9079999999999</v>
      </c>
      <c r="J73" s="6">
        <f t="shared" si="63"/>
        <v>4064.7278427200004</v>
      </c>
      <c r="K73" s="9" t="s">
        <v>1070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25">
      <c r="A74" s="88" t="s">
        <v>333</v>
      </c>
      <c r="D74">
        <f t="shared" si="62"/>
        <v>62</v>
      </c>
      <c r="E74" s="5" t="s">
        <v>295</v>
      </c>
      <c r="F74" t="s">
        <v>296</v>
      </c>
      <c r="G74" s="21">
        <v>1949</v>
      </c>
      <c r="H74" s="6">
        <f>+G74*L74/100*GBP</f>
        <v>5618.4183077750004</v>
      </c>
      <c r="I74" s="6">
        <f>+[62]Main!$K$5-[62]Main!$K$6</f>
        <v>-1276</v>
      </c>
      <c r="J74" s="6">
        <f t="shared" si="63"/>
        <v>6894.4183077750004</v>
      </c>
      <c r="K74" s="3" t="s">
        <v>1070</v>
      </c>
      <c r="L74" s="6">
        <f>+[62]Main!$K$3</f>
        <v>221.74757500000001</v>
      </c>
      <c r="M74" s="9">
        <v>45541</v>
      </c>
    </row>
    <row r="75" spans="1:32" x14ac:dyDescent="0.25">
      <c r="A75" s="88" t="s">
        <v>333</v>
      </c>
      <c r="D75">
        <f t="shared" si="62"/>
        <v>63</v>
      </c>
      <c r="E75" s="5" t="s">
        <v>275</v>
      </c>
      <c r="F75" t="s">
        <v>276</v>
      </c>
      <c r="G75" s="6">
        <v>2173</v>
      </c>
      <c r="H75" s="6">
        <f>+G75*L75/JPY</f>
        <v>7987.034906148021</v>
      </c>
      <c r="I75" s="6">
        <f>([63]Main!$L$5-[63]Main!$L$6)/JPY</f>
        <v>2512.9707401032701</v>
      </c>
      <c r="J75" s="6">
        <f t="shared" si="63"/>
        <v>5474.0641660447509</v>
      </c>
      <c r="K75" s="3" t="s">
        <v>1070</v>
      </c>
      <c r="L75" s="6">
        <f>+[63]Main!$L$3</f>
        <v>533.87796600000001</v>
      </c>
      <c r="M75" s="9">
        <v>45567</v>
      </c>
    </row>
    <row r="76" spans="1:32" x14ac:dyDescent="0.25">
      <c r="A76" t="s">
        <v>333</v>
      </c>
      <c r="B76"/>
      <c r="C76"/>
      <c r="D76">
        <f t="shared" si="62"/>
        <v>64</v>
      </c>
      <c r="E76" s="5" t="s">
        <v>130</v>
      </c>
      <c r="F76" s="1" t="s">
        <v>131</v>
      </c>
      <c r="G76" s="3">
        <v>27.9</v>
      </c>
      <c r="H76" s="6">
        <f t="shared" ref="H76:H80" si="64">+G76*L76</f>
        <v>3805.9901621999993</v>
      </c>
      <c r="I76" s="6">
        <f>+[64]Main!$N$5-[64]Main!$N$6</f>
        <v>-3514.8</v>
      </c>
      <c r="J76" s="6">
        <f t="shared" si="63"/>
        <v>7320.790162199999</v>
      </c>
      <c r="K76" s="3" t="s">
        <v>1070</v>
      </c>
      <c r="L76" s="6">
        <f>+[64]Main!$N$3</f>
        <v>136.41541799999999</v>
      </c>
      <c r="M76" s="9">
        <v>45566</v>
      </c>
    </row>
    <row r="77" spans="1:32" x14ac:dyDescent="0.25">
      <c r="A77" s="88" t="s">
        <v>333</v>
      </c>
      <c r="D77">
        <f t="shared" si="62"/>
        <v>65</v>
      </c>
      <c r="E77" s="5" t="s">
        <v>126</v>
      </c>
      <c r="F77" s="1" t="s">
        <v>127</v>
      </c>
      <c r="G77" s="7">
        <v>62</v>
      </c>
      <c r="H77" s="6">
        <f t="shared" si="64"/>
        <v>6093.1759840000004</v>
      </c>
      <c r="I77" s="6">
        <f>+[65]Main!$L$5-[65]Main!$L$6</f>
        <v>-491.28899999999999</v>
      </c>
      <c r="J77" s="6">
        <f t="shared" si="63"/>
        <v>6584.4649840000002</v>
      </c>
      <c r="K77" s="3" t="s">
        <v>1070</v>
      </c>
      <c r="L77" s="6">
        <f>+[65]Main!$L$3</f>
        <v>98.277032000000005</v>
      </c>
      <c r="M77" s="9">
        <v>45783</v>
      </c>
    </row>
    <row r="78" spans="1:32" x14ac:dyDescent="0.25">
      <c r="A78" s="88" t="s">
        <v>333</v>
      </c>
      <c r="D78">
        <f t="shared" si="62"/>
        <v>66</v>
      </c>
      <c r="E78" s="5" t="s">
        <v>685</v>
      </c>
      <c r="F78" t="s">
        <v>686</v>
      </c>
      <c r="G78" s="7">
        <v>40.200000000000003</v>
      </c>
      <c r="H78" s="6">
        <f t="shared" si="64"/>
        <v>4729.9150356</v>
      </c>
      <c r="I78" s="6">
        <f>+[66]Main!$K$5-[66]Main!$K$6</f>
        <v>707.18499999999995</v>
      </c>
      <c r="J78" s="6">
        <f t="shared" si="63"/>
        <v>4022.7300356000001</v>
      </c>
      <c r="K78" s="3" t="s">
        <v>1070</v>
      </c>
      <c r="L78" s="6">
        <f>+[66]Main!$K$3</f>
        <v>117.659578</v>
      </c>
      <c r="M78" s="9">
        <v>45570</v>
      </c>
    </row>
    <row r="79" spans="1:32" x14ac:dyDescent="0.25">
      <c r="A79" s="88" t="s">
        <v>333</v>
      </c>
      <c r="D79">
        <f>+D67+1</f>
        <v>68</v>
      </c>
      <c r="E79" s="5" t="s">
        <v>697</v>
      </c>
      <c r="F79" t="s">
        <v>698</v>
      </c>
      <c r="G79" s="53">
        <v>34.42</v>
      </c>
      <c r="H79" s="29">
        <f t="shared" si="64"/>
        <v>6456.7101200000006</v>
      </c>
      <c r="I79" s="29">
        <f>+[67]Main!$N$5-[67]Main!$N$6</f>
        <v>-1130.3990000000001</v>
      </c>
      <c r="J79" s="29">
        <f t="shared" si="63"/>
        <v>7587.109120000001</v>
      </c>
      <c r="K79" s="27" t="s">
        <v>1070</v>
      </c>
      <c r="L79" s="29">
        <f>+[67]Main!$N$3</f>
        <v>187.58600000000001</v>
      </c>
      <c r="M79" s="36">
        <v>45579</v>
      </c>
    </row>
    <row r="80" spans="1:32" x14ac:dyDescent="0.25">
      <c r="A80" s="88" t="s">
        <v>333</v>
      </c>
      <c r="B80"/>
      <c r="C80"/>
      <c r="D80">
        <f t="shared" si="62"/>
        <v>69</v>
      </c>
      <c r="E80" s="5" t="s">
        <v>151</v>
      </c>
      <c r="F80" s="1" t="s">
        <v>152</v>
      </c>
      <c r="G80" s="3">
        <v>86.95</v>
      </c>
      <c r="H80" s="6">
        <f t="shared" si="64"/>
        <v>5465.1553000000004</v>
      </c>
      <c r="I80" s="6">
        <f>+[68]Main!$K$5-[68]Main!$K$6</f>
        <v>481.55700000000002</v>
      </c>
      <c r="J80" s="6">
        <f t="shared" si="63"/>
        <v>4983.5983000000006</v>
      </c>
      <c r="K80" s="3" t="s">
        <v>1070</v>
      </c>
      <c r="L80" s="6">
        <f>+[68]Main!$K$3</f>
        <v>62.853999999999999</v>
      </c>
      <c r="M80" s="9">
        <v>45549</v>
      </c>
    </row>
    <row r="81" spans="1:32" x14ac:dyDescent="0.25">
      <c r="A81" s="88" t="s">
        <v>333</v>
      </c>
      <c r="B81"/>
      <c r="C81"/>
      <c r="D81">
        <f t="shared" si="62"/>
        <v>70</v>
      </c>
      <c r="E81" s="5" t="s">
        <v>680</v>
      </c>
      <c r="F81" t="s">
        <v>1825</v>
      </c>
      <c r="G81" s="7">
        <v>28.8</v>
      </c>
      <c r="H81" s="6">
        <f>+G81*L81/DKK</f>
        <v>4047.1815218931561</v>
      </c>
      <c r="I81" s="6">
        <f>([69]Main!$K$5-[69]Main!$K$6)/DKK</f>
        <v>356.95054555760237</v>
      </c>
      <c r="J81" s="6">
        <f t="shared" si="63"/>
        <v>3690.2309763355538</v>
      </c>
      <c r="K81" s="3" t="s">
        <v>1070</v>
      </c>
      <c r="L81" s="6">
        <f>+[69]Main!$K$3</f>
        <v>991.7</v>
      </c>
      <c r="M81" s="9">
        <v>45581</v>
      </c>
    </row>
    <row r="82" spans="1:32" x14ac:dyDescent="0.25">
      <c r="A82" s="88" t="s">
        <v>333</v>
      </c>
      <c r="D82">
        <f t="shared" si="62"/>
        <v>71</v>
      </c>
      <c r="E82" s="5" t="s">
        <v>803</v>
      </c>
      <c r="F82" t="s">
        <v>804</v>
      </c>
      <c r="G82" s="3">
        <v>19.350000000000001</v>
      </c>
      <c r="H82" s="6">
        <f t="shared" ref="H82:H88" si="65">+G82*L82</f>
        <v>4682.7000000000007</v>
      </c>
      <c r="I82" s="6">
        <f>+[70]Main!$L$5-[70]Main!$L$6</f>
        <v>-43</v>
      </c>
      <c r="J82" s="6">
        <f t="shared" si="63"/>
        <v>4725.7000000000007</v>
      </c>
      <c r="K82" s="3" t="s">
        <v>1070</v>
      </c>
      <c r="L82" s="6">
        <f>+[70]Main!$L$3</f>
        <v>242</v>
      </c>
      <c r="M82" s="9">
        <v>45566</v>
      </c>
    </row>
    <row r="83" spans="1:32" x14ac:dyDescent="0.25">
      <c r="A83" s="88" t="s">
        <v>333</v>
      </c>
      <c r="D83">
        <f t="shared" si="62"/>
        <v>72</v>
      </c>
      <c r="E83" s="5" t="s">
        <v>117</v>
      </c>
      <c r="F83" s="1" t="s">
        <v>118</v>
      </c>
      <c r="G83" s="7">
        <v>33.270000000000003</v>
      </c>
      <c r="H83" s="6">
        <f t="shared" si="65"/>
        <v>6075.1711017900006</v>
      </c>
      <c r="I83" s="6">
        <f>+[71]Main!$K$5-[71]Main!$K$6</f>
        <v>1008.441</v>
      </c>
      <c r="J83" s="6">
        <f t="shared" si="63"/>
        <v>5066.7301017900008</v>
      </c>
      <c r="K83" s="3" t="s">
        <v>1070</v>
      </c>
      <c r="L83" s="6">
        <f>+[71]Main!$K$3</f>
        <v>182.60207700000001</v>
      </c>
      <c r="M83" s="9">
        <v>45574</v>
      </c>
    </row>
    <row r="84" spans="1:32" x14ac:dyDescent="0.25">
      <c r="A84" s="88" t="s">
        <v>333</v>
      </c>
      <c r="B84"/>
      <c r="C84"/>
      <c r="D84">
        <f t="shared" si="62"/>
        <v>73</v>
      </c>
      <c r="E84" s="5" t="s">
        <v>197</v>
      </c>
      <c r="F84" s="1" t="s">
        <v>198</v>
      </c>
      <c r="G84" s="7">
        <v>177</v>
      </c>
      <c r="H84" s="6">
        <f t="shared" si="65"/>
        <v>5090.6169959999997</v>
      </c>
      <c r="I84" s="6">
        <f>+[72]Main!$K$5-[72]Main!$K$6</f>
        <v>694.2120000000001</v>
      </c>
      <c r="J84" s="6">
        <f t="shared" si="63"/>
        <v>4396.4049959999993</v>
      </c>
      <c r="K84" s="3" t="s">
        <v>1276</v>
      </c>
      <c r="L84" s="6">
        <f>+[72]Main!$K$3</f>
        <v>28.760548</v>
      </c>
      <c r="M84" s="9">
        <v>45631</v>
      </c>
    </row>
    <row r="85" spans="1:32" x14ac:dyDescent="0.25">
      <c r="A85" s="88" t="s">
        <v>333</v>
      </c>
      <c r="B85"/>
      <c r="C85"/>
      <c r="D85">
        <f t="shared" si="62"/>
        <v>74</v>
      </c>
      <c r="E85" s="5" t="s">
        <v>86</v>
      </c>
      <c r="F85" s="1" t="s">
        <v>87</v>
      </c>
      <c r="G85" s="7">
        <v>20.46</v>
      </c>
      <c r="H85" s="6">
        <f t="shared" si="65"/>
        <v>2067.5831517000001</v>
      </c>
      <c r="I85" s="6">
        <f>+[73]Main!$L$5-[73]Main!$L$6</f>
        <v>489</v>
      </c>
      <c r="J85" s="6">
        <f t="shared" si="63"/>
        <v>1578.5831517000001</v>
      </c>
      <c r="K85" s="3" t="s">
        <v>1070</v>
      </c>
      <c r="L85" s="6">
        <f>+[73]Main!$L$3</f>
        <v>101.054895</v>
      </c>
      <c r="M85" s="9">
        <v>45583</v>
      </c>
    </row>
    <row r="86" spans="1:32" x14ac:dyDescent="0.25">
      <c r="A86" s="88" t="s">
        <v>333</v>
      </c>
      <c r="B86"/>
      <c r="C86"/>
      <c r="D86">
        <f t="shared" si="62"/>
        <v>75</v>
      </c>
      <c r="E86" s="5" t="s">
        <v>678</v>
      </c>
      <c r="F86" t="s">
        <v>679</v>
      </c>
      <c r="G86" s="7">
        <v>325</v>
      </c>
      <c r="H86" s="6">
        <f t="shared" si="65"/>
        <v>7056.6200250000002</v>
      </c>
      <c r="I86" s="6">
        <f>+[74]Main!$M$5-[74]Main!$M$6</f>
        <v>946.1869999999999</v>
      </c>
      <c r="J86" s="6">
        <f t="shared" si="63"/>
        <v>6110.4330250000003</v>
      </c>
      <c r="K86" s="3" t="s">
        <v>1070</v>
      </c>
      <c r="L86" s="6">
        <f>+[74]Main!$M$3</f>
        <v>21.712676999999999</v>
      </c>
      <c r="M86" s="9">
        <v>45783</v>
      </c>
    </row>
    <row r="87" spans="1:32" x14ac:dyDescent="0.25">
      <c r="A87" s="88" t="s">
        <v>333</v>
      </c>
      <c r="B87"/>
      <c r="C87"/>
      <c r="D87">
        <f t="shared" si="62"/>
        <v>76</v>
      </c>
      <c r="E87" s="5" t="s">
        <v>430</v>
      </c>
      <c r="F87" t="s">
        <v>431</v>
      </c>
      <c r="G87" s="7">
        <v>115.95</v>
      </c>
      <c r="H87" s="6">
        <f t="shared" si="65"/>
        <v>5616.1667226</v>
      </c>
      <c r="I87" s="6">
        <f>+[75]Main!$L$5-[75]Main!$L$6</f>
        <v>206.86999999999998</v>
      </c>
      <c r="J87" s="6">
        <f t="shared" si="63"/>
        <v>5409.2967226000001</v>
      </c>
      <c r="K87" s="3" t="s">
        <v>1070</v>
      </c>
      <c r="L87" s="6">
        <f>+[75]Main!$L$3</f>
        <v>48.436107999999997</v>
      </c>
      <c r="M87" s="9">
        <v>45540</v>
      </c>
    </row>
    <row r="88" spans="1:32" x14ac:dyDescent="0.25">
      <c r="A88" s="88" t="s">
        <v>333</v>
      </c>
      <c r="B88"/>
      <c r="C88"/>
      <c r="D88">
        <f t="shared" si="62"/>
        <v>77</v>
      </c>
      <c r="E88" s="13" t="s">
        <v>53</v>
      </c>
      <c r="F88" s="1" t="s">
        <v>54</v>
      </c>
      <c r="G88" s="7">
        <v>28.15</v>
      </c>
      <c r="H88" s="6">
        <f t="shared" si="65"/>
        <v>10832.62137965</v>
      </c>
      <c r="I88" s="6">
        <f>+[76]Main!$K$5-[76]Main!$K$6</f>
        <v>9519</v>
      </c>
      <c r="J88" s="6">
        <f>H88-I88</f>
        <v>1313.6213796499997</v>
      </c>
      <c r="K88" s="3" t="s">
        <v>1277</v>
      </c>
      <c r="L88" s="6">
        <f>+[76]Main!$K$3</f>
        <v>384.81781100000001</v>
      </c>
      <c r="M88" s="9">
        <v>45707</v>
      </c>
      <c r="AF88" s="1" t="s">
        <v>608</v>
      </c>
    </row>
    <row r="89" spans="1:32" x14ac:dyDescent="0.25">
      <c r="A89" s="88" t="s">
        <v>333</v>
      </c>
      <c r="B89"/>
      <c r="C89"/>
      <c r="D89">
        <f t="shared" si="62"/>
        <v>78</v>
      </c>
      <c r="E89" s="5" t="s">
        <v>134</v>
      </c>
      <c r="F89" s="1" t="s">
        <v>135</v>
      </c>
      <c r="G89" s="3">
        <v>32.590000000000003</v>
      </c>
      <c r="H89" s="6">
        <f>+L89*G89</f>
        <v>5366.540842110001</v>
      </c>
      <c r="I89" s="6">
        <f>+[77]Main!$L$5-[77]Main!$L$6</f>
        <v>673.06</v>
      </c>
      <c r="J89" s="6">
        <f t="shared" ref="J89:J94" si="66">+H89-I89</f>
        <v>4693.4808421100006</v>
      </c>
      <c r="K89" s="3" t="s">
        <v>1070</v>
      </c>
      <c r="L89" s="6">
        <f>+[77]Main!$L$3</f>
        <v>164.668329</v>
      </c>
      <c r="M89" s="9">
        <v>45540</v>
      </c>
    </row>
    <row r="90" spans="1:32" ht="13" x14ac:dyDescent="0.3">
      <c r="A90" s="88" t="s">
        <v>333</v>
      </c>
      <c r="D90">
        <f t="shared" ref="D90:D121" si="67">+D89+1</f>
        <v>79</v>
      </c>
      <c r="E90" s="42" t="s">
        <v>335</v>
      </c>
      <c r="F90" s="24" t="s">
        <v>336</v>
      </c>
      <c r="G90" s="46">
        <v>61.31</v>
      </c>
      <c r="H90" s="26">
        <f>+G90*L90</f>
        <v>3295.7606794900003</v>
      </c>
      <c r="I90" s="26">
        <f>+[78]Main!$K$5-[78]Main!$K$6</f>
        <v>649.44200000000001</v>
      </c>
      <c r="J90" s="26">
        <f t="shared" si="66"/>
        <v>2646.3186794900002</v>
      </c>
      <c r="K90" s="25" t="s">
        <v>1070</v>
      </c>
      <c r="L90" s="26">
        <f>+[78]Main!$K$3</f>
        <v>53.755679000000001</v>
      </c>
      <c r="M90" s="43">
        <v>45591</v>
      </c>
    </row>
    <row r="91" spans="1:32" x14ac:dyDescent="0.25">
      <c r="A91" s="88" t="s">
        <v>333</v>
      </c>
      <c r="D91">
        <f t="shared" si="67"/>
        <v>80</v>
      </c>
      <c r="E91" s="5" t="s">
        <v>505</v>
      </c>
      <c r="F91" t="s">
        <v>506</v>
      </c>
      <c r="G91" s="7">
        <v>37.1</v>
      </c>
      <c r="H91" s="6">
        <f>+G91*L91</f>
        <v>5743.9383827000001</v>
      </c>
      <c r="I91" s="6">
        <f>+[79]Main!$J$5-[79]Main!$J$6</f>
        <v>115.66200000000001</v>
      </c>
      <c r="J91" s="6">
        <f t="shared" si="66"/>
        <v>5628.2763826999999</v>
      </c>
      <c r="K91" s="3" t="s">
        <v>1070</v>
      </c>
      <c r="L91" s="6">
        <f>+[79]Main!$J$3</f>
        <v>154.823137</v>
      </c>
      <c r="M91" s="9">
        <v>45580</v>
      </c>
    </row>
    <row r="92" spans="1:32" x14ac:dyDescent="0.25">
      <c r="A92" s="88" t="s">
        <v>333</v>
      </c>
      <c r="D92">
        <f t="shared" si="67"/>
        <v>81</v>
      </c>
      <c r="E92" s="5" t="s">
        <v>497</v>
      </c>
      <c r="F92" s="1" t="s">
        <v>498</v>
      </c>
      <c r="G92" s="3">
        <v>8.64</v>
      </c>
      <c r="H92" s="6">
        <f>+G92*L92</f>
        <v>2314.8682848000003</v>
      </c>
      <c r="I92" s="6">
        <f>+[80]Main!$J$5-[80]Main!$J$6</f>
        <v>-984</v>
      </c>
      <c r="J92" s="6">
        <f t="shared" si="66"/>
        <v>3298.8682848000003</v>
      </c>
      <c r="K92" s="3" t="s">
        <v>1277</v>
      </c>
      <c r="L92" s="6">
        <f>+[80]Main!$J$3</f>
        <v>267.92457000000002</v>
      </c>
      <c r="M92" s="9">
        <v>45761</v>
      </c>
    </row>
    <row r="93" spans="1:32" x14ac:dyDescent="0.25">
      <c r="A93" s="88" t="s">
        <v>333</v>
      </c>
      <c r="D93">
        <f t="shared" si="67"/>
        <v>82</v>
      </c>
      <c r="E93" s="5" t="s">
        <v>788</v>
      </c>
      <c r="F93" t="s">
        <v>1173</v>
      </c>
      <c r="G93" s="7">
        <v>29.13</v>
      </c>
      <c r="H93" s="6">
        <f>+G93*L93</f>
        <v>3411.7462946099999</v>
      </c>
      <c r="I93" s="6">
        <f>+[81]Main!$L$5-[81]Main!$L$6</f>
        <v>1590.0459999999998</v>
      </c>
      <c r="J93" s="6">
        <f t="shared" si="66"/>
        <v>1821.7002946100001</v>
      </c>
      <c r="K93" s="3" t="s">
        <v>1070</v>
      </c>
      <c r="L93" s="6">
        <f>+[81]Main!$L$3</f>
        <v>117.121397</v>
      </c>
      <c r="M93" s="9">
        <v>45558</v>
      </c>
    </row>
    <row r="94" spans="1:32" x14ac:dyDescent="0.25">
      <c r="A94" s="88" t="s">
        <v>333</v>
      </c>
      <c r="B94"/>
      <c r="C94"/>
      <c r="D94">
        <f t="shared" si="67"/>
        <v>83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+[82]Main!$L$5-[82]Main!$L$6</f>
        <v>-96.746999999999957</v>
      </c>
      <c r="J94" s="6">
        <f t="shared" si="66"/>
        <v>2780.4768691199997</v>
      </c>
      <c r="K94" s="3" t="s">
        <v>1070</v>
      </c>
      <c r="L94" s="6">
        <f>[82]Main!$L$3</f>
        <v>121.766328</v>
      </c>
      <c r="M94" s="9">
        <v>45540</v>
      </c>
      <c r="AE94" s="1">
        <v>2009</v>
      </c>
      <c r="AF94" s="1" t="s">
        <v>994</v>
      </c>
    </row>
    <row r="95" spans="1:32" x14ac:dyDescent="0.25">
      <c r="A95" s="88" t="s">
        <v>333</v>
      </c>
      <c r="B95"/>
      <c r="C95"/>
      <c r="D95">
        <f t="shared" si="67"/>
        <v>84</v>
      </c>
      <c r="E95" s="5" t="s">
        <v>406</v>
      </c>
      <c r="F95" t="s">
        <v>407</v>
      </c>
      <c r="G95" s="18">
        <v>3.14</v>
      </c>
      <c r="H95" s="6">
        <f>+G95*L95/HKD</f>
        <v>7410.5214572128207</v>
      </c>
      <c r="I95" s="6">
        <f>([83]Main!$K$5-[83]Main!$K$6)/HKD</f>
        <v>3986.4565384615375</v>
      </c>
      <c r="J95" s="6">
        <f>H95-I95</f>
        <v>3424.0649187512831</v>
      </c>
      <c r="K95" s="3" t="s">
        <v>1070</v>
      </c>
      <c r="L95" s="6">
        <f>+[83]Main!$K$3</f>
        <v>18408.301708999999</v>
      </c>
      <c r="M95" s="9">
        <v>45539</v>
      </c>
    </row>
    <row r="96" spans="1:32" x14ac:dyDescent="0.25">
      <c r="A96" s="88" t="s">
        <v>333</v>
      </c>
      <c r="B96"/>
      <c r="C96"/>
      <c r="D96">
        <f t="shared" si="67"/>
        <v>85</v>
      </c>
      <c r="E96" s="5" t="s">
        <v>163</v>
      </c>
      <c r="F96" s="1" t="s">
        <v>164</v>
      </c>
      <c r="G96" s="7">
        <v>10.43</v>
      </c>
      <c r="H96" s="6">
        <f>+G96*L96</f>
        <v>3093.44341033</v>
      </c>
      <c r="I96" s="6">
        <f>+[84]Main!$M$5-[84]Main!$M$6</f>
        <v>-128.87700000000001</v>
      </c>
      <c r="J96" s="6">
        <f t="shared" ref="J96:J111" si="68">+H96-I96</f>
        <v>3222.32041033</v>
      </c>
      <c r="K96" s="3" t="s">
        <v>1070</v>
      </c>
      <c r="L96" s="6">
        <f>+[84]Main!$M$3</f>
        <v>296.59093100000001</v>
      </c>
      <c r="M96" s="9">
        <v>45580</v>
      </c>
    </row>
    <row r="97" spans="1:31" x14ac:dyDescent="0.25">
      <c r="A97" s="88" t="s">
        <v>333</v>
      </c>
      <c r="B97"/>
      <c r="C97"/>
      <c r="D97">
        <f t="shared" si="67"/>
        <v>86</v>
      </c>
      <c r="E97" s="5" t="s">
        <v>349</v>
      </c>
      <c r="F97" t="s">
        <v>690</v>
      </c>
      <c r="G97" s="3">
        <v>12.01</v>
      </c>
      <c r="H97" s="6">
        <f>+G97*L97</f>
        <v>8569.7289905799989</v>
      </c>
      <c r="I97" s="6">
        <f>+[85]Main!$K$5-[85]Main!$K$6</f>
        <v>5436.5479999999998</v>
      </c>
      <c r="J97" s="6">
        <f t="shared" si="68"/>
        <v>3133.1809905799992</v>
      </c>
      <c r="K97" s="3" t="s">
        <v>1070</v>
      </c>
      <c r="L97" s="6">
        <f>+[85]Main!$K$3</f>
        <v>713.54945799999996</v>
      </c>
      <c r="M97" s="9">
        <v>45540</v>
      </c>
    </row>
    <row r="98" spans="1:31" x14ac:dyDescent="0.25">
      <c r="A98" s="88" t="s">
        <v>333</v>
      </c>
      <c r="B98"/>
      <c r="C98"/>
      <c r="D98">
        <f t="shared" si="67"/>
        <v>87</v>
      </c>
      <c r="E98" s="5" t="s">
        <v>691</v>
      </c>
      <c r="F98" t="s">
        <v>692</v>
      </c>
      <c r="G98" s="7">
        <v>38.619999999999997</v>
      </c>
      <c r="H98" s="6">
        <f>+G98*L98</f>
        <v>3049.3814795799994</v>
      </c>
      <c r="I98" s="6">
        <f>+[86]Main!$L$5-[86]Main!$L$6</f>
        <v>1071.1729999999998</v>
      </c>
      <c r="J98" s="6">
        <f t="shared" si="68"/>
        <v>1978.2084795799997</v>
      </c>
      <c r="K98" s="3" t="s">
        <v>1276</v>
      </c>
      <c r="L98" s="6">
        <f>+[86]Main!$L$3</f>
        <v>78.958608999999996</v>
      </c>
      <c r="M98" s="9">
        <v>45684</v>
      </c>
    </row>
    <row r="99" spans="1:31" x14ac:dyDescent="0.25">
      <c r="A99" s="88" t="s">
        <v>333</v>
      </c>
      <c r="B99"/>
      <c r="C99"/>
      <c r="D99">
        <f t="shared" si="67"/>
        <v>88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[87]Main!$K$5-[87]Main!$K$6</f>
        <v>1347.038</v>
      </c>
      <c r="J99" s="6">
        <f t="shared" si="68"/>
        <v>2925.5480572500005</v>
      </c>
      <c r="K99" s="3" t="s">
        <v>1070</v>
      </c>
      <c r="L99" s="6">
        <f>[87]Main!$K$3</f>
        <v>169.21132900000001</v>
      </c>
      <c r="M99" s="9">
        <v>45545</v>
      </c>
    </row>
    <row r="100" spans="1:31" x14ac:dyDescent="0.25">
      <c r="A100" s="88" t="s">
        <v>333</v>
      </c>
      <c r="D100">
        <f t="shared" si="67"/>
        <v>89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+[88]Main!$L$5-[88]Main!$L$6</f>
        <v>568.66099999999994</v>
      </c>
      <c r="J100" s="6">
        <f t="shared" si="68"/>
        <v>2991.3389999999999</v>
      </c>
      <c r="K100" s="3" t="s">
        <v>1040</v>
      </c>
      <c r="L100" s="6">
        <f>[88]Main!$L$3</f>
        <v>83.133341000000001</v>
      </c>
      <c r="M100" s="9">
        <v>45571</v>
      </c>
    </row>
    <row r="101" spans="1:31" x14ac:dyDescent="0.25">
      <c r="A101" s="88" t="s">
        <v>333</v>
      </c>
      <c r="B101"/>
      <c r="C101"/>
      <c r="D101">
        <f t="shared" si="67"/>
        <v>90</v>
      </c>
      <c r="E101" s="5" t="s">
        <v>211</v>
      </c>
      <c r="F101" s="1" t="s">
        <v>212</v>
      </c>
      <c r="G101" s="7">
        <v>3.52</v>
      </c>
      <c r="H101" s="6">
        <f t="shared" ref="H101:H107" si="69">+G101*L101</f>
        <v>2451.7976313599997</v>
      </c>
      <c r="I101" s="6">
        <f>+[89]Main!$J$5-[89]Main!$J$6</f>
        <v>-474.93899999999996</v>
      </c>
      <c r="J101" s="6">
        <f t="shared" si="68"/>
        <v>2926.7366313599996</v>
      </c>
      <c r="K101" s="3" t="s">
        <v>1070</v>
      </c>
      <c r="L101" s="6">
        <f>+[89]Main!$J$3</f>
        <v>696.53341799999998</v>
      </c>
      <c r="M101" s="9">
        <v>45572</v>
      </c>
    </row>
    <row r="102" spans="1:31" x14ac:dyDescent="0.25">
      <c r="A102" s="88" t="s">
        <v>333</v>
      </c>
      <c r="D102">
        <f t="shared" si="67"/>
        <v>91</v>
      </c>
      <c r="E102" s="39" t="s">
        <v>1161</v>
      </c>
      <c r="F102" t="s">
        <v>1162</v>
      </c>
      <c r="G102" s="7">
        <v>65</v>
      </c>
      <c r="H102" s="6">
        <f t="shared" si="69"/>
        <v>2970.747715</v>
      </c>
      <c r="I102" s="6">
        <f>+[90]Main!$J$5-[90]Main!$J$6</f>
        <v>268.82000000000005</v>
      </c>
      <c r="J102" s="6">
        <f t="shared" si="68"/>
        <v>2701.9277149999998</v>
      </c>
      <c r="K102" s="3" t="s">
        <v>1277</v>
      </c>
      <c r="L102" s="6">
        <f>+[90]Main!$J$3</f>
        <v>45.703811000000002</v>
      </c>
      <c r="M102" s="9">
        <v>45546</v>
      </c>
      <c r="AE102" s="1">
        <v>1999</v>
      </c>
    </row>
    <row r="103" spans="1:31" x14ac:dyDescent="0.25">
      <c r="A103" s="88" t="s">
        <v>333</v>
      </c>
      <c r="B103"/>
      <c r="C103"/>
      <c r="D103">
        <f t="shared" si="67"/>
        <v>92</v>
      </c>
      <c r="E103" s="5" t="s">
        <v>1290</v>
      </c>
      <c r="F103" t="s">
        <v>1291</v>
      </c>
      <c r="G103" s="7">
        <v>35</v>
      </c>
      <c r="H103" s="6">
        <f t="shared" si="69"/>
        <v>2801.12</v>
      </c>
      <c r="I103" s="6">
        <f>+[91]Main!$K$5-[91]Main!$K$6</f>
        <v>140.42099999999999</v>
      </c>
      <c r="J103" s="6">
        <f t="shared" si="68"/>
        <v>2660.6990000000001</v>
      </c>
      <c r="K103" s="3" t="s">
        <v>1070</v>
      </c>
      <c r="L103" s="6">
        <f>+[91]Main!$K$3</f>
        <v>80.031999999999996</v>
      </c>
      <c r="M103" s="9">
        <v>45572</v>
      </c>
    </row>
    <row r="104" spans="1:31" x14ac:dyDescent="0.25">
      <c r="A104" s="88" t="s">
        <v>333</v>
      </c>
      <c r="B104"/>
      <c r="C104"/>
      <c r="D104">
        <f t="shared" si="67"/>
        <v>93</v>
      </c>
      <c r="E104" s="5" t="s">
        <v>203</v>
      </c>
      <c r="F104" s="1" t="s">
        <v>204</v>
      </c>
      <c r="G104" s="3">
        <v>46.29</v>
      </c>
      <c r="H104" s="6">
        <f t="shared" si="69"/>
        <v>2253.2038003799998</v>
      </c>
      <c r="I104" s="6">
        <f>+[92]Main!$L$5-[92]Main!$L$6</f>
        <v>-356.94799999999998</v>
      </c>
      <c r="J104" s="6">
        <f t="shared" si="68"/>
        <v>2610.1518003799997</v>
      </c>
      <c r="K104" s="3" t="s">
        <v>1070</v>
      </c>
      <c r="L104" s="6">
        <f>+[92]Main!$L$3</f>
        <v>48.675821999999997</v>
      </c>
      <c r="M104" s="9">
        <v>45576</v>
      </c>
    </row>
    <row r="105" spans="1:31" x14ac:dyDescent="0.25">
      <c r="A105" s="88" t="s">
        <v>333</v>
      </c>
      <c r="B105"/>
      <c r="C105"/>
      <c r="D105">
        <f t="shared" si="67"/>
        <v>94</v>
      </c>
      <c r="E105" s="5" t="s">
        <v>847</v>
      </c>
      <c r="F105" t="s">
        <v>848</v>
      </c>
      <c r="G105" s="3">
        <v>29.07</v>
      </c>
      <c r="H105" s="6">
        <f t="shared" si="69"/>
        <v>2725.96041216</v>
      </c>
      <c r="I105" s="6">
        <f>+[93]Main!$J$5-[93]Main!$J$6</f>
        <v>511.75100000000003</v>
      </c>
      <c r="J105" s="6">
        <f t="shared" si="68"/>
        <v>2214.2094121599998</v>
      </c>
      <c r="K105" s="3" t="s">
        <v>1070</v>
      </c>
      <c r="L105" s="6">
        <f>+[93]Main!$J$3</f>
        <v>93.772288000000003</v>
      </c>
      <c r="M105" s="9">
        <v>45554</v>
      </c>
    </row>
    <row r="106" spans="1:31" x14ac:dyDescent="0.25">
      <c r="A106" s="88" t="s">
        <v>333</v>
      </c>
      <c r="B106"/>
      <c r="C106"/>
      <c r="D106">
        <f t="shared" si="67"/>
        <v>95</v>
      </c>
      <c r="E106" s="5" t="s">
        <v>124</v>
      </c>
      <c r="F106" s="1" t="s">
        <v>125</v>
      </c>
      <c r="G106" s="3">
        <v>16.22</v>
      </c>
      <c r="H106" s="6">
        <f t="shared" si="69"/>
        <v>2695.3422799999998</v>
      </c>
      <c r="I106" s="6">
        <f>+[94]Main!$K$5-[94]Main!$K$6</f>
        <v>501</v>
      </c>
      <c r="J106" s="6">
        <f t="shared" si="68"/>
        <v>2194.3422799999998</v>
      </c>
      <c r="K106" s="3" t="s">
        <v>1070</v>
      </c>
      <c r="L106" s="6">
        <f>+[94]Main!$K$3</f>
        <v>166.17400000000001</v>
      </c>
      <c r="M106" s="9">
        <v>45541</v>
      </c>
    </row>
    <row r="107" spans="1:31" x14ac:dyDescent="0.25">
      <c r="A107" s="88" t="s">
        <v>333</v>
      </c>
      <c r="B107"/>
      <c r="C107"/>
      <c r="D107">
        <f t="shared" si="67"/>
        <v>96</v>
      </c>
      <c r="E107" s="5" t="s">
        <v>111</v>
      </c>
      <c r="F107" s="1" t="s">
        <v>112</v>
      </c>
      <c r="G107" s="3">
        <v>19.670000000000002</v>
      </c>
      <c r="H107" s="6">
        <f t="shared" si="69"/>
        <v>2445.2814395800001</v>
      </c>
      <c r="I107" s="6">
        <f>+[95]Main!$L$5-[95]Main!$L$6</f>
        <v>436.77100000000002</v>
      </c>
      <c r="J107" s="6">
        <f t="shared" si="68"/>
        <v>2008.5104395800001</v>
      </c>
      <c r="K107" s="3" t="s">
        <v>1070</v>
      </c>
      <c r="L107" s="6">
        <f>+[95]Main!$L$3</f>
        <v>124.315274</v>
      </c>
      <c r="M107" s="9">
        <v>45562</v>
      </c>
    </row>
    <row r="108" spans="1:31" x14ac:dyDescent="0.25">
      <c r="A108" s="88" t="s">
        <v>333</v>
      </c>
      <c r="B108"/>
      <c r="C108"/>
      <c r="D108">
        <f t="shared" si="67"/>
        <v>97</v>
      </c>
      <c r="E108" s="5" t="s">
        <v>119</v>
      </c>
      <c r="F108" s="1" t="s">
        <v>120</v>
      </c>
      <c r="G108" s="7">
        <v>47</v>
      </c>
      <c r="H108" s="6">
        <f>G108*L108</f>
        <v>4002.9034260000003</v>
      </c>
      <c r="I108" s="6">
        <f>[96]Main!$L$5-[96]Main!$L$6</f>
        <v>2012.8349999999998</v>
      </c>
      <c r="J108" s="6">
        <f t="shared" si="68"/>
        <v>1990.0684260000005</v>
      </c>
      <c r="K108" s="3" t="s">
        <v>1070</v>
      </c>
      <c r="L108" s="6">
        <f>[96]Main!$L$3</f>
        <v>85.168158000000005</v>
      </c>
      <c r="M108" s="9">
        <v>45565</v>
      </c>
    </row>
    <row r="109" spans="1:31" s="24" customFormat="1" ht="13" x14ac:dyDescent="0.3">
      <c r="A109" s="102" t="s">
        <v>333</v>
      </c>
      <c r="B109" s="24">
        <v>7</v>
      </c>
      <c r="C109" s="24">
        <v>3</v>
      </c>
      <c r="D109">
        <f t="shared" si="67"/>
        <v>98</v>
      </c>
      <c r="E109" s="42" t="s">
        <v>730</v>
      </c>
      <c r="F109" s="24" t="s">
        <v>731</v>
      </c>
      <c r="G109" s="25">
        <v>30.65</v>
      </c>
      <c r="H109" s="26">
        <f>+G109*L109</f>
        <v>2871.2959845</v>
      </c>
      <c r="I109" s="26">
        <v>1274.124</v>
      </c>
      <c r="J109" s="26">
        <f t="shared" si="68"/>
        <v>1597.1719845</v>
      </c>
      <c r="K109" s="25" t="s">
        <v>1308</v>
      </c>
      <c r="L109" s="26">
        <v>93.680130000000005</v>
      </c>
      <c r="M109" s="43">
        <v>45791</v>
      </c>
      <c r="N109" s="25"/>
      <c r="O109" s="25"/>
      <c r="P109" s="25"/>
      <c r="Q109" s="25"/>
      <c r="R109" s="25"/>
      <c r="S109" s="44"/>
      <c r="T109" s="44"/>
      <c r="U109" s="44"/>
      <c r="V109" s="44"/>
      <c r="W109" s="44"/>
      <c r="X109" s="44"/>
      <c r="Y109" s="104"/>
      <c r="Z109" s="104"/>
      <c r="AA109" s="104"/>
      <c r="AB109" s="104"/>
      <c r="AC109" s="104"/>
      <c r="AD109" s="104"/>
    </row>
    <row r="110" spans="1:31" x14ac:dyDescent="0.25">
      <c r="A110" s="88" t="s">
        <v>333</v>
      </c>
      <c r="B110"/>
      <c r="C110"/>
      <c r="D110">
        <f t="shared" si="67"/>
        <v>99</v>
      </c>
      <c r="E110" s="5" t="s">
        <v>711</v>
      </c>
      <c r="F110" t="s">
        <v>712</v>
      </c>
      <c r="G110" s="7">
        <v>38</v>
      </c>
      <c r="H110" s="6">
        <f>+G110*L110</f>
        <v>2238.3742299999999</v>
      </c>
      <c r="I110" s="6">
        <f>+[97]Main!$L$5-[97]Main!$L$6</f>
        <v>595.44399999999996</v>
      </c>
      <c r="J110" s="6">
        <f t="shared" si="68"/>
        <v>1642.9302299999999</v>
      </c>
      <c r="K110" s="3" t="s">
        <v>1070</v>
      </c>
      <c r="L110" s="6">
        <f>+[97]Main!$L$3</f>
        <v>58.904584999999997</v>
      </c>
      <c r="M110" s="9">
        <v>45553</v>
      </c>
    </row>
    <row r="111" spans="1:31" x14ac:dyDescent="0.25">
      <c r="A111" s="88" t="s">
        <v>333</v>
      </c>
      <c r="B111"/>
      <c r="C111"/>
      <c r="D111">
        <f t="shared" si="67"/>
        <v>100</v>
      </c>
      <c r="E111" s="5" t="s">
        <v>367</v>
      </c>
      <c r="F111" t="s">
        <v>368</v>
      </c>
      <c r="G111" s="41">
        <v>51800</v>
      </c>
      <c r="H111" s="6">
        <f>+G111*L111/KRW</f>
        <v>2777.1378925331474</v>
      </c>
      <c r="I111" s="6">
        <f>([98]Main!$L$5-[98]Main!$L$6)/KRW</f>
        <v>792.45638520586181</v>
      </c>
      <c r="J111" s="6">
        <f t="shared" si="68"/>
        <v>1984.6815073272855</v>
      </c>
      <c r="K111" s="3" t="s">
        <v>1070</v>
      </c>
      <c r="L111" s="6">
        <f>+[98]Main!$L$3</f>
        <v>76.826999999999998</v>
      </c>
      <c r="M111" s="9">
        <v>45542</v>
      </c>
    </row>
    <row r="112" spans="1:31" x14ac:dyDescent="0.25">
      <c r="A112" s="88" t="s">
        <v>333</v>
      </c>
      <c r="B112"/>
      <c r="C112"/>
      <c r="D112">
        <f t="shared" si="67"/>
        <v>101</v>
      </c>
      <c r="E112" s="103" t="s">
        <v>1867</v>
      </c>
      <c r="F112" t="s">
        <v>1868</v>
      </c>
      <c r="G112" s="41"/>
      <c r="H112" s="6"/>
      <c r="I112" s="6"/>
      <c r="J112" s="6"/>
      <c r="L112" s="6"/>
      <c r="M112" s="9"/>
    </row>
    <row r="113" spans="1:32" x14ac:dyDescent="0.25">
      <c r="A113" s="88" t="s">
        <v>333</v>
      </c>
      <c r="B113"/>
      <c r="C113"/>
      <c r="D113">
        <f t="shared" si="67"/>
        <v>102</v>
      </c>
      <c r="E113" s="5" t="s">
        <v>845</v>
      </c>
      <c r="F113" t="s">
        <v>846</v>
      </c>
      <c r="G113" s="7">
        <v>41</v>
      </c>
      <c r="H113" s="6">
        <f>+G113*L113</f>
        <v>2151.7628199999999</v>
      </c>
      <c r="I113" s="6">
        <f>+[99]Main!$L$5-[99]Main!$L$6</f>
        <v>658</v>
      </c>
      <c r="J113" s="6">
        <f>+H113-I113</f>
        <v>1493.7628199999999</v>
      </c>
      <c r="K113" s="3" t="s">
        <v>1276</v>
      </c>
      <c r="L113" s="6">
        <f>+[99]Main!$L$3</f>
        <v>52.482019999999999</v>
      </c>
      <c r="M113" s="9">
        <v>45628</v>
      </c>
      <c r="AE113" s="1">
        <v>2017</v>
      </c>
    </row>
    <row r="114" spans="1:32" s="24" customFormat="1" ht="13" x14ac:dyDescent="0.3">
      <c r="A114" s="88" t="s">
        <v>333</v>
      </c>
      <c r="D114">
        <f t="shared" si="67"/>
        <v>103</v>
      </c>
      <c r="E114" s="42" t="s">
        <v>662</v>
      </c>
      <c r="F114" s="24" t="s">
        <v>663</v>
      </c>
      <c r="G114" s="53">
        <v>42</v>
      </c>
      <c r="H114" s="29">
        <f>+G114*L114</f>
        <v>2402.253854</v>
      </c>
      <c r="I114" s="29">
        <f>+[100]Main!$N$5-[100]Main!$N$6</f>
        <v>927.11899999999991</v>
      </c>
      <c r="J114" s="29">
        <f>+H114-I114</f>
        <v>1475.1348540000001</v>
      </c>
      <c r="K114" s="27" t="s">
        <v>1070</v>
      </c>
      <c r="L114" s="29">
        <f>+[100]Main!$N$3</f>
        <v>57.196520333333332</v>
      </c>
      <c r="M114" s="36">
        <v>45572</v>
      </c>
      <c r="N114" s="25"/>
      <c r="O114" s="25"/>
      <c r="P114" s="25"/>
      <c r="Q114" s="25"/>
      <c r="R114" s="25"/>
      <c r="S114" s="44"/>
      <c r="T114" s="44"/>
      <c r="U114" s="44"/>
      <c r="V114" s="44"/>
      <c r="W114" s="44"/>
      <c r="X114" s="44"/>
      <c r="Y114" s="104"/>
      <c r="Z114" s="104"/>
      <c r="AA114" s="104"/>
      <c r="AB114" s="104"/>
      <c r="AC114" s="104"/>
      <c r="AD114" s="104"/>
    </row>
    <row r="115" spans="1:32" x14ac:dyDescent="0.25">
      <c r="A115" s="88" t="s">
        <v>333</v>
      </c>
      <c r="B115"/>
      <c r="C115"/>
      <c r="D115">
        <f t="shared" si="67"/>
        <v>104</v>
      </c>
      <c r="E115" s="5" t="s">
        <v>292</v>
      </c>
      <c r="F115" s="1" t="s">
        <v>184</v>
      </c>
      <c r="G115" s="7">
        <v>7</v>
      </c>
      <c r="H115" s="6">
        <f>+G115*L115</f>
        <v>1444.6396159999999</v>
      </c>
      <c r="I115" s="6">
        <f>+[101]Main!$M$5-[101]Main!$M$6</f>
        <v>28.069999999999993</v>
      </c>
      <c r="J115" s="6">
        <f>+H115-I115</f>
        <v>1416.569616</v>
      </c>
      <c r="K115" s="3" t="s">
        <v>1040</v>
      </c>
      <c r="L115" s="6">
        <f>+[101]Main!$M$3</f>
        <v>206.37708799999999</v>
      </c>
      <c r="M115" s="9">
        <v>45567</v>
      </c>
    </row>
    <row r="116" spans="1:32" x14ac:dyDescent="0.25">
      <c r="A116" s="88" t="s">
        <v>333</v>
      </c>
      <c r="B116"/>
      <c r="C116"/>
      <c r="D116">
        <f t="shared" si="67"/>
        <v>105</v>
      </c>
      <c r="E116" s="5" t="s">
        <v>205</v>
      </c>
      <c r="F116" s="1" t="s">
        <v>206</v>
      </c>
      <c r="G116" s="7">
        <v>5.32</v>
      </c>
      <c r="H116" s="6">
        <f>G116*L116</f>
        <v>1787.7114136</v>
      </c>
      <c r="I116" s="6">
        <f>[102]Main!$K$5-[102]Main!$K$6</f>
        <v>575.553</v>
      </c>
      <c r="J116" s="6">
        <f>H116-I116</f>
        <v>1212.1584136000001</v>
      </c>
      <c r="K116" s="3" t="s">
        <v>1070</v>
      </c>
      <c r="L116" s="6">
        <f>[102]Main!$K$3</f>
        <v>336.03598</v>
      </c>
      <c r="M116" s="9">
        <v>45572</v>
      </c>
    </row>
    <row r="117" spans="1:32" x14ac:dyDescent="0.25">
      <c r="A117" s="88" t="s">
        <v>333</v>
      </c>
      <c r="B117"/>
      <c r="C117"/>
      <c r="D117">
        <f t="shared" si="67"/>
        <v>106</v>
      </c>
      <c r="E117" s="5" t="s">
        <v>96</v>
      </c>
      <c r="F117" s="1" t="s">
        <v>97</v>
      </c>
      <c r="G117" s="3">
        <v>17.149999999999999</v>
      </c>
      <c r="H117" s="6">
        <f>+G117*L117</f>
        <v>1559.8953999999999</v>
      </c>
      <c r="I117" s="6">
        <f>+[103]Main!$K$5-[103]Main!$K$6</f>
        <v>278.82499999999999</v>
      </c>
      <c r="J117" s="6">
        <f>+H117-I117</f>
        <v>1281.0703999999998</v>
      </c>
      <c r="K117" s="3" t="s">
        <v>1070</v>
      </c>
      <c r="L117" s="6">
        <f>+[103]Main!$K$3</f>
        <v>90.956000000000003</v>
      </c>
      <c r="M117" s="9">
        <v>45573</v>
      </c>
    </row>
    <row r="118" spans="1:32" x14ac:dyDescent="0.25">
      <c r="A118" s="88" t="s">
        <v>333</v>
      </c>
      <c r="D118">
        <f t="shared" si="67"/>
        <v>107</v>
      </c>
      <c r="E118" s="5" t="s">
        <v>738</v>
      </c>
      <c r="F118" t="s">
        <v>739</v>
      </c>
      <c r="G118" s="3">
        <v>5.92</v>
      </c>
      <c r="H118" s="6">
        <f>+G118*L118</f>
        <v>1317.2</v>
      </c>
      <c r="I118" s="6">
        <f>+[104]Main!$I$5-[104]Main!$I$6</f>
        <v>251.643</v>
      </c>
      <c r="J118" s="6">
        <f>+H118-I118</f>
        <v>1065.557</v>
      </c>
      <c r="K118" s="3" t="s">
        <v>1070</v>
      </c>
      <c r="L118" s="6">
        <f>+[104]Main!$I$3</f>
        <v>222.5</v>
      </c>
      <c r="M118" s="9">
        <v>45593</v>
      </c>
    </row>
    <row r="119" spans="1:32" x14ac:dyDescent="0.25">
      <c r="A119" s="88" t="s">
        <v>333</v>
      </c>
      <c r="B119"/>
      <c r="C119"/>
      <c r="D119">
        <f t="shared" si="67"/>
        <v>108</v>
      </c>
      <c r="E119" s="5" t="s">
        <v>157</v>
      </c>
      <c r="F119" s="1" t="s">
        <v>158</v>
      </c>
      <c r="G119" s="7">
        <v>24.5</v>
      </c>
      <c r="H119" s="6">
        <f>+G119*L119</f>
        <v>2019.1826655000002</v>
      </c>
      <c r="I119" s="6">
        <f>+[105]Main!$K$5-[105]Main!$K$6</f>
        <v>1008.165</v>
      </c>
      <c r="J119" s="6">
        <f>+H119-I119</f>
        <v>1011.0176655000002</v>
      </c>
      <c r="K119" s="3" t="s">
        <v>1070</v>
      </c>
      <c r="L119" s="6">
        <f>+[105]Main!$K$3</f>
        <v>82.415619000000007</v>
      </c>
      <c r="M119" s="9">
        <v>45565</v>
      </c>
    </row>
    <row r="120" spans="1:32" x14ac:dyDescent="0.25">
      <c r="A120" s="88" t="s">
        <v>333</v>
      </c>
      <c r="B120"/>
      <c r="C120"/>
      <c r="D120">
        <f t="shared" si="67"/>
        <v>109</v>
      </c>
      <c r="E120" s="5" t="s">
        <v>144</v>
      </c>
      <c r="F120" s="1" t="s">
        <v>145</v>
      </c>
      <c r="G120" s="7">
        <v>20</v>
      </c>
      <c r="H120" s="6">
        <f>+G120*L120</f>
        <v>1929.5</v>
      </c>
      <c r="I120" s="6">
        <f>+[106]Main!$J$5-[106]Main!$J$6</f>
        <v>939.9</v>
      </c>
      <c r="J120" s="6">
        <f>+H120-I120</f>
        <v>989.6</v>
      </c>
      <c r="K120" s="3" t="s">
        <v>1040</v>
      </c>
      <c r="L120" s="6">
        <f>+[106]Main!$J$3</f>
        <v>96.474999999999994</v>
      </c>
      <c r="M120" s="9">
        <v>45565</v>
      </c>
    </row>
    <row r="121" spans="1:32" x14ac:dyDescent="0.25">
      <c r="A121" s="88" t="s">
        <v>333</v>
      </c>
      <c r="B121"/>
      <c r="C121"/>
      <c r="D121">
        <f t="shared" si="67"/>
        <v>110</v>
      </c>
      <c r="E121" s="5" t="s">
        <v>369</v>
      </c>
      <c r="F121" t="s">
        <v>370</v>
      </c>
      <c r="G121" s="18">
        <v>10.7</v>
      </c>
      <c r="H121" s="6">
        <f>+G121*L121/HKD</f>
        <v>1352.1643102179487</v>
      </c>
      <c r="I121" s="6">
        <f>([107]Main!$J$6-[107]Main!$J$7)/HKD</f>
        <v>376.08884615384613</v>
      </c>
      <c r="J121" s="6">
        <f>+H121-I121</f>
        <v>976.07546406410256</v>
      </c>
      <c r="K121" s="3" t="s">
        <v>1113</v>
      </c>
      <c r="L121" s="6">
        <f>+[107]Main!$J$4</f>
        <v>985.68987100000004</v>
      </c>
      <c r="M121" s="9">
        <v>45543</v>
      </c>
      <c r="AF121" s="1">
        <v>2012</v>
      </c>
    </row>
    <row r="122" spans="1:32" x14ac:dyDescent="0.25">
      <c r="A122" s="88" t="s">
        <v>333</v>
      </c>
      <c r="B122"/>
      <c r="C122"/>
      <c r="D122">
        <f t="shared" ref="D122:D153" si="70">+D121+1</f>
        <v>111</v>
      </c>
      <c r="E122" s="5" t="s">
        <v>369</v>
      </c>
      <c r="F122" t="s">
        <v>1183</v>
      </c>
      <c r="G122" s="7">
        <v>27.72</v>
      </c>
      <c r="H122" s="6"/>
      <c r="K122" s="3" t="str">
        <f>+K121</f>
        <v>Q423</v>
      </c>
      <c r="L122" s="6"/>
      <c r="M122" s="9">
        <f>+M121</f>
        <v>45543</v>
      </c>
    </row>
    <row r="123" spans="1:32" x14ac:dyDescent="0.25">
      <c r="A123" s="88" t="s">
        <v>333</v>
      </c>
      <c r="D123">
        <f t="shared" si="70"/>
        <v>112</v>
      </c>
      <c r="E123" s="5" t="s">
        <v>213</v>
      </c>
      <c r="F123" s="1" t="s">
        <v>214</v>
      </c>
      <c r="G123" s="3">
        <v>4.07</v>
      </c>
      <c r="H123" s="6">
        <f>+G123*L123</f>
        <v>1235.3014590400001</v>
      </c>
      <c r="I123" s="6">
        <f>+[108]Main!$I$5-[108]Main!$I$6</f>
        <v>417.97200000000004</v>
      </c>
      <c r="J123" s="6">
        <f>+H123-I123</f>
        <v>817.32945904000007</v>
      </c>
      <c r="K123" s="3" t="s">
        <v>1070</v>
      </c>
      <c r="L123" s="6">
        <f>+[108]Main!$I$3</f>
        <v>303.51387199999999</v>
      </c>
      <c r="M123" s="9">
        <v>45525</v>
      </c>
    </row>
    <row r="124" spans="1:32" x14ac:dyDescent="0.25">
      <c r="A124" s="88" t="s">
        <v>333</v>
      </c>
      <c r="D124">
        <f t="shared" si="70"/>
        <v>113</v>
      </c>
      <c r="E124" s="5" t="s">
        <v>109</v>
      </c>
      <c r="F124" s="1" t="s">
        <v>110</v>
      </c>
      <c r="G124" s="7">
        <v>20.25</v>
      </c>
      <c r="H124" s="6">
        <f>+G124*L124</f>
        <v>1252.1289825000001</v>
      </c>
      <c r="I124" s="6">
        <f>+[109]Main!$O$5-[109]Main!$O$6</f>
        <v>637.79299999999989</v>
      </c>
      <c r="J124" s="6">
        <f>+H124-I124</f>
        <v>614.33598250000023</v>
      </c>
      <c r="K124" s="3" t="s">
        <v>1070</v>
      </c>
      <c r="L124" s="6">
        <f>+[109]Main!$O$3</f>
        <v>61.833530000000003</v>
      </c>
      <c r="M124" s="9">
        <v>45563</v>
      </c>
    </row>
    <row r="125" spans="1:32" x14ac:dyDescent="0.25">
      <c r="A125" s="88" t="s">
        <v>333</v>
      </c>
      <c r="B125"/>
      <c r="C125"/>
      <c r="D125">
        <f t="shared" si="70"/>
        <v>114</v>
      </c>
      <c r="E125" s="5" t="s">
        <v>762</v>
      </c>
      <c r="F125" t="s">
        <v>763</v>
      </c>
      <c r="G125" s="7">
        <v>11.13</v>
      </c>
      <c r="H125" s="6">
        <f>+G125*L125</f>
        <v>760.17899999999997</v>
      </c>
      <c r="I125" s="6">
        <f>+[110]Main!$K$5-[110]Main!$K$6</f>
        <v>423.93200000000002</v>
      </c>
      <c r="J125" s="6">
        <f>+H125-I125</f>
        <v>336.24699999999996</v>
      </c>
      <c r="K125" s="3" t="s">
        <v>1070</v>
      </c>
      <c r="L125" s="6">
        <v>68.3</v>
      </c>
      <c r="M125" s="9">
        <v>45565</v>
      </c>
      <c r="AE125" s="1">
        <v>2015</v>
      </c>
    </row>
    <row r="126" spans="1:32" x14ac:dyDescent="0.25">
      <c r="A126" s="88" t="s">
        <v>333</v>
      </c>
      <c r="B126"/>
      <c r="C126"/>
      <c r="D126">
        <f t="shared" si="70"/>
        <v>115</v>
      </c>
      <c r="E126" s="5" t="s">
        <v>1157</v>
      </c>
      <c r="F126" t="s">
        <v>1158</v>
      </c>
      <c r="G126" s="3">
        <v>3.04</v>
      </c>
      <c r="H126" s="6">
        <f>+G126*L126</f>
        <v>757.70519216000002</v>
      </c>
      <c r="I126" s="6">
        <f>+[111]Main!$K$5-[111]Main!$K$6</f>
        <v>565.53499999999997</v>
      </c>
      <c r="J126" s="6">
        <f>+H126-I126</f>
        <v>192.17019216000006</v>
      </c>
      <c r="K126" s="3" t="s">
        <v>1070</v>
      </c>
      <c r="L126" s="6">
        <f>+[111]Main!$K$3</f>
        <v>249.24512899999999</v>
      </c>
      <c r="M126" s="9">
        <v>45505</v>
      </c>
      <c r="AE126" s="1">
        <v>2018</v>
      </c>
    </row>
    <row r="127" spans="1:32" x14ac:dyDescent="0.25">
      <c r="A127" s="88" t="s">
        <v>333</v>
      </c>
      <c r="B127"/>
      <c r="C127"/>
      <c r="D127">
        <f t="shared" si="70"/>
        <v>116</v>
      </c>
      <c r="E127" s="5" t="s">
        <v>155</v>
      </c>
      <c r="F127" s="1" t="s">
        <v>156</v>
      </c>
      <c r="G127" s="3">
        <v>2.38</v>
      </c>
      <c r="H127" s="6">
        <f>+G127*L127</f>
        <v>701.30396615999996</v>
      </c>
      <c r="I127" s="6">
        <f>+[112]Main!$L$5-[112]Main!$L$6</f>
        <v>851.52300000000002</v>
      </c>
      <c r="J127" s="6">
        <f>+H127-I127</f>
        <v>-150.21903384000007</v>
      </c>
      <c r="K127" s="3" t="s">
        <v>1070</v>
      </c>
      <c r="L127" s="6">
        <f>+[112]Main!$L$3</f>
        <v>294.66553199999998</v>
      </c>
      <c r="M127" s="9">
        <v>45536</v>
      </c>
    </row>
    <row r="128" spans="1:32" x14ac:dyDescent="0.25">
      <c r="A128" s="88" t="s">
        <v>333</v>
      </c>
      <c r="B128"/>
      <c r="C128"/>
      <c r="D128">
        <f t="shared" si="70"/>
        <v>117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5">
      <c r="A129" s="88" t="s">
        <v>333</v>
      </c>
      <c r="B129"/>
      <c r="C129"/>
      <c r="D129">
        <f t="shared" si="70"/>
        <v>118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5">
      <c r="A130" s="88" t="s">
        <v>333</v>
      </c>
      <c r="B130"/>
      <c r="C130"/>
      <c r="D130">
        <f t="shared" si="70"/>
        <v>119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5">
      <c r="A131" s="88" t="s">
        <v>333</v>
      </c>
      <c r="B131"/>
      <c r="C131"/>
      <c r="D131">
        <f t="shared" si="70"/>
        <v>120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5">
      <c r="A132"/>
      <c r="B132"/>
      <c r="C132"/>
      <c r="D132">
        <f t="shared" si="70"/>
        <v>121</v>
      </c>
      <c r="E132" s="1" t="s">
        <v>521</v>
      </c>
      <c r="F132" t="s">
        <v>123</v>
      </c>
      <c r="G132" s="3">
        <v>18.91</v>
      </c>
      <c r="H132" s="6"/>
    </row>
    <row r="133" spans="1:8" x14ac:dyDescent="0.25">
      <c r="A133" s="88" t="s">
        <v>333</v>
      </c>
      <c r="B133"/>
      <c r="C133"/>
      <c r="D133">
        <f t="shared" si="70"/>
        <v>122</v>
      </c>
      <c r="E133" t="s">
        <v>1817</v>
      </c>
      <c r="F133" t="s">
        <v>1818</v>
      </c>
      <c r="H133" s="6"/>
    </row>
    <row r="134" spans="1:8" x14ac:dyDescent="0.25">
      <c r="A134" s="88" t="s">
        <v>333</v>
      </c>
      <c r="B134"/>
      <c r="C134"/>
      <c r="D134">
        <f t="shared" si="70"/>
        <v>123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5">
      <c r="A135" s="88" t="s">
        <v>333</v>
      </c>
      <c r="B135"/>
      <c r="C135"/>
      <c r="D135">
        <f t="shared" si="70"/>
        <v>124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5">
      <c r="A136" s="88" t="s">
        <v>333</v>
      </c>
      <c r="B136"/>
      <c r="C136"/>
      <c r="D136">
        <f t="shared" si="70"/>
        <v>125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5">
      <c r="A137" s="88" t="s">
        <v>333</v>
      </c>
      <c r="B137"/>
      <c r="C137"/>
      <c r="D137">
        <f t="shared" si="70"/>
        <v>126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5">
      <c r="A138" s="88" t="s">
        <v>333</v>
      </c>
      <c r="B138"/>
      <c r="C138"/>
      <c r="D138">
        <f t="shared" si="70"/>
        <v>127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5">
      <c r="A139" s="88" t="s">
        <v>333</v>
      </c>
      <c r="B139"/>
      <c r="C139"/>
      <c r="D139">
        <f t="shared" si="70"/>
        <v>128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5">
      <c r="A140" s="88" t="s">
        <v>333</v>
      </c>
      <c r="B140"/>
      <c r="C140"/>
      <c r="D140">
        <f t="shared" si="70"/>
        <v>129</v>
      </c>
      <c r="E140" t="s">
        <v>1848</v>
      </c>
      <c r="F140" s="1" t="s">
        <v>1847</v>
      </c>
      <c r="G140" s="3">
        <v>38.11</v>
      </c>
      <c r="H140" s="6">
        <v>12895</v>
      </c>
    </row>
    <row r="141" spans="1:8" x14ac:dyDescent="0.25">
      <c r="A141" s="88" t="s">
        <v>333</v>
      </c>
      <c r="B141"/>
      <c r="C141"/>
      <c r="D141">
        <f t="shared" si="70"/>
        <v>130</v>
      </c>
      <c r="E141" t="s">
        <v>357</v>
      </c>
      <c r="F141" t="s">
        <v>358</v>
      </c>
    </row>
    <row r="142" spans="1:8" x14ac:dyDescent="0.25">
      <c r="A142" s="88" t="s">
        <v>333</v>
      </c>
      <c r="B142"/>
      <c r="C142"/>
      <c r="D142">
        <f t="shared" si="70"/>
        <v>131</v>
      </c>
      <c r="E142" t="s">
        <v>355</v>
      </c>
      <c r="F142" t="s">
        <v>356</v>
      </c>
    </row>
    <row r="143" spans="1:8" x14ac:dyDescent="0.25">
      <c r="A143" s="88" t="s">
        <v>333</v>
      </c>
      <c r="B143"/>
      <c r="C143"/>
      <c r="D143">
        <f t="shared" si="70"/>
        <v>132</v>
      </c>
      <c r="E143" t="s">
        <v>1869</v>
      </c>
      <c r="F143" t="s">
        <v>1870</v>
      </c>
    </row>
    <row r="144" spans="1:8" x14ac:dyDescent="0.25">
      <c r="A144" s="88" t="s">
        <v>333</v>
      </c>
      <c r="D144">
        <f t="shared" si="70"/>
        <v>133</v>
      </c>
      <c r="E144" t="s">
        <v>271</v>
      </c>
      <c r="F144" t="s">
        <v>272</v>
      </c>
    </row>
    <row r="145" spans="1:31" x14ac:dyDescent="0.25">
      <c r="A145" s="88" t="s">
        <v>333</v>
      </c>
      <c r="D145">
        <f t="shared" si="70"/>
        <v>134</v>
      </c>
      <c r="E145" t="s">
        <v>268</v>
      </c>
      <c r="F145" t="s">
        <v>269</v>
      </c>
    </row>
    <row r="146" spans="1:31" x14ac:dyDescent="0.25">
      <c r="A146" s="88" t="s">
        <v>333</v>
      </c>
      <c r="D146">
        <f t="shared" si="70"/>
        <v>135</v>
      </c>
      <c r="E146" t="s">
        <v>361</v>
      </c>
      <c r="F146" t="s">
        <v>362</v>
      </c>
    </row>
    <row r="147" spans="1:31" x14ac:dyDescent="0.25">
      <c r="A147" s="88" t="s">
        <v>333</v>
      </c>
      <c r="B147"/>
      <c r="C147"/>
      <c r="D147">
        <f t="shared" si="70"/>
        <v>136</v>
      </c>
      <c r="E147" t="s">
        <v>1056</v>
      </c>
      <c r="F147" t="s">
        <v>1057</v>
      </c>
    </row>
    <row r="148" spans="1:31" x14ac:dyDescent="0.25">
      <c r="A148" s="88" t="s">
        <v>333</v>
      </c>
      <c r="B148"/>
      <c r="C148"/>
      <c r="D148">
        <f t="shared" si="70"/>
        <v>137</v>
      </c>
      <c r="E148" t="s">
        <v>1054</v>
      </c>
      <c r="F148" t="s">
        <v>1055</v>
      </c>
      <c r="G148" s="7"/>
    </row>
    <row r="149" spans="1:31" x14ac:dyDescent="0.25">
      <c r="A149"/>
      <c r="B149"/>
      <c r="C149"/>
      <c r="D149">
        <f t="shared" si="70"/>
        <v>138</v>
      </c>
      <c r="E149" t="s">
        <v>596</v>
      </c>
      <c r="F149" t="s">
        <v>597</v>
      </c>
    </row>
    <row r="150" spans="1:31" x14ac:dyDescent="0.25">
      <c r="A150" s="88" t="s">
        <v>333</v>
      </c>
      <c r="D150">
        <f t="shared" si="70"/>
        <v>139</v>
      </c>
      <c r="E150" s="1" t="s">
        <v>115</v>
      </c>
      <c r="F150" s="1" t="s">
        <v>116</v>
      </c>
      <c r="G150" s="3">
        <v>83.97</v>
      </c>
    </row>
    <row r="151" spans="1:31" x14ac:dyDescent="0.25">
      <c r="A151" s="88" t="s">
        <v>333</v>
      </c>
      <c r="B151"/>
      <c r="C151"/>
      <c r="D151">
        <f t="shared" si="70"/>
        <v>140</v>
      </c>
      <c r="E151" t="s">
        <v>1060</v>
      </c>
      <c r="F151" t="s">
        <v>1061</v>
      </c>
      <c r="H151" s="6"/>
    </row>
    <row r="152" spans="1:31" x14ac:dyDescent="0.25">
      <c r="A152" s="88" t="s">
        <v>333</v>
      </c>
      <c r="B152"/>
      <c r="C152"/>
      <c r="D152">
        <f t="shared" si="70"/>
        <v>141</v>
      </c>
      <c r="E152" t="s">
        <v>1116</v>
      </c>
      <c r="F152" t="s">
        <v>1117</v>
      </c>
      <c r="H152" s="6"/>
    </row>
    <row r="153" spans="1:31" x14ac:dyDescent="0.25">
      <c r="A153" s="88" t="s">
        <v>333</v>
      </c>
      <c r="B153"/>
      <c r="C153"/>
      <c r="D153">
        <f t="shared" si="70"/>
        <v>142</v>
      </c>
      <c r="E153" t="s">
        <v>1863</v>
      </c>
      <c r="F153" t="s">
        <v>1864</v>
      </c>
      <c r="H153" s="6"/>
    </row>
    <row r="154" spans="1:31" x14ac:dyDescent="0.25">
      <c r="A154" s="88" t="s">
        <v>333</v>
      </c>
      <c r="B154"/>
      <c r="C154"/>
      <c r="D154">
        <f t="shared" ref="D154:D185" si="71">+D153+1</f>
        <v>143</v>
      </c>
      <c r="E154" t="s">
        <v>1065</v>
      </c>
      <c r="H154" s="6"/>
    </row>
    <row r="155" spans="1:31" x14ac:dyDescent="0.25">
      <c r="A155" s="88" t="s">
        <v>333</v>
      </c>
      <c r="B155"/>
      <c r="C155"/>
      <c r="D155">
        <f t="shared" si="71"/>
        <v>144</v>
      </c>
      <c r="E155" t="s">
        <v>1066</v>
      </c>
      <c r="H155" s="6"/>
    </row>
    <row r="156" spans="1:31" x14ac:dyDescent="0.25">
      <c r="A156" s="88" t="s">
        <v>333</v>
      </c>
      <c r="B156"/>
      <c r="C156"/>
      <c r="D156">
        <f t="shared" si="71"/>
        <v>145</v>
      </c>
      <c r="E156" t="s">
        <v>1064</v>
      </c>
      <c r="H156" s="6"/>
    </row>
    <row r="157" spans="1:31" x14ac:dyDescent="0.25">
      <c r="A157" s="88" t="s">
        <v>333</v>
      </c>
      <c r="B157"/>
      <c r="C157"/>
      <c r="D157">
        <f t="shared" si="71"/>
        <v>146</v>
      </c>
      <c r="E157" t="s">
        <v>1146</v>
      </c>
      <c r="F157" s="1" t="s">
        <v>1147</v>
      </c>
      <c r="H157" s="6"/>
    </row>
    <row r="158" spans="1:31" x14ac:dyDescent="0.25">
      <c r="A158" s="88" t="s">
        <v>333</v>
      </c>
      <c r="B158"/>
      <c r="C158"/>
      <c r="D158">
        <f t="shared" si="71"/>
        <v>147</v>
      </c>
      <c r="E158" t="s">
        <v>681</v>
      </c>
      <c r="F158" t="s">
        <v>682</v>
      </c>
    </row>
    <row r="159" spans="1:31" x14ac:dyDescent="0.25">
      <c r="A159" s="88" t="s">
        <v>333</v>
      </c>
      <c r="B159"/>
      <c r="C159"/>
      <c r="D159">
        <f t="shared" si="71"/>
        <v>148</v>
      </c>
      <c r="E159" t="s">
        <v>306</v>
      </c>
      <c r="F159" t="s">
        <v>307</v>
      </c>
      <c r="G159" s="3">
        <v>4.26</v>
      </c>
      <c r="H159" s="6"/>
      <c r="AE159" s="1">
        <v>2011</v>
      </c>
    </row>
    <row r="160" spans="1:31" s="24" customFormat="1" ht="13" x14ac:dyDescent="0.3">
      <c r="A160" s="88" t="s">
        <v>333</v>
      </c>
      <c r="D160">
        <f t="shared" si="71"/>
        <v>149</v>
      </c>
      <c r="E160" s="24" t="s">
        <v>215</v>
      </c>
      <c r="F160" s="24" t="s">
        <v>216</v>
      </c>
      <c r="G160" s="46">
        <v>40</v>
      </c>
      <c r="H160" s="26">
        <v>7387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44"/>
      <c r="T160" s="44"/>
      <c r="U160" s="44"/>
      <c r="V160" s="44"/>
      <c r="W160" s="44"/>
      <c r="X160" s="44"/>
      <c r="Y160" s="104"/>
      <c r="Z160" s="104"/>
      <c r="AA160" s="104"/>
      <c r="AB160" s="104"/>
      <c r="AC160" s="104"/>
      <c r="AD160" s="104"/>
    </row>
    <row r="161" spans="1:13" x14ac:dyDescent="0.25">
      <c r="A161" s="88" t="s">
        <v>333</v>
      </c>
      <c r="B161"/>
      <c r="C161"/>
      <c r="D161">
        <f t="shared" si="71"/>
        <v>150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+[113]Main!$K$5-[113]Main!$K$6</f>
        <v>461.9</v>
      </c>
      <c r="J161" s="6">
        <f>+H161-I161</f>
        <v>3170.607739</v>
      </c>
      <c r="K161" s="3" t="s">
        <v>1277</v>
      </c>
      <c r="L161" s="6">
        <f>+[113]Main!$K$3</f>
        <v>74.132811000000004</v>
      </c>
      <c r="M161" s="9">
        <v>45733</v>
      </c>
    </row>
    <row r="162" spans="1:13" x14ac:dyDescent="0.25">
      <c r="A162" s="88" t="s">
        <v>333</v>
      </c>
      <c r="B162"/>
      <c r="C162"/>
      <c r="D162">
        <f t="shared" si="71"/>
        <v>151</v>
      </c>
      <c r="E162" s="5" t="s">
        <v>1815</v>
      </c>
      <c r="F162" t="s">
        <v>1816</v>
      </c>
      <c r="G162" s="7">
        <v>50</v>
      </c>
      <c r="H162" s="6">
        <f>+G162*L162</f>
        <v>1918.8588999999999</v>
      </c>
      <c r="I162" s="6">
        <f>+[114]Main!$J$5-[114]Main!$J$6</f>
        <v>219.55499999999998</v>
      </c>
      <c r="J162" s="6">
        <f>+H162-I162</f>
        <v>1699.3038999999999</v>
      </c>
      <c r="K162" s="3" t="s">
        <v>1277</v>
      </c>
      <c r="L162" s="6">
        <f>+[114]Main!$J$3</f>
        <v>38.377178000000001</v>
      </c>
      <c r="M162" s="9">
        <v>45749</v>
      </c>
    </row>
    <row r="163" spans="1:13" x14ac:dyDescent="0.25">
      <c r="A163" s="88" t="s">
        <v>333</v>
      </c>
      <c r="B163"/>
      <c r="C163"/>
      <c r="D163">
        <f t="shared" si="71"/>
        <v>152</v>
      </c>
      <c r="E163" s="5" t="s">
        <v>511</v>
      </c>
      <c r="F163" t="s">
        <v>512</v>
      </c>
      <c r="G163" s="3">
        <v>12.41</v>
      </c>
      <c r="H163" s="6">
        <f>G163*L163</f>
        <v>686.11028007999994</v>
      </c>
      <c r="I163" s="6">
        <f>[115]Main!$L$5-[115]Main!$L$6</f>
        <v>578</v>
      </c>
      <c r="J163" s="6">
        <f>+H163-I163</f>
        <v>108.11028007999994</v>
      </c>
      <c r="K163" s="3" t="s">
        <v>648</v>
      </c>
      <c r="L163" s="6">
        <f>[115]Main!$L$3</f>
        <v>55.286887999999998</v>
      </c>
      <c r="M163" s="9">
        <v>45064</v>
      </c>
    </row>
    <row r="164" spans="1:13" x14ac:dyDescent="0.25">
      <c r="A164" s="88" t="s">
        <v>333</v>
      </c>
      <c r="B164"/>
      <c r="C164"/>
      <c r="D164">
        <f t="shared" si="71"/>
        <v>153</v>
      </c>
      <c r="E164" s="5" t="s">
        <v>781</v>
      </c>
      <c r="F164" t="s">
        <v>782</v>
      </c>
      <c r="G164" s="7">
        <v>3.06</v>
      </c>
      <c r="H164" s="6">
        <f>G164*L164</f>
        <v>205.55876502000001</v>
      </c>
      <c r="I164" s="6">
        <f>[116]Main!$O$5-[116]Main!$O$6</f>
        <v>345.67399999999998</v>
      </c>
      <c r="J164" s="6">
        <f>+H164-I164</f>
        <v>-140.11523497999997</v>
      </c>
      <c r="K164" s="3" t="s">
        <v>648</v>
      </c>
      <c r="L164" s="6">
        <f>[116]Main!$O$3</f>
        <v>67.176067000000003</v>
      </c>
      <c r="M164" s="9">
        <v>45067</v>
      </c>
    </row>
    <row r="165" spans="1:13" x14ac:dyDescent="0.25">
      <c r="A165" s="88" t="s">
        <v>333</v>
      </c>
      <c r="B165">
        <v>4</v>
      </c>
      <c r="C165">
        <v>3</v>
      </c>
      <c r="D165">
        <f t="shared" si="71"/>
        <v>154</v>
      </c>
      <c r="E165" s="5" t="s">
        <v>182</v>
      </c>
      <c r="F165" s="1" t="s">
        <v>183</v>
      </c>
      <c r="G165" s="3">
        <v>7.58</v>
      </c>
      <c r="H165" s="6">
        <f>+G165*L165</f>
        <v>521.50400000000002</v>
      </c>
      <c r="I165" s="6">
        <f>+[117]Main!$O$5-[117]Main!$O$6</f>
        <v>1038.8000000000002</v>
      </c>
      <c r="J165" s="6">
        <f>+H165-I165</f>
        <v>-517.29600000000016</v>
      </c>
      <c r="K165" s="3" t="s">
        <v>1276</v>
      </c>
      <c r="L165" s="6">
        <f>+[117]Main!$O$3</f>
        <v>68.8</v>
      </c>
      <c r="M165" s="9">
        <v>45684</v>
      </c>
    </row>
    <row r="166" spans="1:13" x14ac:dyDescent="0.25">
      <c r="A166" s="88" t="s">
        <v>333</v>
      </c>
      <c r="B166"/>
      <c r="C166"/>
      <c r="D166">
        <f t="shared" si="71"/>
        <v>155</v>
      </c>
      <c r="E166" s="5" t="s">
        <v>180</v>
      </c>
      <c r="F166" s="1" t="s">
        <v>181</v>
      </c>
      <c r="G166" s="7">
        <v>7.28</v>
      </c>
      <c r="H166" s="6">
        <f>G166*L166</f>
        <v>434.74418623999998</v>
      </c>
      <c r="I166" s="6">
        <f>[118]Main!$K$5-[118]Main!$K$6</f>
        <v>1272.4940000000001</v>
      </c>
      <c r="J166" s="6">
        <f>H166-I166</f>
        <v>-837.74981376000017</v>
      </c>
      <c r="K166" s="3" t="s">
        <v>516</v>
      </c>
      <c r="L166" s="6">
        <f>[118]Main!$K$3</f>
        <v>59.717607999999998</v>
      </c>
      <c r="M166" s="9">
        <v>44999</v>
      </c>
    </row>
    <row r="167" spans="1:13" x14ac:dyDescent="0.25">
      <c r="A167"/>
      <c r="B167"/>
      <c r="C167"/>
      <c r="D167">
        <f t="shared" si="71"/>
        <v>156</v>
      </c>
      <c r="E167" s="5" t="s">
        <v>140</v>
      </c>
      <c r="F167" t="s">
        <v>1176</v>
      </c>
      <c r="G167" s="7">
        <v>5.91</v>
      </c>
      <c r="H167" s="6"/>
    </row>
    <row r="168" spans="1:13" x14ac:dyDescent="0.25">
      <c r="A168"/>
      <c r="B168"/>
      <c r="C168"/>
      <c r="D168">
        <f t="shared" si="71"/>
        <v>157</v>
      </c>
      <c r="E168" s="5" t="s">
        <v>140</v>
      </c>
      <c r="F168" t="s">
        <v>141</v>
      </c>
      <c r="G168" s="7">
        <v>3.32</v>
      </c>
      <c r="H168" s="6"/>
    </row>
    <row r="169" spans="1:13" x14ac:dyDescent="0.25">
      <c r="A169" s="88" t="s">
        <v>333</v>
      </c>
      <c r="B169"/>
      <c r="C169"/>
      <c r="D169">
        <f t="shared" si="71"/>
        <v>158</v>
      </c>
      <c r="E169" t="s">
        <v>1120</v>
      </c>
      <c r="F169" t="s">
        <v>1121</v>
      </c>
      <c r="H169" s="6"/>
    </row>
    <row r="170" spans="1:13" x14ac:dyDescent="0.25">
      <c r="A170" s="88" t="s">
        <v>333</v>
      </c>
      <c r="B170"/>
      <c r="C170"/>
      <c r="D170">
        <f t="shared" si="71"/>
        <v>159</v>
      </c>
      <c r="E170" s="5" t="s">
        <v>1844</v>
      </c>
      <c r="F170" t="s">
        <v>1845</v>
      </c>
      <c r="G170" s="3">
        <v>14.45</v>
      </c>
      <c r="H170" s="6">
        <v>1700</v>
      </c>
    </row>
    <row r="171" spans="1:13" x14ac:dyDescent="0.25">
      <c r="A171" s="88" t="s">
        <v>333</v>
      </c>
      <c r="D171">
        <f t="shared" si="71"/>
        <v>160</v>
      </c>
      <c r="E171" t="s">
        <v>1122</v>
      </c>
      <c r="F171" t="s">
        <v>1123</v>
      </c>
    </row>
    <row r="172" spans="1:13" x14ac:dyDescent="0.25">
      <c r="A172" s="88" t="s">
        <v>333</v>
      </c>
      <c r="B172"/>
      <c r="C172"/>
      <c r="D172">
        <f t="shared" si="71"/>
        <v>161</v>
      </c>
      <c r="E172" s="1" t="s">
        <v>783</v>
      </c>
      <c r="F172" s="1" t="s">
        <v>169</v>
      </c>
      <c r="G172" s="3">
        <v>38.67</v>
      </c>
      <c r="H172" s="6">
        <v>1770</v>
      </c>
    </row>
    <row r="173" spans="1:13" x14ac:dyDescent="0.25">
      <c r="A173" s="88" t="s">
        <v>333</v>
      </c>
      <c r="B173"/>
      <c r="C173"/>
      <c r="D173">
        <f t="shared" si="71"/>
        <v>162</v>
      </c>
      <c r="E173" t="s">
        <v>376</v>
      </c>
      <c r="F173" t="s">
        <v>377</v>
      </c>
      <c r="G173" s="7">
        <v>43.5</v>
      </c>
    </row>
    <row r="174" spans="1:13" x14ac:dyDescent="0.25">
      <c r="A174" s="88" t="s">
        <v>333</v>
      </c>
      <c r="B174"/>
      <c r="C174"/>
      <c r="D174">
        <f t="shared" si="71"/>
        <v>163</v>
      </c>
      <c r="E174" s="5" t="s">
        <v>1068</v>
      </c>
      <c r="F174" t="s">
        <v>1069</v>
      </c>
      <c r="G174" s="7">
        <v>17</v>
      </c>
      <c r="H174" s="6"/>
    </row>
    <row r="175" spans="1:13" x14ac:dyDescent="0.25">
      <c r="A175" s="88" t="s">
        <v>333</v>
      </c>
      <c r="B175"/>
      <c r="C175"/>
      <c r="D175">
        <f t="shared" si="71"/>
        <v>164</v>
      </c>
      <c r="E175" t="s">
        <v>725</v>
      </c>
      <c r="H175" s="6"/>
    </row>
    <row r="176" spans="1:13" x14ac:dyDescent="0.25">
      <c r="A176" s="88" t="s">
        <v>333</v>
      </c>
      <c r="B176"/>
      <c r="C176"/>
      <c r="D176">
        <f t="shared" si="71"/>
        <v>165</v>
      </c>
      <c r="E176" s="1" t="s">
        <v>176</v>
      </c>
      <c r="F176" s="1" t="s">
        <v>177</v>
      </c>
      <c r="G176" s="3">
        <v>22.22</v>
      </c>
      <c r="H176" s="6">
        <v>1720</v>
      </c>
    </row>
    <row r="177" spans="1:30" ht="13" x14ac:dyDescent="0.3">
      <c r="A177" s="88" t="s">
        <v>333</v>
      </c>
      <c r="D177">
        <f t="shared" si="71"/>
        <v>166</v>
      </c>
      <c r="E177" s="24" t="s">
        <v>622</v>
      </c>
      <c r="F177" s="24" t="s">
        <v>623</v>
      </c>
      <c r="G177" s="25">
        <v>12.79</v>
      </c>
      <c r="H177" s="26"/>
    </row>
    <row r="178" spans="1:30" x14ac:dyDescent="0.25">
      <c r="A178" s="88" t="s">
        <v>333</v>
      </c>
      <c r="B178"/>
      <c r="C178"/>
      <c r="D178">
        <f t="shared" si="71"/>
        <v>167</v>
      </c>
      <c r="E178" t="s">
        <v>764</v>
      </c>
      <c r="F178" t="s">
        <v>765</v>
      </c>
      <c r="G178" s="7"/>
      <c r="H178" s="6"/>
    </row>
    <row r="179" spans="1:30" x14ac:dyDescent="0.25">
      <c r="A179" s="88" t="s">
        <v>333</v>
      </c>
      <c r="D179">
        <f t="shared" si="71"/>
        <v>168</v>
      </c>
      <c r="E179" t="s">
        <v>1422</v>
      </c>
      <c r="F179" t="s">
        <v>1423</v>
      </c>
      <c r="G179" s="7">
        <v>2.1</v>
      </c>
    </row>
    <row r="180" spans="1:30" x14ac:dyDescent="0.25">
      <c r="A180" s="88" t="s">
        <v>333</v>
      </c>
      <c r="D180">
        <f t="shared" si="71"/>
        <v>169</v>
      </c>
      <c r="E180" t="s">
        <v>1898</v>
      </c>
      <c r="F180" t="s">
        <v>1899</v>
      </c>
      <c r="G180" s="7"/>
    </row>
    <row r="181" spans="1:30" x14ac:dyDescent="0.25">
      <c r="A181" s="88" t="s">
        <v>333</v>
      </c>
      <c r="B181"/>
      <c r="C181"/>
      <c r="D181">
        <f t="shared" si="71"/>
        <v>170</v>
      </c>
      <c r="E181" t="s">
        <v>779</v>
      </c>
      <c r="F181" t="s">
        <v>780</v>
      </c>
      <c r="G181" s="7"/>
      <c r="H181" s="6"/>
    </row>
    <row r="182" spans="1:30" x14ac:dyDescent="0.25">
      <c r="A182" s="88" t="s">
        <v>333</v>
      </c>
      <c r="B182"/>
      <c r="C182"/>
      <c r="D182">
        <f t="shared" si="71"/>
        <v>171</v>
      </c>
      <c r="E182" t="s">
        <v>778</v>
      </c>
      <c r="F182"/>
      <c r="G182" s="7"/>
      <c r="H182" s="6"/>
    </row>
    <row r="183" spans="1:30" x14ac:dyDescent="0.25">
      <c r="A183" s="88" t="s">
        <v>333</v>
      </c>
      <c r="B183"/>
      <c r="C183"/>
      <c r="D183">
        <f t="shared" si="71"/>
        <v>172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5">
      <c r="A184" s="88" t="s">
        <v>333</v>
      </c>
      <c r="B184"/>
      <c r="C184"/>
      <c r="D184">
        <f t="shared" si="71"/>
        <v>173</v>
      </c>
      <c r="E184" t="s">
        <v>776</v>
      </c>
      <c r="F184" t="s">
        <v>777</v>
      </c>
      <c r="G184" s="7"/>
      <c r="H184" s="6"/>
    </row>
    <row r="185" spans="1:30" x14ac:dyDescent="0.25">
      <c r="A185" s="88" t="s">
        <v>333</v>
      </c>
      <c r="B185"/>
      <c r="C185"/>
      <c r="D185">
        <f t="shared" si="71"/>
        <v>174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5">
      <c r="A186" s="88" t="s">
        <v>333</v>
      </c>
      <c r="D186">
        <f t="shared" ref="D186:D217" si="72">+D185+1</f>
        <v>175</v>
      </c>
      <c r="E186" s="1" t="s">
        <v>103</v>
      </c>
      <c r="F186" s="1" t="s">
        <v>104</v>
      </c>
      <c r="G186" s="3">
        <v>24.78</v>
      </c>
    </row>
    <row r="187" spans="1:30" x14ac:dyDescent="0.25">
      <c r="A187" s="88" t="s">
        <v>333</v>
      </c>
      <c r="B187"/>
      <c r="C187"/>
      <c r="D187">
        <f t="shared" si="72"/>
        <v>176</v>
      </c>
      <c r="E187" s="1" t="s">
        <v>107</v>
      </c>
      <c r="F187" s="1" t="s">
        <v>108</v>
      </c>
      <c r="G187" s="3">
        <v>24.53</v>
      </c>
    </row>
    <row r="188" spans="1:30" x14ac:dyDescent="0.25">
      <c r="A188" s="88" t="s">
        <v>333</v>
      </c>
      <c r="B188"/>
      <c r="C188"/>
      <c r="D188">
        <f t="shared" si="72"/>
        <v>177</v>
      </c>
      <c r="E188" t="s">
        <v>768</v>
      </c>
      <c r="F188" t="s">
        <v>769</v>
      </c>
      <c r="H188" s="6"/>
    </row>
    <row r="189" spans="1:30" s="24" customFormat="1" ht="13" x14ac:dyDescent="0.3">
      <c r="A189" s="88" t="s">
        <v>333</v>
      </c>
      <c r="D189">
        <f t="shared" si="72"/>
        <v>178</v>
      </c>
      <c r="E189" s="24" t="s">
        <v>766</v>
      </c>
      <c r="F189" s="24" t="s">
        <v>767</v>
      </c>
      <c r="G189" s="46">
        <v>19.7</v>
      </c>
      <c r="H189" s="26">
        <v>800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44"/>
      <c r="T189" s="44"/>
      <c r="U189" s="44"/>
      <c r="V189" s="44"/>
      <c r="W189" s="44"/>
      <c r="X189" s="44"/>
      <c r="Y189" s="104"/>
      <c r="Z189" s="104"/>
      <c r="AA189" s="104"/>
      <c r="AB189" s="104"/>
      <c r="AC189" s="104"/>
      <c r="AD189" s="104"/>
    </row>
    <row r="190" spans="1:30" x14ac:dyDescent="0.25">
      <c r="A190" s="88" t="s">
        <v>333</v>
      </c>
      <c r="B190"/>
      <c r="C190"/>
      <c r="D190">
        <f t="shared" si="72"/>
        <v>179</v>
      </c>
      <c r="E190" s="1" t="s">
        <v>170</v>
      </c>
      <c r="F190" s="1" t="s">
        <v>171</v>
      </c>
      <c r="G190" s="7">
        <v>21.6</v>
      </c>
      <c r="H190" s="6">
        <v>991</v>
      </c>
    </row>
    <row r="191" spans="1:30" x14ac:dyDescent="0.25">
      <c r="A191" s="88" t="s">
        <v>333</v>
      </c>
      <c r="B191"/>
      <c r="C191"/>
      <c r="D191">
        <f t="shared" si="72"/>
        <v>180</v>
      </c>
      <c r="E191" t="s">
        <v>719</v>
      </c>
      <c r="F191" t="s">
        <v>720</v>
      </c>
      <c r="H191" s="6"/>
    </row>
    <row r="192" spans="1:30" x14ac:dyDescent="0.25">
      <c r="A192" s="88" t="s">
        <v>333</v>
      </c>
      <c r="B192"/>
      <c r="C192"/>
      <c r="D192">
        <f t="shared" si="72"/>
        <v>181</v>
      </c>
      <c r="E192" t="s">
        <v>717</v>
      </c>
      <c r="F192" t="s">
        <v>718</v>
      </c>
      <c r="H192" s="6"/>
    </row>
    <row r="193" spans="1:30" s="24" customFormat="1" ht="13" x14ac:dyDescent="0.3">
      <c r="D193">
        <f t="shared" si="72"/>
        <v>182</v>
      </c>
      <c r="E193" s="24" t="s">
        <v>1184</v>
      </c>
      <c r="F193" s="24" t="s">
        <v>1185</v>
      </c>
      <c r="G193" s="46">
        <v>28.76</v>
      </c>
      <c r="H193" s="2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44"/>
      <c r="T193" s="44"/>
      <c r="U193" s="44"/>
      <c r="V193" s="44"/>
      <c r="W193" s="44"/>
      <c r="X193" s="44"/>
      <c r="Y193" s="104"/>
      <c r="Z193" s="104"/>
      <c r="AA193" s="104"/>
      <c r="AB193" s="104"/>
      <c r="AC193" s="104"/>
      <c r="AD193" s="104"/>
    </row>
    <row r="194" spans="1:30" x14ac:dyDescent="0.25">
      <c r="A194" s="88" t="s">
        <v>333</v>
      </c>
      <c r="B194"/>
      <c r="C194"/>
      <c r="D194">
        <f t="shared" si="72"/>
        <v>183</v>
      </c>
      <c r="E194" t="s">
        <v>795</v>
      </c>
      <c r="F194" t="s">
        <v>796</v>
      </c>
      <c r="H194" s="6"/>
    </row>
    <row r="195" spans="1:30" x14ac:dyDescent="0.25">
      <c r="A195" s="88" t="s">
        <v>333</v>
      </c>
      <c r="B195"/>
      <c r="C195"/>
      <c r="D195">
        <f t="shared" si="72"/>
        <v>184</v>
      </c>
      <c r="E195" t="s">
        <v>1861</v>
      </c>
      <c r="F195" t="s">
        <v>1862</v>
      </c>
      <c r="H195" s="6"/>
    </row>
    <row r="196" spans="1:30" x14ac:dyDescent="0.25">
      <c r="A196" s="88" t="s">
        <v>333</v>
      </c>
      <c r="B196"/>
      <c r="C196"/>
      <c r="D196">
        <f t="shared" si="72"/>
        <v>185</v>
      </c>
      <c r="E196" t="s">
        <v>1853</v>
      </c>
      <c r="F196" t="s">
        <v>1854</v>
      </c>
      <c r="G196" s="7"/>
      <c r="H196" s="6"/>
    </row>
    <row r="197" spans="1:30" x14ac:dyDescent="0.25">
      <c r="A197" s="88" t="s">
        <v>333</v>
      </c>
      <c r="B197"/>
      <c r="C197"/>
      <c r="D197">
        <f t="shared" si="72"/>
        <v>186</v>
      </c>
      <c r="E197" t="s">
        <v>793</v>
      </c>
      <c r="F197" t="s">
        <v>794</v>
      </c>
      <c r="H197" s="6"/>
    </row>
    <row r="198" spans="1:30" x14ac:dyDescent="0.25">
      <c r="A198" s="88" t="s">
        <v>333</v>
      </c>
      <c r="B198"/>
      <c r="C198"/>
      <c r="D198">
        <f t="shared" si="72"/>
        <v>187</v>
      </c>
      <c r="E198" t="s">
        <v>1892</v>
      </c>
      <c r="F198" t="s">
        <v>1893</v>
      </c>
      <c r="H198" s="6"/>
    </row>
    <row r="199" spans="1:30" x14ac:dyDescent="0.25">
      <c r="A199" s="88" t="s">
        <v>333</v>
      </c>
      <c r="B199"/>
      <c r="C199"/>
      <c r="D199">
        <f t="shared" si="72"/>
        <v>188</v>
      </c>
      <c r="E199" t="s">
        <v>792</v>
      </c>
      <c r="F199" t="s">
        <v>791</v>
      </c>
      <c r="H199" s="6"/>
    </row>
    <row r="200" spans="1:30" x14ac:dyDescent="0.25">
      <c r="A200" s="88" t="s">
        <v>333</v>
      </c>
      <c r="B200"/>
      <c r="C200"/>
      <c r="D200">
        <f t="shared" si="72"/>
        <v>189</v>
      </c>
      <c r="E200" t="s">
        <v>789</v>
      </c>
      <c r="F200" t="s">
        <v>790</v>
      </c>
      <c r="H200" s="6"/>
    </row>
    <row r="201" spans="1:30" x14ac:dyDescent="0.25">
      <c r="A201" s="88" t="s">
        <v>333</v>
      </c>
      <c r="B201"/>
      <c r="C201"/>
      <c r="D201">
        <f t="shared" si="72"/>
        <v>190</v>
      </c>
      <c r="E201" s="5" t="s">
        <v>770</v>
      </c>
      <c r="F201" t="s">
        <v>771</v>
      </c>
      <c r="G201" s="7">
        <v>61.69</v>
      </c>
      <c r="H201" s="6">
        <f>+G201*L201</f>
        <v>3924.8086076799996</v>
      </c>
      <c r="I201" s="6">
        <f>+[119]Main!$K$5-[119]Main!$K$6</f>
        <v>206.554</v>
      </c>
      <c r="J201" s="6">
        <f>+H201-I201</f>
        <v>3718.2546076799995</v>
      </c>
      <c r="K201" s="3" t="s">
        <v>1843</v>
      </c>
      <c r="L201" s="6">
        <f>+[119]Main!$K$3</f>
        <v>63.621471999999997</v>
      </c>
      <c r="M201" s="9">
        <v>45810</v>
      </c>
    </row>
    <row r="202" spans="1:30" x14ac:dyDescent="0.25">
      <c r="A202" s="88" t="s">
        <v>333</v>
      </c>
      <c r="B202"/>
      <c r="C202"/>
      <c r="D202">
        <f t="shared" si="72"/>
        <v>191</v>
      </c>
      <c r="E202" s="1" t="s">
        <v>193</v>
      </c>
      <c r="F202" s="1" t="s">
        <v>194</v>
      </c>
      <c r="G202" s="7">
        <v>5.7</v>
      </c>
      <c r="H202" s="6">
        <v>821</v>
      </c>
    </row>
    <row r="203" spans="1:30" x14ac:dyDescent="0.25">
      <c r="A203" s="88" t="s">
        <v>333</v>
      </c>
      <c r="B203"/>
      <c r="C203"/>
      <c r="D203">
        <f t="shared" si="72"/>
        <v>192</v>
      </c>
      <c r="E203" t="s">
        <v>303</v>
      </c>
      <c r="F203" t="s">
        <v>304</v>
      </c>
      <c r="G203" s="3">
        <v>3.23</v>
      </c>
      <c r="H203" s="6">
        <v>630</v>
      </c>
    </row>
    <row r="204" spans="1:30" x14ac:dyDescent="0.25">
      <c r="A204" s="88" t="s">
        <v>333</v>
      </c>
      <c r="B204"/>
      <c r="C204"/>
      <c r="D204">
        <f t="shared" si="72"/>
        <v>193</v>
      </c>
      <c r="E204" t="s">
        <v>705</v>
      </c>
      <c r="F204" t="s">
        <v>706</v>
      </c>
      <c r="G204" s="3">
        <v>26.06</v>
      </c>
      <c r="H204" s="6"/>
    </row>
    <row r="205" spans="1:30" x14ac:dyDescent="0.25">
      <c r="A205" s="88" t="s">
        <v>333</v>
      </c>
      <c r="B205"/>
      <c r="C205"/>
      <c r="D205">
        <f t="shared" si="72"/>
        <v>194</v>
      </c>
      <c r="E205" s="1" t="s">
        <v>199</v>
      </c>
      <c r="F205" s="1" t="s">
        <v>200</v>
      </c>
      <c r="G205" s="3">
        <v>4.16</v>
      </c>
      <c r="H205" s="6">
        <v>590</v>
      </c>
    </row>
    <row r="206" spans="1:30" x14ac:dyDescent="0.25">
      <c r="A206" s="88" t="s">
        <v>333</v>
      </c>
      <c r="B206"/>
      <c r="C206"/>
      <c r="D206">
        <f t="shared" si="72"/>
        <v>195</v>
      </c>
      <c r="E206" t="s">
        <v>290</v>
      </c>
      <c r="F206" t="s">
        <v>291</v>
      </c>
      <c r="G206" s="3">
        <v>8.4499999999999993</v>
      </c>
      <c r="H206" s="6">
        <f>4406/HKD</f>
        <v>564.87179487179492</v>
      </c>
    </row>
    <row r="207" spans="1:30" x14ac:dyDescent="0.25">
      <c r="A207" s="88" t="s">
        <v>333</v>
      </c>
      <c r="B207"/>
      <c r="C207"/>
      <c r="D207">
        <f>+D232+1</f>
        <v>197</v>
      </c>
      <c r="E207" s="1" t="s">
        <v>1855</v>
      </c>
      <c r="F207" t="s">
        <v>1856</v>
      </c>
      <c r="H207" s="6"/>
      <c r="I207" s="6"/>
      <c r="J207" s="6"/>
      <c r="L207" s="6"/>
      <c r="M207" s="9"/>
    </row>
    <row r="208" spans="1:30" x14ac:dyDescent="0.25">
      <c r="A208" s="88" t="s">
        <v>333</v>
      </c>
      <c r="B208"/>
      <c r="C208"/>
      <c r="D208">
        <f t="shared" si="72"/>
        <v>198</v>
      </c>
      <c r="E208" t="s">
        <v>1857</v>
      </c>
      <c r="F208" t="s">
        <v>1858</v>
      </c>
      <c r="H208" s="6"/>
      <c r="I208" s="6"/>
      <c r="J208" s="6"/>
      <c r="L208" s="6"/>
      <c r="M208" s="9"/>
    </row>
    <row r="209" spans="1:18" x14ac:dyDescent="0.25">
      <c r="A209" s="88" t="s">
        <v>333</v>
      </c>
      <c r="B209"/>
      <c r="C209"/>
      <c r="D209">
        <f t="shared" si="72"/>
        <v>199</v>
      </c>
      <c r="E209" t="s">
        <v>1859</v>
      </c>
      <c r="F209" t="s">
        <v>1860</v>
      </c>
      <c r="H209" s="6"/>
      <c r="I209" s="6"/>
      <c r="J209" s="6"/>
      <c r="L209" s="6"/>
      <c r="M209" s="9"/>
    </row>
    <row r="210" spans="1:18" x14ac:dyDescent="0.25">
      <c r="A210" s="88" t="s">
        <v>333</v>
      </c>
      <c r="B210"/>
      <c r="C210"/>
      <c r="D210">
        <f t="shared" si="72"/>
        <v>200</v>
      </c>
      <c r="E210" t="s">
        <v>509</v>
      </c>
      <c r="F210" t="s">
        <v>510</v>
      </c>
      <c r="G210" s="7">
        <v>3.19</v>
      </c>
      <c r="H210" s="6">
        <v>439</v>
      </c>
    </row>
    <row r="211" spans="1:18" x14ac:dyDescent="0.25">
      <c r="A211" s="88" t="s">
        <v>333</v>
      </c>
      <c r="B211"/>
      <c r="C211"/>
      <c r="D211">
        <f t="shared" si="72"/>
        <v>201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18" x14ac:dyDescent="0.25">
      <c r="A212" s="88" t="s">
        <v>333</v>
      </c>
      <c r="B212"/>
      <c r="C212"/>
      <c r="D212">
        <f t="shared" si="72"/>
        <v>202</v>
      </c>
      <c r="E212" s="5" t="s">
        <v>703</v>
      </c>
      <c r="F212" t="s">
        <v>704</v>
      </c>
      <c r="G212" s="7">
        <v>36.86</v>
      </c>
      <c r="H212" s="6">
        <f>+G212*L212</f>
        <v>2400.3072764799999</v>
      </c>
      <c r="I212" s="6">
        <f>+[120]Main!$L$5-[120]Main!$L$6</f>
        <v>775.48500000000001</v>
      </c>
      <c r="J212" s="6">
        <f>+H212-I212</f>
        <v>1624.8222764799998</v>
      </c>
      <c r="K212" s="3" t="s">
        <v>1276</v>
      </c>
      <c r="L212" s="6">
        <f>+[120]Main!$L$3</f>
        <v>65.119568000000001</v>
      </c>
      <c r="M212" s="9">
        <v>45632</v>
      </c>
    </row>
    <row r="213" spans="1:18" x14ac:dyDescent="0.25">
      <c r="A213" s="88" t="s">
        <v>333</v>
      </c>
      <c r="B213"/>
      <c r="C213"/>
      <c r="D213">
        <f>+D542+1</f>
        <v>224</v>
      </c>
      <c r="E213" s="5" t="s">
        <v>297</v>
      </c>
      <c r="F213" t="s">
        <v>298</v>
      </c>
      <c r="G213" s="7">
        <v>11</v>
      </c>
      <c r="H213" s="6">
        <f>+G213*[121]Main!$L$3</f>
        <v>798.23003700000004</v>
      </c>
      <c r="I213" s="6">
        <f>+[121]Main!$L$5-[121]Main!$L$6</f>
        <v>153.25991400000001</v>
      </c>
      <c r="J213" s="6">
        <f>+H213-I213</f>
        <v>644.97012300000006</v>
      </c>
      <c r="K213" s="3" t="s">
        <v>16</v>
      </c>
      <c r="M213" s="9">
        <v>44771</v>
      </c>
      <c r="N213" s="9"/>
      <c r="O213" s="9"/>
      <c r="P213" s="9"/>
      <c r="Q213" s="9"/>
      <c r="R213" s="9"/>
    </row>
    <row r="214" spans="1:18" x14ac:dyDescent="0.25">
      <c r="A214" s="88" t="s">
        <v>333</v>
      </c>
      <c r="B214"/>
      <c r="C214"/>
      <c r="D214">
        <f>+D212+1</f>
        <v>203</v>
      </c>
      <c r="E214" s="1" t="s">
        <v>1884</v>
      </c>
      <c r="F214" t="s">
        <v>1885</v>
      </c>
      <c r="G214" s="7"/>
      <c r="H214" s="6"/>
      <c r="I214" s="6"/>
      <c r="J214" s="6"/>
      <c r="L214" s="6"/>
      <c r="M214" s="9"/>
    </row>
    <row r="215" spans="1:18" x14ac:dyDescent="0.25">
      <c r="A215" s="88" t="s">
        <v>333</v>
      </c>
      <c r="B215"/>
      <c r="C215"/>
      <c r="D215">
        <f t="shared" si="72"/>
        <v>204</v>
      </c>
      <c r="E215" t="s">
        <v>1900</v>
      </c>
      <c r="F215"/>
      <c r="G215" s="7"/>
      <c r="H215" s="6"/>
      <c r="I215" s="6"/>
      <c r="J215" s="6"/>
      <c r="L215" s="6"/>
      <c r="M215" s="9"/>
    </row>
    <row r="216" spans="1:18" x14ac:dyDescent="0.25">
      <c r="A216" s="88" t="s">
        <v>333</v>
      </c>
      <c r="B216"/>
      <c r="C216"/>
      <c r="D216">
        <f t="shared" si="72"/>
        <v>205</v>
      </c>
      <c r="E216" t="s">
        <v>1918</v>
      </c>
      <c r="F216" t="s">
        <v>1919</v>
      </c>
      <c r="G216" s="7"/>
      <c r="H216" s="6"/>
      <c r="I216" s="6"/>
      <c r="J216" s="6"/>
      <c r="L216" s="6"/>
      <c r="M216" s="9"/>
    </row>
    <row r="217" spans="1:18" x14ac:dyDescent="0.25">
      <c r="A217" s="88" t="s">
        <v>333</v>
      </c>
      <c r="B217"/>
      <c r="C217"/>
      <c r="D217">
        <f t="shared" si="72"/>
        <v>206</v>
      </c>
      <c r="E217" t="s">
        <v>1920</v>
      </c>
      <c r="F217" t="s">
        <v>1921</v>
      </c>
      <c r="G217" s="7"/>
      <c r="H217" s="6"/>
      <c r="I217" s="6"/>
      <c r="J217" s="6"/>
      <c r="L217" s="6"/>
      <c r="M217" s="9"/>
    </row>
    <row r="218" spans="1:18" x14ac:dyDescent="0.25">
      <c r="A218" s="88" t="s">
        <v>333</v>
      </c>
      <c r="B218"/>
      <c r="C218"/>
      <c r="D218">
        <f t="shared" ref="D218:D224" si="73">+D217+1</f>
        <v>207</v>
      </c>
      <c r="E218" t="s">
        <v>1922</v>
      </c>
      <c r="F218" t="s">
        <v>1923</v>
      </c>
      <c r="G218" s="7"/>
      <c r="H218" s="6"/>
      <c r="I218" s="6"/>
      <c r="J218" s="6"/>
      <c r="L218" s="6"/>
      <c r="M218" s="9"/>
    </row>
    <row r="219" spans="1:18" x14ac:dyDescent="0.25">
      <c r="A219" s="88" t="s">
        <v>333</v>
      </c>
      <c r="B219"/>
      <c r="C219"/>
      <c r="D219">
        <f t="shared" si="73"/>
        <v>208</v>
      </c>
      <c r="E219" t="s">
        <v>1924</v>
      </c>
      <c r="F219" t="s">
        <v>1925</v>
      </c>
      <c r="G219" s="7"/>
      <c r="H219" s="6"/>
      <c r="I219" s="6"/>
      <c r="J219" s="6"/>
      <c r="L219" s="6"/>
      <c r="M219" s="9"/>
    </row>
    <row r="220" spans="1:18" x14ac:dyDescent="0.25">
      <c r="A220" s="88" t="s">
        <v>333</v>
      </c>
      <c r="B220"/>
      <c r="C220"/>
      <c r="D220">
        <f t="shared" si="73"/>
        <v>209</v>
      </c>
      <c r="E220" t="s">
        <v>1943</v>
      </c>
      <c r="F220" t="s">
        <v>1944</v>
      </c>
      <c r="G220" s="7"/>
      <c r="H220" s="6"/>
      <c r="I220" s="6"/>
      <c r="J220" s="6"/>
      <c r="L220" s="6"/>
      <c r="M220" s="9"/>
    </row>
    <row r="221" spans="1:18" x14ac:dyDescent="0.25">
      <c r="A221" s="88" t="s">
        <v>333</v>
      </c>
      <c r="B221"/>
      <c r="C221"/>
      <c r="D221">
        <f t="shared" si="73"/>
        <v>210</v>
      </c>
      <c r="E221" t="s">
        <v>1945</v>
      </c>
      <c r="F221" t="s">
        <v>1946</v>
      </c>
      <c r="G221" s="7"/>
      <c r="H221" s="6"/>
      <c r="I221" s="6"/>
      <c r="J221" s="6"/>
      <c r="L221" s="6"/>
      <c r="M221" s="9"/>
    </row>
    <row r="222" spans="1:18" x14ac:dyDescent="0.25">
      <c r="A222" s="88" t="s">
        <v>333</v>
      </c>
      <c r="B222"/>
      <c r="C222"/>
      <c r="D222">
        <f t="shared" si="73"/>
        <v>211</v>
      </c>
      <c r="E222" t="s">
        <v>1947</v>
      </c>
      <c r="F222" t="s">
        <v>1948</v>
      </c>
      <c r="G222" s="7"/>
      <c r="H222" s="6"/>
      <c r="I222" s="6"/>
      <c r="J222" s="6"/>
      <c r="L222" s="6"/>
      <c r="M222" s="9"/>
    </row>
    <row r="223" spans="1:18" x14ac:dyDescent="0.25">
      <c r="A223" s="88" t="s">
        <v>333</v>
      </c>
      <c r="B223"/>
      <c r="C223"/>
      <c r="D223">
        <f t="shared" si="73"/>
        <v>212</v>
      </c>
      <c r="E223" t="s">
        <v>1949</v>
      </c>
      <c r="F223" t="s">
        <v>1950</v>
      </c>
      <c r="G223" s="7"/>
      <c r="H223" s="6"/>
      <c r="I223" s="6"/>
      <c r="J223" s="6"/>
      <c r="L223" s="6"/>
      <c r="M223" s="9"/>
    </row>
    <row r="224" spans="1:18" x14ac:dyDescent="0.25">
      <c r="A224" s="88" t="s">
        <v>333</v>
      </c>
      <c r="B224"/>
      <c r="C224"/>
      <c r="D224">
        <f t="shared" si="73"/>
        <v>213</v>
      </c>
      <c r="E224" t="s">
        <v>1951</v>
      </c>
      <c r="F224" t="s">
        <v>1952</v>
      </c>
      <c r="G224" s="7"/>
      <c r="H224" s="6"/>
      <c r="I224" s="6"/>
      <c r="J224" s="6"/>
      <c r="L224" s="6"/>
      <c r="M224" s="9"/>
    </row>
    <row r="225" spans="1:31" x14ac:dyDescent="0.25">
      <c r="A225" s="88" t="s">
        <v>333</v>
      </c>
      <c r="D225">
        <f>+D549+1</f>
        <v>220</v>
      </c>
      <c r="E225" t="s">
        <v>1967</v>
      </c>
      <c r="F225" t="s">
        <v>1968</v>
      </c>
      <c r="H225" s="6"/>
    </row>
    <row r="226" spans="1:31" x14ac:dyDescent="0.25">
      <c r="A226" s="88" t="s">
        <v>333</v>
      </c>
      <c r="D226">
        <f>+D225+1</f>
        <v>221</v>
      </c>
      <c r="E226" t="s">
        <v>1966</v>
      </c>
      <c r="F226" t="s">
        <v>1965</v>
      </c>
      <c r="H226" s="6"/>
    </row>
    <row r="227" spans="1:31" x14ac:dyDescent="0.25">
      <c r="A227" s="88" t="s">
        <v>333</v>
      </c>
      <c r="B227"/>
      <c r="C227"/>
      <c r="D227">
        <f>+D226+1</f>
        <v>222</v>
      </c>
      <c r="E227" s="5" t="s">
        <v>754</v>
      </c>
      <c r="F227" t="s">
        <v>755</v>
      </c>
      <c r="G227" s="7">
        <v>6.18</v>
      </c>
      <c r="H227" s="6">
        <f>+G227*L227</f>
        <v>626.36771999999996</v>
      </c>
      <c r="I227" s="6">
        <f>+[122]Main!$K$5-[122]Main!$K$6</f>
        <v>531</v>
      </c>
      <c r="J227" s="6">
        <f>+H227-I227</f>
        <v>95.367719999999963</v>
      </c>
      <c r="K227" s="3" t="s">
        <v>1277</v>
      </c>
      <c r="L227" s="6">
        <f>+[122]Main!$K$3</f>
        <v>101.354</v>
      </c>
      <c r="M227" s="9">
        <v>45792</v>
      </c>
    </row>
    <row r="228" spans="1:31" x14ac:dyDescent="0.25">
      <c r="A228" s="88" t="s">
        <v>333</v>
      </c>
      <c r="B228"/>
      <c r="C228"/>
      <c r="D228">
        <f>+D213+1</f>
        <v>225</v>
      </c>
      <c r="E228" s="5" t="s">
        <v>1195</v>
      </c>
      <c r="F228" t="s">
        <v>1196</v>
      </c>
      <c r="G228" s="3">
        <v>7.86</v>
      </c>
      <c r="H228" s="6">
        <f t="shared" ref="H228:H231" si="74">+G228*L228</f>
        <v>491.65306866000003</v>
      </c>
      <c r="I228" s="6">
        <f>+[123]Main!$K$5-[123]Main!$K$6</f>
        <v>62.650000000000006</v>
      </c>
      <c r="J228" s="6">
        <f t="shared" ref="J228:J231" si="75">+H228-I228</f>
        <v>429.00306866000005</v>
      </c>
      <c r="K228" s="3" t="s">
        <v>1070</v>
      </c>
      <c r="L228" s="6">
        <f>+[123]Main!$K$3</f>
        <v>62.551281000000003</v>
      </c>
      <c r="M228" s="9">
        <v>45569</v>
      </c>
      <c r="AE228" s="1">
        <v>2014</v>
      </c>
    </row>
    <row r="229" spans="1:31" x14ac:dyDescent="0.25">
      <c r="A229" s="88" t="s">
        <v>333</v>
      </c>
      <c r="B229">
        <v>6</v>
      </c>
      <c r="C229">
        <v>1</v>
      </c>
      <c r="D229">
        <f>+D543+1</f>
        <v>227</v>
      </c>
      <c r="E229" s="5" t="s">
        <v>784</v>
      </c>
      <c r="F229" t="s">
        <v>785</v>
      </c>
      <c r="G229" s="3">
        <v>8.7899999999999991</v>
      </c>
      <c r="H229" s="6">
        <f t="shared" si="74"/>
        <v>994.3367280299999</v>
      </c>
      <c r="I229" s="6">
        <f>+[124]Main!$K$5-[124]Main!$K$6</f>
        <v>642.26800000000003</v>
      </c>
      <c r="J229" s="6">
        <f t="shared" si="75"/>
        <v>352.06872802999987</v>
      </c>
      <c r="K229" s="3" t="s">
        <v>1277</v>
      </c>
      <c r="L229" s="6">
        <f>+[124]Main!$K$3</f>
        <v>113.121357</v>
      </c>
      <c r="M229" s="9">
        <v>45751</v>
      </c>
    </row>
    <row r="230" spans="1:31" x14ac:dyDescent="0.25">
      <c r="A230" s="88" t="s">
        <v>333</v>
      </c>
      <c r="B230"/>
      <c r="C230"/>
      <c r="D230">
        <f>+D229+1</f>
        <v>228</v>
      </c>
      <c r="E230" s="5" t="s">
        <v>1193</v>
      </c>
      <c r="F230" t="s">
        <v>1194</v>
      </c>
      <c r="G230" s="7">
        <v>1</v>
      </c>
      <c r="H230" s="6">
        <f t="shared" si="74"/>
        <v>226.227259</v>
      </c>
      <c r="I230" s="6">
        <f>+[125]Main!$K$5-[125]Main!$K$6</f>
        <v>157.43700000000001</v>
      </c>
      <c r="J230" s="6">
        <f t="shared" si="75"/>
        <v>68.790258999999992</v>
      </c>
      <c r="K230" s="3" t="s">
        <v>1070</v>
      </c>
      <c r="L230" s="6">
        <f>+[125]Main!$K$3</f>
        <v>226.227259</v>
      </c>
      <c r="M230" s="9">
        <v>45569</v>
      </c>
    </row>
    <row r="231" spans="1:31" x14ac:dyDescent="0.25">
      <c r="A231" s="88" t="s">
        <v>333</v>
      </c>
      <c r="B231"/>
      <c r="C231"/>
      <c r="D231">
        <f>+D519+1</f>
        <v>230</v>
      </c>
      <c r="E231" s="5" t="s">
        <v>1180</v>
      </c>
      <c r="F231" t="s">
        <v>1181</v>
      </c>
      <c r="G231" s="7">
        <v>1.08</v>
      </c>
      <c r="H231" s="6">
        <f t="shared" si="74"/>
        <v>76.012537320000007</v>
      </c>
      <c r="I231" s="6">
        <f>+[126]Main!$L$5-[126]Main!$L$6</f>
        <v>10.994</v>
      </c>
      <c r="J231" s="6">
        <f t="shared" si="75"/>
        <v>65.018537320000007</v>
      </c>
      <c r="K231" s="3" t="s">
        <v>1070</v>
      </c>
      <c r="L231" s="6">
        <f>+[126]Main!$L$3</f>
        <v>70.381979000000001</v>
      </c>
      <c r="M231" s="9">
        <v>45562</v>
      </c>
    </row>
    <row r="232" spans="1:31" x14ac:dyDescent="0.25">
      <c r="A232" s="88" t="s">
        <v>333</v>
      </c>
      <c r="B232"/>
      <c r="C232"/>
      <c r="D232">
        <f>+D206+1</f>
        <v>196</v>
      </c>
      <c r="E232" s="5" t="s">
        <v>726</v>
      </c>
      <c r="F232" t="s">
        <v>727</v>
      </c>
      <c r="G232" s="7">
        <v>13.61</v>
      </c>
      <c r="H232" s="6">
        <f>+G232*L232</f>
        <v>551.30583649000005</v>
      </c>
      <c r="I232" s="6">
        <f>+[127]Main!$L$5-[127]Main!$L$6</f>
        <v>732.13299999999992</v>
      </c>
      <c r="J232" s="6">
        <f>+H232-I232</f>
        <v>-180.82716350999988</v>
      </c>
      <c r="K232" s="3" t="s">
        <v>1843</v>
      </c>
      <c r="L232" s="6">
        <f>+[127]Main!$L$3</f>
        <v>40.507409000000003</v>
      </c>
      <c r="M232" s="9">
        <v>45792</v>
      </c>
    </row>
    <row r="233" spans="1:31" s="24" customFormat="1" ht="13" x14ac:dyDescent="0.3">
      <c r="A233" s="88" t="s">
        <v>333</v>
      </c>
      <c r="D233">
        <f>+D435+1</f>
        <v>232</v>
      </c>
      <c r="E233" s="24" t="s">
        <v>301</v>
      </c>
      <c r="F233" s="24" t="s">
        <v>302</v>
      </c>
      <c r="G233" s="25">
        <v>12.42</v>
      </c>
      <c r="H233" s="26">
        <v>516</v>
      </c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44"/>
      <c r="T233" s="44"/>
      <c r="U233" s="44"/>
      <c r="V233" s="44"/>
      <c r="W233" s="44"/>
      <c r="X233" s="44"/>
      <c r="Y233" s="104"/>
      <c r="Z233" s="104"/>
      <c r="AA233" s="104"/>
      <c r="AB233" s="104"/>
      <c r="AC233" s="104"/>
      <c r="AD233" s="104"/>
    </row>
    <row r="234" spans="1:31" x14ac:dyDescent="0.25">
      <c r="A234" s="88" t="s">
        <v>333</v>
      </c>
      <c r="B234"/>
      <c r="C234"/>
      <c r="D234">
        <f>+D520+1</f>
        <v>234</v>
      </c>
      <c r="E234" s="1" t="s">
        <v>217</v>
      </c>
      <c r="F234" s="1" t="s">
        <v>218</v>
      </c>
      <c r="G234" s="3">
        <v>6.34</v>
      </c>
      <c r="H234" s="3">
        <v>547</v>
      </c>
    </row>
    <row r="235" spans="1:31" x14ac:dyDescent="0.25">
      <c r="A235" s="88" t="s">
        <v>333</v>
      </c>
      <c r="B235"/>
      <c r="C235"/>
      <c r="D235">
        <f>+D234+1</f>
        <v>235</v>
      </c>
      <c r="E235" s="1" t="s">
        <v>1896</v>
      </c>
      <c r="F235" t="s">
        <v>1897</v>
      </c>
    </row>
    <row r="236" spans="1:31" x14ac:dyDescent="0.25">
      <c r="A236" s="88" t="s">
        <v>333</v>
      </c>
      <c r="B236"/>
      <c r="C236"/>
      <c r="D236">
        <f>+D492+1</f>
        <v>237</v>
      </c>
      <c r="E236" t="s">
        <v>760</v>
      </c>
      <c r="F236" t="s">
        <v>761</v>
      </c>
      <c r="G236" s="7"/>
    </row>
    <row r="237" spans="1:31" x14ac:dyDescent="0.25">
      <c r="A237" s="88" t="s">
        <v>333</v>
      </c>
      <c r="B237"/>
      <c r="C237"/>
      <c r="D237">
        <f t="shared" ref="D237:D249" si="76">+D236+1</f>
        <v>238</v>
      </c>
      <c r="E237" t="s">
        <v>758</v>
      </c>
      <c r="F237" t="s">
        <v>759</v>
      </c>
      <c r="G237" s="7"/>
    </row>
    <row r="238" spans="1:31" x14ac:dyDescent="0.25">
      <c r="A238" s="88" t="s">
        <v>333</v>
      </c>
      <c r="B238"/>
      <c r="C238"/>
      <c r="D238">
        <f t="shared" si="76"/>
        <v>239</v>
      </c>
      <c r="E238" t="s">
        <v>756</v>
      </c>
      <c r="F238" t="s">
        <v>757</v>
      </c>
      <c r="G238" s="7"/>
    </row>
    <row r="239" spans="1:31" x14ac:dyDescent="0.25">
      <c r="A239" s="88" t="s">
        <v>333</v>
      </c>
      <c r="B239"/>
      <c r="C239"/>
      <c r="D239">
        <f t="shared" si="76"/>
        <v>240</v>
      </c>
      <c r="E239" t="s">
        <v>1865</v>
      </c>
      <c r="F239" t="s">
        <v>1866</v>
      </c>
      <c r="G239" s="7"/>
    </row>
    <row r="240" spans="1:31" x14ac:dyDescent="0.25">
      <c r="A240" s="88" t="s">
        <v>333</v>
      </c>
      <c r="B240"/>
      <c r="C240"/>
      <c r="D240">
        <f t="shared" si="76"/>
        <v>241</v>
      </c>
      <c r="E240" t="s">
        <v>1171</v>
      </c>
      <c r="F240" t="s">
        <v>1172</v>
      </c>
      <c r="G240" s="7">
        <v>5.43</v>
      </c>
    </row>
    <row r="241" spans="1:31" x14ac:dyDescent="0.25">
      <c r="A241" s="88" t="s">
        <v>333</v>
      </c>
      <c r="B241"/>
      <c r="C241"/>
      <c r="D241">
        <f t="shared" si="76"/>
        <v>242</v>
      </c>
      <c r="E241" t="s">
        <v>1871</v>
      </c>
      <c r="F241" t="s">
        <v>1872</v>
      </c>
      <c r="G241" s="7"/>
    </row>
    <row r="242" spans="1:31" x14ac:dyDescent="0.25">
      <c r="A242" s="88" t="s">
        <v>333</v>
      </c>
      <c r="B242"/>
      <c r="C242"/>
      <c r="D242">
        <f t="shared" si="76"/>
        <v>243</v>
      </c>
      <c r="E242" t="s">
        <v>1037</v>
      </c>
      <c r="F242" t="s">
        <v>1873</v>
      </c>
      <c r="G242" s="7">
        <v>36.28</v>
      </c>
    </row>
    <row r="243" spans="1:31" x14ac:dyDescent="0.25">
      <c r="A243" s="88" t="s">
        <v>333</v>
      </c>
      <c r="B243"/>
      <c r="C243"/>
      <c r="D243">
        <f t="shared" si="76"/>
        <v>244</v>
      </c>
      <c r="E243" t="s">
        <v>752</v>
      </c>
      <c r="F243" t="s">
        <v>753</v>
      </c>
      <c r="G243" s="7">
        <v>5.55</v>
      </c>
      <c r="H243" s="3">
        <v>270</v>
      </c>
    </row>
    <row r="244" spans="1:31" x14ac:dyDescent="0.25">
      <c r="A244" s="88" t="s">
        <v>333</v>
      </c>
      <c r="B244"/>
      <c r="C244"/>
      <c r="D244">
        <f t="shared" si="76"/>
        <v>245</v>
      </c>
      <c r="E244" s="1" t="s">
        <v>221</v>
      </c>
      <c r="F244" s="1" t="s">
        <v>222</v>
      </c>
      <c r="G244" s="7">
        <v>5.9</v>
      </c>
      <c r="H244" s="6">
        <v>508</v>
      </c>
    </row>
    <row r="245" spans="1:31" x14ac:dyDescent="0.25">
      <c r="A245" s="88" t="s">
        <v>333</v>
      </c>
      <c r="B245"/>
      <c r="C245"/>
      <c r="D245">
        <f t="shared" si="76"/>
        <v>246</v>
      </c>
      <c r="E245" s="1" t="s">
        <v>225</v>
      </c>
      <c r="F245" s="1" t="s">
        <v>226</v>
      </c>
      <c r="G245" s="3">
        <v>10.31</v>
      </c>
      <c r="H245" s="6">
        <v>1240</v>
      </c>
    </row>
    <row r="246" spans="1:31" x14ac:dyDescent="0.25">
      <c r="A246" s="88" t="s">
        <v>333</v>
      </c>
      <c r="B246"/>
      <c r="C246"/>
      <c r="D246">
        <f t="shared" si="76"/>
        <v>247</v>
      </c>
      <c r="E246" t="s">
        <v>713</v>
      </c>
      <c r="F246" t="s">
        <v>714</v>
      </c>
      <c r="H246" s="6"/>
    </row>
    <row r="247" spans="1:31" x14ac:dyDescent="0.25">
      <c r="A247" s="88" t="s">
        <v>333</v>
      </c>
      <c r="B247"/>
      <c r="C247"/>
      <c r="D247">
        <f t="shared" si="76"/>
        <v>248</v>
      </c>
      <c r="E247" t="s">
        <v>709</v>
      </c>
      <c r="F247" t="s">
        <v>710</v>
      </c>
    </row>
    <row r="248" spans="1:31" x14ac:dyDescent="0.25">
      <c r="A248" s="88" t="s">
        <v>333</v>
      </c>
      <c r="B248"/>
      <c r="C248"/>
      <c r="D248">
        <f t="shared" si="76"/>
        <v>249</v>
      </c>
      <c r="E248" s="1" t="s">
        <v>227</v>
      </c>
      <c r="F248" s="1" t="s">
        <v>228</v>
      </c>
      <c r="G248" s="7">
        <v>1.3</v>
      </c>
      <c r="H248" s="3">
        <v>107</v>
      </c>
    </row>
    <row r="249" spans="1:31" x14ac:dyDescent="0.25">
      <c r="A249" s="88" t="s">
        <v>333</v>
      </c>
      <c r="B249"/>
      <c r="C249"/>
      <c r="D249">
        <f t="shared" si="76"/>
        <v>250</v>
      </c>
      <c r="E249" s="1" t="s">
        <v>229</v>
      </c>
      <c r="F249" s="1" t="s">
        <v>230</v>
      </c>
      <c r="G249" s="3">
        <v>3.35</v>
      </c>
      <c r="H249" s="3">
        <v>457</v>
      </c>
    </row>
    <row r="250" spans="1:31" x14ac:dyDescent="0.25">
      <c r="A250" s="88" t="s">
        <v>333</v>
      </c>
      <c r="D250">
        <f t="shared" ref="D250:D280" si="77">+D249+1</f>
        <v>251</v>
      </c>
      <c r="E250" s="5" t="s">
        <v>1426</v>
      </c>
      <c r="F250" t="s">
        <v>1427</v>
      </c>
      <c r="G250" s="7">
        <v>2.06</v>
      </c>
    </row>
    <row r="251" spans="1:31" x14ac:dyDescent="0.25">
      <c r="A251" s="88" t="s">
        <v>333</v>
      </c>
      <c r="B251"/>
      <c r="C251"/>
      <c r="D251">
        <f t="shared" si="77"/>
        <v>252</v>
      </c>
      <c r="E251" s="5" t="s">
        <v>1823</v>
      </c>
      <c r="F251" t="s">
        <v>1824</v>
      </c>
      <c r="G251" s="7">
        <v>40.130000000000003</v>
      </c>
      <c r="H251" s="6">
        <f>+G251*L251</f>
        <v>2387.8627739200001</v>
      </c>
      <c r="I251" s="6">
        <f>+[128]Main!$L$5-[128]Main!$L$6</f>
        <v>731.06899999999996</v>
      </c>
      <c r="J251" s="6">
        <f>+H251-I251</f>
        <v>1656.7937739200001</v>
      </c>
      <c r="K251" s="3" t="s">
        <v>1277</v>
      </c>
      <c r="L251" s="6">
        <f>+[128]Main!$L$3</f>
        <v>59.503183999999997</v>
      </c>
      <c r="M251" s="9">
        <v>45733</v>
      </c>
    </row>
    <row r="252" spans="1:31" x14ac:dyDescent="0.25">
      <c r="A252" s="88" t="s">
        <v>333</v>
      </c>
      <c r="B252"/>
      <c r="C252"/>
      <c r="D252">
        <f t="shared" si="77"/>
        <v>253</v>
      </c>
      <c r="E252" s="5" t="s">
        <v>869</v>
      </c>
      <c r="F252" t="s">
        <v>870</v>
      </c>
      <c r="G252" s="7">
        <v>5.7</v>
      </c>
      <c r="H252" s="6">
        <f>+G252*L252</f>
        <v>877.45876950000002</v>
      </c>
      <c r="I252" s="6">
        <f>+[129]Main!$L$5-[129]Main!$L$6</f>
        <v>-160.48700000000002</v>
      </c>
      <c r="J252" s="6">
        <f>+H252-I252</f>
        <v>1037.9457695000001</v>
      </c>
      <c r="K252" s="3" t="s">
        <v>1277</v>
      </c>
      <c r="L252" s="6">
        <f>+[129]Main!$L$3</f>
        <v>153.940135</v>
      </c>
      <c r="M252" s="9">
        <v>45743</v>
      </c>
    </row>
    <row r="253" spans="1:31" x14ac:dyDescent="0.25">
      <c r="A253" s="88" t="s">
        <v>333</v>
      </c>
      <c r="D253">
        <f t="shared" si="77"/>
        <v>254</v>
      </c>
      <c r="E253" s="5" t="s">
        <v>422</v>
      </c>
      <c r="F253" t="s">
        <v>423</v>
      </c>
      <c r="G253" s="3">
        <v>19.47</v>
      </c>
      <c r="H253" s="6">
        <f>+G253*L253</f>
        <v>1542.2721840899999</v>
      </c>
      <c r="I253" s="6">
        <f>+[130]Main!$N$5-[130]Main!$N$6</f>
        <v>732.71699999999998</v>
      </c>
      <c r="J253" s="6">
        <f>+H253-I253</f>
        <v>809.5551840899999</v>
      </c>
      <c r="K253" s="3" t="s">
        <v>1276</v>
      </c>
      <c r="L253" s="6">
        <f>+[130]Main!$N$3</f>
        <v>79.212746999999993</v>
      </c>
      <c r="M253" s="9">
        <v>45636</v>
      </c>
    </row>
    <row r="254" spans="1:31" x14ac:dyDescent="0.25">
      <c r="A254" s="88" t="s">
        <v>333</v>
      </c>
      <c r="B254"/>
      <c r="C254"/>
      <c r="D254">
        <f t="shared" si="77"/>
        <v>255</v>
      </c>
      <c r="E254" s="5" t="s">
        <v>231</v>
      </c>
      <c r="F254" s="1" t="s">
        <v>232</v>
      </c>
      <c r="G254" s="3">
        <v>7.06</v>
      </c>
      <c r="H254" s="6">
        <v>725.62786605999997</v>
      </c>
      <c r="I254" s="6">
        <v>197.79600000000002</v>
      </c>
      <c r="J254" s="8">
        <f>+H254-I254</f>
        <v>527.83186605999992</v>
      </c>
      <c r="K254" s="3" t="s">
        <v>16</v>
      </c>
    </row>
    <row r="255" spans="1:31" x14ac:dyDescent="0.25">
      <c r="A255" s="88" t="s">
        <v>333</v>
      </c>
      <c r="B255"/>
      <c r="C255"/>
      <c r="D255">
        <f t="shared" si="77"/>
        <v>256</v>
      </c>
      <c r="E255" s="5" t="s">
        <v>350</v>
      </c>
      <c r="F255" s="1" t="s">
        <v>351</v>
      </c>
      <c r="G255" s="7">
        <v>0.6</v>
      </c>
      <c r="H255" s="6">
        <f>+G255*L255</f>
        <v>486.43225439999998</v>
      </c>
      <c r="I255" s="6">
        <f>+[131]Main!$K$5-[131]Main!$K$6</f>
        <v>-37.984000000000002</v>
      </c>
      <c r="J255" s="8">
        <f t="shared" ref="J255" si="78">+H255-I255</f>
        <v>524.41625439999996</v>
      </c>
      <c r="K255" s="3" t="s">
        <v>300</v>
      </c>
      <c r="L255" s="6">
        <f>+[131]Main!$K$3</f>
        <v>810.72042399999998</v>
      </c>
      <c r="M255" s="9">
        <v>44816</v>
      </c>
      <c r="AE255" s="1">
        <v>2002</v>
      </c>
    </row>
    <row r="256" spans="1:31" x14ac:dyDescent="0.25">
      <c r="A256" s="88" t="s">
        <v>333</v>
      </c>
      <c r="B256"/>
      <c r="C256"/>
      <c r="D256">
        <f t="shared" si="77"/>
        <v>257</v>
      </c>
      <c r="E256" s="5" t="s">
        <v>237</v>
      </c>
      <c r="F256" s="1" t="s">
        <v>238</v>
      </c>
      <c r="G256" s="7">
        <v>6.29</v>
      </c>
      <c r="H256" s="6">
        <f>+G256*L256</f>
        <v>497.11342489000003</v>
      </c>
      <c r="I256" s="6">
        <f>+[132]Main!$J$5-[132]Main!$J$6</f>
        <v>191.5</v>
      </c>
      <c r="J256" s="8">
        <f>+H256-I256</f>
        <v>305.61342489000003</v>
      </c>
      <c r="K256" s="3" t="s">
        <v>1276</v>
      </c>
      <c r="L256" s="6">
        <f>[132]Main!$J$3</f>
        <v>79.032341000000002</v>
      </c>
      <c r="M256" s="9">
        <v>45659</v>
      </c>
    </row>
    <row r="257" spans="1:13" x14ac:dyDescent="0.25">
      <c r="A257" s="88" t="s">
        <v>333</v>
      </c>
      <c r="D257">
        <f t="shared" si="77"/>
        <v>258</v>
      </c>
      <c r="E257" s="5" t="s">
        <v>560</v>
      </c>
      <c r="F257" t="s">
        <v>561</v>
      </c>
      <c r="G257" s="3">
        <v>12.34</v>
      </c>
      <c r="H257" s="6">
        <f>+G257*L257</f>
        <v>520.74076875999992</v>
      </c>
      <c r="I257" s="6">
        <f>+[133]Main!$J$5-[133]Main!$J$6</f>
        <v>127.87499999999999</v>
      </c>
      <c r="J257" s="6">
        <f>+H257-I257</f>
        <v>392.86576875999992</v>
      </c>
      <c r="K257" s="3" t="s">
        <v>1276</v>
      </c>
      <c r="L257" s="6">
        <f>+[133]Main!$J$3</f>
        <v>42.199413999999997</v>
      </c>
      <c r="M257" s="9">
        <v>45631</v>
      </c>
    </row>
    <row r="258" spans="1:13" x14ac:dyDescent="0.25">
      <c r="A258" s="88" t="s">
        <v>333</v>
      </c>
      <c r="B258" s="1">
        <v>7</v>
      </c>
      <c r="C258" s="1">
        <v>4</v>
      </c>
      <c r="D258">
        <f>+D493+1</f>
        <v>260</v>
      </c>
      <c r="E258" s="5" t="s">
        <v>799</v>
      </c>
      <c r="F258" t="s">
        <v>1808</v>
      </c>
      <c r="G258" s="3">
        <v>8.85</v>
      </c>
      <c r="H258" s="6">
        <f>+G258*L258/10</f>
        <v>695.17723499999988</v>
      </c>
      <c r="I258" s="6">
        <f>+[134]Main!$M$5-[134]Main!$M$6</f>
        <v>87</v>
      </c>
      <c r="J258" s="6">
        <f>+H258-I258</f>
        <v>608.17723499999988</v>
      </c>
      <c r="K258" s="3" t="s">
        <v>1276</v>
      </c>
      <c r="L258" s="6">
        <f>+[134]Main!$M$3</f>
        <v>785.51099999999997</v>
      </c>
      <c r="M258" s="9">
        <v>45749</v>
      </c>
    </row>
    <row r="259" spans="1:13" x14ac:dyDescent="0.25">
      <c r="A259" s="88" t="s">
        <v>333</v>
      </c>
      <c r="B259"/>
      <c r="C259"/>
      <c r="D259">
        <f t="shared" si="77"/>
        <v>261</v>
      </c>
      <c r="E259" s="5" t="s">
        <v>235</v>
      </c>
      <c r="F259" s="1" t="s">
        <v>236</v>
      </c>
      <c r="G259" s="3">
        <v>4.8600000000000003</v>
      </c>
      <c r="H259" s="6">
        <f>G259*[135]Main!$J$3</f>
        <v>312.71415336000001</v>
      </c>
      <c r="I259" s="8">
        <f>+[135]Main!$J$5-[135]Main!$J$6</f>
        <v>92.317999999999998</v>
      </c>
      <c r="J259" s="8">
        <f>+H259-I259</f>
        <v>220.39615336000003</v>
      </c>
      <c r="K259" s="3" t="s">
        <v>16</v>
      </c>
    </row>
    <row r="260" spans="1:13" x14ac:dyDescent="0.25">
      <c r="A260" s="88" t="s">
        <v>333</v>
      </c>
      <c r="D260">
        <f>+D550+1</f>
        <v>263</v>
      </c>
      <c r="E260" s="5" t="s">
        <v>992</v>
      </c>
      <c r="F260" t="s">
        <v>993</v>
      </c>
      <c r="G260" s="3">
        <v>1.91</v>
      </c>
      <c r="H260" s="6">
        <f>+G260*L260</f>
        <v>144.77073818</v>
      </c>
      <c r="I260" s="6">
        <f>+[136]Main!$K$5-[136]Main!$K$6</f>
        <v>78.481999999999999</v>
      </c>
      <c r="J260" s="6">
        <f>+H260-I260</f>
        <v>66.288738179999996</v>
      </c>
      <c r="K260" s="3" t="s">
        <v>1070</v>
      </c>
      <c r="L260" s="6">
        <f>+[136]Main!$K$3</f>
        <v>75.796198000000004</v>
      </c>
      <c r="M260" s="9">
        <v>45573</v>
      </c>
    </row>
    <row r="261" spans="1:13" x14ac:dyDescent="0.25">
      <c r="A261" s="101" t="s">
        <v>333</v>
      </c>
      <c r="D261">
        <f>+D498+1</f>
        <v>269</v>
      </c>
      <c r="E261" s="5" t="s">
        <v>1305</v>
      </c>
      <c r="F261" t="s">
        <v>1186</v>
      </c>
      <c r="G261" s="7">
        <v>5</v>
      </c>
      <c r="H261" s="6">
        <f>+G261*L261</f>
        <v>639.20965000000001</v>
      </c>
      <c r="I261" s="6">
        <f>+[137]Main!$J$5-[137]Main!$J$6</f>
        <v>115.78</v>
      </c>
      <c r="J261" s="8">
        <f t="shared" ref="J261" si="79">+H261-I261</f>
        <v>523.42965000000004</v>
      </c>
      <c r="K261" s="3" t="s">
        <v>1070</v>
      </c>
      <c r="L261" s="6">
        <f>+[137]Main!$J$3</f>
        <v>127.84193</v>
      </c>
    </row>
    <row r="262" spans="1:13" x14ac:dyDescent="0.25">
      <c r="A262" s="101" t="s">
        <v>333</v>
      </c>
      <c r="D262">
        <f>+D503+1</f>
        <v>275</v>
      </c>
      <c r="E262" s="1" t="s">
        <v>331</v>
      </c>
      <c r="F262" t="s">
        <v>332</v>
      </c>
      <c r="G262" s="7">
        <v>4.0999999999999996</v>
      </c>
      <c r="H262" s="3">
        <v>380</v>
      </c>
    </row>
    <row r="263" spans="1:13" ht="13" x14ac:dyDescent="0.3">
      <c r="A263" s="101" t="s">
        <v>333</v>
      </c>
      <c r="D263">
        <f>+D506+1</f>
        <v>279</v>
      </c>
      <c r="E263" s="24" t="s">
        <v>1351</v>
      </c>
      <c r="F263" t="s">
        <v>1352</v>
      </c>
      <c r="G263" s="3">
        <v>30.21</v>
      </c>
    </row>
    <row r="264" spans="1:13" x14ac:dyDescent="0.25">
      <c r="A264" s="101" t="s">
        <v>333</v>
      </c>
      <c r="D264">
        <f t="shared" si="77"/>
        <v>280</v>
      </c>
      <c r="E264" t="s">
        <v>428</v>
      </c>
      <c r="F264" t="s">
        <v>429</v>
      </c>
      <c r="G264" s="7">
        <v>17.55</v>
      </c>
      <c r="H264" s="3">
        <v>593</v>
      </c>
    </row>
    <row r="265" spans="1:13" x14ac:dyDescent="0.25">
      <c r="A265" s="101" t="s">
        <v>333</v>
      </c>
      <c r="D265">
        <f>+D507+1</f>
        <v>282</v>
      </c>
      <c r="E265" t="s">
        <v>740</v>
      </c>
      <c r="F265" t="s">
        <v>741</v>
      </c>
      <c r="G265" s="7">
        <v>30.7</v>
      </c>
      <c r="H265" s="3">
        <v>1800</v>
      </c>
    </row>
    <row r="266" spans="1:13" x14ac:dyDescent="0.25">
      <c r="A266" s="101" t="s">
        <v>333</v>
      </c>
      <c r="B266"/>
      <c r="C266"/>
      <c r="D266">
        <f>+D509+1</f>
        <v>285</v>
      </c>
      <c r="E266" t="s">
        <v>749</v>
      </c>
      <c r="F266" t="s">
        <v>750</v>
      </c>
      <c r="G266" s="3">
        <v>6.62</v>
      </c>
      <c r="H266" s="6">
        <v>1800</v>
      </c>
    </row>
    <row r="267" spans="1:13" x14ac:dyDescent="0.25">
      <c r="A267" s="101" t="s">
        <v>333</v>
      </c>
      <c r="D267">
        <f t="shared" si="77"/>
        <v>286</v>
      </c>
      <c r="E267" t="s">
        <v>742</v>
      </c>
      <c r="F267" t="s">
        <v>743</v>
      </c>
    </row>
    <row r="268" spans="1:13" x14ac:dyDescent="0.25">
      <c r="A268" s="101" t="s">
        <v>333</v>
      </c>
      <c r="D268">
        <f>+D510+1</f>
        <v>288</v>
      </c>
      <c r="E268" t="s">
        <v>732</v>
      </c>
      <c r="F268" t="s">
        <v>733</v>
      </c>
    </row>
    <row r="269" spans="1:13" x14ac:dyDescent="0.25">
      <c r="A269" s="101" t="s">
        <v>333</v>
      </c>
      <c r="D269">
        <f t="shared" si="77"/>
        <v>289</v>
      </c>
      <c r="E269" t="s">
        <v>1849</v>
      </c>
      <c r="F269" t="s">
        <v>1850</v>
      </c>
    </row>
    <row r="270" spans="1:13" x14ac:dyDescent="0.25">
      <c r="A270" s="101" t="s">
        <v>333</v>
      </c>
      <c r="D270">
        <f t="shared" si="77"/>
        <v>290</v>
      </c>
      <c r="E270" t="s">
        <v>1851</v>
      </c>
      <c r="F270" t="s">
        <v>1852</v>
      </c>
    </row>
    <row r="271" spans="1:13" x14ac:dyDescent="0.25">
      <c r="A271" s="101" t="s">
        <v>333</v>
      </c>
      <c r="D271">
        <f t="shared" si="77"/>
        <v>291</v>
      </c>
      <c r="E271" t="s">
        <v>728</v>
      </c>
      <c r="F271" t="s">
        <v>729</v>
      </c>
    </row>
    <row r="272" spans="1:13" x14ac:dyDescent="0.25">
      <c r="A272" s="101" t="s">
        <v>333</v>
      </c>
      <c r="D272">
        <f t="shared" si="77"/>
        <v>292</v>
      </c>
      <c r="E272" t="s">
        <v>1880</v>
      </c>
      <c r="F272" t="s">
        <v>1881</v>
      </c>
    </row>
    <row r="273" spans="1:13" x14ac:dyDescent="0.25">
      <c r="A273" s="101" t="s">
        <v>333</v>
      </c>
      <c r="D273">
        <f>+D513+1</f>
        <v>296</v>
      </c>
      <c r="E273" t="s">
        <v>525</v>
      </c>
      <c r="F273" t="s">
        <v>524</v>
      </c>
      <c r="G273" s="7">
        <v>20.3</v>
      </c>
    </row>
    <row r="274" spans="1:13" x14ac:dyDescent="0.25">
      <c r="A274" s="101" t="s">
        <v>333</v>
      </c>
      <c r="D274">
        <f t="shared" si="77"/>
        <v>297</v>
      </c>
      <c r="E274" t="s">
        <v>1882</v>
      </c>
      <c r="F274" t="s">
        <v>1883</v>
      </c>
      <c r="G274" s="7"/>
    </row>
    <row r="275" spans="1:13" x14ac:dyDescent="0.25">
      <c r="A275" s="101" t="s">
        <v>333</v>
      </c>
      <c r="D275">
        <f t="shared" si="77"/>
        <v>298</v>
      </c>
      <c r="E275" t="s">
        <v>1890</v>
      </c>
      <c r="F275" t="s">
        <v>1891</v>
      </c>
      <c r="G275" s="7"/>
    </row>
    <row r="276" spans="1:13" x14ac:dyDescent="0.25">
      <c r="A276" s="101" t="s">
        <v>333</v>
      </c>
      <c r="D276">
        <f>+D518+1</f>
        <v>304</v>
      </c>
      <c r="E276" t="s">
        <v>786</v>
      </c>
      <c r="F276" t="s">
        <v>787</v>
      </c>
    </row>
    <row r="277" spans="1:13" x14ac:dyDescent="0.25">
      <c r="A277" s="88" t="s">
        <v>333</v>
      </c>
      <c r="D277">
        <f t="shared" si="77"/>
        <v>305</v>
      </c>
      <c r="E277" t="s">
        <v>1888</v>
      </c>
      <c r="F277" t="s">
        <v>1889</v>
      </c>
    </row>
    <row r="278" spans="1:13" x14ac:dyDescent="0.25">
      <c r="A278" s="88" t="s">
        <v>333</v>
      </c>
      <c r="D278">
        <f t="shared" si="77"/>
        <v>306</v>
      </c>
      <c r="E278" t="s">
        <v>536</v>
      </c>
      <c r="F278" t="s">
        <v>537</v>
      </c>
      <c r="G278" s="3">
        <v>1.04</v>
      </c>
    </row>
    <row r="279" spans="1:13" x14ac:dyDescent="0.25">
      <c r="A279" s="88" t="s">
        <v>333</v>
      </c>
      <c r="D279">
        <f>+D535+1</f>
        <v>313</v>
      </c>
      <c r="E279" t="s">
        <v>552</v>
      </c>
      <c r="F279" t="s">
        <v>553</v>
      </c>
      <c r="G279" s="7">
        <v>7</v>
      </c>
    </row>
    <row r="280" spans="1:13" x14ac:dyDescent="0.25">
      <c r="A280" s="88" t="s">
        <v>333</v>
      </c>
      <c r="B280"/>
      <c r="C280"/>
      <c r="D280">
        <f t="shared" si="77"/>
        <v>314</v>
      </c>
      <c r="E280" t="s">
        <v>1428</v>
      </c>
      <c r="F280" t="s">
        <v>1846</v>
      </c>
      <c r="G280" s="7"/>
    </row>
    <row r="281" spans="1:13" x14ac:dyDescent="0.25">
      <c r="A281" s="88" t="s">
        <v>333</v>
      </c>
      <c r="D281">
        <f>+D280+1</f>
        <v>315</v>
      </c>
      <c r="E281" t="s">
        <v>554</v>
      </c>
      <c r="F281" t="s">
        <v>555</v>
      </c>
      <c r="G281" s="3">
        <v>1.76</v>
      </c>
    </row>
    <row r="282" spans="1:13" x14ac:dyDescent="0.25">
      <c r="A282" s="88" t="s">
        <v>333</v>
      </c>
      <c r="D282">
        <f>+D537+1</f>
        <v>318</v>
      </c>
      <c r="E282" t="s">
        <v>558</v>
      </c>
      <c r="F282" t="s">
        <v>559</v>
      </c>
      <c r="G282" s="3">
        <v>0.68</v>
      </c>
    </row>
    <row r="283" spans="1:13" x14ac:dyDescent="0.25">
      <c r="A283" s="88" t="s">
        <v>333</v>
      </c>
      <c r="B283" s="1">
        <v>-9</v>
      </c>
      <c r="C283" s="1">
        <v>7</v>
      </c>
      <c r="D283">
        <f>+D529+1</f>
        <v>322</v>
      </c>
      <c r="E283" s="5" t="s">
        <v>569</v>
      </c>
      <c r="F283" t="s">
        <v>568</v>
      </c>
      <c r="G283" s="3">
        <v>7.86</v>
      </c>
      <c r="H283" s="6">
        <f>+G283*L283</f>
        <v>182.43356322000002</v>
      </c>
      <c r="I283" s="6">
        <f>+[138]Main!$M$5-[138]Main!$M$6</f>
        <v>19.337</v>
      </c>
      <c r="J283" s="6">
        <f>+H283-I283</f>
        <v>163.09656322000004</v>
      </c>
      <c r="K283" s="3" t="s">
        <v>1276</v>
      </c>
      <c r="L283" s="6">
        <f>+[138]Main!$M$3</f>
        <v>23.210377000000001</v>
      </c>
      <c r="M283" s="9">
        <v>45684</v>
      </c>
    </row>
    <row r="284" spans="1:13" x14ac:dyDescent="0.25">
      <c r="A284" s="88" t="s">
        <v>333</v>
      </c>
      <c r="C284"/>
      <c r="D284">
        <f>+D283+1</f>
        <v>323</v>
      </c>
      <c r="E284" s="1" t="s">
        <v>186</v>
      </c>
      <c r="F284" s="1" t="s">
        <v>187</v>
      </c>
      <c r="G284" s="7">
        <v>10.1</v>
      </c>
      <c r="H284" s="6">
        <v>1880</v>
      </c>
    </row>
    <row r="285" spans="1:13" x14ac:dyDescent="0.25">
      <c r="A285" s="88" t="s">
        <v>333</v>
      </c>
      <c r="D285">
        <f>+D284+1</f>
        <v>324</v>
      </c>
      <c r="E285" t="s">
        <v>800</v>
      </c>
      <c r="F285" t="s">
        <v>801</v>
      </c>
    </row>
    <row r="286" spans="1:13" x14ac:dyDescent="0.25">
      <c r="A286" s="88" t="s">
        <v>333</v>
      </c>
      <c r="D286">
        <f>+D285+1</f>
        <v>325</v>
      </c>
      <c r="E286" t="s">
        <v>1957</v>
      </c>
      <c r="F286" t="s">
        <v>1958</v>
      </c>
    </row>
    <row r="287" spans="1:13" x14ac:dyDescent="0.25">
      <c r="A287" s="88" t="s">
        <v>333</v>
      </c>
      <c r="D287">
        <f>+D286+1</f>
        <v>326</v>
      </c>
      <c r="E287" t="s">
        <v>1905</v>
      </c>
      <c r="F287" t="s">
        <v>1906</v>
      </c>
    </row>
    <row r="288" spans="1:13" x14ac:dyDescent="0.25">
      <c r="A288" s="88" t="s">
        <v>333</v>
      </c>
      <c r="D288">
        <f>+D539+1</f>
        <v>329</v>
      </c>
      <c r="E288" t="s">
        <v>977</v>
      </c>
      <c r="F288" t="s">
        <v>978</v>
      </c>
    </row>
    <row r="289" spans="1:31" x14ac:dyDescent="0.25">
      <c r="A289" s="88" t="s">
        <v>333</v>
      </c>
      <c r="D289">
        <f>+D288+1</f>
        <v>330</v>
      </c>
      <c r="E289" t="s">
        <v>975</v>
      </c>
      <c r="F289" t="s">
        <v>976</v>
      </c>
    </row>
    <row r="290" spans="1:31" x14ac:dyDescent="0.25">
      <c r="A290" s="88" t="s">
        <v>333</v>
      </c>
      <c r="D290">
        <f>+D289+1</f>
        <v>331</v>
      </c>
      <c r="E290" t="s">
        <v>1939</v>
      </c>
      <c r="F290" t="s">
        <v>1940</v>
      </c>
    </row>
    <row r="291" spans="1:31" x14ac:dyDescent="0.25">
      <c r="A291" s="88" t="s">
        <v>333</v>
      </c>
      <c r="D291">
        <f>+D290+1</f>
        <v>332</v>
      </c>
      <c r="E291" t="s">
        <v>1941</v>
      </c>
      <c r="F291" t="s">
        <v>1942</v>
      </c>
    </row>
    <row r="292" spans="1:31" x14ac:dyDescent="0.25">
      <c r="A292" s="88" t="s">
        <v>333</v>
      </c>
      <c r="B292"/>
      <c r="C292"/>
      <c r="D292">
        <f>+D541+1</f>
        <v>335</v>
      </c>
      <c r="E292" t="s">
        <v>985</v>
      </c>
      <c r="F292" t="s">
        <v>986</v>
      </c>
    </row>
    <row r="293" spans="1:31" x14ac:dyDescent="0.25">
      <c r="A293" s="88" t="s">
        <v>333</v>
      </c>
      <c r="B293"/>
      <c r="C293"/>
      <c r="D293">
        <f t="shared" ref="D293:D299" si="80">+D292+1</f>
        <v>336</v>
      </c>
      <c r="E293" t="s">
        <v>1971</v>
      </c>
      <c r="F293" t="s">
        <v>1972</v>
      </c>
    </row>
    <row r="294" spans="1:31" x14ac:dyDescent="0.25">
      <c r="A294" s="88" t="s">
        <v>333</v>
      </c>
      <c r="B294"/>
      <c r="C294"/>
      <c r="D294">
        <f t="shared" si="80"/>
        <v>337</v>
      </c>
      <c r="E294" t="s">
        <v>1973</v>
      </c>
      <c r="F294" t="s">
        <v>1974</v>
      </c>
    </row>
    <row r="295" spans="1:31" x14ac:dyDescent="0.25">
      <c r="A295" t="s">
        <v>333</v>
      </c>
      <c r="B295"/>
      <c r="C295"/>
      <c r="D295">
        <f t="shared" si="80"/>
        <v>338</v>
      </c>
      <c r="E295" t="s">
        <v>987</v>
      </c>
      <c r="F295" t="s">
        <v>988</v>
      </c>
    </row>
    <row r="296" spans="1:31" x14ac:dyDescent="0.25">
      <c r="A296" s="1" t="s">
        <v>333</v>
      </c>
      <c r="D296">
        <f>+D309+1</f>
        <v>340</v>
      </c>
      <c r="E296" t="s">
        <v>973</v>
      </c>
      <c r="F296" t="s">
        <v>974</v>
      </c>
    </row>
    <row r="297" spans="1:31" x14ac:dyDescent="0.25">
      <c r="A297" s="1" t="s">
        <v>333</v>
      </c>
      <c r="D297">
        <f t="shared" si="80"/>
        <v>341</v>
      </c>
      <c r="E297" t="s">
        <v>572</v>
      </c>
      <c r="F297" t="s">
        <v>573</v>
      </c>
      <c r="G297" s="7">
        <v>2.2000000000000002</v>
      </c>
    </row>
    <row r="298" spans="1:31" x14ac:dyDescent="0.25">
      <c r="A298" s="88" t="s">
        <v>333</v>
      </c>
      <c r="D298">
        <f t="shared" si="80"/>
        <v>342</v>
      </c>
      <c r="E298" t="s">
        <v>576</v>
      </c>
      <c r="F298" t="s">
        <v>577</v>
      </c>
      <c r="G298" s="3">
        <v>0.92</v>
      </c>
    </row>
    <row r="299" spans="1:31" x14ac:dyDescent="0.25">
      <c r="A299" s="88" t="s">
        <v>333</v>
      </c>
      <c r="D299">
        <f t="shared" si="80"/>
        <v>343</v>
      </c>
      <c r="E299" t="s">
        <v>1975</v>
      </c>
      <c r="F299" t="s">
        <v>1976</v>
      </c>
    </row>
    <row r="300" spans="1:31" x14ac:dyDescent="0.25">
      <c r="A300" s="101" t="s">
        <v>333</v>
      </c>
      <c r="D300">
        <f>+D525+1</f>
        <v>346</v>
      </c>
      <c r="E300" t="s">
        <v>580</v>
      </c>
      <c r="F300" t="s">
        <v>581</v>
      </c>
      <c r="G300" s="3">
        <v>5.88</v>
      </c>
    </row>
    <row r="301" spans="1:31" x14ac:dyDescent="0.25">
      <c r="A301" s="101" t="s">
        <v>333</v>
      </c>
      <c r="B301"/>
      <c r="C301"/>
      <c r="D301">
        <f>+D526+1</f>
        <v>348</v>
      </c>
      <c r="E301" s="5" t="s">
        <v>883</v>
      </c>
      <c r="F301" t="s">
        <v>884</v>
      </c>
      <c r="G301" s="7">
        <v>13.21</v>
      </c>
      <c r="H301" s="6">
        <f>+G301*L301</f>
        <v>588.73448214000007</v>
      </c>
      <c r="I301" s="6">
        <f>+[139]Main!$M$5-[139]Main!$M$6</f>
        <v>99.997</v>
      </c>
      <c r="J301" s="6">
        <f>+H301-I301</f>
        <v>488.73748214000005</v>
      </c>
      <c r="K301" s="3" t="s">
        <v>1070</v>
      </c>
      <c r="L301" s="6">
        <f>+[139]Main!$M$3</f>
        <v>44.567334000000002</v>
      </c>
      <c r="M301" s="9">
        <v>45568</v>
      </c>
    </row>
    <row r="302" spans="1:31" x14ac:dyDescent="0.25">
      <c r="A302" s="101" t="s">
        <v>333</v>
      </c>
      <c r="B302"/>
      <c r="C302"/>
      <c r="D302">
        <f t="shared" ref="D302:D319" si="81">+D301+1</f>
        <v>349</v>
      </c>
      <c r="E302" s="5" t="s">
        <v>867</v>
      </c>
      <c r="F302" t="s">
        <v>868</v>
      </c>
      <c r="G302" s="7">
        <v>11.39</v>
      </c>
      <c r="H302" s="6">
        <f>+G302*L302</f>
        <v>492.22422607999999</v>
      </c>
      <c r="I302" s="6">
        <f>+[140]Main!$K$5-[140]Main!$K$6</f>
        <v>174.27199999999999</v>
      </c>
      <c r="J302" s="6">
        <f>+H302-I302</f>
        <v>317.95222608</v>
      </c>
      <c r="K302" s="3" t="s">
        <v>1070</v>
      </c>
      <c r="L302" s="6">
        <f>+[140]Main!$K$3</f>
        <v>43.215471999999998</v>
      </c>
      <c r="M302" s="9">
        <v>45567</v>
      </c>
    </row>
    <row r="303" spans="1:31" x14ac:dyDescent="0.25">
      <c r="A303" s="101" t="s">
        <v>333</v>
      </c>
      <c r="D303">
        <f t="shared" si="81"/>
        <v>350</v>
      </c>
      <c r="E303" s="5" t="s">
        <v>584</v>
      </c>
      <c r="F303" t="s">
        <v>585</v>
      </c>
      <c r="G303" s="7">
        <v>33</v>
      </c>
      <c r="H303" s="6">
        <f>G303*L303</f>
        <v>653.378781</v>
      </c>
      <c r="I303" s="6">
        <f>[141]Main!$M$5-[141]Main!$M$6</f>
        <v>236.422</v>
      </c>
      <c r="J303" s="6">
        <f>H303-I303</f>
        <v>416.95678099999998</v>
      </c>
      <c r="L303" s="6">
        <f>[141]Main!$M$3</f>
        <v>19.799357000000001</v>
      </c>
      <c r="M303" s="9">
        <v>45063</v>
      </c>
      <c r="AE303" s="1">
        <v>2017</v>
      </c>
    </row>
    <row r="304" spans="1:31" x14ac:dyDescent="0.25">
      <c r="A304" s="101" t="s">
        <v>333</v>
      </c>
      <c r="B304"/>
      <c r="C304"/>
      <c r="D304">
        <f t="shared" si="81"/>
        <v>351</v>
      </c>
      <c r="E304" s="5" t="s">
        <v>937</v>
      </c>
      <c r="F304" t="s">
        <v>938</v>
      </c>
      <c r="G304" s="3">
        <v>8.91</v>
      </c>
      <c r="H304" s="6">
        <f>+G304*L304</f>
        <v>476.84725110000005</v>
      </c>
      <c r="I304" s="6">
        <f>+[142]Main!$K$5-[142]Main!$K$6</f>
        <v>280.24800000000005</v>
      </c>
      <c r="J304" s="6">
        <f>+H304-I304</f>
        <v>196.5992511</v>
      </c>
      <c r="K304" s="3" t="s">
        <v>1070</v>
      </c>
      <c r="L304" s="6">
        <f>+[142]Main!$K$3</f>
        <v>53.518210000000003</v>
      </c>
      <c r="M304" s="9">
        <v>45557</v>
      </c>
    </row>
    <row r="305" spans="1:31" x14ac:dyDescent="0.25">
      <c r="A305" s="101" t="s">
        <v>333</v>
      </c>
      <c r="D305">
        <f t="shared" si="81"/>
        <v>352</v>
      </c>
      <c r="E305" s="5" t="s">
        <v>574</v>
      </c>
      <c r="F305" t="s">
        <v>575</v>
      </c>
      <c r="G305" s="3">
        <v>3.34</v>
      </c>
      <c r="H305" s="6">
        <f>+G305*L305</f>
        <v>242.45700277999998</v>
      </c>
      <c r="I305" s="6">
        <f>+[143]Main!$J$5-[143]Main!$J$6</f>
        <v>69.49499999999999</v>
      </c>
      <c r="J305" s="6">
        <f>+H305-I305</f>
        <v>172.96200277999998</v>
      </c>
      <c r="K305" s="3" t="s">
        <v>1070</v>
      </c>
      <c r="L305" s="6">
        <f>+[143]Main!$J$3</f>
        <v>72.591916999999995</v>
      </c>
      <c r="M305" s="9">
        <v>45548</v>
      </c>
    </row>
    <row r="306" spans="1:31" x14ac:dyDescent="0.25">
      <c r="A306"/>
      <c r="B306"/>
      <c r="C306"/>
      <c r="D306">
        <f t="shared" si="81"/>
        <v>353</v>
      </c>
      <c r="E306" s="5" t="s">
        <v>1167</v>
      </c>
      <c r="F306" t="s">
        <v>1168</v>
      </c>
      <c r="G306" s="7">
        <v>1.28</v>
      </c>
      <c r="H306" s="6">
        <f>+G306*L306</f>
        <v>95.674332159999992</v>
      </c>
      <c r="I306" s="6">
        <f>+[144]Main!$K$5-[144]Main!$K$6</f>
        <v>29.36</v>
      </c>
      <c r="J306" s="6">
        <f>+H306-I306</f>
        <v>66.314332159999992</v>
      </c>
      <c r="K306" s="3" t="s">
        <v>1070</v>
      </c>
      <c r="L306" s="6">
        <f>+[144]Main!$K$3</f>
        <v>74.745571999999996</v>
      </c>
      <c r="M306" s="9">
        <v>45554</v>
      </c>
    </row>
    <row r="307" spans="1:31" x14ac:dyDescent="0.25">
      <c r="A307"/>
      <c r="B307"/>
      <c r="C307"/>
      <c r="D307">
        <f t="shared" si="81"/>
        <v>354</v>
      </c>
      <c r="E307" s="5" t="s">
        <v>1174</v>
      </c>
      <c r="F307" t="s">
        <v>1175</v>
      </c>
      <c r="G307" s="3">
        <v>0.85</v>
      </c>
      <c r="H307" s="6">
        <f>+G307*L307</f>
        <v>30.110729799999998</v>
      </c>
      <c r="I307" s="6">
        <f>+[145]Main!$L$5-[145]Main!$L$6</f>
        <v>33.298999999999999</v>
      </c>
      <c r="J307" s="6">
        <f>+H307-I307</f>
        <v>-3.1882702000000016</v>
      </c>
      <c r="K307" s="3" t="s">
        <v>1070</v>
      </c>
      <c r="L307" s="6">
        <f>+[145]Main!$L$3</f>
        <v>35.424388</v>
      </c>
      <c r="M307" s="9">
        <v>45558</v>
      </c>
    </row>
    <row r="308" spans="1:31" x14ac:dyDescent="0.25">
      <c r="D308">
        <f t="shared" si="81"/>
        <v>355</v>
      </c>
      <c r="E308" s="5" t="s">
        <v>586</v>
      </c>
      <c r="F308" t="s">
        <v>587</v>
      </c>
      <c r="G308" s="3">
        <f>0.35</f>
        <v>0.35</v>
      </c>
      <c r="H308" s="6">
        <f>G308*L308</f>
        <v>12.513184599999999</v>
      </c>
      <c r="I308" s="6">
        <f>[146]Main!$K$5-[146]Main!$K$6</f>
        <v>54.983000000000004</v>
      </c>
      <c r="J308" s="6">
        <f>H308-I308</f>
        <v>-42.469815400000002</v>
      </c>
      <c r="L308" s="6">
        <f>[146]Main!$K$3</f>
        <v>35.751956</v>
      </c>
      <c r="M308" s="9">
        <v>45063</v>
      </c>
    </row>
    <row r="309" spans="1:31" x14ac:dyDescent="0.25">
      <c r="A309" s="88" t="s">
        <v>333</v>
      </c>
      <c r="B309"/>
      <c r="C309"/>
      <c r="D309">
        <f>+D295+1</f>
        <v>339</v>
      </c>
      <c r="E309" s="5" t="s">
        <v>979</v>
      </c>
      <c r="F309" t="s">
        <v>980</v>
      </c>
      <c r="G309" s="7">
        <v>0.77</v>
      </c>
      <c r="H309" s="6">
        <f>+G309*L309</f>
        <v>143.29973966</v>
      </c>
      <c r="I309" s="6">
        <f>[147]Main!$I$5-[147]Main!$I$6</f>
        <v>220.65100000000001</v>
      </c>
      <c r="J309" s="6">
        <f>+H309-I309</f>
        <v>-77.35126034000001</v>
      </c>
      <c r="K309" s="3" t="s">
        <v>1843</v>
      </c>
      <c r="L309" s="6">
        <f>+[147]Main!$I$3</f>
        <v>186.10355799999999</v>
      </c>
      <c r="M309" s="9">
        <v>45810</v>
      </c>
    </row>
    <row r="310" spans="1:31" x14ac:dyDescent="0.25">
      <c r="A310" s="101" t="s">
        <v>333</v>
      </c>
      <c r="B310"/>
      <c r="C310"/>
      <c r="D310">
        <f>+D308+1</f>
        <v>356</v>
      </c>
      <c r="E310" s="5" t="s">
        <v>933</v>
      </c>
      <c r="F310" t="s">
        <v>934</v>
      </c>
      <c r="G310" s="7">
        <v>4.63</v>
      </c>
      <c r="H310" s="6">
        <f>+G310*L310</f>
        <v>326.68703101999995</v>
      </c>
      <c r="I310" s="6">
        <f>+[148]Main!$K$5-[148]Main!$K$6</f>
        <v>426.65000000000003</v>
      </c>
      <c r="J310" s="6">
        <f>+H310-I310</f>
        <v>-99.962968980000085</v>
      </c>
      <c r="K310" s="3" t="s">
        <v>1070</v>
      </c>
      <c r="L310" s="6">
        <f>+[148]Main!$K$3</f>
        <v>70.558753999999993</v>
      </c>
      <c r="M310" s="9">
        <v>45564</v>
      </c>
      <c r="AE310" s="1">
        <v>2015</v>
      </c>
    </row>
    <row r="311" spans="1:31" x14ac:dyDescent="0.25">
      <c r="A311" s="1" t="s">
        <v>333</v>
      </c>
      <c r="D311">
        <f t="shared" si="81"/>
        <v>357</v>
      </c>
      <c r="E311" s="1" t="s">
        <v>588</v>
      </c>
      <c r="F311" s="1" t="s">
        <v>589</v>
      </c>
    </row>
    <row r="312" spans="1:31" x14ac:dyDescent="0.25">
      <c r="D312">
        <f t="shared" si="81"/>
        <v>358</v>
      </c>
      <c r="E312" t="s">
        <v>590</v>
      </c>
      <c r="F312" t="s">
        <v>591</v>
      </c>
    </row>
    <row r="313" spans="1:31" x14ac:dyDescent="0.25">
      <c r="A313" s="1" t="s">
        <v>333</v>
      </c>
      <c r="D313">
        <f t="shared" si="81"/>
        <v>359</v>
      </c>
      <c r="E313" t="s">
        <v>592</v>
      </c>
      <c r="F313" t="s">
        <v>593</v>
      </c>
    </row>
    <row r="314" spans="1:31" x14ac:dyDescent="0.25">
      <c r="A314" s="101" t="s">
        <v>333</v>
      </c>
      <c r="D314">
        <f t="shared" si="81"/>
        <v>360</v>
      </c>
      <c r="E314" s="1" t="s">
        <v>448</v>
      </c>
      <c r="F314" s="1" t="s">
        <v>661</v>
      </c>
    </row>
    <row r="315" spans="1:31" x14ac:dyDescent="0.25">
      <c r="D315">
        <f t="shared" si="81"/>
        <v>361</v>
      </c>
      <c r="E315" t="s">
        <v>1169</v>
      </c>
      <c r="F315" t="s">
        <v>1170</v>
      </c>
    </row>
    <row r="316" spans="1:31" x14ac:dyDescent="0.25">
      <c r="A316" s="1" t="s">
        <v>333</v>
      </c>
      <c r="D316">
        <f t="shared" si="81"/>
        <v>362</v>
      </c>
      <c r="E316" t="s">
        <v>774</v>
      </c>
      <c r="F316" t="s">
        <v>775</v>
      </c>
    </row>
    <row r="317" spans="1:31" x14ac:dyDescent="0.25">
      <c r="A317"/>
      <c r="B317"/>
      <c r="C317"/>
      <c r="D317">
        <f t="shared" si="81"/>
        <v>363</v>
      </c>
      <c r="E317" t="s">
        <v>1268</v>
      </c>
      <c r="F317" t="s">
        <v>1269</v>
      </c>
      <c r="G317" s="7">
        <v>3.5</v>
      </c>
      <c r="H317" s="6"/>
    </row>
    <row r="318" spans="1:31" x14ac:dyDescent="0.25">
      <c r="A318" s="101" t="s">
        <v>333</v>
      </c>
      <c r="D318">
        <f t="shared" si="81"/>
        <v>364</v>
      </c>
      <c r="E318" t="s">
        <v>664</v>
      </c>
      <c r="F318" t="s">
        <v>665</v>
      </c>
    </row>
    <row r="319" spans="1:31" x14ac:dyDescent="0.25">
      <c r="A319" s="101" t="s">
        <v>333</v>
      </c>
      <c r="B319"/>
      <c r="C319"/>
      <c r="D319">
        <f t="shared" si="81"/>
        <v>365</v>
      </c>
      <c r="E319" t="s">
        <v>666</v>
      </c>
      <c r="F319" t="s">
        <v>667</v>
      </c>
    </row>
    <row r="320" spans="1:31" x14ac:dyDescent="0.25">
      <c r="A320" s="1" t="s">
        <v>333</v>
      </c>
      <c r="D320">
        <f>+D523+1</f>
        <v>369</v>
      </c>
      <c r="E320" t="s">
        <v>809</v>
      </c>
      <c r="F320" t="s">
        <v>810</v>
      </c>
    </row>
    <row r="321" spans="1:7" x14ac:dyDescent="0.25">
      <c r="A321" s="88" t="s">
        <v>333</v>
      </c>
      <c r="D321">
        <f t="shared" ref="D321:D341" si="82">+D320+1</f>
        <v>370</v>
      </c>
      <c r="E321" t="s">
        <v>1909</v>
      </c>
      <c r="F321" t="s">
        <v>1910</v>
      </c>
    </row>
    <row r="322" spans="1:7" x14ac:dyDescent="0.25">
      <c r="A322" s="88" t="s">
        <v>333</v>
      </c>
      <c r="B322"/>
      <c r="C322"/>
      <c r="D322">
        <f t="shared" si="82"/>
        <v>371</v>
      </c>
      <c r="E322" t="s">
        <v>815</v>
      </c>
      <c r="F322" t="s">
        <v>816</v>
      </c>
    </row>
    <row r="323" spans="1:7" x14ac:dyDescent="0.25">
      <c r="A323" s="88" t="s">
        <v>333</v>
      </c>
      <c r="B323"/>
      <c r="C323"/>
      <c r="D323">
        <f t="shared" si="82"/>
        <v>372</v>
      </c>
      <c r="E323" t="s">
        <v>1960</v>
      </c>
      <c r="F323" t="s">
        <v>1959</v>
      </c>
    </row>
    <row r="324" spans="1:7" x14ac:dyDescent="0.25">
      <c r="A324" s="88" t="s">
        <v>333</v>
      </c>
      <c r="B324"/>
      <c r="C324"/>
      <c r="D324">
        <f t="shared" si="82"/>
        <v>373</v>
      </c>
      <c r="E324" t="s">
        <v>819</v>
      </c>
      <c r="F324" t="s">
        <v>820</v>
      </c>
    </row>
    <row r="325" spans="1:7" x14ac:dyDescent="0.25">
      <c r="A325" s="88" t="s">
        <v>333</v>
      </c>
      <c r="B325"/>
      <c r="C325"/>
      <c r="D325">
        <f t="shared" si="82"/>
        <v>374</v>
      </c>
      <c r="E325" t="s">
        <v>1961</v>
      </c>
      <c r="F325" t="s">
        <v>1962</v>
      </c>
    </row>
    <row r="326" spans="1:7" x14ac:dyDescent="0.25">
      <c r="A326" s="88" t="s">
        <v>333</v>
      </c>
      <c r="B326"/>
      <c r="C326"/>
      <c r="D326">
        <f t="shared" si="82"/>
        <v>375</v>
      </c>
      <c r="E326" t="s">
        <v>1911</v>
      </c>
      <c r="F326" t="s">
        <v>1912</v>
      </c>
    </row>
    <row r="327" spans="1:7" x14ac:dyDescent="0.25">
      <c r="A327" s="88" t="s">
        <v>333</v>
      </c>
      <c r="B327"/>
      <c r="C327"/>
      <c r="D327">
        <f t="shared" si="82"/>
        <v>376</v>
      </c>
      <c r="E327" t="s">
        <v>1913</v>
      </c>
      <c r="F327" t="s">
        <v>1914</v>
      </c>
    </row>
    <row r="328" spans="1:7" x14ac:dyDescent="0.25">
      <c r="A328" s="88" t="s">
        <v>333</v>
      </c>
      <c r="B328"/>
      <c r="C328"/>
      <c r="D328">
        <f t="shared" si="82"/>
        <v>377</v>
      </c>
      <c r="E328" t="s">
        <v>817</v>
      </c>
      <c r="F328" t="s">
        <v>818</v>
      </c>
    </row>
    <row r="329" spans="1:7" x14ac:dyDescent="0.25">
      <c r="A329" s="88" t="s">
        <v>333</v>
      </c>
      <c r="B329"/>
      <c r="C329"/>
      <c r="D329">
        <f t="shared" si="82"/>
        <v>378</v>
      </c>
      <c r="E329" t="s">
        <v>813</v>
      </c>
      <c r="F329" t="s">
        <v>814</v>
      </c>
    </row>
    <row r="330" spans="1:7" x14ac:dyDescent="0.25">
      <c r="A330" s="88" t="s">
        <v>333</v>
      </c>
      <c r="B330"/>
      <c r="C330"/>
      <c r="D330">
        <f t="shared" si="82"/>
        <v>379</v>
      </c>
      <c r="E330" t="s">
        <v>811</v>
      </c>
      <c r="F330" t="s">
        <v>812</v>
      </c>
    </row>
    <row r="331" spans="1:7" x14ac:dyDescent="0.25">
      <c r="A331" s="88" t="s">
        <v>333</v>
      </c>
      <c r="B331"/>
      <c r="C331"/>
      <c r="D331">
        <f t="shared" si="82"/>
        <v>380</v>
      </c>
      <c r="E331" t="s">
        <v>1926</v>
      </c>
      <c r="F331" t="s">
        <v>1927</v>
      </c>
    </row>
    <row r="332" spans="1:7" x14ac:dyDescent="0.25">
      <c r="A332" s="88" t="s">
        <v>333</v>
      </c>
      <c r="D332">
        <f t="shared" si="82"/>
        <v>381</v>
      </c>
      <c r="E332" t="s">
        <v>807</v>
      </c>
      <c r="F332" t="s">
        <v>808</v>
      </c>
    </row>
    <row r="333" spans="1:7" x14ac:dyDescent="0.25">
      <c r="A333" s="1" t="s">
        <v>333</v>
      </c>
      <c r="D333">
        <f t="shared" si="82"/>
        <v>382</v>
      </c>
      <c r="E333" t="s">
        <v>672</v>
      </c>
      <c r="F333" t="s">
        <v>673</v>
      </c>
    </row>
    <row r="334" spans="1:7" x14ac:dyDescent="0.25">
      <c r="A334" s="101" t="s">
        <v>333</v>
      </c>
      <c r="D334">
        <f t="shared" si="82"/>
        <v>383</v>
      </c>
      <c r="E334" t="s">
        <v>1886</v>
      </c>
      <c r="F334" t="s">
        <v>1887</v>
      </c>
    </row>
    <row r="335" spans="1:7" x14ac:dyDescent="0.25">
      <c r="A335" s="101" t="s">
        <v>333</v>
      </c>
      <c r="D335">
        <f t="shared" si="82"/>
        <v>384</v>
      </c>
      <c r="E335" t="s">
        <v>736</v>
      </c>
      <c r="F335" t="s">
        <v>737</v>
      </c>
    </row>
    <row r="336" spans="1:7" x14ac:dyDescent="0.25">
      <c r="A336" s="1" t="s">
        <v>333</v>
      </c>
      <c r="D336">
        <f t="shared" si="82"/>
        <v>385</v>
      </c>
      <c r="E336" s="5" t="s">
        <v>734</v>
      </c>
      <c r="F336" t="s">
        <v>735</v>
      </c>
      <c r="G336" s="3">
        <v>6.71</v>
      </c>
    </row>
    <row r="337" spans="1:13" x14ac:dyDescent="0.25">
      <c r="A337" s="101" t="s">
        <v>333</v>
      </c>
      <c r="D337">
        <f t="shared" si="82"/>
        <v>386</v>
      </c>
      <c r="E337" t="s">
        <v>674</v>
      </c>
      <c r="F337" t="s">
        <v>675</v>
      </c>
    </row>
    <row r="338" spans="1:13" x14ac:dyDescent="0.25">
      <c r="A338" s="101" t="s">
        <v>333</v>
      </c>
      <c r="B338"/>
      <c r="C338"/>
      <c r="D338">
        <f t="shared" si="82"/>
        <v>387</v>
      </c>
      <c r="E338" t="s">
        <v>721</v>
      </c>
      <c r="F338" t="s">
        <v>722</v>
      </c>
    </row>
    <row r="339" spans="1:13" x14ac:dyDescent="0.25">
      <c r="A339" s="1" t="s">
        <v>333</v>
      </c>
      <c r="D339">
        <f t="shared" si="82"/>
        <v>388</v>
      </c>
      <c r="E339" t="s">
        <v>676</v>
      </c>
      <c r="F339" t="s">
        <v>677</v>
      </c>
    </row>
    <row r="340" spans="1:13" x14ac:dyDescent="0.25">
      <c r="A340" s="101" t="s">
        <v>333</v>
      </c>
      <c r="D340">
        <f t="shared" si="82"/>
        <v>389</v>
      </c>
      <c r="E340" s="1" t="s">
        <v>695</v>
      </c>
      <c r="F340" s="1" t="s">
        <v>696</v>
      </c>
    </row>
    <row r="341" spans="1:13" x14ac:dyDescent="0.25">
      <c r="A341" s="101" t="s">
        <v>333</v>
      </c>
      <c r="B341"/>
      <c r="C341"/>
      <c r="D341">
        <f t="shared" si="82"/>
        <v>390</v>
      </c>
      <c r="E341" t="s">
        <v>699</v>
      </c>
      <c r="F341" t="s">
        <v>700</v>
      </c>
    </row>
    <row r="342" spans="1:13" x14ac:dyDescent="0.25">
      <c r="A342" t="s">
        <v>333</v>
      </c>
      <c r="B342"/>
      <c r="C342"/>
      <c r="D342">
        <f t="shared" ref="D342:D390" si="83">+D341+1</f>
        <v>391</v>
      </c>
      <c r="E342" t="s">
        <v>701</v>
      </c>
      <c r="F342" t="s">
        <v>702</v>
      </c>
    </row>
    <row r="343" spans="1:13" x14ac:dyDescent="0.25">
      <c r="A343" s="101" t="s">
        <v>333</v>
      </c>
      <c r="B343"/>
      <c r="C343"/>
      <c r="D343">
        <f t="shared" si="83"/>
        <v>392</v>
      </c>
      <c r="E343" t="s">
        <v>1874</v>
      </c>
      <c r="F343" t="s">
        <v>1875</v>
      </c>
    </row>
    <row r="344" spans="1:13" x14ac:dyDescent="0.25">
      <c r="A344" s="101" t="s">
        <v>333</v>
      </c>
      <c r="B344"/>
      <c r="C344"/>
      <c r="D344">
        <f t="shared" si="83"/>
        <v>393</v>
      </c>
      <c r="E344" t="s">
        <v>821</v>
      </c>
      <c r="F344" t="s">
        <v>822</v>
      </c>
    </row>
    <row r="345" spans="1:13" x14ac:dyDescent="0.25">
      <c r="A345" t="s">
        <v>333</v>
      </c>
      <c r="B345"/>
      <c r="C345"/>
      <c r="D345">
        <f t="shared" si="83"/>
        <v>394</v>
      </c>
      <c r="E345" t="s">
        <v>825</v>
      </c>
      <c r="F345" t="s">
        <v>826</v>
      </c>
      <c r="G345" s="3">
        <v>0.48</v>
      </c>
    </row>
    <row r="346" spans="1:13" x14ac:dyDescent="0.25">
      <c r="A346" s="101" t="s">
        <v>333</v>
      </c>
      <c r="B346"/>
      <c r="C346"/>
      <c r="D346">
        <f t="shared" si="83"/>
        <v>395</v>
      </c>
      <c r="E346" s="5" t="s">
        <v>827</v>
      </c>
      <c r="F346" t="s">
        <v>828</v>
      </c>
      <c r="G346" s="3">
        <v>9.11</v>
      </c>
      <c r="H346" s="6">
        <f>G346*L346</f>
        <v>774.93485289</v>
      </c>
      <c r="I346" s="6">
        <f>[149]Main!$I$5-[149]Main!$I$6</f>
        <v>120.77500000000001</v>
      </c>
      <c r="J346" s="6">
        <f>H346-I346</f>
        <v>654.15985289000002</v>
      </c>
      <c r="K346" s="9" t="s">
        <v>1615</v>
      </c>
      <c r="L346" s="6">
        <f>[149]Main!$I$3</f>
        <v>85.064199000000002</v>
      </c>
      <c r="M346" s="9">
        <v>45622</v>
      </c>
    </row>
    <row r="347" spans="1:13" x14ac:dyDescent="0.25">
      <c r="A347"/>
      <c r="B347"/>
      <c r="C347"/>
      <c r="D347">
        <f t="shared" si="83"/>
        <v>396</v>
      </c>
      <c r="E347" s="88" t="s">
        <v>829</v>
      </c>
      <c r="F347" s="88" t="s">
        <v>830</v>
      </c>
    </row>
    <row r="348" spans="1:13" x14ac:dyDescent="0.25">
      <c r="A348" s="101" t="s">
        <v>333</v>
      </c>
      <c r="B348"/>
      <c r="C348"/>
      <c r="D348">
        <f t="shared" si="83"/>
        <v>397</v>
      </c>
      <c r="E348" s="5" t="s">
        <v>831</v>
      </c>
      <c r="F348" t="s">
        <v>832</v>
      </c>
      <c r="G348" s="3">
        <v>0.51</v>
      </c>
      <c r="H348" s="3">
        <v>184</v>
      </c>
    </row>
    <row r="349" spans="1:13" x14ac:dyDescent="0.25">
      <c r="A349" t="s">
        <v>333</v>
      </c>
      <c r="B349"/>
      <c r="C349"/>
      <c r="D349">
        <f t="shared" si="83"/>
        <v>398</v>
      </c>
      <c r="E349" t="s">
        <v>833</v>
      </c>
      <c r="F349" t="s">
        <v>834</v>
      </c>
      <c r="G349" s="3">
        <v>0.86</v>
      </c>
      <c r="H349" s="3">
        <v>114</v>
      </c>
    </row>
    <row r="350" spans="1:13" x14ac:dyDescent="0.25">
      <c r="A350" s="101" t="s">
        <v>333</v>
      </c>
      <c r="B350"/>
      <c r="C350"/>
      <c r="D350">
        <f t="shared" si="83"/>
        <v>399</v>
      </c>
      <c r="E350" t="s">
        <v>1937</v>
      </c>
      <c r="F350" t="s">
        <v>1938</v>
      </c>
    </row>
    <row r="351" spans="1:13" x14ac:dyDescent="0.25">
      <c r="A351" s="101" t="s">
        <v>333</v>
      </c>
      <c r="B351"/>
      <c r="C351"/>
      <c r="D351">
        <f t="shared" si="83"/>
        <v>400</v>
      </c>
      <c r="E351" t="s">
        <v>835</v>
      </c>
      <c r="F351" t="s">
        <v>836</v>
      </c>
      <c r="G351" s="3">
        <v>7.61</v>
      </c>
      <c r="H351" s="3">
        <v>363</v>
      </c>
    </row>
    <row r="352" spans="1:13" x14ac:dyDescent="0.25">
      <c r="A352"/>
      <c r="B352"/>
      <c r="C352"/>
      <c r="D352">
        <f t="shared" si="83"/>
        <v>401</v>
      </c>
      <c r="E352" s="88" t="s">
        <v>837</v>
      </c>
      <c r="F352" s="88" t="s">
        <v>838</v>
      </c>
    </row>
    <row r="353" spans="1:13" x14ac:dyDescent="0.25">
      <c r="A353"/>
      <c r="B353"/>
      <c r="C353"/>
      <c r="D353">
        <f t="shared" si="83"/>
        <v>402</v>
      </c>
      <c r="E353" s="88" t="s">
        <v>839</v>
      </c>
      <c r="F353" s="88" t="s">
        <v>840</v>
      </c>
    </row>
    <row r="354" spans="1:13" x14ac:dyDescent="0.25">
      <c r="A354"/>
      <c r="B354"/>
      <c r="C354"/>
      <c r="D354">
        <f t="shared" si="83"/>
        <v>403</v>
      </c>
      <c r="E354" t="s">
        <v>1298</v>
      </c>
      <c r="F354" t="s">
        <v>1299</v>
      </c>
      <c r="G354" s="7">
        <v>2.0499999999999998</v>
      </c>
      <c r="H354" s="3">
        <v>164</v>
      </c>
    </row>
    <row r="355" spans="1:13" x14ac:dyDescent="0.25">
      <c r="A355" s="101" t="s">
        <v>333</v>
      </c>
      <c r="B355"/>
      <c r="C355"/>
      <c r="D355">
        <f t="shared" si="83"/>
        <v>404</v>
      </c>
      <c r="E355" t="s">
        <v>1969</v>
      </c>
      <c r="F355" t="s">
        <v>1970</v>
      </c>
      <c r="G355" s="7"/>
    </row>
    <row r="356" spans="1:13" x14ac:dyDescent="0.25">
      <c r="A356" s="101" t="s">
        <v>333</v>
      </c>
      <c r="B356"/>
      <c r="C356"/>
      <c r="D356">
        <f t="shared" si="83"/>
        <v>405</v>
      </c>
      <c r="E356" t="s">
        <v>841</v>
      </c>
      <c r="F356" t="s">
        <v>842</v>
      </c>
      <c r="G356" s="3">
        <v>1.1200000000000001</v>
      </c>
      <c r="H356" s="3">
        <v>120</v>
      </c>
    </row>
    <row r="357" spans="1:13" x14ac:dyDescent="0.25">
      <c r="A357" s="101" t="s">
        <v>333</v>
      </c>
      <c r="B357"/>
      <c r="C357"/>
      <c r="D357">
        <f t="shared" si="83"/>
        <v>406</v>
      </c>
      <c r="E357" t="s">
        <v>843</v>
      </c>
      <c r="F357" t="s">
        <v>844</v>
      </c>
      <c r="G357" s="3">
        <v>1.08</v>
      </c>
      <c r="H357" s="3">
        <v>107</v>
      </c>
    </row>
    <row r="358" spans="1:13" x14ac:dyDescent="0.25">
      <c r="A358" t="s">
        <v>333</v>
      </c>
      <c r="B358"/>
      <c r="C358"/>
      <c r="D358">
        <f t="shared" si="83"/>
        <v>407</v>
      </c>
      <c r="E358" s="5" t="s">
        <v>849</v>
      </c>
      <c r="F358" t="s">
        <v>850</v>
      </c>
      <c r="G358" s="3">
        <v>0.32</v>
      </c>
    </row>
    <row r="359" spans="1:13" x14ac:dyDescent="0.25">
      <c r="A359" s="88" t="s">
        <v>333</v>
      </c>
      <c r="B359"/>
      <c r="C359"/>
      <c r="D359">
        <f t="shared" si="83"/>
        <v>408</v>
      </c>
      <c r="E359" s="5" t="s">
        <v>851</v>
      </c>
      <c r="F359" t="s">
        <v>852</v>
      </c>
      <c r="G359" s="3">
        <v>14.25</v>
      </c>
    </row>
    <row r="360" spans="1:13" x14ac:dyDescent="0.25">
      <c r="A360"/>
      <c r="B360"/>
      <c r="C360"/>
      <c r="D360">
        <f t="shared" si="83"/>
        <v>409</v>
      </c>
      <c r="E360" t="s">
        <v>853</v>
      </c>
      <c r="F360" t="s">
        <v>854</v>
      </c>
    </row>
    <row r="361" spans="1:13" x14ac:dyDescent="0.25">
      <c r="A361" s="88" t="s">
        <v>333</v>
      </c>
      <c r="B361"/>
      <c r="C361"/>
      <c r="D361">
        <f t="shared" si="83"/>
        <v>410</v>
      </c>
      <c r="E361" s="5" t="s">
        <v>855</v>
      </c>
      <c r="F361" t="s">
        <v>856</v>
      </c>
      <c r="G361" s="3">
        <v>23.86</v>
      </c>
      <c r="H361" s="6">
        <f>+G361*L361</f>
        <v>725.98063251999997</v>
      </c>
      <c r="I361" s="6">
        <f>+[150]Main!$K$5-[150]Main!$K$6</f>
        <v>458.03099999999995</v>
      </c>
      <c r="J361" s="6">
        <f>+H361-I361</f>
        <v>267.94963252000002</v>
      </c>
      <c r="K361" s="3" t="s">
        <v>1276</v>
      </c>
      <c r="L361" s="6">
        <f>+[150]Main!$K$3</f>
        <v>30.426682</v>
      </c>
      <c r="M361" s="9">
        <v>45631</v>
      </c>
    </row>
    <row r="362" spans="1:13" x14ac:dyDescent="0.25">
      <c r="A362" t="s">
        <v>333</v>
      </c>
      <c r="B362"/>
      <c r="C362"/>
      <c r="D362">
        <f t="shared" si="83"/>
        <v>411</v>
      </c>
      <c r="E362" s="5" t="s">
        <v>857</v>
      </c>
      <c r="F362" t="s">
        <v>858</v>
      </c>
      <c r="G362" s="3">
        <v>1.74</v>
      </c>
      <c r="H362" s="6">
        <f>+G362*L362</f>
        <v>200.47132818</v>
      </c>
      <c r="I362" s="6">
        <f>+[151]Main!$J$5-[151]Main!$J$6</f>
        <v>316.5809999999999</v>
      </c>
      <c r="J362" s="6">
        <f>+H362-I362</f>
        <v>-116.1096718199999</v>
      </c>
      <c r="K362" s="3" t="s">
        <v>1276</v>
      </c>
      <c r="L362" s="6">
        <f>+[151]Main!$J$3</f>
        <v>115.213407</v>
      </c>
      <c r="M362" s="9">
        <v>45631</v>
      </c>
    </row>
    <row r="363" spans="1:13" x14ac:dyDescent="0.25">
      <c r="A363" t="s">
        <v>333</v>
      </c>
      <c r="B363"/>
      <c r="C363"/>
      <c r="D363">
        <f t="shared" si="83"/>
        <v>412</v>
      </c>
      <c r="E363" t="s">
        <v>859</v>
      </c>
      <c r="F363" t="s">
        <v>860</v>
      </c>
    </row>
    <row r="364" spans="1:13" x14ac:dyDescent="0.25">
      <c r="A364" t="s">
        <v>333</v>
      </c>
      <c r="B364"/>
      <c r="C364"/>
      <c r="D364">
        <f t="shared" si="83"/>
        <v>413</v>
      </c>
      <c r="E364" t="s">
        <v>861</v>
      </c>
      <c r="F364" t="s">
        <v>862</v>
      </c>
    </row>
    <row r="365" spans="1:13" x14ac:dyDescent="0.25">
      <c r="A365" s="88" t="s">
        <v>333</v>
      </c>
      <c r="B365"/>
      <c r="C365"/>
      <c r="D365">
        <f t="shared" si="83"/>
        <v>414</v>
      </c>
      <c r="E365" t="s">
        <v>1935</v>
      </c>
      <c r="F365" t="s">
        <v>1936</v>
      </c>
    </row>
    <row r="366" spans="1:13" x14ac:dyDescent="0.25">
      <c r="A366" s="88" t="s">
        <v>333</v>
      </c>
      <c r="B366"/>
      <c r="C366"/>
      <c r="D366">
        <f t="shared" si="83"/>
        <v>415</v>
      </c>
      <c r="E366" t="s">
        <v>863</v>
      </c>
      <c r="F366" t="s">
        <v>864</v>
      </c>
    </row>
    <row r="367" spans="1:13" x14ac:dyDescent="0.25">
      <c r="A367" s="88" t="s">
        <v>333</v>
      </c>
      <c r="B367"/>
      <c r="C367"/>
      <c r="D367">
        <f t="shared" si="83"/>
        <v>416</v>
      </c>
      <c r="E367" t="s">
        <v>865</v>
      </c>
      <c r="F367" t="s">
        <v>866</v>
      </c>
    </row>
    <row r="368" spans="1:13" x14ac:dyDescent="0.25">
      <c r="A368" s="88" t="s">
        <v>333</v>
      </c>
      <c r="B368"/>
      <c r="C368"/>
      <c r="D368">
        <f t="shared" si="83"/>
        <v>417</v>
      </c>
      <c r="E368" t="s">
        <v>871</v>
      </c>
      <c r="F368" t="s">
        <v>872</v>
      </c>
      <c r="G368" s="7">
        <v>2.02</v>
      </c>
    </row>
    <row r="369" spans="1:13" x14ac:dyDescent="0.25">
      <c r="A369" s="88" t="s">
        <v>333</v>
      </c>
      <c r="B369"/>
      <c r="C369"/>
      <c r="D369">
        <f>+D491+1</f>
        <v>419</v>
      </c>
      <c r="E369" s="5" t="s">
        <v>909</v>
      </c>
      <c r="F369" t="s">
        <v>910</v>
      </c>
      <c r="G369" s="7">
        <v>3.5</v>
      </c>
      <c r="H369" s="6">
        <f>+G369*L369</f>
        <v>663.22089749999998</v>
      </c>
      <c r="I369" s="6">
        <f>+[152]Main!$L$5-[152]Main!$L$6</f>
        <v>130.75800000000001</v>
      </c>
      <c r="J369" s="6">
        <f>+H369-I369</f>
        <v>532.46289749999994</v>
      </c>
      <c r="K369" s="3" t="s">
        <v>1276</v>
      </c>
      <c r="L369" s="6">
        <f>+[152]Main!$L$3</f>
        <v>189.49168499999999</v>
      </c>
      <c r="M369" s="9">
        <v>45712</v>
      </c>
    </row>
    <row r="370" spans="1:13" x14ac:dyDescent="0.25">
      <c r="A370" s="88" t="s">
        <v>333</v>
      </c>
      <c r="B370"/>
      <c r="C370"/>
      <c r="D370">
        <f t="shared" si="83"/>
        <v>420</v>
      </c>
      <c r="E370" s="5" t="s">
        <v>1819</v>
      </c>
      <c r="F370" t="s">
        <v>1820</v>
      </c>
      <c r="G370" s="7">
        <v>13.93</v>
      </c>
      <c r="H370" s="6">
        <f>+G370*L370</f>
        <v>490.59548804000002</v>
      </c>
      <c r="I370" s="6">
        <f>+[153]Main!$K$5-[153]Main!$K$6</f>
        <v>151.51587699999999</v>
      </c>
      <c r="J370" s="6">
        <f>+H370-I370</f>
        <v>339.07961104000003</v>
      </c>
      <c r="K370" s="3" t="s">
        <v>1277</v>
      </c>
      <c r="L370" s="6">
        <f>+[153]Main!$K$3</f>
        <v>35.218628000000002</v>
      </c>
      <c r="M370" s="9">
        <v>45770</v>
      </c>
    </row>
    <row r="371" spans="1:13" x14ac:dyDescent="0.25">
      <c r="A371" s="88" t="s">
        <v>333</v>
      </c>
      <c r="B371"/>
      <c r="C371"/>
      <c r="D371">
        <f t="shared" si="83"/>
        <v>421</v>
      </c>
      <c r="E371" t="s">
        <v>875</v>
      </c>
      <c r="F371" t="s">
        <v>876</v>
      </c>
      <c r="G371" s="7">
        <v>0.94</v>
      </c>
      <c r="H371" s="3">
        <v>424</v>
      </c>
    </row>
    <row r="372" spans="1:13" x14ac:dyDescent="0.25">
      <c r="A372" s="88" t="s">
        <v>333</v>
      </c>
      <c r="B372"/>
      <c r="C372"/>
      <c r="D372">
        <f t="shared" si="83"/>
        <v>422</v>
      </c>
      <c r="E372" t="s">
        <v>899</v>
      </c>
      <c r="F372" t="s">
        <v>900</v>
      </c>
      <c r="G372" s="3">
        <v>1.91</v>
      </c>
      <c r="H372" s="3">
        <v>404</v>
      </c>
    </row>
    <row r="373" spans="1:13" x14ac:dyDescent="0.25">
      <c r="A373" s="88" t="s">
        <v>333</v>
      </c>
      <c r="B373"/>
      <c r="C373"/>
      <c r="D373">
        <f t="shared" si="83"/>
        <v>423</v>
      </c>
      <c r="E373" t="s">
        <v>1829</v>
      </c>
      <c r="F373" t="s">
        <v>1830</v>
      </c>
      <c r="G373" s="7">
        <v>14.27</v>
      </c>
      <c r="H373" s="3">
        <v>365</v>
      </c>
    </row>
    <row r="374" spans="1:13" x14ac:dyDescent="0.25">
      <c r="A374" s="88" t="s">
        <v>333</v>
      </c>
      <c r="B374"/>
      <c r="C374"/>
      <c r="D374">
        <f t="shared" si="83"/>
        <v>424</v>
      </c>
      <c r="E374" t="s">
        <v>895</v>
      </c>
      <c r="F374" t="s">
        <v>896</v>
      </c>
      <c r="G374" s="7">
        <v>17.100000000000001</v>
      </c>
      <c r="H374" s="3">
        <v>300</v>
      </c>
    </row>
    <row r="375" spans="1:13" x14ac:dyDescent="0.25">
      <c r="A375" s="88" t="s">
        <v>333</v>
      </c>
      <c r="B375"/>
      <c r="C375"/>
      <c r="D375">
        <f t="shared" si="83"/>
        <v>425</v>
      </c>
      <c r="E375" t="s">
        <v>887</v>
      </c>
      <c r="F375" t="s">
        <v>888</v>
      </c>
      <c r="G375" s="7">
        <v>4.7699999999999996</v>
      </c>
      <c r="H375" s="3">
        <v>327</v>
      </c>
    </row>
    <row r="376" spans="1:13" x14ac:dyDescent="0.25">
      <c r="A376" s="88" t="s">
        <v>333</v>
      </c>
      <c r="B376"/>
      <c r="C376"/>
      <c r="D376">
        <f t="shared" si="83"/>
        <v>426</v>
      </c>
      <c r="E376" t="s">
        <v>905</v>
      </c>
      <c r="F376" t="s">
        <v>906</v>
      </c>
      <c r="G376" s="7">
        <v>20.8</v>
      </c>
      <c r="H376" s="3">
        <v>245</v>
      </c>
    </row>
    <row r="377" spans="1:13" x14ac:dyDescent="0.25">
      <c r="A377" s="88" t="s">
        <v>333</v>
      </c>
      <c r="B377"/>
      <c r="C377"/>
      <c r="D377">
        <f t="shared" si="83"/>
        <v>427</v>
      </c>
      <c r="E377" s="5" t="s">
        <v>1831</v>
      </c>
      <c r="F377" t="s">
        <v>1832</v>
      </c>
      <c r="G377" s="7">
        <v>2.97</v>
      </c>
      <c r="H377" s="6">
        <f>+G377*L377</f>
        <v>275.23920204000001</v>
      </c>
      <c r="I377" s="6">
        <f>+[154]Sheet1!$K$5-[154]Sheet1!$K$6</f>
        <v>134.916</v>
      </c>
      <c r="J377" s="6">
        <f>+H377-I377</f>
        <v>140.32320204000001</v>
      </c>
      <c r="K377" s="3" t="s">
        <v>1277</v>
      </c>
      <c r="L377" s="6">
        <f>[154]Sheet1!$K$3</f>
        <v>92.673131999999995</v>
      </c>
      <c r="M377" s="9">
        <v>45762</v>
      </c>
    </row>
    <row r="378" spans="1:13" x14ac:dyDescent="0.25">
      <c r="A378" s="88" t="s">
        <v>333</v>
      </c>
      <c r="B378"/>
      <c r="C378"/>
      <c r="D378">
        <f t="shared" si="83"/>
        <v>428</v>
      </c>
      <c r="E378" t="s">
        <v>881</v>
      </c>
      <c r="F378" t="s">
        <v>882</v>
      </c>
      <c r="G378" s="7">
        <v>1.35</v>
      </c>
      <c r="H378" s="3">
        <v>145</v>
      </c>
    </row>
    <row r="379" spans="1:13" x14ac:dyDescent="0.25">
      <c r="A379" s="88" t="s">
        <v>333</v>
      </c>
      <c r="B379"/>
      <c r="C379"/>
      <c r="D379">
        <f t="shared" si="83"/>
        <v>429</v>
      </c>
      <c r="E379" t="s">
        <v>893</v>
      </c>
      <c r="F379" t="s">
        <v>894</v>
      </c>
      <c r="G379" s="7">
        <v>1.84</v>
      </c>
      <c r="H379" s="3">
        <v>118</v>
      </c>
    </row>
    <row r="380" spans="1:13" x14ac:dyDescent="0.25">
      <c r="A380" s="88" t="s">
        <v>333</v>
      </c>
      <c r="B380"/>
      <c r="C380"/>
      <c r="D380">
        <f>+D490+1</f>
        <v>439</v>
      </c>
      <c r="E380" t="s">
        <v>911</v>
      </c>
      <c r="F380" t="s">
        <v>912</v>
      </c>
    </row>
    <row r="381" spans="1:13" x14ac:dyDescent="0.25">
      <c r="A381" s="88" t="s">
        <v>333</v>
      </c>
      <c r="B381"/>
      <c r="C381"/>
      <c r="D381">
        <f t="shared" si="83"/>
        <v>440</v>
      </c>
      <c r="E381" t="s">
        <v>913</v>
      </c>
      <c r="F381" t="s">
        <v>914</v>
      </c>
    </row>
    <row r="382" spans="1:13" x14ac:dyDescent="0.25">
      <c r="A382" s="88" t="s">
        <v>333</v>
      </c>
      <c r="B382"/>
      <c r="C382"/>
      <c r="D382">
        <f t="shared" si="83"/>
        <v>441</v>
      </c>
      <c r="E382" t="s">
        <v>1928</v>
      </c>
      <c r="F382" t="s">
        <v>1929</v>
      </c>
    </row>
    <row r="383" spans="1:13" x14ac:dyDescent="0.25">
      <c r="A383" s="88" t="s">
        <v>333</v>
      </c>
      <c r="B383"/>
      <c r="C383"/>
      <c r="D383">
        <f>+D481+1</f>
        <v>443</v>
      </c>
      <c r="E383" t="s">
        <v>917</v>
      </c>
      <c r="F383" t="s">
        <v>918</v>
      </c>
    </row>
    <row r="384" spans="1:13" x14ac:dyDescent="0.25">
      <c r="A384" s="88" t="s">
        <v>333</v>
      </c>
      <c r="B384"/>
      <c r="C384"/>
      <c r="D384">
        <f>+D480+1</f>
        <v>449</v>
      </c>
      <c r="E384" t="s">
        <v>927</v>
      </c>
      <c r="F384" t="s">
        <v>928</v>
      </c>
    </row>
    <row r="385" spans="1:7" x14ac:dyDescent="0.25">
      <c r="A385" s="88" t="s">
        <v>333</v>
      </c>
      <c r="B385"/>
      <c r="C385"/>
      <c r="D385">
        <f t="shared" si="83"/>
        <v>450</v>
      </c>
      <c r="E385" t="s">
        <v>929</v>
      </c>
      <c r="F385" t="s">
        <v>932</v>
      </c>
    </row>
    <row r="386" spans="1:7" x14ac:dyDescent="0.25">
      <c r="A386" s="88" t="s">
        <v>333</v>
      </c>
      <c r="B386"/>
      <c r="C386"/>
      <c r="D386">
        <f t="shared" si="83"/>
        <v>451</v>
      </c>
      <c r="E386" t="s">
        <v>1953</v>
      </c>
      <c r="F386" t="s">
        <v>1956</v>
      </c>
    </row>
    <row r="387" spans="1:7" x14ac:dyDescent="0.25">
      <c r="A387" s="88" t="s">
        <v>333</v>
      </c>
      <c r="B387"/>
      <c r="C387"/>
      <c r="D387">
        <f t="shared" si="83"/>
        <v>452</v>
      </c>
      <c r="E387" t="s">
        <v>1954</v>
      </c>
      <c r="F387" t="s">
        <v>1955</v>
      </c>
    </row>
    <row r="388" spans="1:7" x14ac:dyDescent="0.25">
      <c r="A388" s="88" t="s">
        <v>333</v>
      </c>
      <c r="B388"/>
      <c r="C388"/>
      <c r="D388">
        <f t="shared" si="83"/>
        <v>453</v>
      </c>
      <c r="E388" t="s">
        <v>930</v>
      </c>
      <c r="F388" t="s">
        <v>931</v>
      </c>
    </row>
    <row r="389" spans="1:7" x14ac:dyDescent="0.25">
      <c r="A389" s="88" t="s">
        <v>333</v>
      </c>
      <c r="B389"/>
      <c r="C389"/>
      <c r="D389">
        <f>+D475+1</f>
        <v>460</v>
      </c>
      <c r="E389" t="s">
        <v>947</v>
      </c>
      <c r="F389" t="s">
        <v>948</v>
      </c>
    </row>
    <row r="390" spans="1:7" x14ac:dyDescent="0.25">
      <c r="A390" s="88" t="s">
        <v>333</v>
      </c>
      <c r="B390"/>
      <c r="C390"/>
      <c r="D390">
        <f t="shared" si="83"/>
        <v>461</v>
      </c>
      <c r="E390" t="s">
        <v>1903</v>
      </c>
      <c r="F390" t="s">
        <v>1904</v>
      </c>
    </row>
    <row r="391" spans="1:7" x14ac:dyDescent="0.25">
      <c r="A391" s="88" t="s">
        <v>333</v>
      </c>
      <c r="B391"/>
      <c r="C391"/>
      <c r="D391">
        <f>+D469+1</f>
        <v>463</v>
      </c>
      <c r="E391" t="s">
        <v>953</v>
      </c>
      <c r="F391" t="s">
        <v>954</v>
      </c>
      <c r="G391" s="7">
        <v>2.19</v>
      </c>
    </row>
    <row r="392" spans="1:7" x14ac:dyDescent="0.25">
      <c r="A392" s="88" t="s">
        <v>333</v>
      </c>
      <c r="B392"/>
      <c r="C392"/>
      <c r="D392">
        <f t="shared" ref="D392:D430" si="84">+D391+1</f>
        <v>464</v>
      </c>
      <c r="E392" t="s">
        <v>1878</v>
      </c>
      <c r="F392" t="s">
        <v>1879</v>
      </c>
      <c r="G392" s="7"/>
    </row>
    <row r="393" spans="1:7" x14ac:dyDescent="0.25">
      <c r="A393" s="88" t="s">
        <v>333</v>
      </c>
      <c r="B393"/>
      <c r="C393"/>
      <c r="D393">
        <f>+D468+1</f>
        <v>466</v>
      </c>
      <c r="E393" t="s">
        <v>1876</v>
      </c>
      <c r="F393" t="s">
        <v>1877</v>
      </c>
    </row>
    <row r="394" spans="1:7" x14ac:dyDescent="0.25">
      <c r="A394" s="88" t="s">
        <v>333</v>
      </c>
      <c r="B394"/>
      <c r="C394"/>
      <c r="D394">
        <f>+D467+1</f>
        <v>470</v>
      </c>
      <c r="E394" t="s">
        <v>963</v>
      </c>
      <c r="F394" t="s">
        <v>964</v>
      </c>
    </row>
    <row r="395" spans="1:7" x14ac:dyDescent="0.25">
      <c r="A395" s="88" t="s">
        <v>333</v>
      </c>
      <c r="B395"/>
      <c r="C395"/>
      <c r="D395">
        <f t="shared" si="84"/>
        <v>471</v>
      </c>
      <c r="E395" t="s">
        <v>965</v>
      </c>
      <c r="F395" t="s">
        <v>966</v>
      </c>
    </row>
    <row r="396" spans="1:7" x14ac:dyDescent="0.25">
      <c r="A396" s="88" t="s">
        <v>333</v>
      </c>
      <c r="B396"/>
      <c r="C396"/>
      <c r="D396">
        <f t="shared" si="84"/>
        <v>472</v>
      </c>
      <c r="E396" t="s">
        <v>967</v>
      </c>
      <c r="F396" t="s">
        <v>968</v>
      </c>
    </row>
    <row r="397" spans="1:7" x14ac:dyDescent="0.25">
      <c r="A397" s="88" t="s">
        <v>333</v>
      </c>
      <c r="B397"/>
      <c r="C397"/>
      <c r="D397">
        <f t="shared" si="84"/>
        <v>473</v>
      </c>
      <c r="E397" t="s">
        <v>969</v>
      </c>
      <c r="F397" t="s">
        <v>970</v>
      </c>
    </row>
    <row r="398" spans="1:7" x14ac:dyDescent="0.25">
      <c r="A398" s="88" t="s">
        <v>333</v>
      </c>
      <c r="B398"/>
      <c r="C398"/>
      <c r="D398">
        <f t="shared" si="84"/>
        <v>474</v>
      </c>
      <c r="E398" t="s">
        <v>1907</v>
      </c>
      <c r="F398" t="s">
        <v>1908</v>
      </c>
    </row>
    <row r="399" spans="1:7" x14ac:dyDescent="0.25">
      <c r="A399" s="88" t="s">
        <v>333</v>
      </c>
      <c r="B399"/>
      <c r="C399"/>
      <c r="D399">
        <f t="shared" si="84"/>
        <v>475</v>
      </c>
      <c r="E399" t="s">
        <v>1915</v>
      </c>
      <c r="F399" t="s">
        <v>1916</v>
      </c>
    </row>
    <row r="400" spans="1:7" x14ac:dyDescent="0.25">
      <c r="A400" s="88" t="s">
        <v>333</v>
      </c>
      <c r="B400"/>
      <c r="C400"/>
      <c r="D400">
        <f t="shared" si="84"/>
        <v>476</v>
      </c>
      <c r="E400" t="s">
        <v>1831</v>
      </c>
      <c r="F400" t="s">
        <v>1917</v>
      </c>
    </row>
    <row r="401" spans="1:13" x14ac:dyDescent="0.25">
      <c r="A401" s="88" t="s">
        <v>333</v>
      </c>
      <c r="D401">
        <f>+D464+1</f>
        <v>479</v>
      </c>
      <c r="E401" s="5" t="s">
        <v>1789</v>
      </c>
      <c r="F401" s="1" t="s">
        <v>1790</v>
      </c>
      <c r="G401" s="7">
        <v>50.86</v>
      </c>
      <c r="H401" s="6">
        <f>+G401*L401</f>
        <v>750.32176254000001</v>
      </c>
      <c r="I401" s="6">
        <f>+[155]Main!$M$5-[155]Main!$M$6</f>
        <v>159.095</v>
      </c>
      <c r="J401" s="6">
        <f>+H401-I401</f>
        <v>591.22676253999998</v>
      </c>
      <c r="K401" s="3" t="s">
        <v>1276</v>
      </c>
      <c r="L401" s="6">
        <f>+[155]Main!$M$3</f>
        <v>14.752689</v>
      </c>
      <c r="M401" s="9">
        <v>45687</v>
      </c>
    </row>
    <row r="402" spans="1:13" x14ac:dyDescent="0.25">
      <c r="A402" s="88" t="s">
        <v>333</v>
      </c>
      <c r="B402" s="1">
        <v>6</v>
      </c>
      <c r="C402" s="1">
        <v>2</v>
      </c>
      <c r="D402">
        <f>+D462+1</f>
        <v>483</v>
      </c>
      <c r="E402" s="5" t="s">
        <v>1635</v>
      </c>
      <c r="F402" t="s">
        <v>1634</v>
      </c>
      <c r="G402" s="3">
        <v>31.98</v>
      </c>
      <c r="H402" s="6">
        <f>+G402*L402</f>
        <v>195.84830226</v>
      </c>
      <c r="I402" s="6">
        <f>+[156]Main!$L$5-[156]Main!$L$6</f>
        <v>40.720092000000001</v>
      </c>
      <c r="J402" s="6">
        <f>+H402-I402</f>
        <v>155.12821026</v>
      </c>
      <c r="K402" s="3" t="s">
        <v>1070</v>
      </c>
      <c r="L402" s="6">
        <f>+[156]Main!$L$3</f>
        <v>6.1240869999999994</v>
      </c>
      <c r="M402" s="9">
        <v>45630</v>
      </c>
    </row>
    <row r="403" spans="1:13" x14ac:dyDescent="0.25">
      <c r="A403" s="88" t="s">
        <v>333</v>
      </c>
      <c r="D403">
        <f t="shared" si="84"/>
        <v>484</v>
      </c>
      <c r="E403" s="5" t="s">
        <v>1623</v>
      </c>
      <c r="F403" t="s">
        <v>1622</v>
      </c>
      <c r="G403" s="7">
        <v>4</v>
      </c>
      <c r="H403" s="6">
        <f>+G403*L403</f>
        <v>390.524</v>
      </c>
      <c r="I403" s="6">
        <f>+[157]Main!$M$5-[157]Main!$M$6</f>
        <v>195.3</v>
      </c>
      <c r="J403" s="6">
        <f>+H403-I403</f>
        <v>195.22399999999999</v>
      </c>
      <c r="K403" s="3" t="s">
        <v>1276</v>
      </c>
      <c r="L403" s="6">
        <f>+[157]Main!$M$3</f>
        <v>97.631</v>
      </c>
      <c r="M403" s="9">
        <v>45629</v>
      </c>
    </row>
    <row r="404" spans="1:13" x14ac:dyDescent="0.25">
      <c r="A404" s="88" t="s">
        <v>333</v>
      </c>
      <c r="D404">
        <f t="shared" si="84"/>
        <v>485</v>
      </c>
      <c r="E404" s="5" t="s">
        <v>1640</v>
      </c>
      <c r="F404" t="s">
        <v>1641</v>
      </c>
      <c r="G404" s="7">
        <v>4.5</v>
      </c>
      <c r="H404" s="6">
        <f>+G404*L404</f>
        <v>146.13991650000003</v>
      </c>
      <c r="I404" s="6">
        <f>+[158]Main!$M$5-[158]Main!$M$6</f>
        <v>1.9079999999999977</v>
      </c>
      <c r="J404" s="6">
        <f>+H404-I404</f>
        <v>144.23191650000004</v>
      </c>
      <c r="K404" s="3" t="s">
        <v>1276</v>
      </c>
      <c r="L404" s="6">
        <f>+[158]Main!$M$3</f>
        <v>32.475537000000003</v>
      </c>
      <c r="M404" s="9">
        <v>45630</v>
      </c>
    </row>
    <row r="405" spans="1:13" x14ac:dyDescent="0.25">
      <c r="A405" s="88" t="s">
        <v>333</v>
      </c>
      <c r="D405">
        <f>+D459+1</f>
        <v>487</v>
      </c>
      <c r="E405" s="5" t="s">
        <v>1611</v>
      </c>
      <c r="F405" t="s">
        <v>1612</v>
      </c>
      <c r="G405" s="3">
        <v>0.85</v>
      </c>
      <c r="H405" s="6">
        <f t="shared" ref="H405:H407" si="85">+G405*L405</f>
        <v>109.7945034</v>
      </c>
      <c r="I405" s="6">
        <f>+[159]Main!$L$5-[159]Main!$L$6</f>
        <v>65.116</v>
      </c>
      <c r="J405" s="6">
        <f t="shared" ref="J405:J407" si="86">+H405-I405</f>
        <v>44.678503399999997</v>
      </c>
      <c r="K405" s="3" t="s">
        <v>1843</v>
      </c>
      <c r="L405" s="6">
        <f>+[159]Main!$L$3</f>
        <v>129.17000400000001</v>
      </c>
      <c r="M405" s="9">
        <v>45810</v>
      </c>
    </row>
    <row r="406" spans="1:13" x14ac:dyDescent="0.25">
      <c r="A406" s="88" t="s">
        <v>333</v>
      </c>
      <c r="D406">
        <f t="shared" si="84"/>
        <v>488</v>
      </c>
      <c r="E406" s="5" t="s">
        <v>1095</v>
      </c>
      <c r="F406" t="s">
        <v>1096</v>
      </c>
      <c r="G406" s="7">
        <v>5</v>
      </c>
      <c r="H406" s="6">
        <f t="shared" si="85"/>
        <v>216.57198499999998</v>
      </c>
      <c r="I406" s="6">
        <f>+[160]Main!$J$5-[160]Main!$J$6</f>
        <v>104.35299999999999</v>
      </c>
      <c r="J406" s="6">
        <f t="shared" si="86"/>
        <v>112.21898499999999</v>
      </c>
      <c r="K406" s="3" t="s">
        <v>1070</v>
      </c>
      <c r="L406" s="6">
        <f>+[160]Main!$J$3</f>
        <v>43.314397</v>
      </c>
      <c r="M406" s="9">
        <v>45525</v>
      </c>
    </row>
    <row r="407" spans="1:13" x14ac:dyDescent="0.25">
      <c r="A407" s="101" t="s">
        <v>333</v>
      </c>
      <c r="D407">
        <f>+D458+1</f>
        <v>494</v>
      </c>
      <c r="E407" s="5" t="s">
        <v>1433</v>
      </c>
      <c r="F407" s="1" t="s">
        <v>1434</v>
      </c>
      <c r="G407" s="3">
        <v>0.19</v>
      </c>
      <c r="H407" s="6">
        <f t="shared" si="85"/>
        <v>4.1807902100000005</v>
      </c>
      <c r="I407" s="6">
        <f>+[161]Main!$P$5-[161]Main!$P$6</f>
        <v>-4.3319999999999999</v>
      </c>
      <c r="J407" s="6">
        <f t="shared" si="86"/>
        <v>8.5127902100000004</v>
      </c>
      <c r="K407" s="3" t="s">
        <v>1070</v>
      </c>
      <c r="L407" s="6">
        <f>+[161]Main!$P$3</f>
        <v>22.004159000000001</v>
      </c>
      <c r="M407" s="9">
        <v>45587</v>
      </c>
    </row>
    <row r="408" spans="1:13" x14ac:dyDescent="0.25">
      <c r="A408" s="101" t="s">
        <v>333</v>
      </c>
      <c r="D408">
        <f>+D453+1</f>
        <v>496</v>
      </c>
      <c r="E408" s="5" t="s">
        <v>1630</v>
      </c>
      <c r="F408" s="1" t="s">
        <v>1631</v>
      </c>
      <c r="G408" s="7">
        <v>6</v>
      </c>
      <c r="H408" s="6">
        <f>+G408*L408</f>
        <v>327.199524</v>
      </c>
      <c r="I408" s="6">
        <f>+[162]Main!$L$5-[162]Main!$L$6</f>
        <v>371.02100000000002</v>
      </c>
      <c r="J408" s="6">
        <f>+H408-I408</f>
        <v>-43.821476000000018</v>
      </c>
      <c r="K408" s="3" t="s">
        <v>1070</v>
      </c>
      <c r="L408" s="6">
        <f>+[162]Main!$L$3</f>
        <v>54.533253999999999</v>
      </c>
      <c r="M408" s="9">
        <v>45629</v>
      </c>
    </row>
    <row r="409" spans="1:13" x14ac:dyDescent="0.25">
      <c r="A409" s="101" t="s">
        <v>333</v>
      </c>
      <c r="D409">
        <f>+D452+1</f>
        <v>500</v>
      </c>
      <c r="E409" t="s">
        <v>1963</v>
      </c>
      <c r="F409" t="s">
        <v>1964</v>
      </c>
    </row>
    <row r="410" spans="1:13" x14ac:dyDescent="0.25">
      <c r="A410" s="101" t="s">
        <v>333</v>
      </c>
      <c r="D410">
        <f>+D449+1</f>
        <v>503</v>
      </c>
      <c r="E410" s="5" t="s">
        <v>1438</v>
      </c>
      <c r="F410" s="1" t="s">
        <v>1439</v>
      </c>
      <c r="G410" s="7">
        <v>30</v>
      </c>
    </row>
    <row r="411" spans="1:13" x14ac:dyDescent="0.25">
      <c r="A411" s="101" t="s">
        <v>333</v>
      </c>
      <c r="D411">
        <f>+D447+1</f>
        <v>510</v>
      </c>
      <c r="E411" s="1" t="s">
        <v>1638</v>
      </c>
      <c r="F411" t="s">
        <v>1639</v>
      </c>
    </row>
    <row r="412" spans="1:13" x14ac:dyDescent="0.25">
      <c r="A412" s="101" t="s">
        <v>333</v>
      </c>
      <c r="D412">
        <f t="shared" si="84"/>
        <v>511</v>
      </c>
      <c r="E412" t="s">
        <v>1894</v>
      </c>
      <c r="F412" t="s">
        <v>1895</v>
      </c>
    </row>
    <row r="413" spans="1:13" x14ac:dyDescent="0.25">
      <c r="A413" s="101" t="s">
        <v>333</v>
      </c>
      <c r="D413">
        <f t="shared" si="84"/>
        <v>512</v>
      </c>
      <c r="E413" t="s">
        <v>1930</v>
      </c>
      <c r="F413" t="s">
        <v>1931</v>
      </c>
    </row>
    <row r="414" spans="1:13" x14ac:dyDescent="0.25">
      <c r="A414" s="101" t="s">
        <v>333</v>
      </c>
      <c r="D414">
        <f t="shared" si="84"/>
        <v>513</v>
      </c>
      <c r="E414" t="s">
        <v>1932</v>
      </c>
      <c r="F414" t="s">
        <v>1933</v>
      </c>
    </row>
    <row r="415" spans="1:13" x14ac:dyDescent="0.25">
      <c r="A415" s="101" t="s">
        <v>333</v>
      </c>
      <c r="D415">
        <f t="shared" si="84"/>
        <v>514</v>
      </c>
      <c r="E415" t="s">
        <v>1644</v>
      </c>
      <c r="F415" s="1" t="s">
        <v>1645</v>
      </c>
    </row>
    <row r="416" spans="1:13" x14ac:dyDescent="0.25">
      <c r="A416" s="101" t="s">
        <v>333</v>
      </c>
      <c r="D416">
        <f t="shared" si="84"/>
        <v>515</v>
      </c>
      <c r="E416" s="1" t="s">
        <v>1646</v>
      </c>
      <c r="F416" t="s">
        <v>1647</v>
      </c>
      <c r="G416" s="3">
        <v>4.1100000000000003</v>
      </c>
    </row>
    <row r="417" spans="1:13" x14ac:dyDescent="0.25">
      <c r="A417" s="101" t="s">
        <v>333</v>
      </c>
      <c r="B417" s="1">
        <v>7</v>
      </c>
      <c r="C417" s="1">
        <v>2</v>
      </c>
      <c r="D417">
        <f t="shared" si="84"/>
        <v>516</v>
      </c>
      <c r="E417" s="5" t="s">
        <v>1791</v>
      </c>
      <c r="F417" s="1" t="s">
        <v>1792</v>
      </c>
      <c r="G417" s="7">
        <v>20</v>
      </c>
      <c r="H417" s="6">
        <f>+G417*L417</f>
        <v>1040.5629000000001</v>
      </c>
      <c r="I417" s="6">
        <f>+[163]Main!$L$5-[163]Main!$L$6</f>
        <v>193.8</v>
      </c>
      <c r="J417" s="6">
        <f>+H417-I417</f>
        <v>846.76290000000017</v>
      </c>
      <c r="K417" s="3" t="s">
        <v>1276</v>
      </c>
      <c r="L417" s="6">
        <f>+[163]Main!$L$3</f>
        <v>52.028145000000002</v>
      </c>
      <c r="M417" s="9">
        <v>45691</v>
      </c>
    </row>
    <row r="418" spans="1:13" x14ac:dyDescent="0.25">
      <c r="A418" s="101" t="s">
        <v>333</v>
      </c>
      <c r="D418">
        <f>+D441+1</f>
        <v>518</v>
      </c>
      <c r="E418" s="1" t="s">
        <v>1654</v>
      </c>
      <c r="F418" s="1" t="s">
        <v>1655</v>
      </c>
    </row>
    <row r="419" spans="1:13" x14ac:dyDescent="0.25">
      <c r="A419" s="101" t="s">
        <v>333</v>
      </c>
      <c r="D419">
        <f t="shared" si="84"/>
        <v>519</v>
      </c>
      <c r="E419" t="s">
        <v>1901</v>
      </c>
      <c r="F419" t="s">
        <v>1902</v>
      </c>
    </row>
    <row r="420" spans="1:13" x14ac:dyDescent="0.25">
      <c r="A420" s="101" t="s">
        <v>333</v>
      </c>
      <c r="D420">
        <f t="shared" si="84"/>
        <v>520</v>
      </c>
      <c r="E420" t="s">
        <v>1656</v>
      </c>
      <c r="F420" t="s">
        <v>1657</v>
      </c>
    </row>
    <row r="421" spans="1:13" x14ac:dyDescent="0.25">
      <c r="A421" s="101" t="s">
        <v>333</v>
      </c>
      <c r="D421">
        <f t="shared" si="84"/>
        <v>521</v>
      </c>
      <c r="E421" t="s">
        <v>1934</v>
      </c>
      <c r="F421" t="s">
        <v>1143</v>
      </c>
    </row>
    <row r="422" spans="1:13" x14ac:dyDescent="0.25">
      <c r="A422" s="101" t="s">
        <v>333</v>
      </c>
      <c r="D422">
        <f>+D440+1</f>
        <v>527</v>
      </c>
      <c r="E422" s="1" t="s">
        <v>1111</v>
      </c>
      <c r="F422" s="1" t="s">
        <v>1692</v>
      </c>
    </row>
    <row r="423" spans="1:13" x14ac:dyDescent="0.25">
      <c r="A423" s="101" t="s">
        <v>333</v>
      </c>
      <c r="D423">
        <f t="shared" si="84"/>
        <v>528</v>
      </c>
      <c r="E423" s="5" t="s">
        <v>1835</v>
      </c>
      <c r="F423" s="1" t="s">
        <v>1836</v>
      </c>
      <c r="G423" s="7">
        <v>0.83</v>
      </c>
    </row>
    <row r="424" spans="1:13" x14ac:dyDescent="0.25">
      <c r="A424" s="101" t="s">
        <v>333</v>
      </c>
      <c r="D424">
        <f t="shared" si="84"/>
        <v>529</v>
      </c>
      <c r="E424" t="s">
        <v>1777</v>
      </c>
      <c r="F424" t="s">
        <v>1778</v>
      </c>
    </row>
    <row r="425" spans="1:13" x14ac:dyDescent="0.25">
      <c r="B425" s="1">
        <v>-1</v>
      </c>
      <c r="C425" s="1">
        <v>3</v>
      </c>
      <c r="D425">
        <f t="shared" si="84"/>
        <v>530</v>
      </c>
      <c r="E425" s="5" t="s">
        <v>1821</v>
      </c>
      <c r="F425" s="1" t="s">
        <v>1822</v>
      </c>
      <c r="G425" s="7">
        <v>1.24</v>
      </c>
      <c r="H425" s="6">
        <f>+G425*L425</f>
        <v>60.456759240000004</v>
      </c>
      <c r="I425" s="6">
        <f>+[164]Main!$K$5-[164]Main!$K$6</f>
        <v>41.556999999999995</v>
      </c>
      <c r="J425" s="6">
        <f>+H425-I425</f>
        <v>18.899759240000009</v>
      </c>
      <c r="K425" s="3" t="s">
        <v>1277</v>
      </c>
      <c r="L425" s="6">
        <f>+[164]Main!$K$3</f>
        <v>48.755451000000001</v>
      </c>
      <c r="M425" s="9">
        <v>45733</v>
      </c>
    </row>
    <row r="426" spans="1:13" x14ac:dyDescent="0.25">
      <c r="B426" s="1">
        <v>7</v>
      </c>
      <c r="C426" s="1">
        <v>3</v>
      </c>
      <c r="D426">
        <f t="shared" si="84"/>
        <v>531</v>
      </c>
      <c r="E426" s="5" t="s">
        <v>1794</v>
      </c>
      <c r="F426" t="s">
        <v>1793</v>
      </c>
      <c r="G426" s="7">
        <v>0.54</v>
      </c>
      <c r="H426" s="6">
        <f>+G426*L426</f>
        <v>64.779180300000007</v>
      </c>
      <c r="I426" s="6">
        <f>+[165]Main!$M$5-[165]Main!$M$6</f>
        <v>69.349000000000004</v>
      </c>
      <c r="J426" s="6">
        <f>+H426-I426</f>
        <v>-4.5698196999999965</v>
      </c>
      <c r="K426" s="3" t="s">
        <v>1276</v>
      </c>
      <c r="L426" s="6">
        <f>+[165]Main!$M$3</f>
        <v>119.961445</v>
      </c>
      <c r="M426" s="9">
        <v>45750</v>
      </c>
    </row>
    <row r="427" spans="1:13" x14ac:dyDescent="0.25">
      <c r="D427">
        <f t="shared" si="84"/>
        <v>532</v>
      </c>
      <c r="E427" s="1" t="s">
        <v>1795</v>
      </c>
      <c r="F427" t="s">
        <v>1796</v>
      </c>
    </row>
    <row r="428" spans="1:13" x14ac:dyDescent="0.25">
      <c r="D428">
        <f t="shared" si="84"/>
        <v>533</v>
      </c>
      <c r="E428" t="s">
        <v>1809</v>
      </c>
      <c r="F428" s="1" t="s">
        <v>1810</v>
      </c>
      <c r="G428" s="7">
        <v>1.38</v>
      </c>
    </row>
    <row r="429" spans="1:13" x14ac:dyDescent="0.25">
      <c r="D429">
        <f t="shared" si="84"/>
        <v>534</v>
      </c>
      <c r="E429" s="1" t="s">
        <v>1811</v>
      </c>
      <c r="F429" t="s">
        <v>1814</v>
      </c>
    </row>
    <row r="430" spans="1:13" x14ac:dyDescent="0.25">
      <c r="B430" s="1">
        <v>3</v>
      </c>
      <c r="C430" s="1">
        <v>4</v>
      </c>
      <c r="D430">
        <f t="shared" si="84"/>
        <v>535</v>
      </c>
      <c r="E430" s="5" t="s">
        <v>1833</v>
      </c>
      <c r="F430" t="s">
        <v>1834</v>
      </c>
      <c r="G430" s="3">
        <v>0.31</v>
      </c>
      <c r="H430" s="6">
        <f>+G430*L430</f>
        <v>18.356896450000001</v>
      </c>
      <c r="I430" s="6">
        <f>+[166]Sheet1!$J$5-[166]Sheet1!$J$6</f>
        <v>62.05</v>
      </c>
      <c r="J430" s="6">
        <f>+H430-I430</f>
        <v>-43.693103549999996</v>
      </c>
      <c r="K430" s="3" t="s">
        <v>1277</v>
      </c>
      <c r="L430" s="6">
        <f>+[166]Sheet1!$J$3</f>
        <v>59.215795</v>
      </c>
      <c r="M430" s="9">
        <v>45763</v>
      </c>
    </row>
    <row r="431" spans="1:13" x14ac:dyDescent="0.25">
      <c r="D431">
        <f t="shared" ref="D431:D434" si="87">+D430+1</f>
        <v>536</v>
      </c>
      <c r="E431" s="5" t="s">
        <v>1295</v>
      </c>
      <c r="F431" t="s">
        <v>1296</v>
      </c>
      <c r="G431" s="7">
        <v>10</v>
      </c>
      <c r="H431" s="6">
        <f>+G431*[167]Main!$K$3</f>
        <v>1589.8400000000001</v>
      </c>
      <c r="I431" s="6">
        <f>+[167]Main!$K$5-[167]Main!$K$6</f>
        <v>371.63900000000001</v>
      </c>
      <c r="J431" s="6">
        <f>+H431-I431</f>
        <v>1218.201</v>
      </c>
      <c r="K431" s="3" t="s">
        <v>1070</v>
      </c>
      <c r="L431" s="6">
        <f>+[167]Main!$K$3</f>
        <v>158.98400000000001</v>
      </c>
      <c r="M431" s="9">
        <v>45600</v>
      </c>
    </row>
    <row r="432" spans="1:13" x14ac:dyDescent="0.25">
      <c r="D432">
        <f t="shared" si="87"/>
        <v>537</v>
      </c>
      <c r="E432" t="s">
        <v>1812</v>
      </c>
      <c r="F432" t="s">
        <v>1813</v>
      </c>
    </row>
    <row r="433" spans="1:30" x14ac:dyDescent="0.25">
      <c r="D433">
        <f t="shared" si="87"/>
        <v>538</v>
      </c>
      <c r="E433" s="1" t="s">
        <v>1839</v>
      </c>
      <c r="F433" s="1" t="s">
        <v>1840</v>
      </c>
    </row>
    <row r="434" spans="1:30" x14ac:dyDescent="0.25">
      <c r="D434">
        <f t="shared" si="87"/>
        <v>539</v>
      </c>
      <c r="E434" t="s">
        <v>1841</v>
      </c>
      <c r="F434" t="s">
        <v>1842</v>
      </c>
    </row>
    <row r="435" spans="1:30" customFormat="1" x14ac:dyDescent="0.25">
      <c r="A435" t="s">
        <v>333</v>
      </c>
      <c r="D435">
        <f>+D231+1</f>
        <v>231</v>
      </c>
      <c r="E435" s="5" t="s">
        <v>772</v>
      </c>
      <c r="F435" t="s">
        <v>773</v>
      </c>
      <c r="G435" s="53">
        <v>3.64</v>
      </c>
      <c r="H435" s="29">
        <f>+G435*L435</f>
        <v>174.63324424000001</v>
      </c>
      <c r="I435" s="29">
        <f>+[168]Main!$J$5-[168]Main!$J$6</f>
        <v>149</v>
      </c>
      <c r="J435" s="29">
        <f>+H435-I435</f>
        <v>25.63324424000001</v>
      </c>
      <c r="K435" s="27" t="s">
        <v>1276</v>
      </c>
      <c r="L435" s="29">
        <f>+[168]Main!$J$3</f>
        <v>47.976165999999999</v>
      </c>
      <c r="M435" s="36">
        <v>45628</v>
      </c>
      <c r="N435" s="27"/>
      <c r="O435" s="27"/>
      <c r="P435" s="27"/>
      <c r="Q435" s="27"/>
      <c r="R435" s="27"/>
      <c r="S435" s="57"/>
      <c r="T435" s="57"/>
      <c r="U435" s="57"/>
      <c r="V435" s="57"/>
      <c r="W435" s="57"/>
      <c r="X435" s="57"/>
      <c r="Y435" s="105"/>
      <c r="Z435" s="105"/>
      <c r="AA435" s="105"/>
      <c r="AB435" s="105"/>
      <c r="AC435" s="105"/>
      <c r="AD435" s="105"/>
    </row>
    <row r="436" spans="1:30" x14ac:dyDescent="0.25">
      <c r="D436">
        <f>+D421+1</f>
        <v>522</v>
      </c>
      <c r="E436" s="1" t="s">
        <v>1658</v>
      </c>
      <c r="F436" s="1" t="s">
        <v>1659</v>
      </c>
      <c r="G436" s="3">
        <v>0.61</v>
      </c>
    </row>
    <row r="437" spans="1:30" x14ac:dyDescent="0.25">
      <c r="D437">
        <f>+D436+1</f>
        <v>523</v>
      </c>
      <c r="E437" t="s">
        <v>1664</v>
      </c>
      <c r="F437" t="s">
        <v>1665</v>
      </c>
    </row>
    <row r="438" spans="1:30" x14ac:dyDescent="0.25">
      <c r="D438">
        <f>+D437+1</f>
        <v>524</v>
      </c>
      <c r="E438" s="1" t="s">
        <v>1667</v>
      </c>
      <c r="F438" s="1" t="s">
        <v>1666</v>
      </c>
      <c r="G438" s="3">
        <v>1.46</v>
      </c>
    </row>
    <row r="439" spans="1:30" x14ac:dyDescent="0.25">
      <c r="D439">
        <f>+D438+1</f>
        <v>525</v>
      </c>
      <c r="E439" t="s">
        <v>1672</v>
      </c>
      <c r="F439" t="s">
        <v>1673</v>
      </c>
    </row>
    <row r="440" spans="1:30" x14ac:dyDescent="0.25">
      <c r="D440">
        <f>+D439+1</f>
        <v>526</v>
      </c>
      <c r="E440" t="s">
        <v>1674</v>
      </c>
      <c r="F440" t="s">
        <v>1675</v>
      </c>
    </row>
    <row r="441" spans="1:30" x14ac:dyDescent="0.25">
      <c r="D441">
        <f>+D417+1</f>
        <v>517</v>
      </c>
      <c r="E441" t="s">
        <v>1652</v>
      </c>
      <c r="F441" t="s">
        <v>1653</v>
      </c>
    </row>
    <row r="442" spans="1:30" x14ac:dyDescent="0.25">
      <c r="D442">
        <f>+D410+1</f>
        <v>504</v>
      </c>
      <c r="E442" t="s">
        <v>1501</v>
      </c>
    </row>
    <row r="443" spans="1:30" x14ac:dyDescent="0.25">
      <c r="D443">
        <f>+D442+1</f>
        <v>505</v>
      </c>
      <c r="E443" s="1" t="s">
        <v>1613</v>
      </c>
      <c r="F443" t="s">
        <v>1614</v>
      </c>
    </row>
    <row r="444" spans="1:30" x14ac:dyDescent="0.25">
      <c r="D444">
        <f>+D443+1</f>
        <v>506</v>
      </c>
      <c r="E444" t="s">
        <v>1618</v>
      </c>
      <c r="F444" s="1" t="s">
        <v>1619</v>
      </c>
    </row>
    <row r="445" spans="1:30" x14ac:dyDescent="0.25">
      <c r="D445">
        <f>+D444+1</f>
        <v>507</v>
      </c>
      <c r="E445" t="s">
        <v>1620</v>
      </c>
      <c r="F445" t="s">
        <v>1621</v>
      </c>
    </row>
    <row r="446" spans="1:30" x14ac:dyDescent="0.25">
      <c r="D446">
        <f>+D445+1</f>
        <v>508</v>
      </c>
      <c r="E446" t="s">
        <v>1628</v>
      </c>
      <c r="F446" t="s">
        <v>1629</v>
      </c>
    </row>
    <row r="447" spans="1:30" x14ac:dyDescent="0.25">
      <c r="D447">
        <f>+D446+1</f>
        <v>509</v>
      </c>
      <c r="E447" s="5" t="s">
        <v>1633</v>
      </c>
      <c r="F447" s="1" t="s">
        <v>1632</v>
      </c>
      <c r="G447" s="3">
        <v>26.71</v>
      </c>
    </row>
    <row r="448" spans="1:30" x14ac:dyDescent="0.25">
      <c r="D448">
        <f>+D409+1</f>
        <v>501</v>
      </c>
      <c r="E448" t="s">
        <v>1302</v>
      </c>
      <c r="F448" t="s">
        <v>1303</v>
      </c>
    </row>
    <row r="449" spans="1:13" x14ac:dyDescent="0.25">
      <c r="D449">
        <f>+D448+1</f>
        <v>502</v>
      </c>
      <c r="E449" s="1" t="s">
        <v>1353</v>
      </c>
    </row>
    <row r="450" spans="1:13" x14ac:dyDescent="0.25">
      <c r="D450">
        <f>+D408+1</f>
        <v>497</v>
      </c>
      <c r="E450" s="1" t="s">
        <v>1189</v>
      </c>
      <c r="F450" s="1" t="s">
        <v>1190</v>
      </c>
      <c r="G450" s="3">
        <v>0.28999999999999998</v>
      </c>
    </row>
    <row r="451" spans="1:13" x14ac:dyDescent="0.25">
      <c r="D451">
        <f>+D450+1</f>
        <v>498</v>
      </c>
      <c r="E451" s="1" t="s">
        <v>1271</v>
      </c>
      <c r="F451" t="s">
        <v>1272</v>
      </c>
    </row>
    <row r="452" spans="1:13" x14ac:dyDescent="0.25">
      <c r="D452">
        <f>+D451+1</f>
        <v>499</v>
      </c>
      <c r="E452" s="1" t="s">
        <v>1300</v>
      </c>
      <c r="F452" s="1" t="s">
        <v>1301</v>
      </c>
    </row>
    <row r="453" spans="1:13" x14ac:dyDescent="0.25">
      <c r="D453">
        <f>+D407+1</f>
        <v>495</v>
      </c>
      <c r="E453" s="39" t="s">
        <v>1627</v>
      </c>
      <c r="F453" t="s">
        <v>1626</v>
      </c>
      <c r="G453" s="7">
        <v>3.71</v>
      </c>
      <c r="H453" s="6">
        <f t="shared" ref="H453:H462" si="88">+G453*L453</f>
        <v>181.33427843999999</v>
      </c>
      <c r="I453" s="6">
        <f>+[169]Main!$K$5-[169]Main!$K$6</f>
        <v>183.012</v>
      </c>
      <c r="J453" s="6">
        <f t="shared" ref="J453:J462" si="89">+H453-I453</f>
        <v>-1.677721560000009</v>
      </c>
      <c r="K453" s="3" t="s">
        <v>1276</v>
      </c>
      <c r="L453" s="6">
        <f>+[169]Main!$K$3</f>
        <v>48.877164</v>
      </c>
      <c r="M453" s="9">
        <v>45629</v>
      </c>
    </row>
    <row r="454" spans="1:13" x14ac:dyDescent="0.25">
      <c r="D454">
        <f>+D406+1</f>
        <v>489</v>
      </c>
      <c r="E454" s="5" t="s">
        <v>1159</v>
      </c>
      <c r="F454" t="s">
        <v>1160</v>
      </c>
      <c r="G454" s="7">
        <v>3.6</v>
      </c>
      <c r="H454" s="6">
        <f t="shared" si="88"/>
        <v>132.55131599999999</v>
      </c>
      <c r="I454" s="6">
        <f>+[170]Main!$L$5-[170]Main!$L$6</f>
        <v>33.507724000000003</v>
      </c>
      <c r="J454" s="6">
        <f t="shared" si="89"/>
        <v>99.04359199999999</v>
      </c>
      <c r="K454" s="3" t="s">
        <v>1070</v>
      </c>
      <c r="L454" s="6">
        <f>+[170]Main!$L$3</f>
        <v>36.819809999999997</v>
      </c>
      <c r="M454" s="9">
        <v>45567</v>
      </c>
    </row>
    <row r="455" spans="1:13" x14ac:dyDescent="0.25">
      <c r="D455">
        <f>+D454+1</f>
        <v>490</v>
      </c>
      <c r="E455" s="5" t="s">
        <v>1609</v>
      </c>
      <c r="F455" t="s">
        <v>1610</v>
      </c>
      <c r="G455" s="7">
        <v>13.15</v>
      </c>
      <c r="H455" s="6">
        <f t="shared" si="88"/>
        <v>319.40466320000002</v>
      </c>
      <c r="I455" s="6">
        <f>+[171]Main!$K$5-[171]Main!$K$6</f>
        <v>199.59700000000001</v>
      </c>
      <c r="J455" s="6">
        <f t="shared" si="89"/>
        <v>119.80766320000001</v>
      </c>
      <c r="K455" s="3" t="s">
        <v>1276</v>
      </c>
      <c r="L455" s="6">
        <f>+[171]Main!$K$3</f>
        <v>24.289328000000001</v>
      </c>
      <c r="M455" s="9">
        <v>45608</v>
      </c>
    </row>
    <row r="456" spans="1:13" x14ac:dyDescent="0.25">
      <c r="D456">
        <f>+D455+1</f>
        <v>491</v>
      </c>
      <c r="E456" s="5" t="s">
        <v>1625</v>
      </c>
      <c r="F456" t="s">
        <v>1624</v>
      </c>
      <c r="G456" s="3">
        <v>2.83</v>
      </c>
      <c r="H456" s="6">
        <f t="shared" si="88"/>
        <v>108.43964851000001</v>
      </c>
      <c r="I456" s="6">
        <f>+[172]Main!$K$5-[172]Main!$K$6</f>
        <v>62.823</v>
      </c>
      <c r="J456" s="6">
        <f t="shared" si="89"/>
        <v>45.616648510000012</v>
      </c>
      <c r="K456" s="3" t="s">
        <v>1276</v>
      </c>
      <c r="L456" s="6">
        <f>+[172]Main!$K$3</f>
        <v>38.317897000000002</v>
      </c>
      <c r="M456" s="9">
        <v>45629</v>
      </c>
    </row>
    <row r="457" spans="1:13" x14ac:dyDescent="0.25">
      <c r="D457">
        <f>+D456+1</f>
        <v>492</v>
      </c>
      <c r="E457" s="5" t="s">
        <v>1642</v>
      </c>
      <c r="F457" t="s">
        <v>1643</v>
      </c>
      <c r="G457" s="7">
        <v>2.69</v>
      </c>
      <c r="H457" s="6">
        <f t="shared" si="88"/>
        <v>89.956825309999985</v>
      </c>
      <c r="I457" s="6">
        <f>+[173]Main!$K$5-[173]Main!$K$6</f>
        <v>5.4758170000000002</v>
      </c>
      <c r="J457" s="6">
        <f t="shared" si="89"/>
        <v>84.481008309999979</v>
      </c>
      <c r="K457" s="3" t="s">
        <v>1276</v>
      </c>
      <c r="L457" s="6">
        <f>+[173]Main!$K$3</f>
        <v>33.441198999999997</v>
      </c>
      <c r="M457" s="9">
        <v>45630</v>
      </c>
    </row>
    <row r="458" spans="1:13" x14ac:dyDescent="0.25">
      <c r="D458">
        <f>+D457+1</f>
        <v>493</v>
      </c>
      <c r="E458" s="5" t="s">
        <v>1663</v>
      </c>
      <c r="F458" t="s">
        <v>1662</v>
      </c>
      <c r="G458" s="3">
        <v>1.02</v>
      </c>
      <c r="H458" s="6">
        <f t="shared" si="88"/>
        <v>103.2980316</v>
      </c>
      <c r="I458" s="6">
        <f>+[174]Main!$L$5-[174]Main!$L$6</f>
        <v>59.1</v>
      </c>
      <c r="J458" s="6">
        <f t="shared" si="89"/>
        <v>44.1980316</v>
      </c>
      <c r="K458" s="3" t="s">
        <v>1276</v>
      </c>
      <c r="L458" s="6">
        <f>+[174]Main!$L$3</f>
        <v>101.27258</v>
      </c>
      <c r="M458" s="9">
        <v>45656</v>
      </c>
    </row>
    <row r="459" spans="1:13" x14ac:dyDescent="0.25">
      <c r="D459">
        <f>+D404+1</f>
        <v>486</v>
      </c>
      <c r="E459" s="5" t="s">
        <v>1668</v>
      </c>
      <c r="F459" t="s">
        <v>1669</v>
      </c>
      <c r="G459" s="3">
        <v>6.41</v>
      </c>
      <c r="H459" s="6">
        <f t="shared" si="88"/>
        <v>226.21900856999997</v>
      </c>
      <c r="I459" s="6">
        <f>+[175]Main!$K$5-[175]Main!$K$6</f>
        <v>98.310918000000001</v>
      </c>
      <c r="J459" s="6">
        <f t="shared" si="89"/>
        <v>127.90809056999997</v>
      </c>
      <c r="K459" s="3" t="s">
        <v>1276</v>
      </c>
      <c r="L459" s="6">
        <f>+[175]Main!$K$3</f>
        <v>35.291576999999997</v>
      </c>
      <c r="M459" s="9">
        <v>45660</v>
      </c>
    </row>
    <row r="460" spans="1:13" x14ac:dyDescent="0.25">
      <c r="D460">
        <f>+D401+1</f>
        <v>480</v>
      </c>
      <c r="E460" s="5" t="s">
        <v>1607</v>
      </c>
      <c r="F460" t="s">
        <v>1608</v>
      </c>
      <c r="G460" s="7">
        <v>42.9</v>
      </c>
      <c r="H460" s="6">
        <f t="shared" si="88"/>
        <v>518.07807479999997</v>
      </c>
      <c r="I460" s="6">
        <f>+[176]Main!$K$5-[176]Main!$K$6</f>
        <v>89.078000000000003</v>
      </c>
      <c r="J460" s="6">
        <f t="shared" si="89"/>
        <v>429.00007479999999</v>
      </c>
      <c r="K460" s="3" t="s">
        <v>1276</v>
      </c>
      <c r="L460" s="6">
        <f>+[176]Main!$K$3</f>
        <v>12.076411999999999</v>
      </c>
      <c r="M460" s="9">
        <v>45608</v>
      </c>
    </row>
    <row r="461" spans="1:13" x14ac:dyDescent="0.25">
      <c r="D461">
        <f>+D460+1</f>
        <v>481</v>
      </c>
      <c r="E461" s="39" t="s">
        <v>1126</v>
      </c>
      <c r="F461" s="1" t="s">
        <v>1127</v>
      </c>
      <c r="G461" s="7">
        <v>10.54</v>
      </c>
      <c r="H461" s="6">
        <f t="shared" si="88"/>
        <v>295.11496187999995</v>
      </c>
      <c r="I461" s="6">
        <f>+[177]Main!$K$5-[177]Main!$K$6</f>
        <v>15.414999999999999</v>
      </c>
      <c r="J461" s="6">
        <f t="shared" si="89"/>
        <v>279.69996187999993</v>
      </c>
      <c r="K461" s="3" t="s">
        <v>1070</v>
      </c>
      <c r="L461" s="6">
        <f>+[177]Main!$K$3</f>
        <v>27.999521999999999</v>
      </c>
      <c r="M461" s="9">
        <v>45474</v>
      </c>
    </row>
    <row r="462" spans="1:13" x14ac:dyDescent="0.25">
      <c r="D462">
        <f>+D461+1</f>
        <v>482</v>
      </c>
      <c r="E462" s="5" t="s">
        <v>1617</v>
      </c>
      <c r="F462" s="1" t="s">
        <v>1616</v>
      </c>
      <c r="G462" s="3">
        <v>2.62</v>
      </c>
      <c r="H462" s="6">
        <f t="shared" si="88"/>
        <v>164.43598150000003</v>
      </c>
      <c r="I462" s="6">
        <f>+[178]Main!$K$5-[178]Main!$K$6</f>
        <v>-77.494</v>
      </c>
      <c r="J462" s="6">
        <f t="shared" si="89"/>
        <v>241.92998150000003</v>
      </c>
      <c r="K462" s="3" t="s">
        <v>1276</v>
      </c>
      <c r="L462" s="6">
        <f>+[178]Main!$K$3</f>
        <v>62.761825000000002</v>
      </c>
      <c r="M462" s="9">
        <v>45628</v>
      </c>
    </row>
    <row r="463" spans="1:13" x14ac:dyDescent="0.25">
      <c r="A463"/>
      <c r="B463"/>
      <c r="C463"/>
      <c r="D463">
        <f>+D400+1</f>
        <v>477</v>
      </c>
      <c r="E463" t="s">
        <v>971</v>
      </c>
      <c r="F463" t="s">
        <v>972</v>
      </c>
    </row>
    <row r="464" spans="1:13" x14ac:dyDescent="0.25">
      <c r="D464">
        <f>+D463+1</f>
        <v>478</v>
      </c>
      <c r="E464" s="1" t="s">
        <v>1093</v>
      </c>
      <c r="F464" s="1" t="s">
        <v>1094</v>
      </c>
      <c r="G464" s="3">
        <v>8.11</v>
      </c>
      <c r="H464" s="3">
        <v>123</v>
      </c>
    </row>
    <row r="465" spans="1:7" x14ac:dyDescent="0.25">
      <c r="A465"/>
      <c r="B465"/>
      <c r="C465"/>
      <c r="D465">
        <f>+D393+1</f>
        <v>467</v>
      </c>
      <c r="E465" t="s">
        <v>957</v>
      </c>
      <c r="F465" t="s">
        <v>958</v>
      </c>
    </row>
    <row r="466" spans="1:7" x14ac:dyDescent="0.25">
      <c r="A466"/>
      <c r="B466"/>
      <c r="C466"/>
      <c r="D466">
        <f>+D465+1</f>
        <v>468</v>
      </c>
      <c r="E466" t="s">
        <v>959</v>
      </c>
      <c r="F466" t="s">
        <v>960</v>
      </c>
    </row>
    <row r="467" spans="1:7" x14ac:dyDescent="0.25">
      <c r="A467"/>
      <c r="B467"/>
      <c r="C467"/>
      <c r="D467">
        <f>+D466+1</f>
        <v>469</v>
      </c>
      <c r="E467" t="s">
        <v>961</v>
      </c>
      <c r="F467" t="s">
        <v>962</v>
      </c>
    </row>
    <row r="468" spans="1:7" x14ac:dyDescent="0.25">
      <c r="A468"/>
      <c r="B468"/>
      <c r="C468"/>
      <c r="D468">
        <f>+D392+1</f>
        <v>465</v>
      </c>
      <c r="E468" t="s">
        <v>955</v>
      </c>
      <c r="F468" t="s">
        <v>956</v>
      </c>
    </row>
    <row r="469" spans="1:7" x14ac:dyDescent="0.25">
      <c r="A469"/>
      <c r="B469"/>
      <c r="C469"/>
      <c r="D469">
        <f>+D390+1</f>
        <v>462</v>
      </c>
      <c r="E469" t="s">
        <v>951</v>
      </c>
      <c r="F469" t="s">
        <v>952</v>
      </c>
    </row>
    <row r="470" spans="1:7" x14ac:dyDescent="0.25">
      <c r="A470"/>
      <c r="B470"/>
      <c r="C470"/>
      <c r="D470">
        <f>+D388+1</f>
        <v>454</v>
      </c>
      <c r="E470" t="s">
        <v>935</v>
      </c>
      <c r="F470" t="s">
        <v>936</v>
      </c>
    </row>
    <row r="471" spans="1:7" ht="13" x14ac:dyDescent="0.3">
      <c r="A471"/>
      <c r="B471"/>
      <c r="C471"/>
      <c r="D471">
        <f>+D470+1</f>
        <v>455</v>
      </c>
      <c r="E471" s="24" t="s">
        <v>1349</v>
      </c>
      <c r="F471" t="s">
        <v>1350</v>
      </c>
      <c r="G471" s="3">
        <v>2.84</v>
      </c>
    </row>
    <row r="472" spans="1:7" x14ac:dyDescent="0.25">
      <c r="A472"/>
      <c r="B472"/>
      <c r="C472"/>
      <c r="D472">
        <f>+D471+1</f>
        <v>456</v>
      </c>
      <c r="E472" t="s">
        <v>939</v>
      </c>
      <c r="F472" t="s">
        <v>940</v>
      </c>
    </row>
    <row r="473" spans="1:7" x14ac:dyDescent="0.25">
      <c r="A473"/>
      <c r="B473"/>
      <c r="C473"/>
      <c r="D473">
        <f>+D472+1</f>
        <v>457</v>
      </c>
      <c r="E473" t="s">
        <v>941</v>
      </c>
      <c r="F473" t="s">
        <v>942</v>
      </c>
    </row>
    <row r="474" spans="1:7" x14ac:dyDescent="0.25">
      <c r="A474"/>
      <c r="B474"/>
      <c r="C474"/>
      <c r="D474">
        <f>+D473+1</f>
        <v>458</v>
      </c>
      <c r="E474" t="s">
        <v>943</v>
      </c>
      <c r="F474" t="s">
        <v>944</v>
      </c>
    </row>
    <row r="475" spans="1:7" x14ac:dyDescent="0.25">
      <c r="A475"/>
      <c r="B475"/>
      <c r="C475"/>
      <c r="D475">
        <f>+D474+1</f>
        <v>459</v>
      </c>
      <c r="E475" t="s">
        <v>945</v>
      </c>
      <c r="F475" t="s">
        <v>946</v>
      </c>
    </row>
    <row r="476" spans="1:7" x14ac:dyDescent="0.25">
      <c r="A476"/>
      <c r="B476"/>
      <c r="C476"/>
      <c r="D476">
        <f>+D383+1</f>
        <v>444</v>
      </c>
      <c r="E476" t="s">
        <v>919</v>
      </c>
      <c r="F476" t="s">
        <v>920</v>
      </c>
    </row>
    <row r="477" spans="1:7" x14ac:dyDescent="0.25">
      <c r="A477"/>
      <c r="B477"/>
      <c r="C477"/>
      <c r="D477">
        <f>+D476+1</f>
        <v>445</v>
      </c>
      <c r="E477" s="5" t="s">
        <v>1292</v>
      </c>
      <c r="F477" t="s">
        <v>1293</v>
      </c>
      <c r="G477" s="7">
        <v>1</v>
      </c>
    </row>
    <row r="478" spans="1:7" x14ac:dyDescent="0.25">
      <c r="A478"/>
      <c r="B478"/>
      <c r="C478"/>
      <c r="D478">
        <f>+D477+1</f>
        <v>446</v>
      </c>
      <c r="E478" t="s">
        <v>921</v>
      </c>
      <c r="F478" t="s">
        <v>922</v>
      </c>
    </row>
    <row r="479" spans="1:7" x14ac:dyDescent="0.25">
      <c r="A479"/>
      <c r="B479"/>
      <c r="C479"/>
      <c r="D479">
        <f>+D478+1</f>
        <v>447</v>
      </c>
      <c r="E479" t="s">
        <v>923</v>
      </c>
      <c r="F479" t="s">
        <v>924</v>
      </c>
    </row>
    <row r="480" spans="1:7" x14ac:dyDescent="0.25">
      <c r="A480"/>
      <c r="B480"/>
      <c r="C480"/>
      <c r="D480">
        <f>+D479+1</f>
        <v>448</v>
      </c>
      <c r="E480" t="s">
        <v>925</v>
      </c>
      <c r="F480" t="s">
        <v>926</v>
      </c>
    </row>
    <row r="481" spans="1:13" x14ac:dyDescent="0.25">
      <c r="A481"/>
      <c r="B481"/>
      <c r="C481"/>
      <c r="D481">
        <f>+D382+1</f>
        <v>442</v>
      </c>
      <c r="E481" t="s">
        <v>915</v>
      </c>
      <c r="F481" t="s">
        <v>916</v>
      </c>
    </row>
    <row r="482" spans="1:13" x14ac:dyDescent="0.25">
      <c r="A482" t="s">
        <v>333</v>
      </c>
      <c r="B482"/>
      <c r="C482"/>
      <c r="D482">
        <f>+D379+1</f>
        <v>430</v>
      </c>
      <c r="E482" t="s">
        <v>891</v>
      </c>
      <c r="F482" t="s">
        <v>892</v>
      </c>
      <c r="G482" s="7">
        <v>2.2200000000000002</v>
      </c>
      <c r="H482" s="3">
        <v>90</v>
      </c>
    </row>
    <row r="483" spans="1:13" x14ac:dyDescent="0.25">
      <c r="A483" t="s">
        <v>333</v>
      </c>
      <c r="B483"/>
      <c r="C483"/>
      <c r="D483">
        <f t="shared" ref="D483:D490" si="90">+D482+1</f>
        <v>431</v>
      </c>
      <c r="E483" t="s">
        <v>885</v>
      </c>
      <c r="F483" t="s">
        <v>886</v>
      </c>
      <c r="G483" s="7">
        <v>1.21</v>
      </c>
      <c r="H483" s="3">
        <v>72</v>
      </c>
    </row>
    <row r="484" spans="1:13" x14ac:dyDescent="0.25">
      <c r="A484" t="s">
        <v>333</v>
      </c>
      <c r="B484"/>
      <c r="C484"/>
      <c r="D484">
        <f t="shared" si="90"/>
        <v>432</v>
      </c>
      <c r="E484" t="s">
        <v>890</v>
      </c>
      <c r="F484" t="s">
        <v>889</v>
      </c>
      <c r="G484" s="7">
        <v>1.26</v>
      </c>
      <c r="H484" s="3">
        <v>38</v>
      </c>
    </row>
    <row r="485" spans="1:13" x14ac:dyDescent="0.25">
      <c r="A485" t="s">
        <v>333</v>
      </c>
      <c r="B485"/>
      <c r="C485"/>
      <c r="D485">
        <f t="shared" si="90"/>
        <v>433</v>
      </c>
      <c r="E485" t="s">
        <v>897</v>
      </c>
      <c r="F485" t="s">
        <v>898</v>
      </c>
      <c r="G485" s="3">
        <v>0.21</v>
      </c>
      <c r="H485" s="3">
        <v>36</v>
      </c>
    </row>
    <row r="486" spans="1:13" x14ac:dyDescent="0.25">
      <c r="A486" t="s">
        <v>333</v>
      </c>
      <c r="B486"/>
      <c r="C486"/>
      <c r="D486">
        <f t="shared" si="90"/>
        <v>434</v>
      </c>
      <c r="E486" t="s">
        <v>877</v>
      </c>
      <c r="F486" t="s">
        <v>878</v>
      </c>
      <c r="G486" s="7">
        <v>2.36</v>
      </c>
      <c r="H486" s="3">
        <v>25</v>
      </c>
    </row>
    <row r="487" spans="1:13" x14ac:dyDescent="0.25">
      <c r="A487" t="s">
        <v>333</v>
      </c>
      <c r="B487"/>
      <c r="C487"/>
      <c r="D487">
        <f t="shared" si="90"/>
        <v>435</v>
      </c>
      <c r="E487" t="s">
        <v>901</v>
      </c>
      <c r="F487" t="s">
        <v>902</v>
      </c>
      <c r="G487" s="3">
        <v>0.27</v>
      </c>
      <c r="H487" s="3">
        <v>11</v>
      </c>
    </row>
    <row r="488" spans="1:13" x14ac:dyDescent="0.25">
      <c r="A488" t="s">
        <v>333</v>
      </c>
      <c r="B488"/>
      <c r="C488"/>
      <c r="D488">
        <f t="shared" si="90"/>
        <v>436</v>
      </c>
      <c r="E488" t="s">
        <v>903</v>
      </c>
      <c r="F488" t="s">
        <v>904</v>
      </c>
      <c r="G488" s="3">
        <v>0.74</v>
      </c>
      <c r="H488" s="3">
        <v>47</v>
      </c>
    </row>
    <row r="489" spans="1:13" x14ac:dyDescent="0.25">
      <c r="A489" t="s">
        <v>333</v>
      </c>
      <c r="B489"/>
      <c r="C489"/>
      <c r="D489">
        <f t="shared" si="90"/>
        <v>437</v>
      </c>
      <c r="E489" t="s">
        <v>907</v>
      </c>
      <c r="F489" t="s">
        <v>908</v>
      </c>
      <c r="G489" s="3">
        <v>1.26</v>
      </c>
      <c r="H489" s="3">
        <v>79</v>
      </c>
    </row>
    <row r="490" spans="1:13" x14ac:dyDescent="0.25">
      <c r="A490" t="s">
        <v>333</v>
      </c>
      <c r="B490"/>
      <c r="C490"/>
      <c r="D490">
        <f t="shared" si="90"/>
        <v>438</v>
      </c>
      <c r="E490" t="s">
        <v>879</v>
      </c>
      <c r="F490" t="s">
        <v>880</v>
      </c>
      <c r="G490" s="7"/>
    </row>
    <row r="491" spans="1:13" x14ac:dyDescent="0.25">
      <c r="A491" t="s">
        <v>333</v>
      </c>
      <c r="B491"/>
      <c r="C491"/>
      <c r="D491">
        <f>+D368+1</f>
        <v>418</v>
      </c>
      <c r="E491" t="s">
        <v>873</v>
      </c>
      <c r="F491" t="s">
        <v>874</v>
      </c>
      <c r="G491" s="7">
        <v>2</v>
      </c>
    </row>
    <row r="492" spans="1:13" x14ac:dyDescent="0.25">
      <c r="A492" t="s">
        <v>333</v>
      </c>
      <c r="B492"/>
      <c r="C492"/>
      <c r="D492">
        <f>+D235+1</f>
        <v>236</v>
      </c>
      <c r="E492" s="1" t="s">
        <v>219</v>
      </c>
      <c r="F492" s="1" t="s">
        <v>220</v>
      </c>
      <c r="G492" s="7">
        <v>31.39</v>
      </c>
      <c r="H492" s="3">
        <v>1020</v>
      </c>
    </row>
    <row r="493" spans="1:13" x14ac:dyDescent="0.25">
      <c r="A493" t="s">
        <v>333</v>
      </c>
      <c r="B493"/>
      <c r="C493"/>
      <c r="D493">
        <f>+D257+1</f>
        <v>259</v>
      </c>
      <c r="E493" s="5" t="s">
        <v>233</v>
      </c>
      <c r="F493" s="1" t="s">
        <v>234</v>
      </c>
      <c r="G493" s="3">
        <v>14.68</v>
      </c>
      <c r="H493" s="6">
        <f>G493*[179]Main!$L$3</f>
        <v>587.26396075999992</v>
      </c>
      <c r="I493" s="6">
        <f>[179]Main!$L$5-[179]Main!$L$6</f>
        <v>277.88299999999998</v>
      </c>
      <c r="J493" s="8">
        <f t="shared" ref="J493:J499" si="91">+H493-I493</f>
        <v>309.38096075999994</v>
      </c>
      <c r="K493" s="3" t="s">
        <v>16</v>
      </c>
    </row>
    <row r="494" spans="1:13" x14ac:dyDescent="0.25">
      <c r="A494" t="s">
        <v>333</v>
      </c>
      <c r="B494"/>
      <c r="C494"/>
      <c r="D494">
        <f>+D260+1</f>
        <v>264</v>
      </c>
      <c r="E494" s="5" t="s">
        <v>320</v>
      </c>
      <c r="F494" t="s">
        <v>321</v>
      </c>
      <c r="G494" s="3">
        <v>3.23</v>
      </c>
      <c r="H494" s="6">
        <f>+G494*L494</f>
        <v>30.407559149999997</v>
      </c>
      <c r="I494" s="6">
        <f>+[180]Main!$N$5-[180]Main!$N$6</f>
        <v>-7.4640000000000004</v>
      </c>
      <c r="J494" s="6">
        <f t="shared" si="91"/>
        <v>37.871559149999996</v>
      </c>
      <c r="K494" s="3" t="s">
        <v>300</v>
      </c>
      <c r="L494" s="6">
        <f>+[180]Main!$N$3</f>
        <v>9.4141049999999993</v>
      </c>
      <c r="M494" s="9">
        <v>44780</v>
      </c>
    </row>
    <row r="495" spans="1:13" x14ac:dyDescent="0.25">
      <c r="A495" t="s">
        <v>333</v>
      </c>
      <c r="B495"/>
      <c r="C495"/>
      <c r="D495">
        <f>+D494+1</f>
        <v>265</v>
      </c>
      <c r="E495" s="5" t="s">
        <v>241</v>
      </c>
      <c r="F495" s="1" t="s">
        <v>242</v>
      </c>
      <c r="G495" s="3">
        <v>1.98</v>
      </c>
      <c r="H495" s="6">
        <f>G495*[181]Main!$N$3</f>
        <v>39.757463459999997</v>
      </c>
      <c r="I495" s="6">
        <f>[181]Main!$N$5-[181]Main!$N$6</f>
        <v>15.942</v>
      </c>
      <c r="J495" s="8">
        <f t="shared" si="91"/>
        <v>23.815463459999997</v>
      </c>
      <c r="K495" s="3" t="s">
        <v>16</v>
      </c>
    </row>
    <row r="496" spans="1:13" x14ac:dyDescent="0.25">
      <c r="D496">
        <f>+D495+1</f>
        <v>266</v>
      </c>
      <c r="E496" s="5" t="s">
        <v>243</v>
      </c>
      <c r="F496" s="1" t="s">
        <v>244</v>
      </c>
      <c r="G496" s="3">
        <v>0.62</v>
      </c>
      <c r="H496" s="6">
        <f>G496*[182]Main!$L$3</f>
        <v>30.1881658</v>
      </c>
      <c r="I496" s="6">
        <f>[182]Main!$L$5-[182]Main!$L$6</f>
        <v>13.262999999999998</v>
      </c>
      <c r="J496" s="8">
        <f t="shared" si="91"/>
        <v>16.925165800000002</v>
      </c>
      <c r="K496" s="3" t="s">
        <v>16</v>
      </c>
    </row>
    <row r="497" spans="1:31" x14ac:dyDescent="0.25">
      <c r="D497">
        <f>+D496+1</f>
        <v>267</v>
      </c>
      <c r="E497" s="5" t="s">
        <v>245</v>
      </c>
      <c r="F497" s="1" t="s">
        <v>246</v>
      </c>
      <c r="G497" s="3">
        <v>6.12</v>
      </c>
      <c r="H497" s="6">
        <v>125.46108324000001</v>
      </c>
      <c r="I497" s="6">
        <v>131.17699999999999</v>
      </c>
      <c r="J497" s="8">
        <f t="shared" si="91"/>
        <v>-5.7159167599999847</v>
      </c>
      <c r="K497" s="3" t="s">
        <v>16</v>
      </c>
    </row>
    <row r="498" spans="1:31" x14ac:dyDescent="0.25">
      <c r="D498">
        <f>+D497+1</f>
        <v>268</v>
      </c>
      <c r="E498" s="5" t="s">
        <v>247</v>
      </c>
      <c r="F498" s="1" t="s">
        <v>248</v>
      </c>
      <c r="G498" s="3">
        <v>0.98</v>
      </c>
      <c r="H498" s="6">
        <v>20.935517539999999</v>
      </c>
      <c r="I498" s="6">
        <v>55.28</v>
      </c>
      <c r="J498" s="8">
        <f t="shared" si="91"/>
        <v>-34.344482460000002</v>
      </c>
      <c r="K498" s="3" t="s">
        <v>16</v>
      </c>
    </row>
    <row r="499" spans="1:31" x14ac:dyDescent="0.25">
      <c r="D499">
        <f>+D261+1</f>
        <v>270</v>
      </c>
      <c r="E499" s="5" t="s">
        <v>544</v>
      </c>
      <c r="F499" t="s">
        <v>545</v>
      </c>
      <c r="G499" s="3">
        <v>0.94</v>
      </c>
      <c r="H499" s="6">
        <f>+G499*L499</f>
        <v>56.676359999999995</v>
      </c>
      <c r="I499" s="6">
        <f>+[183]Main!$K$5-[183]Main!$K$6</f>
        <v>136.64599999999999</v>
      </c>
      <c r="J499" s="6">
        <f t="shared" si="91"/>
        <v>-79.969639999999998</v>
      </c>
      <c r="K499" s="3" t="s">
        <v>1070</v>
      </c>
      <c r="L499" s="6">
        <f>+[183]Main!$K$3</f>
        <v>60.293999999999997</v>
      </c>
      <c r="M499" s="9">
        <v>45550</v>
      </c>
      <c r="AE499" s="1">
        <v>2017</v>
      </c>
    </row>
    <row r="500" spans="1:31" x14ac:dyDescent="0.25">
      <c r="A500"/>
      <c r="B500"/>
      <c r="C500"/>
      <c r="D500">
        <f>+D499+1</f>
        <v>271</v>
      </c>
      <c r="E500" t="s">
        <v>1178</v>
      </c>
      <c r="F500" t="s">
        <v>1179</v>
      </c>
      <c r="H500" s="6"/>
    </row>
    <row r="501" spans="1:31" x14ac:dyDescent="0.25">
      <c r="D501">
        <f>+D500+1</f>
        <v>272</v>
      </c>
      <c r="E501" s="1" t="s">
        <v>249</v>
      </c>
      <c r="F501" s="1" t="s">
        <v>250</v>
      </c>
      <c r="G501" s="3">
        <v>0.61</v>
      </c>
    </row>
    <row r="502" spans="1:31" x14ac:dyDescent="0.25">
      <c r="D502">
        <f>+D501+1</f>
        <v>273</v>
      </c>
      <c r="E502" s="1" t="s">
        <v>251</v>
      </c>
      <c r="F502" s="1" t="s">
        <v>252</v>
      </c>
      <c r="G502" s="3">
        <v>1.75</v>
      </c>
      <c r="H502" s="3">
        <v>96</v>
      </c>
    </row>
    <row r="503" spans="1:31" x14ac:dyDescent="0.25">
      <c r="D503">
        <f>+D502+1</f>
        <v>274</v>
      </c>
      <c r="E503" s="1" t="s">
        <v>347</v>
      </c>
      <c r="F503" t="s">
        <v>348</v>
      </c>
      <c r="G503" s="7">
        <v>0.96</v>
      </c>
      <c r="H503" s="3">
        <v>52</v>
      </c>
    </row>
    <row r="504" spans="1:31" x14ac:dyDescent="0.25">
      <c r="D504">
        <f>+D262+1</f>
        <v>276</v>
      </c>
      <c r="E504" t="s">
        <v>1306</v>
      </c>
      <c r="F504" t="s">
        <v>1307</v>
      </c>
      <c r="G504" s="7">
        <v>14.68</v>
      </c>
      <c r="H504" s="3">
        <v>396</v>
      </c>
    </row>
    <row r="505" spans="1:31" x14ac:dyDescent="0.25">
      <c r="D505">
        <f>+D504+1</f>
        <v>277</v>
      </c>
      <c r="E505" s="1" t="s">
        <v>378</v>
      </c>
      <c r="F505" s="1" t="s">
        <v>379</v>
      </c>
      <c r="G505" s="3">
        <v>25.85</v>
      </c>
    </row>
    <row r="506" spans="1:31" x14ac:dyDescent="0.25">
      <c r="D506">
        <f>+D505+1</f>
        <v>278</v>
      </c>
      <c r="E506" t="s">
        <v>384</v>
      </c>
      <c r="F506" t="s">
        <v>385</v>
      </c>
      <c r="G506" s="3">
        <v>9.26</v>
      </c>
      <c r="H506" s="3">
        <v>204</v>
      </c>
    </row>
    <row r="507" spans="1:31" x14ac:dyDescent="0.25">
      <c r="D507">
        <f>+D264+1</f>
        <v>281</v>
      </c>
      <c r="E507" s="1" t="s">
        <v>394</v>
      </c>
      <c r="F507" s="1" t="s">
        <v>395</v>
      </c>
      <c r="G507" s="3">
        <v>4.09</v>
      </c>
      <c r="H507" s="3">
        <v>4</v>
      </c>
    </row>
    <row r="508" spans="1:31" x14ac:dyDescent="0.25">
      <c r="D508">
        <f>+D265+1</f>
        <v>283</v>
      </c>
      <c r="E508" t="s">
        <v>744</v>
      </c>
      <c r="F508" t="s">
        <v>745</v>
      </c>
    </row>
    <row r="509" spans="1:31" x14ac:dyDescent="0.25">
      <c r="D509">
        <f>+D508+1</f>
        <v>284</v>
      </c>
      <c r="E509" t="s">
        <v>747</v>
      </c>
      <c r="F509" t="s">
        <v>748</v>
      </c>
    </row>
    <row r="510" spans="1:31" x14ac:dyDescent="0.25">
      <c r="D510">
        <f>+D267+1</f>
        <v>287</v>
      </c>
      <c r="E510" t="s">
        <v>503</v>
      </c>
      <c r="F510" t="s">
        <v>504</v>
      </c>
    </row>
    <row r="511" spans="1:31" x14ac:dyDescent="0.25">
      <c r="D511">
        <f>+D272+1</f>
        <v>293</v>
      </c>
      <c r="E511" s="1" t="s">
        <v>514</v>
      </c>
      <c r="F511" s="1" t="s">
        <v>515</v>
      </c>
    </row>
    <row r="512" spans="1:31" x14ac:dyDescent="0.25">
      <c r="D512">
        <f>+D511+1</f>
        <v>294</v>
      </c>
      <c r="E512" t="s">
        <v>519</v>
      </c>
      <c r="F512" t="s">
        <v>1297</v>
      </c>
      <c r="G512" s="3">
        <v>13.13</v>
      </c>
    </row>
    <row r="513" spans="1:31" x14ac:dyDescent="0.25">
      <c r="D513">
        <f>+D512+1</f>
        <v>295</v>
      </c>
      <c r="E513" s="1" t="s">
        <v>522</v>
      </c>
      <c r="F513" s="1" t="s">
        <v>523</v>
      </c>
      <c r="G513" s="3">
        <v>7.08</v>
      </c>
    </row>
    <row r="514" spans="1:31" x14ac:dyDescent="0.25">
      <c r="D514">
        <f>+D275+1</f>
        <v>299</v>
      </c>
      <c r="E514" t="s">
        <v>526</v>
      </c>
      <c r="F514" t="s">
        <v>527</v>
      </c>
      <c r="G514" s="3">
        <v>0.38</v>
      </c>
    </row>
    <row r="515" spans="1:31" x14ac:dyDescent="0.25">
      <c r="D515">
        <f>+D514+1</f>
        <v>300</v>
      </c>
      <c r="E515" t="s">
        <v>528</v>
      </c>
      <c r="F515" t="s">
        <v>529</v>
      </c>
      <c r="G515" s="3">
        <v>4.24</v>
      </c>
    </row>
    <row r="516" spans="1:31" x14ac:dyDescent="0.25">
      <c r="A516" s="1" t="s">
        <v>333</v>
      </c>
      <c r="D516">
        <f>+D515+1</f>
        <v>301</v>
      </c>
      <c r="E516" t="s">
        <v>530</v>
      </c>
      <c r="F516" t="s">
        <v>531</v>
      </c>
      <c r="G516" s="3">
        <v>13.74</v>
      </c>
    </row>
    <row r="517" spans="1:31" x14ac:dyDescent="0.25">
      <c r="D517">
        <f>+D516+1</f>
        <v>302</v>
      </c>
      <c r="E517" t="s">
        <v>532</v>
      </c>
      <c r="F517" t="s">
        <v>533</v>
      </c>
      <c r="G517" s="3">
        <v>4.3600000000000003</v>
      </c>
    </row>
    <row r="518" spans="1:31" x14ac:dyDescent="0.25">
      <c r="D518">
        <f>+D517+1</f>
        <v>303</v>
      </c>
      <c r="E518" t="s">
        <v>534</v>
      </c>
      <c r="F518" t="s">
        <v>535</v>
      </c>
      <c r="G518" s="3">
        <v>7.06</v>
      </c>
    </row>
    <row r="519" spans="1:31" x14ac:dyDescent="0.25">
      <c r="A519" t="s">
        <v>333</v>
      </c>
      <c r="B519"/>
      <c r="C519"/>
      <c r="D519">
        <f>+D230+1</f>
        <v>229</v>
      </c>
      <c r="E519" s="5" t="s">
        <v>1165</v>
      </c>
      <c r="F519" t="s">
        <v>1166</v>
      </c>
      <c r="G519" s="3">
        <v>9.34</v>
      </c>
      <c r="H519" s="6">
        <f>+G519*L519</f>
        <v>289.28000241999996</v>
      </c>
      <c r="I519" s="6">
        <f>+[184]Main!$J$5-[184]Main!$J$6</f>
        <v>220.43200000000002</v>
      </c>
      <c r="J519" s="6">
        <f>+H519-I519</f>
        <v>68.848002419999943</v>
      </c>
      <c r="K519" s="3" t="s">
        <v>1070</v>
      </c>
      <c r="L519" s="6">
        <f>+[184]Main!$J$3</f>
        <v>30.972162999999998</v>
      </c>
      <c r="M519" s="9">
        <v>45548</v>
      </c>
      <c r="AE519" s="1">
        <v>2018</v>
      </c>
    </row>
    <row r="520" spans="1:31" x14ac:dyDescent="0.25">
      <c r="A520" t="s">
        <v>333</v>
      </c>
      <c r="B520"/>
      <c r="C520"/>
      <c r="D520">
        <f>+D233+1</f>
        <v>233</v>
      </c>
      <c r="E520" t="s">
        <v>308</v>
      </c>
      <c r="F520" t="s">
        <v>309</v>
      </c>
      <c r="G520" s="3">
        <v>3.26</v>
      </c>
      <c r="H520" s="6">
        <v>272</v>
      </c>
    </row>
    <row r="521" spans="1:31" x14ac:dyDescent="0.25">
      <c r="A521" t="s">
        <v>333</v>
      </c>
      <c r="B521"/>
      <c r="C521"/>
      <c r="D521">
        <f>+D319+1</f>
        <v>366</v>
      </c>
      <c r="E521" t="s">
        <v>668</v>
      </c>
      <c r="F521" t="s">
        <v>669</v>
      </c>
    </row>
    <row r="522" spans="1:31" x14ac:dyDescent="0.25">
      <c r="D522">
        <f>+D521+1</f>
        <v>367</v>
      </c>
      <c r="E522" t="s">
        <v>670</v>
      </c>
      <c r="F522" t="s">
        <v>671</v>
      </c>
    </row>
    <row r="523" spans="1:31" x14ac:dyDescent="0.25">
      <c r="A523" s="1" t="s">
        <v>333</v>
      </c>
      <c r="D523">
        <f>+D522+1</f>
        <v>368</v>
      </c>
      <c r="E523" t="s">
        <v>805</v>
      </c>
      <c r="F523" t="s">
        <v>806</v>
      </c>
    </row>
    <row r="524" spans="1:31" x14ac:dyDescent="0.25">
      <c r="D524">
        <f>+D299+1</f>
        <v>344</v>
      </c>
      <c r="E524" s="1" t="s">
        <v>142</v>
      </c>
      <c r="F524" s="1" t="s">
        <v>143</v>
      </c>
      <c r="G524" s="3">
        <v>2.37</v>
      </c>
      <c r="H524" s="6"/>
    </row>
    <row r="525" spans="1:31" x14ac:dyDescent="0.25">
      <c r="A525" s="1" t="s">
        <v>333</v>
      </c>
      <c r="D525">
        <f>+D524+1</f>
        <v>345</v>
      </c>
      <c r="E525" t="s">
        <v>578</v>
      </c>
      <c r="F525" t="s">
        <v>579</v>
      </c>
      <c r="G525" s="3">
        <v>2.94</v>
      </c>
    </row>
    <row r="526" spans="1:31" x14ac:dyDescent="0.25">
      <c r="A526" s="1" t="s">
        <v>333</v>
      </c>
      <c r="D526">
        <f>+D300+1</f>
        <v>347</v>
      </c>
      <c r="E526" t="s">
        <v>582</v>
      </c>
      <c r="F526" t="s">
        <v>583</v>
      </c>
      <c r="G526" s="7">
        <v>3.46</v>
      </c>
    </row>
    <row r="527" spans="1:31" x14ac:dyDescent="0.25">
      <c r="D527">
        <f>+D282+1</f>
        <v>319</v>
      </c>
      <c r="E527" t="s">
        <v>562</v>
      </c>
      <c r="F527" t="s">
        <v>563</v>
      </c>
      <c r="G527" s="3">
        <v>1.86</v>
      </c>
    </row>
    <row r="528" spans="1:31" x14ac:dyDescent="0.25">
      <c r="D528">
        <f>+D527+1</f>
        <v>320</v>
      </c>
      <c r="E528" t="s">
        <v>564</v>
      </c>
      <c r="F528" t="s">
        <v>565</v>
      </c>
      <c r="G528" s="3">
        <v>1.87</v>
      </c>
    </row>
    <row r="529" spans="1:13" ht="13" x14ac:dyDescent="0.3">
      <c r="D529">
        <f>+D528+1</f>
        <v>321</v>
      </c>
      <c r="E529" s="33" t="s">
        <v>566</v>
      </c>
      <c r="F529" s="33" t="s">
        <v>567</v>
      </c>
      <c r="G529"/>
    </row>
    <row r="530" spans="1:13" ht="13" x14ac:dyDescent="0.3">
      <c r="D530">
        <f>+D278+1</f>
        <v>307</v>
      </c>
      <c r="E530" s="33" t="s">
        <v>538</v>
      </c>
      <c r="F530" s="33" t="s">
        <v>539</v>
      </c>
    </row>
    <row r="531" spans="1:13" x14ac:dyDescent="0.25">
      <c r="D531">
        <f>+D530+1</f>
        <v>308</v>
      </c>
      <c r="E531" t="s">
        <v>540</v>
      </c>
      <c r="F531" t="s">
        <v>541</v>
      </c>
      <c r="G531" s="3">
        <v>2.97</v>
      </c>
    </row>
    <row r="532" spans="1:13" x14ac:dyDescent="0.25">
      <c r="D532">
        <f>+D531+1</f>
        <v>309</v>
      </c>
      <c r="E532" t="s">
        <v>542</v>
      </c>
      <c r="F532" t="s">
        <v>543</v>
      </c>
      <c r="G532" s="3">
        <v>3.28</v>
      </c>
    </row>
    <row r="533" spans="1:13" x14ac:dyDescent="0.25">
      <c r="D533">
        <f>+D532+1</f>
        <v>310</v>
      </c>
      <c r="E533" t="s">
        <v>546</v>
      </c>
      <c r="F533" t="s">
        <v>547</v>
      </c>
    </row>
    <row r="534" spans="1:13" x14ac:dyDescent="0.25">
      <c r="D534">
        <f>+D533+1</f>
        <v>311</v>
      </c>
      <c r="E534" t="s">
        <v>548</v>
      </c>
      <c r="F534" t="s">
        <v>549</v>
      </c>
      <c r="G534" s="3">
        <v>18.07</v>
      </c>
    </row>
    <row r="535" spans="1:13" x14ac:dyDescent="0.25">
      <c r="D535">
        <f>+D534+1</f>
        <v>312</v>
      </c>
      <c r="E535" t="s">
        <v>550</v>
      </c>
      <c r="F535" t="s">
        <v>551</v>
      </c>
      <c r="G535" s="3">
        <v>2.68</v>
      </c>
    </row>
    <row r="536" spans="1:13" x14ac:dyDescent="0.25">
      <c r="D536">
        <f>+D281+1</f>
        <v>316</v>
      </c>
      <c r="E536" t="s">
        <v>989</v>
      </c>
      <c r="F536" t="s">
        <v>990</v>
      </c>
    </row>
    <row r="537" spans="1:13" x14ac:dyDescent="0.25">
      <c r="D537">
        <f>+D536+1</f>
        <v>317</v>
      </c>
      <c r="E537" t="s">
        <v>556</v>
      </c>
      <c r="F537" t="s">
        <v>557</v>
      </c>
      <c r="G537" s="3">
        <v>0.61</v>
      </c>
    </row>
    <row r="538" spans="1:13" x14ac:dyDescent="0.25">
      <c r="D538">
        <f>+D287+1</f>
        <v>327</v>
      </c>
      <c r="E538" t="s">
        <v>570</v>
      </c>
      <c r="F538" t="s">
        <v>571</v>
      </c>
      <c r="G538" s="3">
        <v>2.77</v>
      </c>
    </row>
    <row r="539" spans="1:13" x14ac:dyDescent="0.25">
      <c r="D539">
        <f>+D538+1</f>
        <v>328</v>
      </c>
      <c r="E539" t="s">
        <v>347</v>
      </c>
      <c r="F539" t="s">
        <v>348</v>
      </c>
      <c r="G539" s="3">
        <v>2.67</v>
      </c>
    </row>
    <row r="540" spans="1:13" x14ac:dyDescent="0.25">
      <c r="A540" t="s">
        <v>333</v>
      </c>
      <c r="B540"/>
      <c r="C540"/>
      <c r="D540">
        <f>+D291+1</f>
        <v>333</v>
      </c>
      <c r="E540" t="s">
        <v>981</v>
      </c>
      <c r="F540" t="s">
        <v>982</v>
      </c>
    </row>
    <row r="541" spans="1:13" x14ac:dyDescent="0.25">
      <c r="A541"/>
      <c r="B541"/>
      <c r="C541"/>
      <c r="D541">
        <f>+D540+1</f>
        <v>334</v>
      </c>
      <c r="E541" t="s">
        <v>983</v>
      </c>
      <c r="F541" t="s">
        <v>984</v>
      </c>
    </row>
    <row r="542" spans="1:13" x14ac:dyDescent="0.25">
      <c r="D542">
        <f>+D227+1</f>
        <v>223</v>
      </c>
      <c r="E542" s="5" t="s">
        <v>1191</v>
      </c>
      <c r="F542" s="40" t="s">
        <v>1192</v>
      </c>
      <c r="G542" s="7">
        <v>8.39</v>
      </c>
      <c r="H542" s="6">
        <f>+G542*L542</f>
        <v>963.56021369000007</v>
      </c>
      <c r="I542" s="6">
        <f>+[185]Main!$L$5-[185]Main!$L$6</f>
        <v>122.197</v>
      </c>
      <c r="J542" s="6">
        <f>+H542-I542</f>
        <v>841.36321369000007</v>
      </c>
      <c r="K542" s="3" t="s">
        <v>1070</v>
      </c>
      <c r="L542" s="6">
        <f>+[185]Main!$L$3</f>
        <v>114.846271</v>
      </c>
      <c r="M542" s="9">
        <v>45567</v>
      </c>
    </row>
    <row r="543" spans="1:13" x14ac:dyDescent="0.25">
      <c r="A543" t="s">
        <v>333</v>
      </c>
      <c r="B543"/>
      <c r="C543"/>
      <c r="D543">
        <f>+D228+1</f>
        <v>226</v>
      </c>
      <c r="E543" s="5" t="s">
        <v>191</v>
      </c>
      <c r="F543" s="1" t="s">
        <v>192</v>
      </c>
      <c r="G543" s="3">
        <v>7.36</v>
      </c>
      <c r="H543" s="6">
        <f>+G543*L543</f>
        <v>897.18233664000002</v>
      </c>
      <c r="I543" s="6">
        <f>+[186]Main!$J$5-[186]Main!$J$6</f>
        <v>601.58999999999992</v>
      </c>
      <c r="J543" s="6">
        <f>+H543-I543</f>
        <v>295.5923366400001</v>
      </c>
      <c r="K543" s="3" t="s">
        <v>16</v>
      </c>
      <c r="L543" s="6">
        <f>+[186]Main!$J$3</f>
        <v>121.89977399999999</v>
      </c>
      <c r="M543" s="9">
        <v>44827</v>
      </c>
    </row>
    <row r="544" spans="1:13" x14ac:dyDescent="0.25">
      <c r="A544" t="s">
        <v>333</v>
      </c>
      <c r="B544"/>
      <c r="C544"/>
      <c r="D544">
        <f>+D224+1</f>
        <v>214</v>
      </c>
      <c r="E544" s="5" t="s">
        <v>287</v>
      </c>
      <c r="F544" t="s">
        <v>288</v>
      </c>
      <c r="G544" s="7">
        <v>0.61</v>
      </c>
      <c r="H544" s="6">
        <f>+G544*L544</f>
        <v>89.294191199999986</v>
      </c>
      <c r="I544" s="6">
        <f>+[187]Main!$L$5-[187]Main!$L$6</f>
        <v>24.916284999999998</v>
      </c>
      <c r="J544" s="6">
        <f>+H544-I544</f>
        <v>64.377906199999984</v>
      </c>
      <c r="K544" s="3" t="s">
        <v>1276</v>
      </c>
      <c r="L544" s="6">
        <f>+[187]Main!$L$3</f>
        <v>146.38391999999999</v>
      </c>
      <c r="M544" s="9">
        <v>45684</v>
      </c>
    </row>
    <row r="545" spans="1:31" x14ac:dyDescent="0.25">
      <c r="A545" t="s">
        <v>333</v>
      </c>
      <c r="B545"/>
      <c r="C545"/>
      <c r="D545">
        <f>+D544+1</f>
        <v>215</v>
      </c>
      <c r="E545" s="5" t="s">
        <v>223</v>
      </c>
      <c r="F545" s="1" t="s">
        <v>224</v>
      </c>
      <c r="G545" s="3">
        <v>23.75</v>
      </c>
      <c r="H545" s="6">
        <f>+G545*L545</f>
        <v>1355.4004112499999</v>
      </c>
      <c r="I545" s="6">
        <f>+[188]Main!$K$5-[188]Main!$K$6</f>
        <v>449.76100000000002</v>
      </c>
      <c r="J545" s="6">
        <f>+H545-I545</f>
        <v>905.63941124999997</v>
      </c>
      <c r="K545" s="3" t="s">
        <v>418</v>
      </c>
      <c r="L545" s="6">
        <f>+[188]Main!$K$3</f>
        <v>57.069490999999999</v>
      </c>
      <c r="M545" s="9">
        <v>44947</v>
      </c>
      <c r="AE545" s="1">
        <v>2015</v>
      </c>
    </row>
    <row r="546" spans="1:31" x14ac:dyDescent="0.25">
      <c r="A546" t="s">
        <v>333</v>
      </c>
      <c r="B546"/>
      <c r="C546"/>
      <c r="D546">
        <f>+D545+1</f>
        <v>216</v>
      </c>
      <c r="E546" t="s">
        <v>797</v>
      </c>
      <c r="F546" t="s">
        <v>798</v>
      </c>
      <c r="H546" s="6"/>
    </row>
    <row r="547" spans="1:31" x14ac:dyDescent="0.25">
      <c r="D547">
        <f>+D546+1</f>
        <v>217</v>
      </c>
      <c r="E547" t="s">
        <v>1424</v>
      </c>
      <c r="F547" t="s">
        <v>1425</v>
      </c>
      <c r="G547" s="7"/>
    </row>
    <row r="548" spans="1:31" x14ac:dyDescent="0.25">
      <c r="A548" t="s">
        <v>333</v>
      </c>
      <c r="B548"/>
      <c r="C548"/>
      <c r="D548">
        <f>+D547+1</f>
        <v>218</v>
      </c>
      <c r="E548" s="1" t="s">
        <v>105</v>
      </c>
      <c r="F548" s="1" t="s">
        <v>106</v>
      </c>
      <c r="G548" s="3">
        <v>4.72</v>
      </c>
    </row>
    <row r="549" spans="1:31" x14ac:dyDescent="0.25">
      <c r="D549">
        <f>+D548+1</f>
        <v>219</v>
      </c>
      <c r="E549" s="1" t="s">
        <v>195</v>
      </c>
      <c r="F549" s="1" t="s">
        <v>196</v>
      </c>
      <c r="G549" s="3">
        <v>2.42</v>
      </c>
      <c r="H549" s="6">
        <v>823</v>
      </c>
    </row>
    <row r="550" spans="1:31" x14ac:dyDescent="0.25">
      <c r="D550">
        <f>+D259+1</f>
        <v>262</v>
      </c>
      <c r="E550" s="5" t="s">
        <v>239</v>
      </c>
      <c r="F550" s="1" t="s">
        <v>240</v>
      </c>
      <c r="G550" s="7">
        <v>0.7</v>
      </c>
      <c r="H550" s="6">
        <f>G550*[189]Main!$M$3</f>
        <v>128.9392503</v>
      </c>
      <c r="I550" s="6">
        <f>[189]Main!$M$5-[189]Main!$M$6</f>
        <v>-59.50200000000001</v>
      </c>
      <c r="J550" s="8">
        <f>+H550-I550</f>
        <v>188.44125030000001</v>
      </c>
      <c r="K550" s="3" t="s">
        <v>16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7" r:id="rId1" xr:uid="{31FFFB9E-A269-4EC0-9451-78F4F00A4890}"/>
    <hyperlink ref="E15" r:id="rId2" xr:uid="{C156021C-BE99-4BC0-AA7F-F8904621CB69}"/>
    <hyperlink ref="E17" r:id="rId3" xr:uid="{087C38CF-D4BE-425F-8F38-C4129E6AE209}"/>
    <hyperlink ref="E10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8" r:id="rId8" xr:uid="{CCC45DFB-BF73-4A15-8527-F4C3C617F472}"/>
    <hyperlink ref="E25" r:id="rId9" xr:uid="{FC86E1B4-4BA7-43A8-8FCA-CC27867A7922}"/>
    <hyperlink ref="E21" r:id="rId10" xr:uid="{F9D09B0D-FACB-4CCA-872E-286E56965815}"/>
    <hyperlink ref="E19" r:id="rId11" xr:uid="{5A59EF45-A9EA-44F3-BECB-EFED8413DCF6}"/>
    <hyperlink ref="E6" r:id="rId12" xr:uid="{0888F4DA-9569-4326-990C-43015A33BD61}"/>
    <hyperlink ref="E18" r:id="rId13" xr:uid="{C2959A9B-7367-43D7-934F-562A915DC4DD}"/>
    <hyperlink ref="E22" r:id="rId14" xr:uid="{A069369A-FB97-4A4A-A581-321FA79E4250}"/>
    <hyperlink ref="E59" r:id="rId15" xr:uid="{6EF35D30-7113-4CE8-9077-C5BE97F74D36}"/>
    <hyperlink ref="E31" r:id="rId16" xr:uid="{1F769FA7-6B90-4B6B-9BCC-7D6679675B06}"/>
    <hyperlink ref="E26" r:id="rId17" xr:uid="{61277D68-67DC-475B-9B61-B7E2F3017110}"/>
    <hyperlink ref="E259" r:id="rId18" xr:uid="{14A63DAF-63A6-4B91-A2AF-AE28EA251457}"/>
    <hyperlink ref="E495" r:id="rId19" xr:uid="{4ACA7C7F-E42A-4687-A776-AB8065DB40FF}"/>
    <hyperlink ref="E493" r:id="rId20" xr:uid="{B3421391-7EC0-4253-8F62-5ED45A5BFA02}"/>
    <hyperlink ref="E496" r:id="rId21" xr:uid="{F6A45FC7-B73C-4143-9CAB-B3ADA19B5FD7}"/>
    <hyperlink ref="E256" r:id="rId22" xr:uid="{BBD267CB-7407-4913-9D05-6A6AA380019F}"/>
    <hyperlink ref="E498" r:id="rId23" xr:uid="{85368858-6D0F-4ABE-975C-AE5530342445}"/>
    <hyperlink ref="E254" r:id="rId24" xr:uid="{8B5BC1F5-14D4-45A0-B224-31FAF227EAF3}"/>
    <hyperlink ref="E497" r:id="rId25" xr:uid="{D5FB3BFE-F0A8-4C09-90A1-9F506EF0ADE4}"/>
    <hyperlink ref="E550" r:id="rId26" xr:uid="{11598046-2AED-42E7-ACA5-251A20A59427}"/>
    <hyperlink ref="E53" r:id="rId27" xr:uid="{A1C90F9B-FBBF-4C72-9A11-3798F692A0D2}"/>
    <hyperlink ref="E94" r:id="rId28" xr:uid="{F7B6503D-1F84-47C4-B87E-BDA7159D1B9F}"/>
    <hyperlink ref="E42" r:id="rId29" xr:uid="{D0EE43E7-C3F5-4256-99AE-DDCA9EC11DCF}"/>
    <hyperlink ref="E41" r:id="rId30" xr:uid="{1C25970A-A568-4869-A34A-5C6C7551D812}"/>
    <hyperlink ref="E544" r:id="rId31" xr:uid="{C3A06396-38CD-486E-9F4F-233A79292B4F}"/>
    <hyperlink ref="E127" r:id="rId32" xr:uid="{B83625D8-44D2-4842-9139-F29C8D5F2D8E}"/>
    <hyperlink ref="E213" r:id="rId33" xr:uid="{5FF32E6A-C6C7-4793-8271-BD230B9C7641}"/>
    <hyperlink ref="E74" r:id="rId34" xr:uid="{E5739E03-9FE4-4D05-90C8-36ABF7D078CB}"/>
    <hyperlink ref="E89" r:id="rId35" xr:uid="{25285F59-771C-40DB-8B78-E1E454C61406}"/>
    <hyperlink ref="E494" r:id="rId36" xr:uid="{C000061C-001D-4088-90A4-B672D181D3C5}"/>
    <hyperlink ref="E88" r:id="rId37" xr:uid="{6A1F812B-EA91-4B3C-B4DC-88F792A7D0DE}"/>
    <hyperlink ref="E64" r:id="rId38" xr:uid="{6930A656-C59A-465F-8634-B30B4FEF47BC}"/>
    <hyperlink ref="E97" r:id="rId39" xr:uid="{559FAD8A-D620-4B93-BE14-CC22630BD57E}"/>
    <hyperlink ref="E255" r:id="rId40" xr:uid="{6A576FDB-A573-4A00-8381-4BECF13B35A1}"/>
    <hyperlink ref="E161" r:id="rId41" xr:uid="{51C9506E-5D60-43F8-BADA-7F72A25DAFF6}"/>
    <hyperlink ref="E119" r:id="rId42" xr:uid="{9E4325F2-98CF-4735-96D0-66A9DC5A8E86}"/>
    <hyperlink ref="E543" r:id="rId43" xr:uid="{6D062383-838D-42C7-BFCD-E5C9DC258548}"/>
    <hyperlink ref="E28" r:id="rId44" xr:uid="{3F36D809-73FC-441C-88D2-EEB42A40734A}"/>
    <hyperlink ref="E30" r:id="rId45" xr:uid="{5D73AAA9-EBCA-4613-83CF-E75D37F58B6D}"/>
    <hyperlink ref="E33" r:id="rId46" xr:uid="{203E18C7-425E-49E1-9AA5-204AFBE41E2D}"/>
    <hyperlink ref="E34" r:id="rId47" xr:uid="{5670E9A9-D014-4D7B-962A-54CBDC766969}"/>
    <hyperlink ref="E66" r:id="rId48" xr:uid="{04E7711A-AB14-45D0-B73B-7EA804EC5564}"/>
    <hyperlink ref="E46" r:id="rId49" xr:uid="{76CA7CFE-7B9B-4C27-8561-3A158A30ED77}"/>
    <hyperlink ref="E49" r:id="rId50" xr:uid="{F5D5A68A-4783-46B8-B717-79A0E802B6C4}"/>
    <hyperlink ref="E37" r:id="rId51" xr:uid="{DD930D2F-20A9-46C3-8AA4-5E62A88271DB}"/>
    <hyperlink ref="E39" r:id="rId52" xr:uid="{E248BEED-DD02-463E-BFAC-D02D5521E787}"/>
    <hyperlink ref="E43" r:id="rId53" xr:uid="{01444C35-CEE7-41B7-B694-AE47417B7019}"/>
    <hyperlink ref="E45" r:id="rId54" xr:uid="{BC97A7B7-8716-48D0-BA90-60A75E6A24CE}"/>
    <hyperlink ref="E38" r:id="rId55" xr:uid="{AD16E898-B1E4-4F25-8E21-E2BC1C6FE9AD}"/>
    <hyperlink ref="E61" r:id="rId56" xr:uid="{E9207892-DA1F-48D2-B2C3-EFA59FCA8A47}"/>
    <hyperlink ref="E87" r:id="rId57" xr:uid="{DE2D1DDB-B5B7-4055-B885-0CD9E7670070}"/>
    <hyperlink ref="E32" r:id="rId58" xr:uid="{9DD12163-063E-4F73-89A5-34D8E8AC0534}"/>
    <hyperlink ref="E95" r:id="rId59" xr:uid="{1D3A6A47-22C9-4CC1-94BD-20DE3BB08016}"/>
    <hyperlink ref="E52" r:id="rId60" xr:uid="{27FB3DB4-8430-405F-9558-F31A0B69ED5F}"/>
    <hyperlink ref="E44" r:id="rId61" xr:uid="{144D13FD-59BD-499B-A0B4-B06985623C68}"/>
    <hyperlink ref="E545" r:id="rId62" xr:uid="{E48CD1EB-CFA1-47B1-BD8B-09F09CDD4FA4}"/>
    <hyperlink ref="E120" r:id="rId63" xr:uid="{6E9AFF81-F520-4A86-9FC2-D5CFE68E7EB7}"/>
    <hyperlink ref="E73" r:id="rId64" xr:uid="{ED527D70-0B51-4151-8378-8C40B68FF19D}"/>
    <hyperlink ref="E47" r:id="rId65" xr:uid="{A902B26E-CA39-4DC5-9F23-4459D8D315E8}"/>
    <hyperlink ref="E77" r:id="rId66" xr:uid="{5F0313F8-3376-4F67-9822-E1412CAA5959}"/>
    <hyperlink ref="E107" r:id="rId67" xr:uid="{AE3A3FD9-E651-4A72-81DB-B29CC61B516B}"/>
    <hyperlink ref="E68" r:id="rId68" xr:uid="{6FA4EBE7-4729-4097-A12F-CAD4CB58FFA6}"/>
    <hyperlink ref="E117" r:id="rId69" xr:uid="{C6F461C3-F385-4BE1-8914-0B22F9A9FF52}"/>
    <hyperlink ref="E51" r:id="rId70" xr:uid="{98D02B7D-F218-457E-B156-7FE773CF515A}"/>
    <hyperlink ref="E50" r:id="rId71" xr:uid="{02CB6FD9-C55D-44A1-9F2E-6A96A222EE6B}"/>
    <hyperlink ref="E67" r:id="rId72" xr:uid="{C691BA46-1169-4CAF-84E5-2A83E1B5404A}"/>
    <hyperlink ref="E48" r:id="rId73" xr:uid="{425EA3DE-2A59-4B96-B380-B688A4EDE233}"/>
    <hyperlink ref="E60" r:id="rId74" xr:uid="{1F24E207-02BC-4A1F-B083-69F8E95AC067}"/>
    <hyperlink ref="E65" r:id="rId75" xr:uid="{CE56D1ED-1CAA-4667-A3D9-82426599D26C}"/>
    <hyperlink ref="E108" r:id="rId76" xr:uid="{ED810682-5208-4265-9E0E-6746A399EA34}"/>
    <hyperlink ref="E166" r:id="rId77" xr:uid="{44DEB74A-F098-4876-A279-D1E6237DF8DB}"/>
    <hyperlink ref="E71" r:id="rId78" xr:uid="{ADF59BEC-B8D8-4144-ADEB-041425B69409}"/>
    <hyperlink ref="E308" r:id="rId79" xr:uid="{69AB4316-2FED-44FC-B108-3CD00D6F57B9}"/>
    <hyperlink ref="E303" r:id="rId80" xr:uid="{172C358D-5501-4447-9FDE-DA046F6FED55}"/>
    <hyperlink ref="E116" r:id="rId81" xr:uid="{D181F941-FF02-423B-9F90-890B434046DD}"/>
    <hyperlink ref="E163" r:id="rId82" xr:uid="{1924D31B-B6B9-4CB2-936E-0F68E40FA2F5}"/>
    <hyperlink ref="E164" r:id="rId83" xr:uid="{8E97DA51-E6CD-4B11-B6F8-BD0A3CC93541}"/>
    <hyperlink ref="E99" r:id="rId84" xr:uid="{BACD6400-1341-654E-A5B2-576C65F8052B}"/>
    <hyperlink ref="E348" r:id="rId85" xr:uid="{C4CF7488-CAF7-4516-AB24-0FC50F0916A3}"/>
    <hyperlink ref="E123" r:id="rId86" xr:uid="{2B6C4E35-2657-4D1A-8D80-C54F892964F4}"/>
    <hyperlink ref="E11" r:id="rId87" xr:uid="{D4CC8F9A-CC3B-EE41-860B-629E01D90BFD}"/>
    <hyperlink ref="E406" r:id="rId88" xr:uid="{C4EB2FD5-19C2-4B46-A645-6A4B58B3BF48}"/>
    <hyperlink ref="E435" r:id="rId89" xr:uid="{E2D5EE7E-5721-5749-A98C-474C4C00D036}"/>
    <hyperlink ref="E23" r:id="rId90" xr:uid="{AA34EED3-260C-48F6-B18F-9CB2123B2DB8}"/>
    <hyperlink ref="E35" r:id="rId91" xr:uid="{3556B95F-6CC1-4165-90C0-F95B358B441D}"/>
    <hyperlink ref="E461" r:id="rId92" xr:uid="{E9466C79-B428-4906-B5D4-8A65E345C46A}"/>
    <hyperlink ref="E72" r:id="rId93" xr:uid="{0F64F384-8187-4F0A-B6D5-472BB2A5904F}"/>
    <hyperlink ref="E106" r:id="rId94" xr:uid="{5475D411-362D-4662-900D-6279A7227B29}"/>
    <hyperlink ref="E57" r:id="rId95" xr:uid="{6DB2BB02-C4A0-49AF-BAFF-B0F94FD8A18F}"/>
    <hyperlink ref="E56" r:id="rId96" xr:uid="{207C989E-621C-4033-9CCE-48EE8FC87164}"/>
    <hyperlink ref="E36" r:id="rId97" xr:uid="{EAE06527-C521-4E27-80DB-BF20330157C9}"/>
    <hyperlink ref="E83" r:id="rId98" xr:uid="{5E221389-B42A-4ECC-B5CE-DEA05F90F52F}"/>
    <hyperlink ref="E111" r:id="rId99" xr:uid="{50F9FE65-F347-4AD5-8CB3-AEF68BBB9AA8}"/>
    <hyperlink ref="E121" r:id="rId100" xr:uid="{75D04E08-C11D-42F6-A0B8-9E185A6BA249}"/>
    <hyperlink ref="E122" r:id="rId101" xr:uid="{DD06A32A-D1AE-4DFA-957F-7E5F6848399D}"/>
    <hyperlink ref="E54" r:id="rId102" xr:uid="{A9CCEE93-948C-4958-9273-229E876026E5}"/>
    <hyperlink ref="E62" r:id="rId103" xr:uid="{8A039020-76D6-4648-8559-2E66BD4069E8}"/>
    <hyperlink ref="E102" r:id="rId104" xr:uid="{7DEB18EF-0653-42AE-848B-1CD34B6185B1}"/>
    <hyperlink ref="E305" r:id="rId105" xr:uid="{500E1EB4-5BFA-41DA-B498-9CADDCBC3BD8}"/>
    <hyperlink ref="E519" r:id="rId106" xr:uid="{DA843767-B487-45EC-B6B6-4CAF3C575C50}"/>
    <hyperlink ref="E80" r:id="rId107" xr:uid="{5DA9C2AA-A278-4FF3-A2FD-E53617E5E8B8}"/>
    <hyperlink ref="E499" r:id="rId108" xr:uid="{91A036B5-0E03-4930-B738-BF1C076ACF18}"/>
    <hyperlink ref="E110" r:id="rId109" xr:uid="{8068ED1A-3B17-4C79-9022-B1BEE306CC58}"/>
    <hyperlink ref="E105" r:id="rId110" xr:uid="{DEB94AB7-6F89-44AE-9C77-B3E2D1E51B70}"/>
    <hyperlink ref="E306" r:id="rId111" xr:uid="{C5AE6E9D-13C3-40F4-80F9-EB86590BF332}"/>
    <hyperlink ref="E227" r:id="rId112" xr:uid="{47C928EF-242B-4B5F-9296-FA878004232C}"/>
    <hyperlink ref="E358" r:id="rId113" xr:uid="{B0C9190D-D136-462D-B004-BE374B10A4F0}"/>
    <hyperlink ref="E86" r:id="rId114" xr:uid="{1C0EAF20-C59C-4E14-90E0-E67EED291627}"/>
    <hyperlink ref="E304" r:id="rId115" xr:uid="{820E74E5-32AF-43AF-A75C-37305E58D952}"/>
    <hyperlink ref="E93" r:id="rId116" xr:uid="{4A53B476-D8D4-4433-B5B3-B626DD5ECAA5}"/>
    <hyperlink ref="E307" r:id="rId117" xr:uid="{0E69FC1D-F608-42EA-B683-C53C409C70F7}"/>
    <hyperlink ref="E167" r:id="rId118" xr:uid="{058DC54B-6F58-47B5-B00D-CB85499F0661}"/>
    <hyperlink ref="E168" r:id="rId119" xr:uid="{E3F91124-A68C-481A-9F88-5F0B403E12FC}"/>
    <hyperlink ref="E231" r:id="rId120" xr:uid="{879666A1-6AD0-495B-B29D-1523E9F3BF37}"/>
    <hyperlink ref="E55" r:id="rId121" xr:uid="{3E4416C1-24BA-4833-B8A9-810255675E01}"/>
    <hyperlink ref="E126" r:id="rId122" xr:uid="{CEEF1ECE-36B3-482E-AA72-8B9DAE4D2730}"/>
    <hyperlink ref="E124" r:id="rId123" xr:uid="{80739158-DB58-4D0E-8015-4407904D5E4C}"/>
    <hyperlink ref="E63" r:id="rId124" xr:uid="{FAC64BC1-A38C-4704-8DED-7AC1F6D784BD}"/>
    <hyperlink ref="E310" r:id="rId125" xr:uid="{B8FF6BDF-ECF2-42BA-996C-B33320BF3BB8}"/>
    <hyperlink ref="E125" r:id="rId126" xr:uid="{3C9F7D37-C376-486A-BD65-0A06F1A1BA4E}"/>
    <hyperlink ref="E76" r:id="rId127" xr:uid="{A739B306-7AF4-4BC1-B603-405E1AD42DA9}"/>
    <hyperlink ref="E70" r:id="rId128" xr:uid="{D16D1630-A1AE-4CF8-B35B-01F574ECC4EC}"/>
    <hyperlink ref="E82" r:id="rId129" xr:uid="{A96FF32D-8546-4297-AE3C-E279BBEB2988}"/>
    <hyperlink ref="E75" r:id="rId130" xr:uid="{B2C89E35-9AED-4A34-8767-FB6CD96F1DF7}"/>
    <hyperlink ref="E115" r:id="rId131" xr:uid="{7A0C9405-40F2-4CD9-999B-9032EC028C8E}"/>
    <hyperlink ref="E302" r:id="rId132" xr:uid="{F79A5FA4-445D-4428-8347-8E6CA8EBA325}"/>
    <hyperlink ref="E454" r:id="rId133" xr:uid="{C5162717-DEF1-45A6-BAF5-F5909C72945C}"/>
    <hyperlink ref="E542" r:id="rId134" xr:uid="{DCA25E80-5EA2-4E2F-B5AD-7E00734C912A}"/>
    <hyperlink ref="E301" r:id="rId135" xr:uid="{6E543356-A92B-4C40-A4D8-0039FD9CF30E}"/>
    <hyperlink ref="E230" r:id="rId136" xr:uid="{18B5F0EF-CE16-458F-B2EC-C055E9592268}"/>
    <hyperlink ref="E228" r:id="rId137" xr:uid="{8452EEB1-E3C6-4709-93A8-E45683AE4BD4}"/>
    <hyperlink ref="E78" r:id="rId138" xr:uid="{8515586A-C9D5-4B3A-AB81-567CAF8711D8}"/>
    <hyperlink ref="E100" r:id="rId139" xr:uid="{05112419-511E-40D9-B365-E7FC8328F3E3}"/>
    <hyperlink ref="E477" r:id="rId140" xr:uid="{42ED5909-2E52-452C-9738-284A43C46BA0}"/>
    <hyperlink ref="E114" r:id="rId141" xr:uid="{7B9292BF-8007-4C13-92AA-E4F48B407B78}"/>
    <hyperlink ref="E101" r:id="rId142" xr:uid="{4455E1D2-0A06-49CD-B578-A39396AB2276}"/>
    <hyperlink ref="E103" r:id="rId143" xr:uid="{9DBA9CB6-4FFE-4633-8913-39BE132E7E63}"/>
    <hyperlink ref="E16" r:id="rId144" xr:uid="{60368EA6-8CB5-4BF4-AD11-2511F2B2CC10}"/>
    <hyperlink ref="E260" r:id="rId145" xr:uid="{909F79D0-EDBD-44C4-8C45-548124C5C81A}"/>
    <hyperlink ref="E174" r:id="rId146" xr:uid="{0A7AB162-5181-4ECD-BE39-067356A9A255}"/>
    <hyperlink ref="E104" r:id="rId147" xr:uid="{A780315D-7EE1-43B1-808B-CA1A9B40DACC}"/>
    <hyperlink ref="E431" r:id="rId148" xr:uid="{6EE007AF-F0B0-4EED-9CDD-3FC2319822A5}"/>
    <hyperlink ref="E261" r:id="rId149" xr:uid="{ED761473-51F4-41BF-8401-76685055518C}"/>
    <hyperlink ref="E79" r:id="rId150" xr:uid="{7F559409-F96D-4010-8F92-37C722C2B828}"/>
    <hyperlink ref="E96" r:id="rId151" xr:uid="{C48A4FCA-0630-EF43-9EEC-B6CAB37EFE4F}"/>
    <hyperlink ref="E91" r:id="rId152" xr:uid="{96899701-8AB6-4B30-9017-19357666F340}"/>
    <hyperlink ref="E81" r:id="rId153" xr:uid="{CFB41F62-0690-4C3D-B6CD-811E3E94C4EE}"/>
    <hyperlink ref="E131" r:id="rId154" xr:uid="{82A44C16-0029-4130-9750-D08BCC5182B4}"/>
    <hyperlink ref="E58" r:id="rId155" xr:uid="{C35461B3-E679-4CC0-9362-2A53FE04533B}"/>
    <hyperlink ref="E85" r:id="rId156" xr:uid="{31B2FC14-DD5D-4E0C-A012-B1FDA85DBE36}"/>
    <hyperlink ref="E69" r:id="rId157" xr:uid="{96AAF9F5-B005-400B-B62E-90DC1A7E8852}"/>
    <hyperlink ref="E250" r:id="rId158" xr:uid="{5BE55498-D8ED-41C4-A33E-57BE28B07449}"/>
    <hyperlink ref="E407" r:id="rId159" xr:uid="{2B1AAFD9-D8D6-4616-841E-10108CC8192B}"/>
    <hyperlink ref="E410" r:id="rId160" xr:uid="{D4B5A9D9-65BB-430A-A731-1152EA8D5DED}"/>
    <hyperlink ref="E90" r:id="rId161" xr:uid="{67670CCE-8D41-4404-8F2B-F79243E31585}"/>
    <hyperlink ref="E118" r:id="rId162" xr:uid="{C904B992-93FD-497A-93CC-2FE800E3CDD4}"/>
    <hyperlink ref="E460" r:id="rId163" xr:uid="{B24388CE-B704-4189-8171-2A7C078385AA}"/>
    <hyperlink ref="E455" r:id="rId164" xr:uid="{107ACC16-1AF2-463F-97B2-B3329D313681}"/>
    <hyperlink ref="E405" r:id="rId165" xr:uid="{C40615BB-48F8-4AB1-92A6-E4710DC43430}"/>
    <hyperlink ref="E346" r:id="rId166" xr:uid="{0695F03B-1E3F-0E41-B1ED-4F68787EFC35}"/>
    <hyperlink ref="E462" r:id="rId167" xr:uid="{0152517F-3480-4755-804B-768910043082}"/>
    <hyperlink ref="E113" r:id="rId168" xr:uid="{F0EE4F6E-0A2F-4906-8143-739E8257E38C}"/>
    <hyperlink ref="E403" r:id="rId169" xr:uid="{0F9B63DB-3B35-4E51-BD36-EC943559BF1E}"/>
    <hyperlink ref="E456" r:id="rId170" xr:uid="{7592EF22-0CF5-48F3-8744-24868E314045}"/>
    <hyperlink ref="E453" r:id="rId171" xr:uid="{66F30E61-4E4B-47C8-8D49-028CC77AA4C6}"/>
    <hyperlink ref="E408" r:id="rId172" xr:uid="{778D749F-0610-418A-A963-ADCD5A226677}"/>
    <hyperlink ref="E447" r:id="rId173" xr:uid="{8E820BFC-E26B-4A27-A962-89FF7A10589B}"/>
    <hyperlink ref="E402" r:id="rId174" xr:uid="{3DD5CDF4-E650-429E-97DF-ABC116C3584D}"/>
    <hyperlink ref="E336" r:id="rId175" xr:uid="{1292FD9E-BA4F-4B20-AD44-4B752114EEEF}"/>
    <hyperlink ref="E404" r:id="rId176" xr:uid="{35FB9AE4-5A31-48BA-9D76-BF10058F42EC}"/>
    <hyperlink ref="E361" r:id="rId177" xr:uid="{4C62C768-C471-4E03-BD75-AF60DDF17283}"/>
    <hyperlink ref="E84" r:id="rId178" xr:uid="{FCC7525B-426F-4D18-B356-CF6486A50A0F}"/>
    <hyperlink ref="E362" r:id="rId179" xr:uid="{3714C986-B632-4E2F-8857-1DCA6DFD79FD}"/>
    <hyperlink ref="E257" r:id="rId180" xr:uid="{CE44BEA4-012D-4699-8F08-C58713DDB2BE}"/>
    <hyperlink ref="E212" r:id="rId181" xr:uid="{0E4C0ACB-35E3-43D4-B0E1-F865F7ED59B8}"/>
    <hyperlink ref="E359" r:id="rId182" xr:uid="{5127CACD-341C-4DCA-B244-83466075BEBF}"/>
    <hyperlink ref="E253" r:id="rId183" xr:uid="{3573C1AD-06BF-427D-B677-BD1F3CB3985C}"/>
    <hyperlink ref="E20" r:id="rId184" xr:uid="{2A05959C-B3A5-4B78-ADA7-E471C7CE2630}"/>
    <hyperlink ref="E9" r:id="rId185" xr:uid="{3E3C29B0-B6B6-4941-A344-5D4A8066AA33}"/>
    <hyperlink ref="E14" r:id="rId186" xr:uid="{FE407E2D-0513-4C01-8F65-0FACC1AB5B97}"/>
    <hyperlink ref="E12" r:id="rId187" xr:uid="{5ABD642F-31BA-4307-9A24-D75F9ABBBDAA}"/>
    <hyperlink ref="E24" r:id="rId188" xr:uid="{C4B4660F-C5FF-4941-BE50-98ABDA101D7F}"/>
    <hyperlink ref="E27" r:id="rId189" xr:uid="{3481449D-1354-4BBE-B320-9EC407192702}"/>
    <hyperlink ref="E457" r:id="rId190" xr:uid="{51D052A4-1B75-48F3-93AF-E8B1B96076CE}"/>
    <hyperlink ref="E458" r:id="rId191" xr:uid="{FD546B4F-FF4A-4365-A9F1-25C43D119A98}"/>
    <hyperlink ref="E459" r:id="rId192" xr:uid="{FA2E0702-7573-4035-93EA-A0CE71143105}"/>
    <hyperlink ref="E98" r:id="rId193" xr:uid="{19D04C6A-EB12-4779-9BF1-8615419B9493}"/>
    <hyperlink ref="E283" r:id="rId194" xr:uid="{F54AFBD3-3040-4478-815C-CC270DBC110E}"/>
    <hyperlink ref="E165" r:id="rId195" xr:uid="{5741E758-F26D-41A7-976D-943D0B4BBA8C}"/>
    <hyperlink ref="E232" r:id="rId196" xr:uid="{46E08616-E182-4770-A0EC-E67C429D363A}"/>
    <hyperlink ref="E401" r:id="rId197" xr:uid="{25A8908D-5EB4-416E-B88A-983D1FDD66C7}"/>
    <hyperlink ref="E417" r:id="rId198" xr:uid="{63936724-7806-4858-BC51-BF317429A4D3}"/>
    <hyperlink ref="E426" r:id="rId199" xr:uid="{F7B60A92-FEBA-4956-8C32-3DAD1956FCBE}"/>
    <hyperlink ref="E258" r:id="rId200" xr:uid="{BB2D6CB0-9710-43BE-9C9C-96D4CB00CC27}"/>
    <hyperlink ref="E369" r:id="rId201" xr:uid="{7EF10422-26D7-4738-A7D3-E7994A8DAA2B}"/>
    <hyperlink ref="E162" r:id="rId202" xr:uid="{F19BA876-8355-426C-9961-985F5221658A}"/>
    <hyperlink ref="E425" r:id="rId203" xr:uid="{C5D06361-EB49-48E0-A1D9-AF4AC610A623}"/>
    <hyperlink ref="E251" r:id="rId204" xr:uid="{3EBF05D2-CB49-4743-B497-44F343FEF925}"/>
    <hyperlink ref="E252" r:id="rId205" xr:uid="{9F744E11-79B1-41BF-84C3-9DB6AA9D6A0A}"/>
    <hyperlink ref="E229" r:id="rId206" xr:uid="{89A3EC98-D13D-4CF4-A6D0-7CE019243966}"/>
    <hyperlink ref="E92" r:id="rId207" xr:uid="{64B386A5-32AA-479A-BF21-CAB85694C43C}"/>
    <hyperlink ref="E377" r:id="rId208" xr:uid="{C7EC599F-1BEA-45A7-9110-61C63AADB6EA}"/>
    <hyperlink ref="E430" r:id="rId209" xr:uid="{F4947070-5DBC-4DB5-89C2-5BF3AAF42097}"/>
    <hyperlink ref="E423" r:id="rId210" xr:uid="{2B90B6AE-5270-499A-ACC5-93CF43195988}"/>
    <hyperlink ref="E370" r:id="rId211" xr:uid="{6C1AFFD3-C72A-4EC5-9C96-6ED79496D763}"/>
    <hyperlink ref="E109" r:id="rId212" xr:uid="{9F4AE380-FC68-48E0-95DA-205160A3646B}"/>
    <hyperlink ref="E170" r:id="rId213" xr:uid="{60CEAB5A-AEFD-4A1A-AE36-6388775884A6}"/>
    <hyperlink ref="E201" r:id="rId214" xr:uid="{D2FE86B3-4852-4B36-A676-E4C0EAECF9DF}"/>
    <hyperlink ref="E309" r:id="rId215" xr:uid="{27C76475-566F-4D32-9C1A-13CA8106D463}"/>
  </hyperlinks>
  <pageMargins left="0.7" right="0.7" top="0.75" bottom="0.75" header="0.3" footer="0.3"/>
  <pageSetup paperSize="9" orientation="portrait" r:id="rId216"/>
  <legacyDrawing r:id="rId2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7"/>
    <col min="5" max="5" width="20.81640625" style="27" customWidth="1"/>
    <col min="6" max="6" width="26.81640625" style="27" customWidth="1"/>
    <col min="7" max="7" width="9.1796875" style="29"/>
    <col min="9" max="9" width="13.453125" style="27" bestFit="1" customWidth="1"/>
  </cols>
  <sheetData>
    <row r="1" spans="1:10" x14ac:dyDescent="0.25">
      <c r="A1" s="5" t="s">
        <v>285</v>
      </c>
    </row>
    <row r="2" spans="1:10" x14ac:dyDescent="0.25">
      <c r="B2" t="s">
        <v>1441</v>
      </c>
      <c r="C2" t="s">
        <v>1442</v>
      </c>
      <c r="D2" s="27" t="s">
        <v>1440</v>
      </c>
      <c r="E2" s="27" t="s">
        <v>1448</v>
      </c>
      <c r="F2" s="27" t="s">
        <v>1444</v>
      </c>
      <c r="G2" s="29" t="s">
        <v>1452</v>
      </c>
      <c r="H2" s="27" t="s">
        <v>1458</v>
      </c>
      <c r="I2" s="27" t="s">
        <v>1460</v>
      </c>
      <c r="J2" s="27" t="s">
        <v>1463</v>
      </c>
    </row>
    <row r="3" spans="1:10" x14ac:dyDescent="0.25">
      <c r="B3" t="s">
        <v>1459</v>
      </c>
      <c r="C3" t="s">
        <v>1445</v>
      </c>
      <c r="D3" s="27">
        <v>1</v>
      </c>
      <c r="E3" s="27" t="s">
        <v>1449</v>
      </c>
      <c r="F3" s="27" t="s">
        <v>1464</v>
      </c>
      <c r="G3" s="29">
        <v>6979</v>
      </c>
      <c r="I3" s="27" t="s">
        <v>1461</v>
      </c>
      <c r="J3">
        <v>65</v>
      </c>
    </row>
    <row r="4" spans="1:10" x14ac:dyDescent="0.25">
      <c r="B4" t="s">
        <v>1446</v>
      </c>
      <c r="C4" t="s">
        <v>1447</v>
      </c>
      <c r="D4" s="27">
        <v>2</v>
      </c>
      <c r="E4" s="27" t="s">
        <v>1450</v>
      </c>
      <c r="F4" s="27" t="s">
        <v>1451</v>
      </c>
      <c r="G4" s="29">
        <v>145781.6</v>
      </c>
      <c r="I4" s="27" t="s">
        <v>1451</v>
      </c>
    </row>
    <row r="5" spans="1:10" x14ac:dyDescent="0.25">
      <c r="B5" t="s">
        <v>1453</v>
      </c>
      <c r="C5" t="s">
        <v>1454</v>
      </c>
      <c r="D5" s="27">
        <v>3</v>
      </c>
      <c r="E5" s="27" t="s">
        <v>1455</v>
      </c>
      <c r="F5" s="27" t="s">
        <v>1456</v>
      </c>
      <c r="G5" s="29">
        <v>29253.9</v>
      </c>
      <c r="I5" s="27" t="s">
        <v>1461</v>
      </c>
      <c r="J5">
        <v>260</v>
      </c>
    </row>
    <row r="6" spans="1:10" x14ac:dyDescent="0.25">
      <c r="B6" t="s">
        <v>1467</v>
      </c>
      <c r="C6" t="s">
        <v>1465</v>
      </c>
      <c r="D6" s="27">
        <v>4</v>
      </c>
      <c r="E6" s="27" t="s">
        <v>1468</v>
      </c>
      <c r="F6" s="27" t="s">
        <v>1469</v>
      </c>
      <c r="G6" s="29">
        <v>58000</v>
      </c>
      <c r="I6" s="27" t="s">
        <v>1466</v>
      </c>
      <c r="J6">
        <f>387+133</f>
        <v>520</v>
      </c>
    </row>
    <row r="7" spans="1:10" x14ac:dyDescent="0.25">
      <c r="B7" t="s">
        <v>1471</v>
      </c>
      <c r="C7" t="s">
        <v>1470</v>
      </c>
      <c r="D7" s="27">
        <v>5</v>
      </c>
      <c r="E7" s="27" t="s">
        <v>1472</v>
      </c>
      <c r="F7" s="27" t="s">
        <v>1473</v>
      </c>
      <c r="G7" s="29">
        <v>51235</v>
      </c>
      <c r="I7" s="27" t="s">
        <v>1461</v>
      </c>
      <c r="J7">
        <v>934</v>
      </c>
    </row>
    <row r="8" spans="1:10" x14ac:dyDescent="0.25">
      <c r="B8" t="s">
        <v>1475</v>
      </c>
      <c r="C8" t="s">
        <v>1474</v>
      </c>
      <c r="D8" s="27">
        <v>6</v>
      </c>
      <c r="E8" s="27" t="s">
        <v>1449</v>
      </c>
      <c r="F8" s="27" t="s">
        <v>1464</v>
      </c>
      <c r="G8" s="29">
        <v>2180</v>
      </c>
      <c r="I8" s="27" t="s">
        <v>1462</v>
      </c>
      <c r="J8">
        <v>20</v>
      </c>
    </row>
    <row r="9" spans="1:10" x14ac:dyDescent="0.25">
      <c r="B9" t="s">
        <v>1476</v>
      </c>
      <c r="C9" t="s">
        <v>1477</v>
      </c>
      <c r="D9" s="27">
        <v>7</v>
      </c>
      <c r="E9" s="27" t="s">
        <v>1479</v>
      </c>
      <c r="F9" s="27" t="s">
        <v>1478</v>
      </c>
      <c r="G9" s="29">
        <v>1209</v>
      </c>
      <c r="I9" s="27" t="s">
        <v>1462</v>
      </c>
      <c r="J9">
        <v>9</v>
      </c>
    </row>
    <row r="10" spans="1:10" x14ac:dyDescent="0.25">
      <c r="B10" t="s">
        <v>1482</v>
      </c>
      <c r="C10" t="s">
        <v>1480</v>
      </c>
      <c r="D10" s="27">
        <v>8</v>
      </c>
      <c r="E10" s="27" t="s">
        <v>1481</v>
      </c>
      <c r="F10" s="27" t="s">
        <v>1496</v>
      </c>
      <c r="G10" s="29">
        <v>60000</v>
      </c>
      <c r="I10" s="27" t="s">
        <v>1461</v>
      </c>
      <c r="J10">
        <v>165</v>
      </c>
    </row>
    <row r="11" spans="1:10" x14ac:dyDescent="0.25">
      <c r="B11" t="s">
        <v>1485</v>
      </c>
      <c r="C11" t="s">
        <v>1483</v>
      </c>
      <c r="D11" s="27">
        <v>9</v>
      </c>
      <c r="E11" s="27" t="s">
        <v>1484</v>
      </c>
      <c r="F11" s="27" t="s">
        <v>1456</v>
      </c>
      <c r="G11" s="29">
        <v>59000</v>
      </c>
      <c r="I11" s="27" t="s">
        <v>1461</v>
      </c>
      <c r="J11">
        <v>527</v>
      </c>
    </row>
    <row r="12" spans="1:10" x14ac:dyDescent="0.25">
      <c r="B12" t="s">
        <v>1489</v>
      </c>
      <c r="C12" t="s">
        <v>1486</v>
      </c>
      <c r="D12" s="27">
        <v>10</v>
      </c>
      <c r="E12" s="27" t="s">
        <v>1487</v>
      </c>
      <c r="F12" s="27" t="s">
        <v>1488</v>
      </c>
      <c r="G12" s="29">
        <v>3358</v>
      </c>
      <c r="I12" s="27" t="s">
        <v>1462</v>
      </c>
      <c r="J12">
        <v>29</v>
      </c>
    </row>
    <row r="13" spans="1:10" x14ac:dyDescent="0.25">
      <c r="B13" t="s">
        <v>1491</v>
      </c>
      <c r="C13" t="s">
        <v>1490</v>
      </c>
      <c r="D13" s="27">
        <v>11</v>
      </c>
      <c r="E13" s="27" t="s">
        <v>1481</v>
      </c>
      <c r="F13" s="27" t="s">
        <v>1496</v>
      </c>
      <c r="G13" s="29">
        <v>19241</v>
      </c>
      <c r="I13" s="27" t="s">
        <v>1515</v>
      </c>
      <c r="J13">
        <v>166</v>
      </c>
    </row>
    <row r="14" spans="1:10" x14ac:dyDescent="0.25">
      <c r="B14" t="s">
        <v>1492</v>
      </c>
      <c r="C14" t="s">
        <v>1493</v>
      </c>
      <c r="D14" s="27">
        <v>12</v>
      </c>
      <c r="E14" s="27" t="s">
        <v>1494</v>
      </c>
      <c r="F14" s="27" t="s">
        <v>1495</v>
      </c>
      <c r="G14" s="29">
        <v>18396</v>
      </c>
      <c r="I14" s="27" t="s">
        <v>1461</v>
      </c>
    </row>
    <row r="15" spans="1:10" x14ac:dyDescent="0.25">
      <c r="B15" t="s">
        <v>1500</v>
      </c>
      <c r="C15" t="s">
        <v>1497</v>
      </c>
      <c r="D15" s="27">
        <v>13</v>
      </c>
      <c r="E15" s="27" t="s">
        <v>1499</v>
      </c>
      <c r="F15" s="27" t="s">
        <v>1498</v>
      </c>
      <c r="G15" s="29">
        <v>31126.5</v>
      </c>
      <c r="I15" s="27" t="s">
        <v>1461</v>
      </c>
    </row>
    <row r="16" spans="1:10" x14ac:dyDescent="0.25">
      <c r="B16" t="s">
        <v>1502</v>
      </c>
      <c r="C16" t="s">
        <v>1503</v>
      </c>
      <c r="D16" s="27">
        <v>14</v>
      </c>
      <c r="E16" s="27" t="s">
        <v>1479</v>
      </c>
      <c r="F16" s="27" t="s">
        <v>1504</v>
      </c>
      <c r="G16" s="29">
        <v>1269</v>
      </c>
      <c r="I16" s="27" t="s">
        <v>1505</v>
      </c>
      <c r="J16" s="27" t="s">
        <v>1506</v>
      </c>
    </row>
    <row r="17" spans="2:10" x14ac:dyDescent="0.25">
      <c r="C17" t="s">
        <v>1507</v>
      </c>
      <c r="D17" s="27">
        <v>15</v>
      </c>
      <c r="E17" s="27" t="s">
        <v>1499</v>
      </c>
      <c r="F17" s="27" t="s">
        <v>1508</v>
      </c>
      <c r="G17" s="29">
        <v>39589.599999999999</v>
      </c>
      <c r="I17" s="27" t="s">
        <v>1461</v>
      </c>
      <c r="J17" s="27">
        <v>355</v>
      </c>
    </row>
    <row r="18" spans="2:10" x14ac:dyDescent="0.25">
      <c r="B18" t="s">
        <v>1510</v>
      </c>
      <c r="C18" t="s">
        <v>1509</v>
      </c>
      <c r="D18" s="27">
        <v>16</v>
      </c>
      <c r="E18" s="27" t="s">
        <v>1494</v>
      </c>
      <c r="F18" s="27" t="s">
        <v>1495</v>
      </c>
      <c r="G18" s="29">
        <v>18396</v>
      </c>
      <c r="I18" s="27" t="s">
        <v>1461</v>
      </c>
      <c r="J18" s="27">
        <v>165</v>
      </c>
    </row>
    <row r="19" spans="2:10" x14ac:dyDescent="0.25">
      <c r="C19" t="s">
        <v>1511</v>
      </c>
      <c r="D19" s="27">
        <v>17</v>
      </c>
      <c r="E19" s="27" t="s">
        <v>1513</v>
      </c>
      <c r="F19" s="27" t="s">
        <v>1512</v>
      </c>
      <c r="G19" s="29">
        <v>3431.8530000000001</v>
      </c>
      <c r="I19" s="27" t="s">
        <v>1462</v>
      </c>
      <c r="J19" s="27">
        <v>32</v>
      </c>
    </row>
    <row r="20" spans="2:10" x14ac:dyDescent="0.25">
      <c r="C20" t="s">
        <v>1514</v>
      </c>
      <c r="D20" s="27">
        <v>18</v>
      </c>
      <c r="E20" s="27" t="s">
        <v>1481</v>
      </c>
      <c r="F20" s="27" t="s">
        <v>1496</v>
      </c>
      <c r="I20" s="27" t="s">
        <v>1515</v>
      </c>
      <c r="J20" s="27">
        <v>166</v>
      </c>
    </row>
    <row r="21" spans="2:10" x14ac:dyDescent="0.25">
      <c r="B21" t="s">
        <v>1517</v>
      </c>
      <c r="C21" t="s">
        <v>1516</v>
      </c>
      <c r="D21" s="27">
        <v>19</v>
      </c>
      <c r="E21" s="27" t="s">
        <v>1519</v>
      </c>
      <c r="F21" s="27" t="s">
        <v>1518</v>
      </c>
      <c r="G21" s="29">
        <v>39000</v>
      </c>
      <c r="I21" s="27" t="s">
        <v>1461</v>
      </c>
      <c r="J21" s="27"/>
    </row>
    <row r="22" spans="2:10" x14ac:dyDescent="0.25">
      <c r="B22" t="s">
        <v>1521</v>
      </c>
      <c r="C22" s="54" t="s">
        <v>1520</v>
      </c>
      <c r="D22" s="27">
        <v>20</v>
      </c>
      <c r="E22" s="27" t="s">
        <v>1523</v>
      </c>
      <c r="F22" s="27" t="s">
        <v>1522</v>
      </c>
      <c r="G22" s="29">
        <v>14434.5</v>
      </c>
      <c r="I22" s="27" t="s">
        <v>1461</v>
      </c>
      <c r="J22" s="27">
        <v>127</v>
      </c>
    </row>
    <row r="23" spans="2:10" x14ac:dyDescent="0.25">
      <c r="C23" s="54" t="s">
        <v>1524</v>
      </c>
      <c r="D23" s="27">
        <v>21</v>
      </c>
      <c r="E23" s="27" t="s">
        <v>1525</v>
      </c>
      <c r="F23" s="27" t="s">
        <v>1526</v>
      </c>
      <c r="G23" s="29">
        <v>3039</v>
      </c>
      <c r="I23" s="27" t="s">
        <v>1462</v>
      </c>
      <c r="J23" s="27">
        <v>27</v>
      </c>
    </row>
    <row r="24" spans="2:10" x14ac:dyDescent="0.25">
      <c r="C24" s="54" t="s">
        <v>1527</v>
      </c>
      <c r="D24" s="27">
        <v>22</v>
      </c>
      <c r="E24" s="27" t="s">
        <v>1481</v>
      </c>
      <c r="F24" s="27" t="s">
        <v>1496</v>
      </c>
      <c r="G24" s="29">
        <v>31000</v>
      </c>
      <c r="I24" s="27" t="s">
        <v>1461</v>
      </c>
      <c r="J24" s="27"/>
    </row>
    <row r="25" spans="2:10" x14ac:dyDescent="0.25">
      <c r="B25" t="s">
        <v>1529</v>
      </c>
      <c r="C25" s="54" t="s">
        <v>1528</v>
      </c>
      <c r="D25" s="27">
        <v>23</v>
      </c>
      <c r="E25" s="27" t="s">
        <v>1530</v>
      </c>
      <c r="F25" s="27" t="s">
        <v>1456</v>
      </c>
      <c r="J25" s="27"/>
    </row>
    <row r="26" spans="2:10" x14ac:dyDescent="0.25">
      <c r="B26" t="s">
        <v>1531</v>
      </c>
      <c r="C26" s="54" t="s">
        <v>1532</v>
      </c>
      <c r="D26" s="27">
        <v>24</v>
      </c>
      <c r="E26" s="27" t="s">
        <v>1533</v>
      </c>
      <c r="F26" s="27" t="s">
        <v>1534</v>
      </c>
      <c r="G26" s="29">
        <v>22673</v>
      </c>
      <c r="I26" s="27" t="s">
        <v>1461</v>
      </c>
      <c r="J26" s="27"/>
    </row>
    <row r="27" spans="2:10" x14ac:dyDescent="0.25">
      <c r="B27" t="s">
        <v>1535</v>
      </c>
      <c r="C27" s="54" t="s">
        <v>1536</v>
      </c>
      <c r="D27" s="27">
        <v>25</v>
      </c>
      <c r="E27" s="27" t="s">
        <v>1537</v>
      </c>
      <c r="F27" s="27" t="s">
        <v>1538</v>
      </c>
      <c r="G27" s="29">
        <v>264726</v>
      </c>
      <c r="I27" s="27" t="s">
        <v>1461</v>
      </c>
      <c r="J27" s="27">
        <v>2332</v>
      </c>
    </row>
    <row r="28" spans="2:10" x14ac:dyDescent="0.25">
      <c r="B28" t="s">
        <v>1539</v>
      </c>
      <c r="C28" s="54" t="s">
        <v>1540</v>
      </c>
      <c r="D28" s="27">
        <v>26</v>
      </c>
      <c r="E28" s="27" t="s">
        <v>1541</v>
      </c>
      <c r="F28" s="27" t="s">
        <v>1473</v>
      </c>
      <c r="G28" s="29">
        <v>17257.599999999999</v>
      </c>
      <c r="I28" s="27" t="s">
        <v>1461</v>
      </c>
      <c r="J28" s="27">
        <v>153</v>
      </c>
    </row>
    <row r="29" spans="2:10" x14ac:dyDescent="0.25">
      <c r="C29" s="54" t="s">
        <v>1542</v>
      </c>
      <c r="D29" s="27">
        <v>27</v>
      </c>
      <c r="G29" s="29">
        <v>1811.2529999999999</v>
      </c>
      <c r="I29" s="27" t="s">
        <v>1462</v>
      </c>
      <c r="J29" s="27">
        <v>15</v>
      </c>
    </row>
    <row r="30" spans="2:10" x14ac:dyDescent="0.25">
      <c r="B30" t="s">
        <v>1543</v>
      </c>
      <c r="C30" s="54" t="s">
        <v>1544</v>
      </c>
      <c r="D30" s="27">
        <v>28</v>
      </c>
      <c r="G30" s="29">
        <v>142682.29999999999</v>
      </c>
      <c r="I30" s="27" t="s">
        <v>1515</v>
      </c>
      <c r="J30" s="27"/>
    </row>
    <row r="31" spans="2:10" x14ac:dyDescent="0.25">
      <c r="C31" s="54" t="s">
        <v>1545</v>
      </c>
      <c r="D31" s="27">
        <v>29</v>
      </c>
      <c r="E31" s="27" t="s">
        <v>1499</v>
      </c>
      <c r="F31" s="27" t="s">
        <v>1456</v>
      </c>
      <c r="G31" s="29">
        <v>59042.3</v>
      </c>
      <c r="I31" s="27" t="s">
        <v>1461</v>
      </c>
      <c r="J31" s="27">
        <v>527</v>
      </c>
    </row>
    <row r="32" spans="2:10" x14ac:dyDescent="0.25">
      <c r="B32" t="s">
        <v>1547</v>
      </c>
      <c r="C32" s="54" t="s">
        <v>1546</v>
      </c>
      <c r="D32" s="27">
        <v>30</v>
      </c>
      <c r="E32" s="27" t="s">
        <v>1548</v>
      </c>
      <c r="F32" s="27" t="s">
        <v>1549</v>
      </c>
      <c r="G32" s="29">
        <v>5808</v>
      </c>
      <c r="I32" s="27" t="s">
        <v>1461</v>
      </c>
      <c r="J32" s="27">
        <v>51</v>
      </c>
    </row>
    <row r="33" spans="2:10" x14ac:dyDescent="0.25">
      <c r="B33" t="s">
        <v>1550</v>
      </c>
      <c r="C33" s="54" t="s">
        <v>1551</v>
      </c>
      <c r="D33" s="27">
        <v>31</v>
      </c>
      <c r="E33" s="27" t="s">
        <v>1499</v>
      </c>
      <c r="F33" s="27" t="s">
        <v>1508</v>
      </c>
      <c r="G33" s="29">
        <v>58951.199999999997</v>
      </c>
      <c r="I33" s="27" t="s">
        <v>1461</v>
      </c>
      <c r="J33" s="27">
        <v>527</v>
      </c>
    </row>
    <row r="34" spans="2:10" x14ac:dyDescent="0.25">
      <c r="B34" t="s">
        <v>1552</v>
      </c>
      <c r="C34" s="54" t="s">
        <v>1553</v>
      </c>
      <c r="D34" s="27">
        <v>32</v>
      </c>
      <c r="E34" s="27" t="s">
        <v>1554</v>
      </c>
      <c r="F34" s="27" t="s">
        <v>1555</v>
      </c>
      <c r="G34" s="29">
        <v>23390.3</v>
      </c>
      <c r="I34" s="27" t="s">
        <v>1515</v>
      </c>
      <c r="J34" s="27"/>
    </row>
    <row r="35" spans="2:10" x14ac:dyDescent="0.25">
      <c r="B35" t="s">
        <v>1556</v>
      </c>
      <c r="C35" s="54" t="s">
        <v>1557</v>
      </c>
      <c r="D35" s="27">
        <v>33</v>
      </c>
      <c r="E35" s="27" t="s">
        <v>1481</v>
      </c>
      <c r="F35" s="27" t="s">
        <v>1496</v>
      </c>
      <c r="G35" s="29">
        <v>17145.599999999999</v>
      </c>
      <c r="I35" s="27" t="s">
        <v>1461</v>
      </c>
      <c r="J35" s="27">
        <v>140</v>
      </c>
    </row>
    <row r="36" spans="2:10" x14ac:dyDescent="0.25">
      <c r="C36" s="54" t="s">
        <v>1558</v>
      </c>
      <c r="D36" s="27">
        <v>34</v>
      </c>
      <c r="E36" s="27" t="s">
        <v>1481</v>
      </c>
      <c r="F36" s="27" t="s">
        <v>1496</v>
      </c>
      <c r="G36" s="29">
        <v>19241.099999999999</v>
      </c>
      <c r="I36" s="27" t="s">
        <v>1461</v>
      </c>
      <c r="J36" s="27">
        <v>165</v>
      </c>
    </row>
    <row r="37" spans="2:10" x14ac:dyDescent="0.25">
      <c r="B37" t="s">
        <v>1562</v>
      </c>
      <c r="C37" s="54" t="s">
        <v>1559</v>
      </c>
      <c r="D37" s="27">
        <v>35</v>
      </c>
      <c r="E37" s="27" t="s">
        <v>1560</v>
      </c>
      <c r="F37" s="27" t="s">
        <v>1561</v>
      </c>
      <c r="G37" s="29">
        <v>1069</v>
      </c>
      <c r="I37" s="27" t="s">
        <v>1462</v>
      </c>
      <c r="J37" s="27">
        <v>8</v>
      </c>
    </row>
    <row r="38" spans="2:10" x14ac:dyDescent="0.25">
      <c r="B38" t="s">
        <v>1564</v>
      </c>
      <c r="C38" s="54" t="s">
        <v>1563</v>
      </c>
      <c r="D38" s="27">
        <v>36</v>
      </c>
      <c r="E38" s="27" t="s">
        <v>1565</v>
      </c>
      <c r="F38" s="27" t="s">
        <v>1456</v>
      </c>
      <c r="G38" s="29">
        <v>45079</v>
      </c>
      <c r="J38" s="27"/>
    </row>
    <row r="39" spans="2:10" x14ac:dyDescent="0.25">
      <c r="C39" s="54" t="s">
        <v>1558</v>
      </c>
      <c r="D39" s="27">
        <v>37</v>
      </c>
      <c r="E39" s="27" t="s">
        <v>1481</v>
      </c>
      <c r="F39" s="27" t="s">
        <v>1496</v>
      </c>
      <c r="G39" s="29">
        <v>19241.099999999999</v>
      </c>
      <c r="I39" s="27" t="s">
        <v>1461</v>
      </c>
      <c r="J39" s="27">
        <v>165</v>
      </c>
    </row>
    <row r="40" spans="2:10" x14ac:dyDescent="0.25">
      <c r="B40" t="s">
        <v>1567</v>
      </c>
      <c r="C40" s="54" t="s">
        <v>1566</v>
      </c>
      <c r="D40" s="27">
        <v>38</v>
      </c>
      <c r="E40" s="27" t="s">
        <v>1568</v>
      </c>
      <c r="F40" s="27" t="s">
        <v>1569</v>
      </c>
      <c r="G40" s="29">
        <v>19047</v>
      </c>
      <c r="I40" s="27" t="s">
        <v>1461</v>
      </c>
      <c r="J40" s="27">
        <v>177</v>
      </c>
    </row>
    <row r="41" spans="2:10" x14ac:dyDescent="0.25">
      <c r="B41" t="s">
        <v>1570</v>
      </c>
      <c r="C41" s="54" t="s">
        <v>1571</v>
      </c>
      <c r="D41" s="27">
        <v>39</v>
      </c>
      <c r="E41" s="27" t="s">
        <v>1572</v>
      </c>
      <c r="F41" s="27" t="s">
        <v>1573</v>
      </c>
      <c r="G41" s="29">
        <v>16192.7</v>
      </c>
      <c r="I41" s="27" t="s">
        <v>1461</v>
      </c>
      <c r="J41" s="27">
        <v>140</v>
      </c>
    </row>
    <row r="42" spans="2:10" x14ac:dyDescent="0.25">
      <c r="B42" t="s">
        <v>1575</v>
      </c>
      <c r="C42" s="54" t="s">
        <v>1574</v>
      </c>
      <c r="D42" s="27">
        <v>40</v>
      </c>
      <c r="E42" s="27" t="s">
        <v>1576</v>
      </c>
      <c r="F42" s="27" t="s">
        <v>1577</v>
      </c>
      <c r="G42" s="29">
        <v>3767.1</v>
      </c>
      <c r="I42" s="27" t="s">
        <v>1462</v>
      </c>
      <c r="J42" s="27">
        <v>29</v>
      </c>
    </row>
    <row r="43" spans="2:10" x14ac:dyDescent="0.25">
      <c r="B43" t="s">
        <v>1578</v>
      </c>
      <c r="C43" s="54" t="s">
        <v>1579</v>
      </c>
      <c r="D43" s="27">
        <v>41</v>
      </c>
      <c r="E43" s="27" t="s">
        <v>1580</v>
      </c>
      <c r="F43" s="27" t="s">
        <v>1581</v>
      </c>
      <c r="G43" s="29">
        <v>15314.8</v>
      </c>
      <c r="I43" s="27" t="s">
        <v>1461</v>
      </c>
      <c r="J43" s="27">
        <v>12</v>
      </c>
    </row>
    <row r="44" spans="2:10" x14ac:dyDescent="0.25">
      <c r="B44" t="s">
        <v>1582</v>
      </c>
      <c r="C44" s="54" t="s">
        <v>1583</v>
      </c>
      <c r="D44" s="27">
        <v>42</v>
      </c>
      <c r="G44" s="29">
        <v>150804</v>
      </c>
      <c r="J44" s="27"/>
    </row>
    <row r="45" spans="2:10" x14ac:dyDescent="0.25">
      <c r="B45" t="s">
        <v>1584</v>
      </c>
      <c r="C45" s="54" t="s">
        <v>1585</v>
      </c>
      <c r="D45" s="27">
        <v>43</v>
      </c>
      <c r="E45" s="27" t="s">
        <v>1586</v>
      </c>
      <c r="F45" s="27" t="s">
        <v>1451</v>
      </c>
      <c r="G45" s="29">
        <v>149000</v>
      </c>
      <c r="I45" s="27" t="s">
        <v>1451</v>
      </c>
      <c r="J45" s="27"/>
    </row>
    <row r="46" spans="2:10" x14ac:dyDescent="0.25">
      <c r="C46" s="54" t="s">
        <v>1587</v>
      </c>
      <c r="D46" s="27">
        <v>44</v>
      </c>
      <c r="E46" s="27" t="s">
        <v>1588</v>
      </c>
      <c r="F46" s="27" t="s">
        <v>1589</v>
      </c>
      <c r="G46" s="29">
        <v>30000</v>
      </c>
      <c r="I46" s="27" t="s">
        <v>1461</v>
      </c>
      <c r="J46" s="27"/>
    </row>
    <row r="47" spans="2:10" x14ac:dyDescent="0.25">
      <c r="C47" s="54" t="s">
        <v>1590</v>
      </c>
      <c r="D47" s="27">
        <v>45</v>
      </c>
      <c r="G47" s="29">
        <v>27743</v>
      </c>
      <c r="J47" s="27"/>
    </row>
    <row r="48" spans="2:10" x14ac:dyDescent="0.25">
      <c r="B48" t="s">
        <v>1416</v>
      </c>
      <c r="C48" s="54" t="s">
        <v>1591</v>
      </c>
      <c r="D48" s="27">
        <v>46</v>
      </c>
      <c r="E48" s="27" t="s">
        <v>1548</v>
      </c>
      <c r="F48" s="27" t="s">
        <v>1549</v>
      </c>
      <c r="G48" s="29">
        <v>5808</v>
      </c>
      <c r="I48" s="27" t="s">
        <v>1461</v>
      </c>
      <c r="J48" s="27">
        <v>51</v>
      </c>
    </row>
    <row r="49" spans="2:10" x14ac:dyDescent="0.25">
      <c r="B49" t="s">
        <v>1593</v>
      </c>
      <c r="C49" s="54" t="s">
        <v>1592</v>
      </c>
      <c r="D49" s="27">
        <v>47</v>
      </c>
      <c r="E49" s="27" t="s">
        <v>1548</v>
      </c>
      <c r="F49" s="27" t="s">
        <v>1549</v>
      </c>
      <c r="G49" s="29">
        <v>6063</v>
      </c>
      <c r="I49" s="27" t="s">
        <v>1461</v>
      </c>
      <c r="J49" s="27"/>
    </row>
    <row r="50" spans="2:10" x14ac:dyDescent="0.25">
      <c r="B50" t="s">
        <v>1595</v>
      </c>
      <c r="C50" s="54" t="s">
        <v>1594</v>
      </c>
      <c r="D50" s="27">
        <v>48</v>
      </c>
      <c r="F50" s="27" t="s">
        <v>1456</v>
      </c>
      <c r="J50" s="27"/>
    </row>
    <row r="51" spans="2:10" x14ac:dyDescent="0.25">
      <c r="B51" t="s">
        <v>1597</v>
      </c>
      <c r="C51" s="54" t="s">
        <v>1596</v>
      </c>
      <c r="D51" s="27">
        <v>49</v>
      </c>
      <c r="G51" s="29">
        <v>34109.5</v>
      </c>
      <c r="J51" s="27"/>
    </row>
    <row r="52" spans="2:10" x14ac:dyDescent="0.25">
      <c r="C52" s="54" t="s">
        <v>1598</v>
      </c>
      <c r="D52" s="27">
        <v>50</v>
      </c>
      <c r="E52" s="27" t="s">
        <v>1479</v>
      </c>
      <c r="F52" s="27" t="s">
        <v>1478</v>
      </c>
      <c r="G52" s="29">
        <v>1431</v>
      </c>
      <c r="I52" s="27" t="s">
        <v>1462</v>
      </c>
      <c r="J52" s="27">
        <v>10</v>
      </c>
    </row>
    <row r="53" spans="2:10" x14ac:dyDescent="0.25">
      <c r="B53" t="s">
        <v>1408</v>
      </c>
      <c r="C53" s="54" t="s">
        <v>1599</v>
      </c>
      <c r="D53" s="27">
        <v>51</v>
      </c>
      <c r="E53" s="27" t="s">
        <v>1472</v>
      </c>
      <c r="F53" s="27" t="s">
        <v>1451</v>
      </c>
      <c r="G53" s="29">
        <v>144190</v>
      </c>
      <c r="I53" s="27" t="s">
        <v>1451</v>
      </c>
      <c r="J53" s="27"/>
    </row>
    <row r="54" spans="2:10" x14ac:dyDescent="0.25">
      <c r="B54" t="s">
        <v>1603</v>
      </c>
      <c r="C54" s="54" t="s">
        <v>1602</v>
      </c>
      <c r="D54" s="27">
        <v>52</v>
      </c>
      <c r="E54" s="27" t="s">
        <v>1604</v>
      </c>
      <c r="F54" s="27" t="s">
        <v>1605</v>
      </c>
      <c r="G54" s="29">
        <v>22129</v>
      </c>
      <c r="I54" s="27" t="s">
        <v>1461</v>
      </c>
      <c r="J54" s="27"/>
    </row>
    <row r="55" spans="2:10" x14ac:dyDescent="0.25">
      <c r="B55" t="s">
        <v>1601</v>
      </c>
      <c r="C55" s="54" t="s">
        <v>1600</v>
      </c>
      <c r="D55" s="27">
        <v>53</v>
      </c>
      <c r="F55" s="27" t="s">
        <v>1456</v>
      </c>
      <c r="G55" s="29">
        <v>55597.4</v>
      </c>
      <c r="I55" s="27" t="s">
        <v>1461</v>
      </c>
      <c r="J55" s="27">
        <v>497</v>
      </c>
    </row>
    <row r="56" spans="2:10" x14ac:dyDescent="0.25">
      <c r="C56" s="54" t="s">
        <v>1606</v>
      </c>
      <c r="D56" s="27">
        <v>54</v>
      </c>
      <c r="F56" s="27" t="s">
        <v>1451</v>
      </c>
      <c r="G56" s="29">
        <v>145651</v>
      </c>
      <c r="I56" s="27" t="s">
        <v>1451</v>
      </c>
      <c r="J56" s="27"/>
    </row>
    <row r="57" spans="2:10" x14ac:dyDescent="0.25">
      <c r="B57" t="s">
        <v>1311</v>
      </c>
      <c r="C57" t="s">
        <v>1443</v>
      </c>
      <c r="D57" s="27">
        <v>9029</v>
      </c>
      <c r="E57" s="27" t="s">
        <v>1457</v>
      </c>
      <c r="F57" s="27" t="s">
        <v>1451</v>
      </c>
      <c r="I57" s="27" t="s">
        <v>1451</v>
      </c>
    </row>
    <row r="58" spans="2:10" x14ac:dyDescent="0.25">
      <c r="C58" s="54" t="s">
        <v>1524</v>
      </c>
      <c r="D58" s="27">
        <v>9532</v>
      </c>
      <c r="E58" s="27" t="s">
        <v>1525</v>
      </c>
      <c r="F58" s="27" t="s">
        <v>1526</v>
      </c>
      <c r="G58" s="29">
        <v>3039</v>
      </c>
      <c r="I58" s="27" t="s">
        <v>1462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7"/>
  </cols>
  <sheetData>
    <row r="1" spans="1:14" x14ac:dyDescent="0.25">
      <c r="A1" s="5" t="s">
        <v>285</v>
      </c>
    </row>
    <row r="2" spans="1:14" x14ac:dyDescent="0.25">
      <c r="C2" s="27" t="s">
        <v>648</v>
      </c>
      <c r="D2" s="27" t="s">
        <v>1288</v>
      </c>
      <c r="E2" s="27" t="s">
        <v>1289</v>
      </c>
      <c r="F2" s="27" t="s">
        <v>1113</v>
      </c>
      <c r="G2" s="27" t="s">
        <v>1040</v>
      </c>
      <c r="H2" s="27" t="s">
        <v>1070</v>
      </c>
      <c r="I2" s="27" t="s">
        <v>1276</v>
      </c>
      <c r="J2" s="27" t="s">
        <v>1277</v>
      </c>
      <c r="M2">
        <v>2023</v>
      </c>
      <c r="N2">
        <v>2024</v>
      </c>
    </row>
    <row r="3" spans="1:14" x14ac:dyDescent="0.25">
      <c r="B3" t="s">
        <v>14</v>
      </c>
      <c r="C3" s="29"/>
      <c r="D3" s="29"/>
      <c r="G3" s="29">
        <v>21382</v>
      </c>
      <c r="H3" s="29">
        <v>22453</v>
      </c>
    </row>
    <row r="4" spans="1:14" x14ac:dyDescent="0.25">
      <c r="B4" t="s">
        <v>27</v>
      </c>
      <c r="C4" s="29"/>
      <c r="D4" s="29"/>
      <c r="G4" s="29">
        <v>15775</v>
      </c>
      <c r="H4" s="29">
        <v>16112</v>
      </c>
    </row>
    <row r="5" spans="1:14" x14ac:dyDescent="0.25">
      <c r="B5" t="s">
        <v>17</v>
      </c>
      <c r="C5" s="29"/>
      <c r="D5" s="29"/>
      <c r="G5" s="29">
        <v>12310</v>
      </c>
      <c r="H5" s="29">
        <v>14462</v>
      </c>
    </row>
    <row r="6" spans="1:14" x14ac:dyDescent="0.25">
      <c r="B6" t="s">
        <v>1251</v>
      </c>
      <c r="C6" s="29"/>
      <c r="D6" s="29"/>
      <c r="G6" s="29">
        <v>8768</v>
      </c>
      <c r="H6" s="29">
        <v>11303</v>
      </c>
    </row>
    <row r="7" spans="1:14" x14ac:dyDescent="0.25">
      <c r="B7" t="s">
        <v>1285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ht="13" x14ac:dyDescent="0.3">
      <c r="B8" s="24" t="s">
        <v>1278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t="13" hidden="1" outlineLevel="1" x14ac:dyDescent="0.3">
      <c r="B9" t="s">
        <v>1280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t="13" hidden="1" outlineLevel="1" x14ac:dyDescent="0.3">
      <c r="B10" t="s">
        <v>1281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5">
      <c r="B11" t="s">
        <v>1279</v>
      </c>
      <c r="C11" s="29"/>
      <c r="D11" s="29"/>
      <c r="G11" s="29">
        <v>2108</v>
      </c>
      <c r="H11" s="29">
        <v>2135</v>
      </c>
    </row>
    <row r="12" spans="1:14" hidden="1" outlineLevel="1" x14ac:dyDescent="0.25">
      <c r="B12" t="s">
        <v>1287</v>
      </c>
      <c r="C12" s="29"/>
      <c r="D12" s="29"/>
      <c r="G12" s="29">
        <v>2961</v>
      </c>
      <c r="H12" s="29">
        <v>3073</v>
      </c>
    </row>
    <row r="13" spans="1:14" hidden="1" outlineLevel="1" x14ac:dyDescent="0.25">
      <c r="B13" t="s">
        <v>1286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5">
      <c r="B14" t="s">
        <v>1282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5">
      <c r="B15" t="s">
        <v>1283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ht="13" x14ac:dyDescent="0.3">
      <c r="B16" t="s">
        <v>1806</v>
      </c>
      <c r="N16" s="100">
        <f>SUM(N17:N21)</f>
        <v>53959.551724137928</v>
      </c>
    </row>
    <row r="17" spans="2:14" x14ac:dyDescent="0.25">
      <c r="B17" t="s">
        <v>1797</v>
      </c>
      <c r="N17" s="30">
        <v>9998</v>
      </c>
    </row>
    <row r="18" spans="2:14" x14ac:dyDescent="0.25">
      <c r="B18" t="s">
        <v>1798</v>
      </c>
      <c r="N18" s="30">
        <v>7795</v>
      </c>
    </row>
    <row r="19" spans="2:14" x14ac:dyDescent="0.25">
      <c r="B19" t="s">
        <v>1799</v>
      </c>
      <c r="N19" s="30">
        <f>45766/7.25</f>
        <v>6312.5517241379312</v>
      </c>
    </row>
    <row r="20" spans="2:14" ht="13" x14ac:dyDescent="0.3">
      <c r="B20" t="s">
        <v>1800</v>
      </c>
      <c r="M20" s="30">
        <v>11988</v>
      </c>
      <c r="N20" s="32">
        <v>11988</v>
      </c>
    </row>
    <row r="21" spans="2:14" x14ac:dyDescent="0.25">
      <c r="B21" t="s">
        <v>1801</v>
      </c>
      <c r="N21" s="30">
        <v>17866</v>
      </c>
    </row>
    <row r="22" spans="2:14" x14ac:dyDescent="0.25">
      <c r="B22" t="s">
        <v>1807</v>
      </c>
      <c r="N22" s="30">
        <v>9214</v>
      </c>
    </row>
    <row r="23" spans="2:14" x14ac:dyDescent="0.25">
      <c r="B23" t="s">
        <v>1802</v>
      </c>
    </row>
    <row r="24" spans="2:14" x14ac:dyDescent="0.25">
      <c r="B24" t="s">
        <v>1803</v>
      </c>
    </row>
    <row r="25" spans="2:14" x14ac:dyDescent="0.25">
      <c r="B25" t="s">
        <v>1804</v>
      </c>
    </row>
    <row r="26" spans="2:14" x14ac:dyDescent="0.25">
      <c r="B26" t="s">
        <v>1805</v>
      </c>
    </row>
    <row r="31" spans="2:14" x14ac:dyDescent="0.25">
      <c r="B31" t="s">
        <v>1284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1128</v>
      </c>
    </row>
    <row r="3" spans="2:2" x14ac:dyDescent="0.25">
      <c r="B3" t="s">
        <v>1129</v>
      </c>
    </row>
    <row r="4" spans="2:2" x14ac:dyDescent="0.25">
      <c r="B4" t="s">
        <v>1142</v>
      </c>
    </row>
    <row r="5" spans="2:2" x14ac:dyDescent="0.25">
      <c r="B5" t="s">
        <v>1154</v>
      </c>
    </row>
    <row r="6" spans="2:2" x14ac:dyDescent="0.25">
      <c r="B6" t="s">
        <v>1151</v>
      </c>
    </row>
    <row r="7" spans="2:2" x14ac:dyDescent="0.25">
      <c r="B7" t="s">
        <v>1152</v>
      </c>
    </row>
    <row r="8" spans="2:2" x14ac:dyDescent="0.25">
      <c r="B8" t="s">
        <v>1144</v>
      </c>
    </row>
    <row r="9" spans="2:2" x14ac:dyDescent="0.25">
      <c r="B9" t="s">
        <v>1156</v>
      </c>
    </row>
    <row r="10" spans="2:2" x14ac:dyDescent="0.25">
      <c r="B10" t="s">
        <v>1153</v>
      </c>
    </row>
    <row r="11" spans="2:2" x14ac:dyDescent="0.25">
      <c r="B11" t="s">
        <v>1155</v>
      </c>
    </row>
    <row r="12" spans="2:2" x14ac:dyDescent="0.25">
      <c r="B12" t="s">
        <v>1130</v>
      </c>
    </row>
    <row r="13" spans="2:2" x14ac:dyDescent="0.25">
      <c r="B13" t="s">
        <v>234</v>
      </c>
    </row>
    <row r="14" spans="2:2" x14ac:dyDescent="0.25">
      <c r="B14" t="s">
        <v>1131</v>
      </c>
    </row>
    <row r="15" spans="2:2" x14ac:dyDescent="0.25">
      <c r="B15" t="s">
        <v>1132</v>
      </c>
    </row>
    <row r="16" spans="2:2" x14ac:dyDescent="0.25">
      <c r="B16" t="s">
        <v>1133</v>
      </c>
    </row>
    <row r="17" spans="2:2" x14ac:dyDescent="0.25">
      <c r="B17" t="s">
        <v>1134</v>
      </c>
    </row>
    <row r="18" spans="2:2" x14ac:dyDescent="0.25">
      <c r="B18" t="s">
        <v>1135</v>
      </c>
    </row>
    <row r="19" spans="2:2" x14ac:dyDescent="0.25">
      <c r="B19" t="s">
        <v>1136</v>
      </c>
    </row>
    <row r="20" spans="2:2" x14ac:dyDescent="0.25">
      <c r="B20" t="s">
        <v>1137</v>
      </c>
    </row>
    <row r="21" spans="2:2" x14ac:dyDescent="0.25">
      <c r="B21" t="s">
        <v>1138</v>
      </c>
    </row>
    <row r="22" spans="2:2" x14ac:dyDescent="0.25">
      <c r="B22" t="s">
        <v>1143</v>
      </c>
    </row>
    <row r="23" spans="2:2" x14ac:dyDescent="0.25">
      <c r="B23" t="s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7" customWidth="1"/>
    <col min="19" max="34" width="7.453125" customWidth="1"/>
    <col min="35" max="36" width="10.453125" customWidth="1"/>
    <col min="37" max="39" width="9.1796875" style="27"/>
  </cols>
  <sheetData>
    <row r="1" spans="1:147" x14ac:dyDescent="0.25">
      <c r="A1" s="5" t="s">
        <v>285</v>
      </c>
      <c r="AN1" s="30">
        <f>AVERAGE(AN3:AN4,AN6:AN34,AN36:AN52)</f>
        <v>291.80037571301813</v>
      </c>
    </row>
    <row r="2" spans="1:147" x14ac:dyDescent="0.25">
      <c r="A2" s="27" t="s">
        <v>1387</v>
      </c>
      <c r="B2" t="s">
        <v>1091</v>
      </c>
      <c r="C2" t="s">
        <v>634</v>
      </c>
      <c r="D2" t="s">
        <v>1378</v>
      </c>
      <c r="E2" t="s">
        <v>1388</v>
      </c>
      <c r="F2" t="s">
        <v>631</v>
      </c>
      <c r="G2" s="27" t="s">
        <v>1370</v>
      </c>
      <c r="H2" s="27"/>
      <c r="I2" s="27" t="s">
        <v>1084</v>
      </c>
      <c r="J2" s="27" t="s">
        <v>1085</v>
      </c>
      <c r="K2" s="27" t="s">
        <v>1086</v>
      </c>
      <c r="L2" s="27" t="s">
        <v>1087</v>
      </c>
      <c r="M2" s="27" t="s">
        <v>1088</v>
      </c>
      <c r="N2" s="27" t="s">
        <v>1089</v>
      </c>
      <c r="O2" s="27" t="s">
        <v>1090</v>
      </c>
      <c r="P2" s="27" t="s">
        <v>1197</v>
      </c>
      <c r="Q2" s="27" t="s">
        <v>1392</v>
      </c>
      <c r="R2" s="27" t="s">
        <v>1393</v>
      </c>
      <c r="S2" s="27" t="s">
        <v>1394</v>
      </c>
      <c r="T2" s="27" t="s">
        <v>1395</v>
      </c>
      <c r="U2" s="27" t="s">
        <v>1400</v>
      </c>
      <c r="V2" s="27" t="s">
        <v>1401</v>
      </c>
      <c r="W2" s="27" t="s">
        <v>1402</v>
      </c>
      <c r="X2" s="27" t="s">
        <v>1403</v>
      </c>
      <c r="Y2" s="27" t="s">
        <v>1417</v>
      </c>
      <c r="Z2" s="27" t="s">
        <v>1418</v>
      </c>
      <c r="AA2" s="27" t="s">
        <v>1419</v>
      </c>
      <c r="AB2" s="27" t="s">
        <v>1685</v>
      </c>
      <c r="AC2" s="27" t="s">
        <v>1686</v>
      </c>
      <c r="AD2" s="27" t="s">
        <v>1687</v>
      </c>
      <c r="AE2" s="27" t="s">
        <v>1688</v>
      </c>
      <c r="AF2" s="27" t="s">
        <v>1689</v>
      </c>
      <c r="AG2" s="27" t="s">
        <v>1690</v>
      </c>
      <c r="AH2" s="27" t="s">
        <v>1691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1041</v>
      </c>
      <c r="AR2" s="27" t="s">
        <v>1042</v>
      </c>
      <c r="AS2" s="27" t="s">
        <v>1043</v>
      </c>
      <c r="AT2" s="27" t="s">
        <v>1044</v>
      </c>
      <c r="AU2" s="27" t="s">
        <v>1045</v>
      </c>
      <c r="AV2" s="27" t="s">
        <v>1046</v>
      </c>
      <c r="AW2" s="27" t="s">
        <v>1050</v>
      </c>
      <c r="AX2" s="27" t="s">
        <v>1051</v>
      </c>
      <c r="AY2" s="27" t="s">
        <v>1052</v>
      </c>
      <c r="AZ2" s="27" t="s">
        <v>1053</v>
      </c>
      <c r="BA2" s="27" t="s">
        <v>1071</v>
      </c>
      <c r="BB2" s="27" t="s">
        <v>1072</v>
      </c>
      <c r="BC2" s="27" t="s">
        <v>1073</v>
      </c>
      <c r="BD2" s="27" t="s">
        <v>1074</v>
      </c>
      <c r="BE2" s="27" t="s">
        <v>1075</v>
      </c>
      <c r="BF2" s="27" t="s">
        <v>1076</v>
      </c>
      <c r="BG2" s="27" t="s">
        <v>1077</v>
      </c>
      <c r="BH2" s="27" t="s">
        <v>1078</v>
      </c>
      <c r="BI2" s="27" t="s">
        <v>1079</v>
      </c>
      <c r="BJ2" s="27" t="s">
        <v>1080</v>
      </c>
      <c r="BK2" s="27" t="s">
        <v>1081</v>
      </c>
      <c r="BL2" s="27" t="s">
        <v>1082</v>
      </c>
      <c r="BM2" s="27" t="s">
        <v>1083</v>
      </c>
    </row>
    <row r="3" spans="1:147" x14ac:dyDescent="0.25">
      <c r="A3" s="27">
        <v>1</v>
      </c>
      <c r="B3" t="s">
        <v>1408</v>
      </c>
      <c r="C3" t="s">
        <v>18</v>
      </c>
      <c r="D3" t="s">
        <v>1382</v>
      </c>
      <c r="E3">
        <v>3</v>
      </c>
      <c r="F3" t="s">
        <v>1409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1421</v>
      </c>
      <c r="C4" t="s">
        <v>15</v>
      </c>
      <c r="D4" t="s">
        <v>1382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1374</v>
      </c>
      <c r="C5" t="s">
        <v>24</v>
      </c>
      <c r="D5" t="s">
        <v>1430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ht="13" x14ac:dyDescent="0.3">
      <c r="A6">
        <f>+A8+1</f>
        <v>10</v>
      </c>
      <c r="B6" t="s">
        <v>1368</v>
      </c>
      <c r="C6" t="s">
        <v>46</v>
      </c>
      <c r="D6" t="s">
        <v>1383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1373</v>
      </c>
      <c r="C7" t="s">
        <v>46</v>
      </c>
      <c r="D7" t="s">
        <v>1405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ht="13" x14ac:dyDescent="0.3">
      <c r="A8">
        <f>+A16+1</f>
        <v>9</v>
      </c>
      <c r="B8" t="s">
        <v>1092</v>
      </c>
      <c r="C8" t="s">
        <v>32</v>
      </c>
      <c r="D8" t="s">
        <v>1380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5">
      <c r="A9">
        <f>+A33+1</f>
        <v>23</v>
      </c>
      <c r="B9" t="s">
        <v>1371</v>
      </c>
      <c r="C9" t="s">
        <v>46</v>
      </c>
      <c r="D9" t="s">
        <v>1383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5">
      <c r="A10" s="27">
        <v>2</v>
      </c>
      <c r="B10" t="s">
        <v>1398</v>
      </c>
      <c r="C10" t="s">
        <v>24</v>
      </c>
      <c r="D10" t="s">
        <v>1381</v>
      </c>
      <c r="F10" t="s">
        <v>1399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1047</v>
      </c>
      <c r="C11" t="s">
        <v>1048</v>
      </c>
      <c r="D11" t="s">
        <v>1384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5">
      <c r="A12" s="27">
        <v>3</v>
      </c>
      <c r="B12" t="s">
        <v>1389</v>
      </c>
      <c r="C12" t="s">
        <v>1390</v>
      </c>
      <c r="D12" t="s">
        <v>1381</v>
      </c>
      <c r="E12">
        <v>2</v>
      </c>
      <c r="F12" t="s">
        <v>1391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5">
      <c r="A13">
        <f>+A27+1</f>
        <v>14</v>
      </c>
      <c r="B13" t="s">
        <v>1377</v>
      </c>
      <c r="C13" t="s">
        <v>24</v>
      </c>
      <c r="D13" t="s">
        <v>1380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ht="13" x14ac:dyDescent="0.3">
      <c r="A14" s="27">
        <v>2</v>
      </c>
      <c r="B14" t="s">
        <v>653</v>
      </c>
      <c r="C14" t="s">
        <v>28</v>
      </c>
      <c r="D14" t="s">
        <v>1380</v>
      </c>
      <c r="E14">
        <v>2</v>
      </c>
      <c r="F14" t="s">
        <v>1779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1384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ht="13" x14ac:dyDescent="0.3">
      <c r="A16">
        <f>+A15+1</f>
        <v>8</v>
      </c>
      <c r="B16" t="s">
        <v>1412</v>
      </c>
      <c r="C16" t="s">
        <v>20</v>
      </c>
      <c r="D16" t="s">
        <v>1386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5">
      <c r="A17">
        <f>+A23+1</f>
        <v>28</v>
      </c>
      <c r="B17" t="s">
        <v>1372</v>
      </c>
      <c r="C17" t="s">
        <v>46</v>
      </c>
      <c r="D17" t="s">
        <v>1405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1410</v>
      </c>
      <c r="C18" t="s">
        <v>18</v>
      </c>
      <c r="D18" t="s">
        <v>1382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1684</v>
      </c>
      <c r="C19" t="s">
        <v>64</v>
      </c>
      <c r="D19" t="s">
        <v>1382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5">
      <c r="A20">
        <f>+A31+1</f>
        <v>21</v>
      </c>
      <c r="B20" t="s">
        <v>1311</v>
      </c>
      <c r="C20" t="s">
        <v>30</v>
      </c>
      <c r="D20" t="s">
        <v>1382</v>
      </c>
      <c r="F20" t="s">
        <v>1308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1309</v>
      </c>
      <c r="AL20" s="29" t="s">
        <v>1310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5">
      <c r="A21">
        <f>+A36+1</f>
        <v>31</v>
      </c>
      <c r="B21" t="s">
        <v>1411</v>
      </c>
      <c r="C21" t="s">
        <v>18</v>
      </c>
      <c r="D21" t="s">
        <v>1382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1380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1380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1383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1416</v>
      </c>
      <c r="C25" t="s">
        <v>20</v>
      </c>
      <c r="D25" t="s">
        <v>1384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ht="13" x14ac:dyDescent="0.3">
      <c r="A26">
        <f>+A25+1</f>
        <v>12</v>
      </c>
      <c r="B26" t="s">
        <v>651</v>
      </c>
      <c r="C26" t="s">
        <v>15</v>
      </c>
      <c r="D26" t="s">
        <v>1380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1385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1404</v>
      </c>
      <c r="C28" t="s">
        <v>24</v>
      </c>
      <c r="D28" t="s">
        <v>1381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1380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1386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1384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5">
      <c r="A32">
        <f>+A5+1</f>
        <v>6</v>
      </c>
      <c r="B32" t="s">
        <v>1429</v>
      </c>
      <c r="C32" t="s">
        <v>24</v>
      </c>
      <c r="D32" t="s">
        <v>1430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1431</v>
      </c>
      <c r="Q32" s="29" t="s">
        <v>1432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5">
      <c r="A33">
        <f>+A20+1</f>
        <v>22</v>
      </c>
      <c r="B33" t="s">
        <v>1420</v>
      </c>
      <c r="C33" t="s">
        <v>20</v>
      </c>
      <c r="D33" t="s">
        <v>1381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1312</v>
      </c>
      <c r="C34" t="s">
        <v>30</v>
      </c>
      <c r="D34" t="s">
        <v>1381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1375</v>
      </c>
      <c r="C35" t="s">
        <v>24</v>
      </c>
      <c r="D35" t="s">
        <v>1379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1397</v>
      </c>
      <c r="C36" t="s">
        <v>24</v>
      </c>
      <c r="D36" t="s">
        <v>1382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1369</v>
      </c>
      <c r="C37" t="s">
        <v>46</v>
      </c>
      <c r="D37" t="s">
        <v>1383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1376</v>
      </c>
      <c r="C38" t="s">
        <v>24</v>
      </c>
      <c r="D38" t="s">
        <v>1396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1382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5">
      <c r="A44">
        <f t="shared" si="50"/>
        <v>38</v>
      </c>
      <c r="B44" t="s">
        <v>1313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5">
      <c r="A47">
        <f t="shared" si="50"/>
        <v>41</v>
      </c>
      <c r="B47" t="s">
        <v>1100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5">
      <c r="A49">
        <f t="shared" si="50"/>
        <v>43</v>
      </c>
      <c r="B49" t="s">
        <v>1098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5">
      <c r="A53">
        <f t="shared" si="50"/>
        <v>47</v>
      </c>
      <c r="B53" t="s">
        <v>1415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5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5">
      <c r="A55">
        <f t="shared" si="50"/>
        <v>49</v>
      </c>
      <c r="B55" t="s">
        <v>1099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5">
      <c r="A56">
        <f t="shared" si="50"/>
        <v>50</v>
      </c>
      <c r="B56" t="s">
        <v>1104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5">
      <c r="A57">
        <f t="shared" si="50"/>
        <v>51</v>
      </c>
      <c r="B57" t="s">
        <v>1102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5">
      <c r="A59">
        <f t="shared" si="50"/>
        <v>53</v>
      </c>
      <c r="B59" t="s">
        <v>1105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5">
      <c r="A60">
        <f t="shared" si="50"/>
        <v>54</v>
      </c>
      <c r="B60" t="s">
        <v>1101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5">
      <c r="A61">
        <f t="shared" si="50"/>
        <v>55</v>
      </c>
      <c r="B61" t="s">
        <v>1097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5">
      <c r="A62">
        <f t="shared" si="50"/>
        <v>56</v>
      </c>
      <c r="B62" t="s">
        <v>1106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5">
      <c r="A63">
        <f t="shared" si="50"/>
        <v>57</v>
      </c>
      <c r="B63" t="s">
        <v>1108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5">
      <c r="A64">
        <f t="shared" si="50"/>
        <v>58</v>
      </c>
      <c r="B64" t="s">
        <v>1107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5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5">
      <c r="A66">
        <f t="shared" si="50"/>
        <v>60</v>
      </c>
      <c r="B66" t="s">
        <v>1103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5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5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5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5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5">
      <c r="B71" t="s">
        <v>1049</v>
      </c>
      <c r="C71">
        <v>6.86</v>
      </c>
      <c r="G71" s="30"/>
      <c r="H71" s="30"/>
    </row>
    <row r="72" spans="1:133" x14ac:dyDescent="0.25">
      <c r="G72" s="30"/>
      <c r="H72" s="30"/>
    </row>
    <row r="73" spans="1:133" x14ac:dyDescent="0.25">
      <c r="G73" s="30"/>
      <c r="H73" s="30"/>
    </row>
    <row r="74" spans="1:133" x14ac:dyDescent="0.25">
      <c r="G74" s="30"/>
      <c r="H74" s="30"/>
    </row>
    <row r="78" spans="1:133" x14ac:dyDescent="0.25">
      <c r="B78" t="s">
        <v>1414</v>
      </c>
      <c r="C78" t="s">
        <v>32</v>
      </c>
      <c r="D78" t="s">
        <v>1381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ht="13" x14ac:dyDescent="0.3">
      <c r="A79"/>
      <c r="B79" t="s">
        <v>1413</v>
      </c>
      <c r="C79" t="s">
        <v>24</v>
      </c>
      <c r="D79" t="s">
        <v>1381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1384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1384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Main!D52+1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1062</v>
      </c>
      <c r="D13" t="s">
        <v>1063</v>
      </c>
    </row>
    <row r="15" spans="1:28" x14ac:dyDescent="0.25">
      <c r="B15" s="1"/>
      <c r="C15" s="1" t="s">
        <v>1114</v>
      </c>
      <c r="D15" t="s">
        <v>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7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0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7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1024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1019</v>
      </c>
      <c r="H4" s="36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1031</v>
      </c>
      <c r="H6" s="36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1022</v>
      </c>
      <c r="J7">
        <v>1700</v>
      </c>
    </row>
    <row r="8" spans="1:10" x14ac:dyDescent="0.25">
      <c r="B8" t="s">
        <v>1037</v>
      </c>
      <c r="E8" t="s">
        <v>324</v>
      </c>
      <c r="F8">
        <v>290</v>
      </c>
      <c r="G8" t="s">
        <v>1038</v>
      </c>
      <c r="H8" s="36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1022</v>
      </c>
      <c r="H9" s="36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1109</v>
      </c>
      <c r="H16" s="36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999</v>
      </c>
      <c r="C19">
        <v>2020</v>
      </c>
      <c r="E19" t="s">
        <v>601</v>
      </c>
      <c r="F19">
        <v>150</v>
      </c>
      <c r="H19" s="36">
        <v>44657</v>
      </c>
      <c r="I19" t="s">
        <v>1000</v>
      </c>
    </row>
    <row r="20" spans="2:9" x14ac:dyDescent="0.25">
      <c r="B20" t="s">
        <v>485</v>
      </c>
    </row>
    <row r="21" spans="2:9" x14ac:dyDescent="0.25">
      <c r="B21" t="s">
        <v>1110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5">
      <c r="H26" s="36"/>
    </row>
    <row r="27" spans="2:9" x14ac:dyDescent="0.25">
      <c r="B27" t="s">
        <v>391</v>
      </c>
      <c r="E27" t="s">
        <v>1034</v>
      </c>
      <c r="F27">
        <v>145</v>
      </c>
      <c r="G27" t="s">
        <v>1035</v>
      </c>
      <c r="H27" s="36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1036</v>
      </c>
      <c r="H28" s="36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1680</v>
      </c>
      <c r="H31" s="36">
        <v>44601</v>
      </c>
    </row>
    <row r="32" spans="2:9" x14ac:dyDescent="0.25">
      <c r="B32" t="s">
        <v>1837</v>
      </c>
      <c r="E32" t="s">
        <v>324</v>
      </c>
      <c r="F32">
        <v>121</v>
      </c>
      <c r="G32" t="s">
        <v>1838</v>
      </c>
      <c r="H32" s="36">
        <v>45756</v>
      </c>
    </row>
    <row r="33" spans="2:8" x14ac:dyDescent="0.25">
      <c r="B33" t="s">
        <v>1027</v>
      </c>
      <c r="E33" t="s">
        <v>601</v>
      </c>
      <c r="F33">
        <v>75</v>
      </c>
      <c r="G33" t="s">
        <v>1028</v>
      </c>
      <c r="H33" s="36">
        <v>45308</v>
      </c>
    </row>
    <row r="34" spans="2:8" x14ac:dyDescent="0.25">
      <c r="B34" t="s">
        <v>1029</v>
      </c>
      <c r="E34" t="s">
        <v>392</v>
      </c>
      <c r="F34">
        <v>75</v>
      </c>
      <c r="G34" t="s">
        <v>1030</v>
      </c>
      <c r="H34" s="36">
        <v>45314</v>
      </c>
    </row>
    <row r="35" spans="2:8" x14ac:dyDescent="0.25">
      <c r="B35" t="s">
        <v>1111</v>
      </c>
      <c r="H35" s="36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1006</v>
      </c>
      <c r="C41">
        <v>2021</v>
      </c>
      <c r="F41">
        <v>20</v>
      </c>
      <c r="H41" s="36">
        <v>45030</v>
      </c>
    </row>
    <row r="42" spans="2:8" x14ac:dyDescent="0.25">
      <c r="B42" t="s">
        <v>1007</v>
      </c>
      <c r="C42">
        <v>2020</v>
      </c>
      <c r="F42">
        <v>20</v>
      </c>
      <c r="H42" s="36">
        <v>44987</v>
      </c>
    </row>
    <row r="43" spans="2:8" x14ac:dyDescent="0.25">
      <c r="B43" t="s">
        <v>1005</v>
      </c>
    </row>
    <row r="44" spans="2:8" x14ac:dyDescent="0.25">
      <c r="B44" t="s">
        <v>1008</v>
      </c>
      <c r="C44" s="12">
        <v>44188</v>
      </c>
      <c r="F44">
        <v>19</v>
      </c>
      <c r="H44" s="36">
        <v>44545</v>
      </c>
    </row>
    <row r="45" spans="2:8" x14ac:dyDescent="0.25">
      <c r="B45" t="s">
        <v>1032</v>
      </c>
      <c r="C45" s="12"/>
      <c r="E45" t="s">
        <v>324</v>
      </c>
      <c r="F45">
        <v>16.8</v>
      </c>
      <c r="G45" t="s">
        <v>1033</v>
      </c>
      <c r="H45" s="36">
        <v>45349</v>
      </c>
    </row>
    <row r="46" spans="2:8" x14ac:dyDescent="0.25">
      <c r="B46" t="s">
        <v>1177</v>
      </c>
      <c r="C46" s="12"/>
      <c r="H46" s="36"/>
    </row>
    <row r="47" spans="2:8" x14ac:dyDescent="0.25">
      <c r="B47" t="s">
        <v>1025</v>
      </c>
      <c r="C47" s="12"/>
      <c r="E47" t="s">
        <v>324</v>
      </c>
      <c r="F47">
        <v>14</v>
      </c>
      <c r="G47" t="s">
        <v>1026</v>
      </c>
      <c r="H47" s="36">
        <v>45307</v>
      </c>
    </row>
    <row r="48" spans="2:8" x14ac:dyDescent="0.25">
      <c r="B48" t="s">
        <v>1004</v>
      </c>
    </row>
    <row r="49" spans="2:8" x14ac:dyDescent="0.25">
      <c r="B49" t="s">
        <v>1182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1139</v>
      </c>
      <c r="E53" t="s">
        <v>601</v>
      </c>
      <c r="F53">
        <v>120</v>
      </c>
      <c r="H53" s="36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1314</v>
      </c>
      <c r="C57" s="12">
        <v>45196</v>
      </c>
      <c r="E57" t="s">
        <v>392</v>
      </c>
      <c r="F57">
        <v>175</v>
      </c>
      <c r="G57" t="s">
        <v>1315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1001</v>
      </c>
    </row>
    <row r="81" spans="2:8" x14ac:dyDescent="0.25">
      <c r="B81" t="s">
        <v>1002</v>
      </c>
      <c r="E81" t="s">
        <v>324</v>
      </c>
      <c r="F81" t="s">
        <v>1003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1039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1009</v>
      </c>
      <c r="E120" t="s">
        <v>601</v>
      </c>
      <c r="F120" t="s">
        <v>1010</v>
      </c>
    </row>
    <row r="121" spans="2:9" x14ac:dyDescent="0.25">
      <c r="B121" t="s">
        <v>1011</v>
      </c>
      <c r="E121" t="s">
        <v>324</v>
      </c>
      <c r="F121" t="s">
        <v>1012</v>
      </c>
    </row>
    <row r="122" spans="2:9" x14ac:dyDescent="0.25">
      <c r="B122" t="s">
        <v>1014</v>
      </c>
      <c r="E122" t="s">
        <v>1015</v>
      </c>
      <c r="F122" t="s">
        <v>1016</v>
      </c>
    </row>
    <row r="123" spans="2:9" x14ac:dyDescent="0.25">
      <c r="B123" t="s">
        <v>1017</v>
      </c>
    </row>
    <row r="124" spans="2:9" x14ac:dyDescent="0.25">
      <c r="B124" t="s">
        <v>1018</v>
      </c>
    </row>
    <row r="125" spans="2:9" x14ac:dyDescent="0.25">
      <c r="B125" t="s">
        <v>1648</v>
      </c>
    </row>
    <row r="126" spans="2:9" x14ac:dyDescent="0.25">
      <c r="B126" t="s">
        <v>1649</v>
      </c>
    </row>
    <row r="127" spans="2:9" x14ac:dyDescent="0.25">
      <c r="B127" t="s">
        <v>1670</v>
      </c>
      <c r="I127" t="s">
        <v>1671</v>
      </c>
    </row>
    <row r="128" spans="2:9" x14ac:dyDescent="0.25">
      <c r="B128" t="s">
        <v>1020</v>
      </c>
      <c r="E128" t="s">
        <v>1015</v>
      </c>
      <c r="F128" t="s">
        <v>1021</v>
      </c>
      <c r="G128" t="s">
        <v>1022</v>
      </c>
      <c r="H128" s="36">
        <v>44915</v>
      </c>
      <c r="I128" t="s">
        <v>1023</v>
      </c>
    </row>
    <row r="129" spans="2:9" x14ac:dyDescent="0.25">
      <c r="B129" t="s">
        <v>1676</v>
      </c>
    </row>
    <row r="130" spans="2:9" x14ac:dyDescent="0.25">
      <c r="B130" t="s">
        <v>1682</v>
      </c>
    </row>
    <row r="131" spans="2:9" x14ac:dyDescent="0.25">
      <c r="B131" t="s">
        <v>1677</v>
      </c>
    </row>
    <row r="132" spans="2:9" x14ac:dyDescent="0.25">
      <c r="B132" t="s">
        <v>1780</v>
      </c>
      <c r="I132" t="s">
        <v>1781</v>
      </c>
    </row>
    <row r="133" spans="2:9" x14ac:dyDescent="0.25">
      <c r="B133" t="s">
        <v>1782</v>
      </c>
      <c r="I133" t="s">
        <v>1783</v>
      </c>
    </row>
    <row r="134" spans="2:9" x14ac:dyDescent="0.25">
      <c r="B134" t="s">
        <v>1784</v>
      </c>
    </row>
    <row r="135" spans="2:9" x14ac:dyDescent="0.25">
      <c r="B135" t="s">
        <v>1785</v>
      </c>
    </row>
    <row r="136" spans="2:9" x14ac:dyDescent="0.25">
      <c r="B136" t="s">
        <v>1787</v>
      </c>
      <c r="I136" t="s">
        <v>1788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7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1335</v>
      </c>
      <c r="D2" t="s">
        <v>1316</v>
      </c>
      <c r="E2" s="27" t="s">
        <v>1325</v>
      </c>
      <c r="F2" s="27" t="s">
        <v>1326</v>
      </c>
    </row>
    <row r="3" spans="1:6" x14ac:dyDescent="0.25">
      <c r="B3" t="s">
        <v>1317</v>
      </c>
      <c r="C3" t="s">
        <v>1340</v>
      </c>
      <c r="D3" t="s">
        <v>1318</v>
      </c>
      <c r="E3" s="29">
        <v>21976.23993</v>
      </c>
      <c r="F3" s="29">
        <v>7825</v>
      </c>
    </row>
    <row r="4" spans="1:6" x14ac:dyDescent="0.25">
      <c r="B4" t="s">
        <v>1333</v>
      </c>
      <c r="D4" t="s">
        <v>1356</v>
      </c>
      <c r="E4" s="29">
        <v>18211.07</v>
      </c>
    </row>
    <row r="5" spans="1:6" x14ac:dyDescent="0.25">
      <c r="B5" t="s">
        <v>1332</v>
      </c>
      <c r="D5" t="s">
        <v>1356</v>
      </c>
      <c r="E5" s="29">
        <v>16117.395447000001</v>
      </c>
    </row>
    <row r="6" spans="1:6" x14ac:dyDescent="0.25">
      <c r="B6" t="s">
        <v>1331</v>
      </c>
      <c r="C6" t="s">
        <v>1341</v>
      </c>
      <c r="D6" t="s">
        <v>1357</v>
      </c>
      <c r="E6" s="29">
        <v>11227.234425000001</v>
      </c>
    </row>
    <row r="7" spans="1:6" x14ac:dyDescent="0.25">
      <c r="B7" t="s">
        <v>1319</v>
      </c>
      <c r="D7" t="s">
        <v>1356</v>
      </c>
      <c r="E7" s="29">
        <v>9575.6820260000004</v>
      </c>
    </row>
    <row r="8" spans="1:6" x14ac:dyDescent="0.25">
      <c r="B8" t="s">
        <v>1320</v>
      </c>
      <c r="C8" t="s">
        <v>1342</v>
      </c>
      <c r="D8" t="s">
        <v>1358</v>
      </c>
      <c r="E8" s="29">
        <v>8820.4850540000007</v>
      </c>
    </row>
    <row r="9" spans="1:6" x14ac:dyDescent="0.25">
      <c r="B9" t="s">
        <v>1329</v>
      </c>
      <c r="E9" s="29">
        <v>8737.9044240000003</v>
      </c>
    </row>
    <row r="10" spans="1:6" x14ac:dyDescent="0.25">
      <c r="B10" t="s">
        <v>1366</v>
      </c>
      <c r="C10" t="s">
        <v>1367</v>
      </c>
      <c r="D10" t="s">
        <v>1359</v>
      </c>
      <c r="E10" s="29"/>
      <c r="F10" s="29">
        <v>6000</v>
      </c>
    </row>
    <row r="11" spans="1:6" x14ac:dyDescent="0.25">
      <c r="B11" t="s">
        <v>1330</v>
      </c>
      <c r="C11" t="s">
        <v>1343</v>
      </c>
      <c r="D11" t="s">
        <v>1359</v>
      </c>
      <c r="E11" s="29">
        <v>5911.15</v>
      </c>
    </row>
    <row r="12" spans="1:6" x14ac:dyDescent="0.25">
      <c r="B12" t="s">
        <v>1321</v>
      </c>
      <c r="E12" s="29">
        <v>5768.7178190000004</v>
      </c>
    </row>
    <row r="13" spans="1:6" x14ac:dyDescent="0.25">
      <c r="B13" t="s">
        <v>1360</v>
      </c>
      <c r="C13" t="s">
        <v>1361</v>
      </c>
      <c r="D13" t="s">
        <v>1359</v>
      </c>
      <c r="E13" s="29"/>
      <c r="F13" s="29">
        <v>5600</v>
      </c>
    </row>
    <row r="14" spans="1:6" x14ac:dyDescent="0.25">
      <c r="B14" t="s">
        <v>1334</v>
      </c>
      <c r="E14" s="29">
        <v>5116.0800019999997</v>
      </c>
    </row>
    <row r="15" spans="1:6" x14ac:dyDescent="0.25">
      <c r="B15" t="s">
        <v>1323</v>
      </c>
      <c r="E15" s="29">
        <v>5001.7414399999998</v>
      </c>
    </row>
    <row r="16" spans="1:6" x14ac:dyDescent="0.25">
      <c r="B16" s="5" t="s">
        <v>1336</v>
      </c>
      <c r="C16" t="s">
        <v>1337</v>
      </c>
      <c r="E16" s="29">
        <v>4902.1930000000002</v>
      </c>
      <c r="F16" s="29">
        <v>3187.7679090000001</v>
      </c>
    </row>
    <row r="17" spans="2:5" x14ac:dyDescent="0.25">
      <c r="B17" t="s">
        <v>1322</v>
      </c>
      <c r="C17" t="s">
        <v>1344</v>
      </c>
      <c r="E17" s="29">
        <v>4012.7660850000002</v>
      </c>
    </row>
    <row r="18" spans="2:5" x14ac:dyDescent="0.25">
      <c r="B18" t="s">
        <v>1328</v>
      </c>
      <c r="E18" s="29">
        <v>3542.0446270000002</v>
      </c>
    </row>
    <row r="19" spans="2:5" x14ac:dyDescent="0.25">
      <c r="B19" t="s">
        <v>1339</v>
      </c>
      <c r="E19" s="29">
        <v>2643.6989920000001</v>
      </c>
    </row>
    <row r="20" spans="2:5" x14ac:dyDescent="0.25">
      <c r="B20" s="5" t="s">
        <v>1346</v>
      </c>
      <c r="E20" s="29">
        <v>1296.421245</v>
      </c>
    </row>
    <row r="21" spans="2:5" x14ac:dyDescent="0.25">
      <c r="B21" t="s">
        <v>1327</v>
      </c>
      <c r="E21" s="29">
        <v>1057</v>
      </c>
    </row>
    <row r="22" spans="2:5" x14ac:dyDescent="0.25">
      <c r="B22" t="s">
        <v>1338</v>
      </c>
      <c r="C22" t="s">
        <v>1345</v>
      </c>
      <c r="E22" s="29">
        <v>981.87468000000001</v>
      </c>
    </row>
    <row r="23" spans="2:5" x14ac:dyDescent="0.25">
      <c r="B23" t="s">
        <v>1324</v>
      </c>
      <c r="E23" s="29">
        <v>507.774765</v>
      </c>
    </row>
    <row r="24" spans="2:5" x14ac:dyDescent="0.25">
      <c r="B24" t="s">
        <v>1347</v>
      </c>
    </row>
    <row r="25" spans="2:5" x14ac:dyDescent="0.25">
      <c r="B25" t="s">
        <v>1348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1"/>
  <sheetViews>
    <sheetView zoomScale="205" zoomScaleNormal="205" workbookViewId="0">
      <pane xSplit="2" ySplit="2" topLeftCell="C103" activePane="bottomRight" state="frozen"/>
      <selection pane="topRight" activeCell="C1" sqref="C1"/>
      <selection pane="bottomLeft" activeCell="A3" sqref="A3"/>
      <selection pane="bottomRight" activeCell="A121" sqref="A121:XFD121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1199</v>
      </c>
      <c r="F2" t="s">
        <v>1215</v>
      </c>
      <c r="G2" t="s">
        <v>426</v>
      </c>
    </row>
    <row r="3" spans="1:15" x14ac:dyDescent="0.25">
      <c r="B3" t="s">
        <v>1247</v>
      </c>
      <c r="C3" t="s">
        <v>1248</v>
      </c>
      <c r="D3" s="6">
        <v>76000</v>
      </c>
      <c r="E3">
        <v>2000</v>
      </c>
      <c r="G3" t="s">
        <v>1249</v>
      </c>
    </row>
    <row r="4" spans="1:15" x14ac:dyDescent="0.25">
      <c r="B4" t="s">
        <v>1201</v>
      </c>
      <c r="C4" t="s">
        <v>32</v>
      </c>
      <c r="D4" s="6">
        <v>74000</v>
      </c>
      <c r="E4" s="12">
        <v>43468</v>
      </c>
    </row>
    <row r="5" spans="1:15" x14ac:dyDescent="0.25">
      <c r="B5" t="s">
        <v>1203</v>
      </c>
      <c r="C5" t="s">
        <v>24</v>
      </c>
      <c r="D5" s="6">
        <v>68000</v>
      </c>
      <c r="E5" s="12">
        <v>39838</v>
      </c>
    </row>
    <row r="6" spans="1:15" x14ac:dyDescent="0.25">
      <c r="B6" t="s">
        <v>1244</v>
      </c>
      <c r="C6" t="s">
        <v>1245</v>
      </c>
      <c r="D6" s="6">
        <v>67000</v>
      </c>
      <c r="E6" s="8">
        <v>1999</v>
      </c>
      <c r="G6" t="s">
        <v>1246</v>
      </c>
    </row>
    <row r="7" spans="1:15" x14ac:dyDescent="0.25">
      <c r="B7" t="s">
        <v>1221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5">
      <c r="B8" t="s">
        <v>1200</v>
      </c>
      <c r="C8" t="s">
        <v>18</v>
      </c>
      <c r="D8" s="6">
        <v>63000</v>
      </c>
      <c r="E8" s="12">
        <v>43641</v>
      </c>
    </row>
    <row r="9" spans="1:15" x14ac:dyDescent="0.25">
      <c r="B9" t="s">
        <v>1256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1260</v>
      </c>
      <c r="C10" t="s">
        <v>1054</v>
      </c>
      <c r="D10" s="6">
        <v>63000</v>
      </c>
      <c r="E10" s="8">
        <v>1996</v>
      </c>
      <c r="G10" t="s">
        <v>1261</v>
      </c>
    </row>
    <row r="11" spans="1:15" x14ac:dyDescent="0.25">
      <c r="B11" t="s">
        <v>1188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5">
      <c r="B12" t="s">
        <v>1205</v>
      </c>
      <c r="C12" t="s">
        <v>24</v>
      </c>
      <c r="D12" s="6">
        <v>60000</v>
      </c>
      <c r="E12" s="48" t="s">
        <v>1204</v>
      </c>
    </row>
    <row r="13" spans="1:15" x14ac:dyDescent="0.25">
      <c r="B13" t="s">
        <v>1218</v>
      </c>
      <c r="C13" t="s">
        <v>21</v>
      </c>
      <c r="D13" s="6">
        <v>47000</v>
      </c>
      <c r="E13" s="8">
        <v>2019</v>
      </c>
      <c r="G13" t="s">
        <v>1220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1208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1212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1242</v>
      </c>
      <c r="C17" t="s">
        <v>29</v>
      </c>
      <c r="D17" s="6">
        <v>39000</v>
      </c>
      <c r="E17" s="8">
        <v>2008</v>
      </c>
      <c r="F17" s="6"/>
      <c r="G17" s="50" t="s">
        <v>1243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1187</v>
      </c>
      <c r="C18" t="s">
        <v>1188</v>
      </c>
      <c r="D18" s="30">
        <v>32000</v>
      </c>
      <c r="E18">
        <v>2016</v>
      </c>
    </row>
    <row r="19" spans="1:15" x14ac:dyDescent="0.25">
      <c r="B19" t="s">
        <v>1255</v>
      </c>
      <c r="C19" t="s">
        <v>14</v>
      </c>
      <c r="D19" s="30">
        <v>30000</v>
      </c>
      <c r="E19" s="51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1223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1224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1202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5">
      <c r="B24" t="s">
        <v>1198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5">
      <c r="B25" t="s">
        <v>1216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5">
      <c r="B26" t="s">
        <v>1222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5">
      <c r="B27" t="s">
        <v>1229</v>
      </c>
      <c r="C27" t="s">
        <v>1228</v>
      </c>
      <c r="D27" s="30">
        <v>14500</v>
      </c>
      <c r="E27" s="48">
        <v>42058</v>
      </c>
      <c r="F27" s="48"/>
    </row>
    <row r="28" spans="1:15" x14ac:dyDescent="0.25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1226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0">
        <v>11700</v>
      </c>
      <c r="E31">
        <v>2021</v>
      </c>
    </row>
    <row r="32" spans="1:15" x14ac:dyDescent="0.25">
      <c r="B32" t="s">
        <v>86</v>
      </c>
      <c r="C32" t="s">
        <v>23</v>
      </c>
      <c r="D32" s="30">
        <v>11600</v>
      </c>
      <c r="E32">
        <v>2022</v>
      </c>
    </row>
    <row r="33" spans="1:7" x14ac:dyDescent="0.25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5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5">
      <c r="B35" t="s">
        <v>1213</v>
      </c>
      <c r="C35" t="s">
        <v>45</v>
      </c>
      <c r="D35" s="30">
        <v>11000</v>
      </c>
      <c r="E35">
        <v>2011</v>
      </c>
    </row>
    <row r="36" spans="1:7" x14ac:dyDescent="0.25">
      <c r="A36" s="1"/>
      <c r="B36" t="s">
        <v>1013</v>
      </c>
      <c r="C36" t="s">
        <v>18</v>
      </c>
      <c r="D36" s="30">
        <v>10100</v>
      </c>
      <c r="E36" s="12">
        <v>45260</v>
      </c>
    </row>
    <row r="37" spans="1:7" x14ac:dyDescent="0.25">
      <c r="B37" t="s">
        <v>1210</v>
      </c>
      <c r="C37" t="s">
        <v>30</v>
      </c>
      <c r="D37" s="30">
        <v>9700</v>
      </c>
      <c r="E37">
        <v>2019</v>
      </c>
    </row>
    <row r="38" spans="1:7" x14ac:dyDescent="0.25">
      <c r="B38" t="s">
        <v>1240</v>
      </c>
      <c r="C38" t="s">
        <v>1201</v>
      </c>
      <c r="D38" s="30">
        <v>9000</v>
      </c>
      <c r="E38">
        <v>2018</v>
      </c>
    </row>
    <row r="39" spans="1:7" x14ac:dyDescent="0.25">
      <c r="B39" t="s">
        <v>1211</v>
      </c>
      <c r="C39" t="s">
        <v>30</v>
      </c>
      <c r="D39" s="30">
        <v>8700</v>
      </c>
      <c r="E39">
        <v>2018</v>
      </c>
    </row>
    <row r="40" spans="1:7" x14ac:dyDescent="0.25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5">
      <c r="B41" t="s">
        <v>1227</v>
      </c>
      <c r="C41" t="s">
        <v>1228</v>
      </c>
      <c r="D41" s="30">
        <v>8700</v>
      </c>
      <c r="E41" s="12">
        <v>41421</v>
      </c>
      <c r="F41" s="12"/>
    </row>
    <row r="42" spans="1:7" x14ac:dyDescent="0.25">
      <c r="B42" t="s">
        <v>1209</v>
      </c>
      <c r="C42" t="s">
        <v>28</v>
      </c>
      <c r="D42" s="30">
        <v>8400</v>
      </c>
      <c r="E42">
        <v>2014</v>
      </c>
    </row>
    <row r="43" spans="1:7" x14ac:dyDescent="0.25">
      <c r="B43" t="s">
        <v>1257</v>
      </c>
      <c r="C43" t="s">
        <v>1258</v>
      </c>
      <c r="D43" s="30">
        <v>7700</v>
      </c>
      <c r="E43">
        <v>2005</v>
      </c>
      <c r="G43" t="s">
        <v>1246</v>
      </c>
    </row>
    <row r="44" spans="1:7" x14ac:dyDescent="0.25">
      <c r="B44" t="s">
        <v>1235</v>
      </c>
      <c r="C44" t="s">
        <v>1236</v>
      </c>
      <c r="D44" s="30">
        <v>7600</v>
      </c>
      <c r="E44">
        <v>2004</v>
      </c>
      <c r="G44" t="s">
        <v>1237</v>
      </c>
    </row>
    <row r="45" spans="1:7" x14ac:dyDescent="0.25">
      <c r="B45" t="s">
        <v>1239</v>
      </c>
      <c r="C45" t="s">
        <v>92</v>
      </c>
      <c r="D45" s="30">
        <v>7200</v>
      </c>
      <c r="E45">
        <v>2021</v>
      </c>
    </row>
    <row r="46" spans="1:7" x14ac:dyDescent="0.25">
      <c r="B46" t="s">
        <v>1230</v>
      </c>
      <c r="C46" t="s">
        <v>95</v>
      </c>
      <c r="D46" s="30">
        <v>6800</v>
      </c>
      <c r="E46">
        <v>2011</v>
      </c>
    </row>
    <row r="47" spans="1:7" x14ac:dyDescent="0.25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5">
      <c r="B48" t="s">
        <v>1253</v>
      </c>
      <c r="C48" t="s">
        <v>1251</v>
      </c>
      <c r="D48" s="30">
        <v>6500</v>
      </c>
      <c r="E48">
        <v>2008</v>
      </c>
      <c r="G48" t="s">
        <v>1254</v>
      </c>
    </row>
    <row r="49" spans="1:7" x14ac:dyDescent="0.25">
      <c r="B49" t="s">
        <v>1231</v>
      </c>
      <c r="C49" t="s">
        <v>262</v>
      </c>
      <c r="D49" s="30">
        <v>5800</v>
      </c>
      <c r="E49" s="48" t="s">
        <v>1232</v>
      </c>
    </row>
    <row r="50" spans="1:7" x14ac:dyDescent="0.25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5">
      <c r="B51" t="s">
        <v>1233</v>
      </c>
      <c r="C51" t="s">
        <v>29</v>
      </c>
      <c r="D51" s="30">
        <v>5100</v>
      </c>
      <c r="E51">
        <v>2005</v>
      </c>
      <c r="F51" s="12"/>
      <c r="G51" s="22" t="s">
        <v>1234</v>
      </c>
    </row>
    <row r="52" spans="1:7" x14ac:dyDescent="0.25">
      <c r="B52" t="s">
        <v>345</v>
      </c>
      <c r="C52" t="s">
        <v>14</v>
      </c>
      <c r="D52" s="30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5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5">
      <c r="B55" t="s">
        <v>751</v>
      </c>
      <c r="C55" t="s">
        <v>45</v>
      </c>
      <c r="D55" s="30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5">
      <c r="A57" s="1"/>
      <c r="B57" t="s">
        <v>1238</v>
      </c>
      <c r="C57" t="s">
        <v>80</v>
      </c>
      <c r="D57" s="6">
        <v>4000</v>
      </c>
      <c r="E57">
        <v>2010</v>
      </c>
    </row>
    <row r="58" spans="1:7" x14ac:dyDescent="0.25">
      <c r="B58" t="s">
        <v>1214</v>
      </c>
      <c r="C58" t="s">
        <v>28</v>
      </c>
      <c r="D58" s="30">
        <v>3850</v>
      </c>
      <c r="E58">
        <v>2014</v>
      </c>
      <c r="G58" t="s">
        <v>1304</v>
      </c>
    </row>
    <row r="59" spans="1:7" x14ac:dyDescent="0.25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5">
      <c r="B60" t="s">
        <v>1225</v>
      </c>
      <c r="C60" t="s">
        <v>45</v>
      </c>
      <c r="D60" s="30">
        <v>2500</v>
      </c>
      <c r="E60">
        <v>2006</v>
      </c>
    </row>
    <row r="61" spans="1:7" x14ac:dyDescent="0.25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5">
      <c r="B62" t="s">
        <v>1217</v>
      </c>
      <c r="C62" t="s">
        <v>14</v>
      </c>
      <c r="D62" s="30">
        <v>2400</v>
      </c>
      <c r="E62">
        <v>2003</v>
      </c>
    </row>
    <row r="63" spans="1:7" x14ac:dyDescent="0.25">
      <c r="B63" t="s">
        <v>1250</v>
      </c>
      <c r="C63" t="s">
        <v>1251</v>
      </c>
      <c r="D63" s="30">
        <v>2300</v>
      </c>
      <c r="E63">
        <v>2006</v>
      </c>
    </row>
    <row r="64" spans="1:7" x14ac:dyDescent="0.25">
      <c r="B64" t="s">
        <v>1218</v>
      </c>
      <c r="C64" t="s">
        <v>21</v>
      </c>
      <c r="D64" s="30">
        <v>2100</v>
      </c>
      <c r="E64">
        <v>1990</v>
      </c>
      <c r="G64" t="s">
        <v>1219</v>
      </c>
    </row>
    <row r="65" spans="1:10" x14ac:dyDescent="0.25">
      <c r="B65" t="s">
        <v>1252</v>
      </c>
      <c r="C65" t="s">
        <v>1251</v>
      </c>
      <c r="D65" s="30">
        <v>2100</v>
      </c>
      <c r="E65">
        <v>2006</v>
      </c>
    </row>
    <row r="66" spans="1:10" x14ac:dyDescent="0.25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5">
      <c r="B67" t="s">
        <v>1241</v>
      </c>
      <c r="C67" t="s">
        <v>14</v>
      </c>
      <c r="D67" s="30">
        <v>1000</v>
      </c>
      <c r="E67" s="12">
        <v>39955</v>
      </c>
    </row>
    <row r="68" spans="1:10" x14ac:dyDescent="0.25">
      <c r="B68" t="s">
        <v>1067</v>
      </c>
      <c r="C68" t="s">
        <v>39</v>
      </c>
      <c r="D68" s="30">
        <v>1000</v>
      </c>
      <c r="E68" s="12">
        <v>45300</v>
      </c>
    </row>
    <row r="69" spans="1:10" x14ac:dyDescent="0.25">
      <c r="B69" t="s">
        <v>253</v>
      </c>
      <c r="C69" t="s">
        <v>1242</v>
      </c>
      <c r="D69" s="30">
        <v>770</v>
      </c>
      <c r="E69" s="12">
        <v>44796</v>
      </c>
    </row>
    <row r="70" spans="1:10" x14ac:dyDescent="0.25">
      <c r="B70" t="s">
        <v>1206</v>
      </c>
      <c r="C70" t="s">
        <v>1205</v>
      </c>
      <c r="D70" s="30">
        <v>650</v>
      </c>
      <c r="E70" s="49" t="s">
        <v>1207</v>
      </c>
    </row>
    <row r="71" spans="1:10" x14ac:dyDescent="0.25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996</v>
      </c>
      <c r="C73" t="s">
        <v>254</v>
      </c>
      <c r="E73">
        <v>2021</v>
      </c>
    </row>
    <row r="74" spans="1:10" x14ac:dyDescent="0.25">
      <c r="B74" t="s">
        <v>997</v>
      </c>
      <c r="C74" t="s">
        <v>254</v>
      </c>
      <c r="E74">
        <v>2020</v>
      </c>
    </row>
    <row r="75" spans="1:10" x14ac:dyDescent="0.25">
      <c r="B75" t="s">
        <v>998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([190]Main!$J$5-[190]Main!$J$6)/HKD</f>
        <v>991.71512820512828</v>
      </c>
      <c r="G76" s="6">
        <f>+E76-F76</f>
        <v>23523.572694544873</v>
      </c>
      <c r="H76" s="3" t="s">
        <v>300</v>
      </c>
      <c r="I76" s="6">
        <f>+[190]Main!$J$3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ht="13" x14ac:dyDescent="0.3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823</v>
      </c>
      <c r="C82" t="s">
        <v>824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1140</v>
      </c>
      <c r="C84" t="s">
        <v>67</v>
      </c>
    </row>
    <row r="85" spans="1:5" x14ac:dyDescent="0.25">
      <c r="B85" t="s">
        <v>1145</v>
      </c>
    </row>
    <row r="86" spans="1:5" x14ac:dyDescent="0.25">
      <c r="B86" t="s">
        <v>1148</v>
      </c>
      <c r="C86" t="s">
        <v>39</v>
      </c>
    </row>
    <row r="87" spans="1:5" x14ac:dyDescent="0.25">
      <c r="B87" t="s">
        <v>1149</v>
      </c>
      <c r="C87" t="s">
        <v>39</v>
      </c>
    </row>
    <row r="88" spans="1:5" x14ac:dyDescent="0.25">
      <c r="B88" t="s">
        <v>1150</v>
      </c>
      <c r="C88" t="s">
        <v>15</v>
      </c>
    </row>
    <row r="89" spans="1:5" x14ac:dyDescent="0.25">
      <c r="B89" t="s">
        <v>1163</v>
      </c>
      <c r="C89" t="s">
        <v>39</v>
      </c>
    </row>
    <row r="90" spans="1:5" x14ac:dyDescent="0.25">
      <c r="B90" t="s">
        <v>1259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1262</v>
      </c>
      <c r="C92" t="s">
        <v>1263</v>
      </c>
      <c r="E92">
        <v>1970</v>
      </c>
    </row>
    <row r="93" spans="1:5" x14ac:dyDescent="0.25">
      <c r="B93" t="s">
        <v>1264</v>
      </c>
    </row>
    <row r="94" spans="1:5" x14ac:dyDescent="0.25">
      <c r="B94" t="s">
        <v>1265</v>
      </c>
    </row>
    <row r="95" spans="1:5" x14ac:dyDescent="0.25">
      <c r="B95" t="s">
        <v>1266</v>
      </c>
    </row>
    <row r="96" spans="1:5" x14ac:dyDescent="0.25">
      <c r="B96" t="s">
        <v>1267</v>
      </c>
    </row>
    <row r="97" spans="2:5" x14ac:dyDescent="0.25">
      <c r="B97" t="s">
        <v>1270</v>
      </c>
      <c r="C97" t="s">
        <v>262</v>
      </c>
    </row>
    <row r="98" spans="2:5" x14ac:dyDescent="0.25">
      <c r="B98" t="s">
        <v>1273</v>
      </c>
      <c r="C98" t="s">
        <v>29</v>
      </c>
    </row>
    <row r="99" spans="2:5" x14ac:dyDescent="0.25">
      <c r="B99" t="s">
        <v>1274</v>
      </c>
      <c r="C99" t="s">
        <v>1275</v>
      </c>
    </row>
    <row r="100" spans="2:5" x14ac:dyDescent="0.25">
      <c r="B100" t="s">
        <v>1294</v>
      </c>
      <c r="C100" t="s">
        <v>270</v>
      </c>
    </row>
    <row r="101" spans="2:5" x14ac:dyDescent="0.25">
      <c r="B101" t="s">
        <v>1407</v>
      </c>
      <c r="C101" t="s">
        <v>1406</v>
      </c>
      <c r="D101">
        <v>7000</v>
      </c>
      <c r="E101">
        <v>2001</v>
      </c>
    </row>
    <row r="102" spans="2:5" x14ac:dyDescent="0.25">
      <c r="B102" t="s">
        <v>1355</v>
      </c>
      <c r="C102" t="s">
        <v>1201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1365</v>
      </c>
      <c r="C104" t="s">
        <v>34</v>
      </c>
      <c r="D104">
        <v>1600</v>
      </c>
      <c r="E104">
        <v>2021</v>
      </c>
    </row>
    <row r="105" spans="2:5" x14ac:dyDescent="0.25">
      <c r="B105" t="s">
        <v>1660</v>
      </c>
      <c r="C105" t="s">
        <v>37</v>
      </c>
      <c r="D105">
        <v>1300</v>
      </c>
      <c r="E105">
        <v>2006</v>
      </c>
    </row>
    <row r="106" spans="2:5" x14ac:dyDescent="0.25">
      <c r="B106" t="s">
        <v>1363</v>
      </c>
      <c r="C106" t="s">
        <v>34</v>
      </c>
      <c r="D106">
        <v>993</v>
      </c>
      <c r="E106">
        <v>2021</v>
      </c>
    </row>
    <row r="107" spans="2:5" x14ac:dyDescent="0.25">
      <c r="B107" t="s">
        <v>1354</v>
      </c>
      <c r="C107" t="s">
        <v>32</v>
      </c>
    </row>
    <row r="108" spans="2:5" x14ac:dyDescent="0.25">
      <c r="B108" t="s">
        <v>1362</v>
      </c>
      <c r="C108" t="s">
        <v>34</v>
      </c>
    </row>
    <row r="109" spans="2:5" x14ac:dyDescent="0.25">
      <c r="B109" t="s">
        <v>1364</v>
      </c>
      <c r="C109" t="s">
        <v>34</v>
      </c>
    </row>
    <row r="110" spans="2:5" x14ac:dyDescent="0.25">
      <c r="B110" t="s">
        <v>1435</v>
      </c>
      <c r="C110" t="s">
        <v>1436</v>
      </c>
    </row>
    <row r="111" spans="2:5" x14ac:dyDescent="0.25">
      <c r="B111" t="s">
        <v>1437</v>
      </c>
      <c r="C111" t="s">
        <v>14</v>
      </c>
    </row>
    <row r="112" spans="2:5" x14ac:dyDescent="0.25">
      <c r="B112" t="s">
        <v>802</v>
      </c>
      <c r="C112" t="s">
        <v>29</v>
      </c>
    </row>
    <row r="113" spans="2:30" x14ac:dyDescent="0.25">
      <c r="B113" t="s">
        <v>672</v>
      </c>
      <c r="C113" t="s">
        <v>1251</v>
      </c>
      <c r="E113" s="12">
        <v>45520</v>
      </c>
    </row>
    <row r="114" spans="2:30" x14ac:dyDescent="0.25">
      <c r="B114" t="s">
        <v>1650</v>
      </c>
      <c r="C114" t="s">
        <v>1651</v>
      </c>
    </row>
    <row r="115" spans="2:30" x14ac:dyDescent="0.25">
      <c r="B115" t="s">
        <v>1661</v>
      </c>
      <c r="C115" t="s">
        <v>39</v>
      </c>
    </row>
    <row r="116" spans="2:30" x14ac:dyDescent="0.25">
      <c r="B116" t="s">
        <v>1678</v>
      </c>
      <c r="C116" t="s">
        <v>18</v>
      </c>
    </row>
    <row r="117" spans="2:30" x14ac:dyDescent="0.25">
      <c r="B117" t="s">
        <v>1679</v>
      </c>
      <c r="C117" t="s">
        <v>18</v>
      </c>
    </row>
    <row r="118" spans="2:30" x14ac:dyDescent="0.25">
      <c r="B118" t="s">
        <v>1683</v>
      </c>
      <c r="C118" t="s">
        <v>14</v>
      </c>
    </row>
    <row r="119" spans="2:30" x14ac:dyDescent="0.25">
      <c r="B119" t="s">
        <v>1786</v>
      </c>
      <c r="C119" t="s">
        <v>28</v>
      </c>
    </row>
    <row r="120" spans="2:30" s="33" customFormat="1" ht="13" x14ac:dyDescent="0.3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+[191]Main!$L$5-[191]Main!$L$6</f>
        <v>1024.6570000000002</v>
      </c>
      <c r="G120" s="35">
        <f>+E120-F120</f>
        <v>12817.710175</v>
      </c>
      <c r="H120" s="59" t="s">
        <v>1070</v>
      </c>
      <c r="I120" s="35">
        <f>+[191]Main!$L$3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2:30" s="94" customFormat="1" x14ac:dyDescent="0.25">
      <c r="D121">
        <f>+Main!D544+1</f>
        <v>215</v>
      </c>
      <c r="E121" s="95" t="s">
        <v>949</v>
      </c>
      <c r="F121" s="94" t="s">
        <v>950</v>
      </c>
      <c r="G121" s="96">
        <v>33.89</v>
      </c>
      <c r="H121" s="97">
        <f>+G121*L121</f>
        <v>1318.30476669</v>
      </c>
      <c r="I121" s="97">
        <f>+[192]Main!$K$5-[192]Main!$K$6</f>
        <v>304.87299999999999</v>
      </c>
      <c r="J121" s="97">
        <f>+H121-I121</f>
        <v>1013.4317666899999</v>
      </c>
      <c r="K121" s="96" t="s">
        <v>1070</v>
      </c>
      <c r="L121" s="97">
        <f>+[192]Main!$K$3</f>
        <v>38.899521</v>
      </c>
      <c r="M121" s="98">
        <v>45558</v>
      </c>
      <c r="N121" s="96"/>
      <c r="O121" s="96"/>
      <c r="P121" s="96"/>
      <c r="Q121" s="96"/>
      <c r="R121" s="96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E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5">
      <c r="B4" t="s">
        <v>1255</v>
      </c>
    </row>
    <row r="5" spans="2:183" x14ac:dyDescent="0.25">
      <c r="B5" t="s">
        <v>823</v>
      </c>
    </row>
    <row r="6" spans="2:183" x14ac:dyDescent="0.25">
      <c r="B6" t="s">
        <v>345</v>
      </c>
    </row>
    <row r="7" spans="2:183" ht="12.75" customHeight="1" x14ac:dyDescent="0.3">
      <c r="B7" t="s">
        <v>1205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1739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1205</v>
      </c>
      <c r="DZ7" s="74"/>
      <c r="EA7" s="74"/>
      <c r="EB7" s="74"/>
      <c r="EC7" s="74"/>
      <c r="ED7" s="84" t="s">
        <v>1205</v>
      </c>
      <c r="EE7" s="74"/>
      <c r="EF7" s="74"/>
      <c r="EG7" s="74"/>
      <c r="EH7" s="74"/>
      <c r="EI7" s="84" t="s">
        <v>1205</v>
      </c>
      <c r="EJ7" s="84" t="s">
        <v>1205</v>
      </c>
      <c r="EK7" s="84" t="s">
        <v>1205</v>
      </c>
      <c r="EL7" s="84" t="s">
        <v>1205</v>
      </c>
      <c r="EM7" s="84" t="s">
        <v>1205</v>
      </c>
      <c r="EN7" s="84" t="s">
        <v>1205</v>
      </c>
      <c r="EO7" s="84" t="s">
        <v>1205</v>
      </c>
      <c r="EP7" s="84" t="s">
        <v>1205</v>
      </c>
      <c r="EQ7" s="84" t="s">
        <v>1205</v>
      </c>
      <c r="ER7" s="84" t="s">
        <v>1205</v>
      </c>
      <c r="ES7" s="74" t="s">
        <v>1735</v>
      </c>
      <c r="ET7" s="115" t="s">
        <v>1737</v>
      </c>
      <c r="EU7" s="115" t="s">
        <v>1737</v>
      </c>
      <c r="EV7" s="115" t="s">
        <v>1737</v>
      </c>
      <c r="EW7" s="115" t="s">
        <v>1737</v>
      </c>
      <c r="EX7" s="112" t="s">
        <v>1205</v>
      </c>
      <c r="EY7" s="112" t="s">
        <v>1205</v>
      </c>
      <c r="EZ7" s="112" t="s">
        <v>1205</v>
      </c>
      <c r="FA7" s="113" t="s">
        <v>1731</v>
      </c>
      <c r="FB7" s="117" t="s">
        <v>23</v>
      </c>
      <c r="FC7" s="117" t="s">
        <v>23</v>
      </c>
      <c r="FD7" s="117" t="s">
        <v>23</v>
      </c>
      <c r="FE7" s="117" t="s">
        <v>23</v>
      </c>
      <c r="FF7" s="117" t="s">
        <v>23</v>
      </c>
      <c r="FG7" s="122" t="s">
        <v>1761</v>
      </c>
      <c r="FH7" s="109" t="s">
        <v>23</v>
      </c>
      <c r="FI7" s="109" t="s">
        <v>23</v>
      </c>
      <c r="FJ7" s="109" t="s">
        <v>23</v>
      </c>
      <c r="FK7" s="109" t="s">
        <v>23</v>
      </c>
      <c r="FL7" s="109" t="s">
        <v>23</v>
      </c>
      <c r="FM7" s="109" t="s">
        <v>23</v>
      </c>
      <c r="FN7" s="109" t="s">
        <v>23</v>
      </c>
      <c r="FO7" s="109" t="s">
        <v>23</v>
      </c>
      <c r="FP7" s="109" t="s">
        <v>23</v>
      </c>
      <c r="FQ7" s="109" t="s">
        <v>23</v>
      </c>
      <c r="FR7" s="109" t="s">
        <v>23</v>
      </c>
      <c r="FS7" s="109" t="s">
        <v>23</v>
      </c>
      <c r="FT7" s="109" t="s">
        <v>23</v>
      </c>
      <c r="FU7" s="109" t="s">
        <v>23</v>
      </c>
      <c r="FV7" s="109" t="s">
        <v>23</v>
      </c>
      <c r="FW7" s="109" t="s">
        <v>23</v>
      </c>
    </row>
    <row r="8" spans="2:183" ht="12.75" customHeight="1" x14ac:dyDescent="0.3">
      <c r="B8" t="s">
        <v>1733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1734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1733</v>
      </c>
      <c r="DZ8" s="75"/>
      <c r="EA8" s="75"/>
      <c r="EB8" s="75"/>
      <c r="EC8" s="75"/>
      <c r="ED8" s="85" t="s">
        <v>1733</v>
      </c>
      <c r="EE8" s="75"/>
      <c r="EF8" s="75"/>
      <c r="EG8" s="75"/>
      <c r="EH8" s="75"/>
      <c r="EI8" s="85" t="s">
        <v>1733</v>
      </c>
      <c r="EJ8" s="85" t="s">
        <v>1733</v>
      </c>
      <c r="EK8" s="85" t="s">
        <v>1733</v>
      </c>
      <c r="EL8" s="85" t="s">
        <v>1733</v>
      </c>
      <c r="EM8" s="85" t="s">
        <v>1733</v>
      </c>
      <c r="EN8" s="85" t="s">
        <v>1733</v>
      </c>
      <c r="EO8" s="85" t="s">
        <v>1733</v>
      </c>
      <c r="EP8" s="85" t="s">
        <v>1733</v>
      </c>
      <c r="EQ8" s="85" t="s">
        <v>1733</v>
      </c>
      <c r="ER8" s="85" t="s">
        <v>1733</v>
      </c>
      <c r="ES8" s="75" t="s">
        <v>1736</v>
      </c>
      <c r="ET8" s="115"/>
      <c r="EU8" s="115"/>
      <c r="EV8" s="115"/>
      <c r="EW8" s="115"/>
      <c r="EX8" s="112"/>
      <c r="EY8" s="112"/>
      <c r="EZ8" s="112"/>
      <c r="FA8" s="113"/>
      <c r="FB8" s="117"/>
      <c r="FC8" s="117"/>
      <c r="FD8" s="117"/>
      <c r="FE8" s="117"/>
      <c r="FF8" s="117"/>
      <c r="FG8" s="122"/>
      <c r="FH8" s="109"/>
      <c r="FI8" s="109"/>
      <c r="FJ8" s="109"/>
      <c r="FK8" s="109"/>
      <c r="FL8" s="109"/>
      <c r="FM8" s="109"/>
      <c r="FN8" s="109"/>
      <c r="FO8" s="109"/>
      <c r="FP8" s="109"/>
      <c r="FQ8" s="109"/>
      <c r="FR8" s="109"/>
      <c r="FS8" s="109"/>
      <c r="FT8" s="109"/>
      <c r="FU8" s="109"/>
      <c r="FV8" s="109"/>
      <c r="FW8" s="109"/>
    </row>
    <row r="9" spans="2:183" ht="12.75" customHeight="1" x14ac:dyDescent="0.3">
      <c r="B9" t="s">
        <v>1256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1256</v>
      </c>
      <c r="DZ9" s="76"/>
      <c r="EA9" s="76"/>
      <c r="EB9" s="76"/>
      <c r="EC9" s="76"/>
      <c r="ED9" s="83" t="s">
        <v>1256</v>
      </c>
      <c r="EE9" s="76"/>
      <c r="EF9" s="76"/>
      <c r="EG9" s="76"/>
      <c r="EH9" s="76"/>
      <c r="EI9" s="77" t="s">
        <v>1741</v>
      </c>
      <c r="EJ9" s="124" t="s">
        <v>1256</v>
      </c>
      <c r="EK9" s="124" t="s">
        <v>1256</v>
      </c>
      <c r="EL9" s="124" t="s">
        <v>1256</v>
      </c>
      <c r="EM9" s="124" t="s">
        <v>1256</v>
      </c>
      <c r="EN9" s="124" t="s">
        <v>1256</v>
      </c>
      <c r="EO9" s="124" t="s">
        <v>1256</v>
      </c>
      <c r="EP9" s="124" t="s">
        <v>1256</v>
      </c>
      <c r="EQ9" s="124" t="s">
        <v>1256</v>
      </c>
      <c r="ER9" s="124" t="s">
        <v>1256</v>
      </c>
      <c r="ES9" s="124" t="s">
        <v>1256</v>
      </c>
      <c r="ET9" s="124" t="s">
        <v>1256</v>
      </c>
      <c r="EU9" s="124" t="s">
        <v>1256</v>
      </c>
      <c r="EV9" s="124" t="s">
        <v>1256</v>
      </c>
      <c r="EW9" s="118" t="s">
        <v>1740</v>
      </c>
      <c r="EX9" s="112"/>
      <c r="EY9" s="112"/>
      <c r="EZ9" s="112"/>
      <c r="FA9" s="113"/>
      <c r="FB9" s="117"/>
      <c r="FC9" s="117"/>
      <c r="FD9" s="117"/>
      <c r="FE9" s="117"/>
      <c r="FF9" s="117"/>
      <c r="FG9" s="122"/>
      <c r="FH9" s="109"/>
      <c r="FI9" s="109"/>
      <c r="FJ9" s="109"/>
      <c r="FK9" s="109"/>
      <c r="FL9" s="109"/>
      <c r="FM9" s="109"/>
      <c r="FN9" s="109"/>
      <c r="FO9" s="109"/>
      <c r="FP9" s="109"/>
      <c r="FQ9" s="109"/>
      <c r="FR9" s="109"/>
      <c r="FS9" s="109"/>
      <c r="FT9" s="109"/>
      <c r="FU9" s="109"/>
      <c r="FV9" s="109"/>
      <c r="FW9" s="109"/>
    </row>
    <row r="10" spans="2:183" ht="12.75" customHeight="1" x14ac:dyDescent="0.3">
      <c r="B10" t="s">
        <v>1738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1738</v>
      </c>
      <c r="DZ10" s="74"/>
      <c r="EA10" s="74"/>
      <c r="EB10" s="74"/>
      <c r="EC10" s="74"/>
      <c r="ED10" s="84" t="s">
        <v>1738</v>
      </c>
      <c r="EE10" s="74"/>
      <c r="EF10" s="74"/>
      <c r="EG10" s="74"/>
      <c r="EH10" s="74"/>
      <c r="EI10" s="74" t="s">
        <v>1742</v>
      </c>
      <c r="EJ10" s="124"/>
      <c r="EK10" s="124"/>
      <c r="EL10" s="124"/>
      <c r="EM10" s="124"/>
      <c r="EN10" s="124"/>
      <c r="EO10" s="124"/>
      <c r="EP10" s="124"/>
      <c r="EQ10" s="124"/>
      <c r="ER10" s="124"/>
      <c r="ES10" s="124"/>
      <c r="ET10" s="124"/>
      <c r="EU10" s="124"/>
      <c r="EV10" s="124"/>
      <c r="EW10" s="118"/>
      <c r="EX10" s="112"/>
      <c r="EY10" s="112"/>
      <c r="EZ10" s="112"/>
      <c r="FA10" s="113"/>
      <c r="FB10" s="117"/>
      <c r="FC10" s="117"/>
      <c r="FD10" s="117"/>
      <c r="FE10" s="117"/>
      <c r="FF10" s="117"/>
      <c r="FG10" s="122"/>
      <c r="FH10" s="109"/>
      <c r="FI10" s="109"/>
      <c r="FJ10" s="109"/>
      <c r="FK10" s="109"/>
      <c r="FL10" s="109"/>
      <c r="FM10" s="109"/>
      <c r="FN10" s="109"/>
      <c r="FO10" s="109"/>
      <c r="FP10" s="109"/>
      <c r="FQ10" s="109"/>
      <c r="FR10" s="109"/>
      <c r="FS10" s="109"/>
      <c r="FT10" s="109"/>
      <c r="FU10" s="109"/>
      <c r="FV10" s="109"/>
      <c r="FW10" s="109"/>
    </row>
    <row r="11" spans="2:183" ht="12.75" customHeight="1" x14ac:dyDescent="0.25">
      <c r="B11" t="s">
        <v>1206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1206</v>
      </c>
      <c r="EQ11" s="87" t="s">
        <v>1206</v>
      </c>
      <c r="ER11" s="87" t="s">
        <v>1206</v>
      </c>
      <c r="ES11" s="87" t="s">
        <v>1206</v>
      </c>
      <c r="ET11" s="87" t="s">
        <v>1206</v>
      </c>
      <c r="EU11" s="87" t="s">
        <v>1206</v>
      </c>
      <c r="EV11" s="87" t="s">
        <v>1206</v>
      </c>
      <c r="EW11" s="87" t="s">
        <v>1772</v>
      </c>
      <c r="EX11" s="112"/>
      <c r="EY11" s="112"/>
      <c r="EZ11" s="112"/>
      <c r="FA11" s="113"/>
      <c r="FB11" s="117"/>
      <c r="FC11" s="117"/>
      <c r="FD11" s="117"/>
      <c r="FE11" s="117"/>
      <c r="FF11" s="117"/>
      <c r="FG11" s="122"/>
      <c r="FH11" s="109"/>
      <c r="FI11" s="109"/>
      <c r="FJ11" s="109"/>
      <c r="FK11" s="109"/>
      <c r="FL11" s="109"/>
      <c r="FM11" s="109"/>
      <c r="FN11" s="109"/>
      <c r="FO11" s="109"/>
      <c r="FP11" s="109"/>
      <c r="FQ11" s="109"/>
      <c r="FR11" s="109"/>
      <c r="FS11" s="109"/>
      <c r="FT11" s="109"/>
      <c r="FU11" s="109"/>
      <c r="FV11" s="109"/>
      <c r="FW11" s="109"/>
    </row>
    <row r="12" spans="2:183" ht="12.75" customHeight="1" x14ac:dyDescent="0.3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1732</v>
      </c>
      <c r="EX12" s="119" t="s">
        <v>23</v>
      </c>
      <c r="EY12" s="119" t="s">
        <v>23</v>
      </c>
      <c r="EZ12" s="119" t="s">
        <v>23</v>
      </c>
      <c r="FA12" s="120" t="s">
        <v>1743</v>
      </c>
      <c r="FB12" s="117"/>
      <c r="FC12" s="117"/>
      <c r="FD12" s="117"/>
      <c r="FE12" s="117"/>
      <c r="FF12" s="117"/>
      <c r="FG12" s="122"/>
      <c r="FH12" s="109"/>
      <c r="FI12" s="109"/>
      <c r="FJ12" s="109"/>
      <c r="FK12" s="109"/>
      <c r="FL12" s="109"/>
      <c r="FM12" s="109"/>
      <c r="FN12" s="109"/>
      <c r="FO12" s="109"/>
      <c r="FP12" s="109"/>
      <c r="FQ12" s="109"/>
      <c r="FR12" s="109"/>
      <c r="FS12" s="109"/>
      <c r="FT12" s="109"/>
      <c r="FU12" s="109"/>
      <c r="FV12" s="109"/>
      <c r="FW12" s="109"/>
    </row>
    <row r="13" spans="2:183" ht="12.75" customHeight="1" x14ac:dyDescent="0.25">
      <c r="B13" s="22" t="s">
        <v>1728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1729</v>
      </c>
      <c r="DA13" s="71"/>
      <c r="DB13" s="71"/>
      <c r="DC13" s="71"/>
      <c r="DD13" s="71"/>
      <c r="DE13" s="71" t="s">
        <v>1764</v>
      </c>
      <c r="DF13" s="125" t="s">
        <v>1711</v>
      </c>
      <c r="DG13" s="125"/>
      <c r="DH13" s="125"/>
      <c r="DI13" s="125"/>
      <c r="DJ13" s="125"/>
      <c r="DK13" s="125"/>
      <c r="DL13" s="125"/>
      <c r="DM13" s="125"/>
      <c r="DN13" s="125"/>
      <c r="DO13" s="125"/>
      <c r="DP13" s="125"/>
      <c r="DQ13" s="125"/>
      <c r="DR13" s="125"/>
      <c r="DS13" s="125"/>
      <c r="DT13" s="132" t="s">
        <v>1766</v>
      </c>
      <c r="DU13" s="121" t="s">
        <v>1711</v>
      </c>
      <c r="DV13" s="121"/>
      <c r="DW13" s="121"/>
      <c r="DX13" s="121"/>
      <c r="DY13" s="121" t="s">
        <v>1711</v>
      </c>
      <c r="DZ13" s="121"/>
      <c r="EA13" s="121"/>
      <c r="EB13" s="121"/>
      <c r="EC13" s="121"/>
      <c r="ED13" s="121" t="s">
        <v>1711</v>
      </c>
      <c r="EE13" s="121"/>
      <c r="EF13" s="121"/>
      <c r="EG13" s="121"/>
      <c r="EH13" s="121"/>
      <c r="EI13" s="121" t="s">
        <v>1711</v>
      </c>
      <c r="EJ13" s="121" t="s">
        <v>1711</v>
      </c>
      <c r="EK13" s="121" t="s">
        <v>1711</v>
      </c>
      <c r="EL13" s="121" t="s">
        <v>1711</v>
      </c>
      <c r="EM13" s="121" t="s">
        <v>1711</v>
      </c>
      <c r="EN13" s="121" t="s">
        <v>1711</v>
      </c>
      <c r="EO13" s="121" t="s">
        <v>1711</v>
      </c>
      <c r="EP13" s="121" t="s">
        <v>1711</v>
      </c>
      <c r="EQ13" s="121" t="s">
        <v>1711</v>
      </c>
      <c r="ER13" s="121" t="s">
        <v>1711</v>
      </c>
      <c r="ES13" s="121" t="s">
        <v>1711</v>
      </c>
      <c r="ET13" s="121" t="s">
        <v>1711</v>
      </c>
      <c r="EU13" s="121" t="s">
        <v>1711</v>
      </c>
      <c r="EV13" s="121" t="s">
        <v>1711</v>
      </c>
      <c r="EW13" s="131" t="s">
        <v>1731</v>
      </c>
      <c r="EX13" s="119"/>
      <c r="EY13" s="119"/>
      <c r="EZ13" s="119"/>
      <c r="FA13" s="120"/>
      <c r="FB13" s="117"/>
      <c r="FC13" s="117"/>
      <c r="FD13" s="117"/>
      <c r="FE13" s="117"/>
      <c r="FF13" s="117"/>
      <c r="FG13" s="122"/>
      <c r="FH13" s="109"/>
      <c r="FI13" s="109"/>
      <c r="FJ13" s="109"/>
      <c r="FK13" s="109"/>
      <c r="FL13" s="109"/>
      <c r="FM13" s="109"/>
      <c r="FN13" s="109"/>
      <c r="FO13" s="109"/>
      <c r="FP13" s="109"/>
      <c r="FQ13" s="109"/>
      <c r="FR13" s="109"/>
      <c r="FS13" s="109"/>
      <c r="FT13" s="109"/>
      <c r="FU13" s="109"/>
      <c r="FV13" s="109"/>
      <c r="FW13" s="109"/>
    </row>
    <row r="14" spans="2:183" ht="12.75" customHeight="1" x14ac:dyDescent="0.25">
      <c r="B14" s="22" t="s">
        <v>1730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1763</v>
      </c>
      <c r="DF14" s="125"/>
      <c r="DG14" s="125"/>
      <c r="DH14" s="125"/>
      <c r="DI14" s="125"/>
      <c r="DJ14" s="125"/>
      <c r="DK14" s="125"/>
      <c r="DL14" s="125"/>
      <c r="DM14" s="125"/>
      <c r="DN14" s="125"/>
      <c r="DO14" s="125"/>
      <c r="DP14" s="125"/>
      <c r="DQ14" s="125"/>
      <c r="DR14" s="125"/>
      <c r="DS14" s="125"/>
      <c r="DT14" s="132"/>
      <c r="DU14" s="121"/>
      <c r="DV14" s="121"/>
      <c r="DW14" s="121"/>
      <c r="DX14" s="121"/>
      <c r="DY14" s="121"/>
      <c r="DZ14" s="121"/>
      <c r="EA14" s="121"/>
      <c r="EB14" s="121"/>
      <c r="EC14" s="121"/>
      <c r="ED14" s="121"/>
      <c r="EE14" s="121"/>
      <c r="EF14" s="121"/>
      <c r="EG14" s="121"/>
      <c r="EH14" s="121"/>
      <c r="EI14" s="121"/>
      <c r="EJ14" s="121"/>
      <c r="EK14" s="121"/>
      <c r="EL14" s="121"/>
      <c r="EM14" s="121"/>
      <c r="EN14" s="121"/>
      <c r="EO14" s="121"/>
      <c r="EP14" s="121"/>
      <c r="EQ14" s="121"/>
      <c r="ER14" s="121"/>
      <c r="ES14" s="121"/>
      <c r="ET14" s="121"/>
      <c r="EU14" s="121"/>
      <c r="EV14" s="121"/>
      <c r="EW14" s="131"/>
      <c r="EX14" s="119"/>
      <c r="EY14" s="119"/>
      <c r="EZ14" s="119"/>
      <c r="FA14" s="120"/>
      <c r="FB14" s="117"/>
      <c r="FC14" s="117"/>
      <c r="FD14" s="117"/>
      <c r="FE14" s="117"/>
      <c r="FF14" s="117"/>
      <c r="FG14" s="122"/>
      <c r="FH14" s="109"/>
      <c r="FI14" s="109"/>
      <c r="FJ14" s="109"/>
      <c r="FK14" s="109"/>
      <c r="FL14" s="109"/>
      <c r="FM14" s="109"/>
      <c r="FN14" s="109"/>
      <c r="FO14" s="109"/>
      <c r="FP14" s="109"/>
      <c r="FQ14" s="109"/>
      <c r="FR14" s="109"/>
      <c r="FS14" s="109"/>
      <c r="FT14" s="109"/>
      <c r="FU14" s="109"/>
      <c r="FV14" s="109"/>
      <c r="FW14" s="109"/>
    </row>
    <row r="15" spans="2:183" ht="12.75" customHeight="1" x14ac:dyDescent="0.25">
      <c r="B15" s="22" t="s">
        <v>1751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1762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1765</v>
      </c>
      <c r="DU15" s="121"/>
      <c r="DV15" s="121"/>
      <c r="DW15" s="121"/>
      <c r="DX15" s="121"/>
      <c r="DY15" s="121"/>
      <c r="DZ15" s="121"/>
      <c r="EA15" s="121"/>
      <c r="EB15" s="121"/>
      <c r="EC15" s="121"/>
      <c r="ED15" s="121"/>
      <c r="EE15" s="121"/>
      <c r="EF15" s="121"/>
      <c r="EG15" s="121"/>
      <c r="EH15" s="121"/>
      <c r="EI15" s="121"/>
      <c r="EJ15" s="121"/>
      <c r="EK15" s="121"/>
      <c r="EL15" s="121"/>
      <c r="EM15" s="121"/>
      <c r="EN15" s="121"/>
      <c r="EO15" s="121"/>
      <c r="EP15" s="121"/>
      <c r="EQ15" s="121"/>
      <c r="ER15" s="121"/>
      <c r="ES15" s="121"/>
      <c r="ET15" s="121"/>
      <c r="EU15" s="121"/>
      <c r="EV15" s="121"/>
      <c r="EW15" s="131"/>
      <c r="EX15" s="119"/>
      <c r="EY15" s="119"/>
      <c r="EZ15" s="119"/>
      <c r="FA15" s="120"/>
      <c r="FB15" s="117"/>
      <c r="FC15" s="117"/>
      <c r="FD15" s="117"/>
      <c r="FE15" s="117"/>
      <c r="FF15" s="117"/>
      <c r="FG15" s="122"/>
      <c r="FH15" s="109"/>
      <c r="FI15" s="109"/>
      <c r="FJ15" s="109"/>
      <c r="FK15" s="109"/>
      <c r="FL15" s="109"/>
      <c r="FM15" s="109"/>
      <c r="FN15" s="109"/>
      <c r="FO15" s="109"/>
      <c r="FP15" s="109"/>
      <c r="FQ15" s="109"/>
      <c r="FR15" s="109"/>
      <c r="FS15" s="109"/>
      <c r="FT15" s="109"/>
      <c r="FU15" s="109"/>
      <c r="FV15" s="109"/>
      <c r="FW15" s="109"/>
    </row>
    <row r="16" spans="2:183" ht="12.75" customHeight="1" x14ac:dyDescent="0.25">
      <c r="B16" t="s">
        <v>1744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1750</v>
      </c>
      <c r="CG16" s="114" t="s">
        <v>1744</v>
      </c>
      <c r="CH16" s="129"/>
      <c r="CI16" s="129"/>
      <c r="CJ16" s="129"/>
      <c r="CK16" s="129"/>
      <c r="CL16" s="129"/>
      <c r="CM16" s="129"/>
      <c r="CN16" s="129"/>
      <c r="CO16" s="129"/>
      <c r="CP16" s="129"/>
      <c r="CQ16" s="129"/>
      <c r="CR16" s="129"/>
      <c r="CS16" s="126" t="s">
        <v>1759</v>
      </c>
      <c r="CT16" s="127" t="s">
        <v>1744</v>
      </c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  <c r="DO16" s="127"/>
      <c r="DP16" s="127"/>
      <c r="DQ16" s="127"/>
      <c r="DR16" s="127"/>
      <c r="DS16" s="127"/>
      <c r="DT16" s="127"/>
      <c r="DU16" s="127"/>
      <c r="DV16" s="127"/>
      <c r="DW16" s="127"/>
      <c r="DX16" s="127"/>
      <c r="DY16" s="123" t="s">
        <v>1744</v>
      </c>
      <c r="DZ16" s="123" t="s">
        <v>1744</v>
      </c>
      <c r="EA16" s="123" t="s">
        <v>1744</v>
      </c>
      <c r="EB16" s="123" t="s">
        <v>1744</v>
      </c>
      <c r="EC16" s="123" t="s">
        <v>1744</v>
      </c>
      <c r="ED16" s="123" t="s">
        <v>1744</v>
      </c>
      <c r="EE16" s="123" t="s">
        <v>1744</v>
      </c>
      <c r="EF16" s="123" t="s">
        <v>1744</v>
      </c>
      <c r="EG16" s="123" t="s">
        <v>1744</v>
      </c>
      <c r="EH16" s="123" t="s">
        <v>1744</v>
      </c>
      <c r="EI16" s="123" t="s">
        <v>1744</v>
      </c>
      <c r="EJ16" s="123" t="s">
        <v>1744</v>
      </c>
      <c r="EK16" s="123" t="s">
        <v>1744</v>
      </c>
      <c r="EL16" s="123" t="s">
        <v>1744</v>
      </c>
      <c r="EM16" s="123" t="s">
        <v>1744</v>
      </c>
      <c r="EN16" s="123" t="s">
        <v>1744</v>
      </c>
      <c r="EO16" s="123" t="s">
        <v>1744</v>
      </c>
      <c r="EP16" s="123" t="s">
        <v>1744</v>
      </c>
      <c r="EQ16" s="110" t="s">
        <v>1744</v>
      </c>
      <c r="ER16" s="111" t="s">
        <v>1760</v>
      </c>
      <c r="ES16" s="115" t="s">
        <v>1744</v>
      </c>
      <c r="ET16" s="114" t="s">
        <v>1744</v>
      </c>
      <c r="EU16" s="114" t="s">
        <v>1744</v>
      </c>
      <c r="EV16" s="114" t="s">
        <v>1744</v>
      </c>
      <c r="EW16" s="114" t="s">
        <v>1744</v>
      </c>
      <c r="EX16" s="114" t="s">
        <v>1744</v>
      </c>
      <c r="EY16" s="114" t="s">
        <v>1744</v>
      </c>
      <c r="EZ16" s="114" t="s">
        <v>1744</v>
      </c>
      <c r="FA16" s="114" t="s">
        <v>1744</v>
      </c>
      <c r="FB16" s="114" t="s">
        <v>1744</v>
      </c>
      <c r="FC16" s="114" t="s">
        <v>1744</v>
      </c>
      <c r="FD16" s="114" t="s">
        <v>1744</v>
      </c>
      <c r="FE16" s="114" t="s">
        <v>1744</v>
      </c>
      <c r="FF16" s="114" t="s">
        <v>1744</v>
      </c>
      <c r="FG16" s="126" t="s">
        <v>1731</v>
      </c>
      <c r="FH16" s="109"/>
      <c r="FI16" s="109"/>
      <c r="FJ16" s="109"/>
      <c r="FK16" s="109"/>
      <c r="FL16" s="109"/>
      <c r="FM16" s="109"/>
      <c r="FN16" s="109"/>
      <c r="FO16" s="109"/>
      <c r="FP16" s="109"/>
      <c r="FQ16" s="109"/>
      <c r="FR16" s="109"/>
      <c r="FS16" s="109"/>
      <c r="FT16" s="109"/>
      <c r="FU16" s="109"/>
      <c r="FV16" s="109"/>
      <c r="FW16" s="109"/>
    </row>
    <row r="17" spans="2:179" ht="12.75" customHeight="1" x14ac:dyDescent="0.25">
      <c r="B17" s="22" t="s">
        <v>1745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1747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1748</v>
      </c>
      <c r="CF17" s="79" t="s">
        <v>1749</v>
      </c>
      <c r="CG17" s="114"/>
      <c r="CH17" s="129"/>
      <c r="CI17" s="129"/>
      <c r="CJ17" s="129"/>
      <c r="CK17" s="129"/>
      <c r="CL17" s="129"/>
      <c r="CM17" s="129"/>
      <c r="CN17" s="129"/>
      <c r="CO17" s="129"/>
      <c r="CP17" s="129"/>
      <c r="CQ17" s="129"/>
      <c r="CR17" s="129"/>
      <c r="CS17" s="126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  <c r="DO17" s="127"/>
      <c r="DP17" s="127"/>
      <c r="DQ17" s="127"/>
      <c r="DR17" s="127"/>
      <c r="DS17" s="127"/>
      <c r="DT17" s="127"/>
      <c r="DU17" s="127"/>
      <c r="DV17" s="127"/>
      <c r="DW17" s="127"/>
      <c r="DX17" s="127"/>
      <c r="DY17" s="123"/>
      <c r="DZ17" s="123"/>
      <c r="EA17" s="123"/>
      <c r="EB17" s="123"/>
      <c r="EC17" s="123"/>
      <c r="ED17" s="123"/>
      <c r="EE17" s="123"/>
      <c r="EF17" s="123"/>
      <c r="EG17" s="123"/>
      <c r="EH17" s="123"/>
      <c r="EI17" s="123"/>
      <c r="EJ17" s="123"/>
      <c r="EK17" s="123"/>
      <c r="EL17" s="123"/>
      <c r="EM17" s="123"/>
      <c r="EN17" s="123"/>
      <c r="EO17" s="123"/>
      <c r="EP17" s="123"/>
      <c r="EQ17" s="110"/>
      <c r="ER17" s="111"/>
      <c r="ES17" s="115"/>
      <c r="ET17" s="114"/>
      <c r="EU17" s="114"/>
      <c r="EV17" s="114"/>
      <c r="EW17" s="114"/>
      <c r="EX17" s="114"/>
      <c r="EY17" s="114"/>
      <c r="EZ17" s="114"/>
      <c r="FA17" s="114"/>
      <c r="FB17" s="114"/>
      <c r="FC17" s="114"/>
      <c r="FD17" s="114"/>
      <c r="FE17" s="114"/>
      <c r="FF17" s="114"/>
      <c r="FG17" s="126"/>
      <c r="FH17" s="109"/>
      <c r="FI17" s="109"/>
      <c r="FJ17" s="109"/>
      <c r="FK17" s="109"/>
      <c r="FL17" s="109"/>
      <c r="FM17" s="109"/>
      <c r="FN17" s="109"/>
      <c r="FO17" s="109"/>
      <c r="FP17" s="109"/>
      <c r="FQ17" s="109"/>
      <c r="FR17" s="109"/>
      <c r="FS17" s="109"/>
      <c r="FT17" s="109"/>
      <c r="FU17" s="109"/>
      <c r="FV17" s="109"/>
      <c r="FW17" s="109"/>
    </row>
    <row r="18" spans="2:179" ht="12.75" customHeight="1" x14ac:dyDescent="0.25">
      <c r="B18" s="22" t="s">
        <v>1758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1757</v>
      </c>
      <c r="CT18" s="127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127"/>
      <c r="DF18" s="127"/>
      <c r="DG18" s="127"/>
      <c r="DH18" s="127"/>
      <c r="DI18" s="127"/>
      <c r="DJ18" s="127"/>
      <c r="DK18" s="127"/>
      <c r="DL18" s="127"/>
      <c r="DM18" s="127"/>
      <c r="DN18" s="127"/>
      <c r="DO18" s="127"/>
      <c r="DP18" s="127"/>
      <c r="DQ18" s="127"/>
      <c r="DR18" s="127"/>
      <c r="DS18" s="127"/>
      <c r="DT18" s="127"/>
      <c r="DU18" s="127"/>
      <c r="DV18" s="127"/>
      <c r="DW18" s="127"/>
      <c r="DX18" s="127"/>
      <c r="DY18" s="123"/>
      <c r="DZ18" s="123"/>
      <c r="EA18" s="123"/>
      <c r="EB18" s="123"/>
      <c r="EC18" s="123"/>
      <c r="ED18" s="123"/>
      <c r="EE18" s="123"/>
      <c r="EF18" s="123"/>
      <c r="EG18" s="123"/>
      <c r="EH18" s="123"/>
      <c r="EI18" s="123"/>
      <c r="EJ18" s="123"/>
      <c r="EK18" s="123"/>
      <c r="EL18" s="123"/>
      <c r="EM18" s="123"/>
      <c r="EN18" s="123"/>
      <c r="EO18" s="123"/>
      <c r="EP18" s="123"/>
      <c r="EQ18" s="110"/>
      <c r="ER18" s="111"/>
      <c r="ES18" s="115"/>
      <c r="ET18" s="114"/>
      <c r="EU18" s="114"/>
      <c r="EV18" s="114"/>
      <c r="EW18" s="114"/>
      <c r="EX18" s="114"/>
      <c r="EY18" s="114"/>
      <c r="EZ18" s="114"/>
      <c r="FA18" s="114"/>
      <c r="FB18" s="114"/>
      <c r="FC18" s="114"/>
      <c r="FD18" s="114"/>
      <c r="FE18" s="114"/>
      <c r="FF18" s="114"/>
      <c r="FG18" s="126"/>
      <c r="FH18" s="109"/>
      <c r="FI18" s="109"/>
      <c r="FJ18" s="109"/>
      <c r="FK18" s="109"/>
      <c r="FL18" s="109"/>
      <c r="FM18" s="109"/>
      <c r="FN18" s="109"/>
      <c r="FO18" s="109"/>
      <c r="FP18" s="109"/>
      <c r="FQ18" s="109"/>
      <c r="FR18" s="109"/>
      <c r="FS18" s="109"/>
      <c r="FT18" s="109"/>
      <c r="FU18" s="109"/>
      <c r="FV18" s="109"/>
      <c r="FW18" s="109"/>
    </row>
    <row r="19" spans="2:179" ht="12.75" customHeight="1" x14ac:dyDescent="0.25">
      <c r="B19" s="22" t="s">
        <v>1752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1757</v>
      </c>
      <c r="EQ19" s="110"/>
      <c r="ER19" s="111"/>
      <c r="ES19" s="115"/>
      <c r="ET19" s="114"/>
      <c r="EU19" s="114"/>
      <c r="EV19" s="114"/>
      <c r="EW19" s="114"/>
      <c r="EX19" s="114"/>
      <c r="EY19" s="114"/>
      <c r="EZ19" s="114"/>
      <c r="FA19" s="114"/>
      <c r="FB19" s="114"/>
      <c r="FC19" s="114"/>
      <c r="FD19" s="114"/>
      <c r="FE19" s="114"/>
      <c r="FF19" s="114"/>
      <c r="FG19" s="126"/>
      <c r="FH19" s="109"/>
      <c r="FI19" s="109"/>
      <c r="FJ19" s="109"/>
      <c r="FK19" s="109"/>
      <c r="FL19" s="109"/>
      <c r="FM19" s="109"/>
      <c r="FN19" s="109"/>
      <c r="FO19" s="109"/>
      <c r="FP19" s="109"/>
      <c r="FQ19" s="109"/>
      <c r="FR19" s="109"/>
      <c r="FS19" s="109"/>
      <c r="FT19" s="109"/>
      <c r="FU19" s="109"/>
      <c r="FV19" s="109"/>
      <c r="FW19" s="109"/>
    </row>
    <row r="20" spans="2:179" ht="12.75" customHeight="1" x14ac:dyDescent="0.25">
      <c r="B20" s="22" t="s">
        <v>1746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1754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1756</v>
      </c>
      <c r="CF20" s="130" t="s">
        <v>1746</v>
      </c>
      <c r="CG20" s="128" t="s">
        <v>1746</v>
      </c>
      <c r="CH20" s="128" t="s">
        <v>1746</v>
      </c>
      <c r="CI20" s="128" t="s">
        <v>1746</v>
      </c>
      <c r="CJ20" s="128" t="s">
        <v>1746</v>
      </c>
      <c r="CK20" s="128" t="s">
        <v>1746</v>
      </c>
      <c r="CL20" s="128" t="s">
        <v>1746</v>
      </c>
      <c r="CM20" s="128" t="s">
        <v>1746</v>
      </c>
      <c r="CN20" s="128" t="s">
        <v>1746</v>
      </c>
      <c r="CO20" s="128" t="s">
        <v>1746</v>
      </c>
      <c r="CP20" s="128" t="s">
        <v>1746</v>
      </c>
      <c r="CQ20" s="128" t="s">
        <v>1746</v>
      </c>
      <c r="CR20" s="128" t="s">
        <v>1746</v>
      </c>
      <c r="CS20" s="128" t="s">
        <v>1746</v>
      </c>
      <c r="CT20" s="128" t="s">
        <v>1746</v>
      </c>
      <c r="CU20" s="128" t="s">
        <v>1746</v>
      </c>
      <c r="CV20" s="128" t="s">
        <v>1746</v>
      </c>
      <c r="CW20" s="128" t="s">
        <v>1746</v>
      </c>
      <c r="CX20" s="128" t="s">
        <v>1746</v>
      </c>
      <c r="CY20" s="128" t="s">
        <v>1746</v>
      </c>
      <c r="CZ20" s="128" t="s">
        <v>1746</v>
      </c>
      <c r="DA20" s="128" t="s">
        <v>1746</v>
      </c>
      <c r="DB20" s="128" t="s">
        <v>1746</v>
      </c>
      <c r="DC20" s="128" t="s">
        <v>1746</v>
      </c>
      <c r="DD20" s="128" t="s">
        <v>1746</v>
      </c>
      <c r="DE20" s="128" t="s">
        <v>1746</v>
      </c>
      <c r="DF20" s="128" t="s">
        <v>1746</v>
      </c>
      <c r="DG20" s="128" t="s">
        <v>1746</v>
      </c>
      <c r="DH20" s="128" t="s">
        <v>1746</v>
      </c>
      <c r="DI20" s="128" t="s">
        <v>1746</v>
      </c>
      <c r="DJ20" s="128" t="s">
        <v>1746</v>
      </c>
      <c r="DK20" s="128" t="s">
        <v>1746</v>
      </c>
      <c r="DL20" s="128" t="s">
        <v>1746</v>
      </c>
      <c r="DM20" s="128" t="s">
        <v>1746</v>
      </c>
      <c r="DN20" s="128" t="s">
        <v>1746</v>
      </c>
      <c r="DO20" s="128" t="s">
        <v>1746</v>
      </c>
      <c r="DP20" s="128" t="s">
        <v>1746</v>
      </c>
      <c r="DQ20" s="128" t="s">
        <v>1746</v>
      </c>
      <c r="DR20" s="128" t="s">
        <v>1746</v>
      </c>
      <c r="DS20" s="128" t="s">
        <v>1746</v>
      </c>
      <c r="DT20" s="128" t="s">
        <v>1746</v>
      </c>
      <c r="DU20" s="128" t="s">
        <v>1746</v>
      </c>
      <c r="DV20" s="128" t="s">
        <v>1746</v>
      </c>
      <c r="DW20" s="128" t="s">
        <v>1746</v>
      </c>
      <c r="DX20" s="128" t="s">
        <v>1746</v>
      </c>
      <c r="DY20" s="128" t="s">
        <v>1746</v>
      </c>
      <c r="DZ20" s="128" t="s">
        <v>1746</v>
      </c>
      <c r="EA20" s="128" t="s">
        <v>1746</v>
      </c>
      <c r="EB20" s="128" t="s">
        <v>1746</v>
      </c>
      <c r="EC20" s="128" t="s">
        <v>1746</v>
      </c>
      <c r="ED20" s="128" t="s">
        <v>1746</v>
      </c>
      <c r="EE20" s="128" t="s">
        <v>1746</v>
      </c>
      <c r="EF20" s="128" t="s">
        <v>1746</v>
      </c>
      <c r="EG20" s="128" t="s">
        <v>1746</v>
      </c>
      <c r="EH20" s="128" t="s">
        <v>1746</v>
      </c>
      <c r="EI20" s="128" t="s">
        <v>1746</v>
      </c>
      <c r="EJ20" s="128" t="s">
        <v>1746</v>
      </c>
      <c r="EK20" s="128" t="s">
        <v>1746</v>
      </c>
      <c r="EL20" s="128" t="s">
        <v>1746</v>
      </c>
      <c r="EM20" s="128" t="s">
        <v>1746</v>
      </c>
      <c r="EN20" s="128" t="s">
        <v>1746</v>
      </c>
      <c r="EO20" s="128" t="s">
        <v>1746</v>
      </c>
      <c r="EP20" s="128" t="s">
        <v>1746</v>
      </c>
      <c r="EQ20" s="128" t="s">
        <v>1746</v>
      </c>
      <c r="ER20" s="116" t="s">
        <v>1757</v>
      </c>
      <c r="ES20" s="115"/>
      <c r="ET20" s="114"/>
      <c r="EU20" s="114"/>
      <c r="EV20" s="114"/>
      <c r="EW20" s="114"/>
      <c r="EX20" s="114"/>
      <c r="EY20" s="114"/>
      <c r="EZ20" s="114"/>
      <c r="FA20" s="114"/>
      <c r="FB20" s="114"/>
      <c r="FC20" s="114"/>
      <c r="FD20" s="114"/>
      <c r="FE20" s="114"/>
      <c r="FF20" s="114"/>
      <c r="FG20" s="126"/>
      <c r="FH20" s="109"/>
      <c r="FI20" s="109"/>
      <c r="FJ20" s="109"/>
      <c r="FK20" s="109"/>
      <c r="FL20" s="109"/>
      <c r="FM20" s="109"/>
      <c r="FN20" s="109"/>
      <c r="FO20" s="109"/>
      <c r="FP20" s="109"/>
      <c r="FQ20" s="109"/>
      <c r="FR20" s="109"/>
      <c r="FS20" s="109"/>
      <c r="FT20" s="109"/>
      <c r="FU20" s="109"/>
      <c r="FV20" s="109"/>
      <c r="FW20" s="109"/>
    </row>
    <row r="21" spans="2:179" ht="12.75" customHeight="1" x14ac:dyDescent="0.25">
      <c r="B21" s="22" t="s">
        <v>1753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1755</v>
      </c>
      <c r="CF21" s="130"/>
      <c r="CG21" s="128"/>
      <c r="CH21" s="128"/>
      <c r="CI21" s="128"/>
      <c r="CJ21" s="128"/>
      <c r="CK21" s="128"/>
      <c r="CL21" s="128"/>
      <c r="CM21" s="128"/>
      <c r="CN21" s="128"/>
      <c r="CO21" s="128"/>
      <c r="CP21" s="128"/>
      <c r="CQ21" s="128"/>
      <c r="CR21" s="128"/>
      <c r="CS21" s="128"/>
      <c r="CT21" s="128"/>
      <c r="CU21" s="128"/>
      <c r="CV21" s="128"/>
      <c r="CW21" s="128"/>
      <c r="CX21" s="128"/>
      <c r="CY21" s="128"/>
      <c r="CZ21" s="128"/>
      <c r="DA21" s="128"/>
      <c r="DB21" s="128"/>
      <c r="DC21" s="128"/>
      <c r="DD21" s="128"/>
      <c r="DE21" s="128"/>
      <c r="DF21" s="128"/>
      <c r="DG21" s="128"/>
      <c r="DH21" s="128"/>
      <c r="DI21" s="128"/>
      <c r="DJ21" s="128"/>
      <c r="DK21" s="128"/>
      <c r="DL21" s="128"/>
      <c r="DM21" s="128"/>
      <c r="DN21" s="128"/>
      <c r="DO21" s="128"/>
      <c r="DP21" s="128"/>
      <c r="DQ21" s="128"/>
      <c r="DR21" s="128"/>
      <c r="DS21" s="128"/>
      <c r="DT21" s="128"/>
      <c r="DU21" s="128"/>
      <c r="DV21" s="128"/>
      <c r="DW21" s="128"/>
      <c r="DX21" s="128"/>
      <c r="DY21" s="128"/>
      <c r="DZ21" s="128"/>
      <c r="EA21" s="128"/>
      <c r="EB21" s="128"/>
      <c r="EC21" s="128"/>
      <c r="ED21" s="128"/>
      <c r="EE21" s="128"/>
      <c r="EF21" s="128"/>
      <c r="EG21" s="128"/>
      <c r="EH21" s="128"/>
      <c r="EI21" s="128"/>
      <c r="EJ21" s="128"/>
      <c r="EK21" s="128"/>
      <c r="EL21" s="128"/>
      <c r="EM21" s="128"/>
      <c r="EN21" s="128"/>
      <c r="EO21" s="128"/>
      <c r="EP21" s="128"/>
      <c r="EQ21" s="128"/>
      <c r="ER21" s="116"/>
      <c r="ES21" s="115"/>
      <c r="ET21" s="114"/>
      <c r="EU21" s="114"/>
      <c r="EV21" s="114"/>
      <c r="EW21" s="114"/>
      <c r="EX21" s="114"/>
      <c r="EY21" s="114"/>
      <c r="EZ21" s="114"/>
      <c r="FA21" s="114"/>
      <c r="FB21" s="114"/>
      <c r="FC21" s="114"/>
      <c r="FD21" s="114"/>
      <c r="FE21" s="114"/>
      <c r="FF21" s="114"/>
      <c r="FG21" s="126"/>
      <c r="FH21" s="109"/>
      <c r="FI21" s="109"/>
      <c r="FJ21" s="109"/>
      <c r="FK21" s="109"/>
      <c r="FL21" s="109"/>
      <c r="FM21" s="109"/>
      <c r="FN21" s="109"/>
      <c r="FO21" s="109"/>
      <c r="FP21" s="109"/>
      <c r="FQ21" s="109"/>
      <c r="FR21" s="109"/>
      <c r="FS21" s="109"/>
      <c r="FT21" s="109"/>
      <c r="FU21" s="109"/>
      <c r="FV21" s="109"/>
      <c r="FW21" s="109"/>
    </row>
    <row r="22" spans="2:179" ht="12.75" customHeight="1" x14ac:dyDescent="0.3">
      <c r="B22" t="s">
        <v>1769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1773</v>
      </c>
      <c r="FC22" s="90" t="s">
        <v>1198</v>
      </c>
      <c r="FD22" s="90" t="s">
        <v>1198</v>
      </c>
      <c r="FE22" s="90" t="s">
        <v>1198</v>
      </c>
      <c r="FF22" s="90" t="s">
        <v>1198</v>
      </c>
      <c r="FG22" s="90" t="s">
        <v>1198</v>
      </c>
      <c r="FH22" s="109"/>
      <c r="FI22" s="109"/>
      <c r="FJ22" s="109"/>
      <c r="FK22" s="109"/>
      <c r="FL22" s="109"/>
      <c r="FM22" s="109"/>
      <c r="FN22" s="109"/>
      <c r="FO22" s="109"/>
      <c r="FP22" s="109"/>
      <c r="FQ22" s="109"/>
      <c r="FR22" s="109"/>
      <c r="FS22" s="109"/>
      <c r="FT22" s="109"/>
      <c r="FU22" s="109"/>
      <c r="FV22" s="109"/>
      <c r="FW22" s="109"/>
    </row>
    <row r="23" spans="2:179" ht="12.75" customHeight="1" x14ac:dyDescent="0.3">
      <c r="B23" t="s">
        <v>1771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1731</v>
      </c>
      <c r="FO23" s="109"/>
      <c r="FP23" s="109"/>
      <c r="FQ23" s="109"/>
      <c r="FR23" s="109"/>
      <c r="FS23" s="109"/>
      <c r="FT23" s="109"/>
      <c r="FU23" s="109"/>
      <c r="FV23" s="109"/>
      <c r="FW23" s="109"/>
    </row>
    <row r="24" spans="2:179" ht="12.75" customHeight="1" x14ac:dyDescent="0.3">
      <c r="B24" t="s">
        <v>1768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1731</v>
      </c>
      <c r="FU24" s="109"/>
      <c r="FV24" s="109"/>
      <c r="FW24" s="109"/>
    </row>
    <row r="25" spans="2:179" ht="12.75" customHeight="1" x14ac:dyDescent="0.3">
      <c r="B25" t="s">
        <v>1775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1731</v>
      </c>
      <c r="FU25" s="109"/>
      <c r="FV25" s="109"/>
      <c r="FW25" s="109"/>
    </row>
    <row r="26" spans="2:179" ht="12.75" customHeight="1" x14ac:dyDescent="0.3">
      <c r="B26" t="s">
        <v>1770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1767</v>
      </c>
      <c r="EW26" s="83" t="s">
        <v>1767</v>
      </c>
      <c r="EX26" s="83" t="s">
        <v>1767</v>
      </c>
      <c r="EY26" s="83" t="s">
        <v>1767</v>
      </c>
      <c r="EZ26" s="83" t="s">
        <v>1767</v>
      </c>
      <c r="FA26" s="83" t="s">
        <v>1767</v>
      </c>
      <c r="FB26" s="83" t="s">
        <v>1767</v>
      </c>
      <c r="FC26" s="83" t="s">
        <v>1767</v>
      </c>
      <c r="FD26" s="83" t="s">
        <v>1767</v>
      </c>
      <c r="FE26" s="83" t="s">
        <v>1767</v>
      </c>
      <c r="FF26" s="83" t="s">
        <v>1767</v>
      </c>
      <c r="FG26" s="83" t="s">
        <v>1767</v>
      </c>
      <c r="FH26" s="83" t="s">
        <v>1767</v>
      </c>
      <c r="FI26" s="83" t="s">
        <v>1767</v>
      </c>
      <c r="FJ26" s="83" t="s">
        <v>1767</v>
      </c>
      <c r="FK26" s="83" t="s">
        <v>1767</v>
      </c>
      <c r="FL26" s="83" t="s">
        <v>1767</v>
      </c>
      <c r="FM26" s="83" t="s">
        <v>1767</v>
      </c>
      <c r="FN26" s="83" t="s">
        <v>1767</v>
      </c>
      <c r="FO26" s="83" t="s">
        <v>1767</v>
      </c>
      <c r="FP26" s="83" t="s">
        <v>1767</v>
      </c>
      <c r="FQ26" s="83" t="s">
        <v>1767</v>
      </c>
      <c r="FR26" s="83" t="s">
        <v>1767</v>
      </c>
      <c r="FS26" s="83" t="s">
        <v>1767</v>
      </c>
      <c r="FT26" s="83" t="s">
        <v>1767</v>
      </c>
      <c r="FU26" s="83" t="s">
        <v>1731</v>
      </c>
      <c r="FV26" s="109"/>
      <c r="FW26" s="109"/>
    </row>
    <row r="27" spans="2:179" ht="12.75" customHeight="1" x14ac:dyDescent="0.25">
      <c r="B27" t="s">
        <v>1222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5">
      <c r="B28" t="s">
        <v>1776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5">
      <c r="B29" t="s">
        <v>1244</v>
      </c>
    </row>
    <row r="30" spans="2:179" ht="12.75" customHeight="1" x14ac:dyDescent="0.25">
      <c r="B30" t="s">
        <v>1245</v>
      </c>
    </row>
    <row r="31" spans="2:179" ht="12.75" customHeight="1" x14ac:dyDescent="0.25">
      <c r="B31" t="s">
        <v>1694</v>
      </c>
    </row>
    <row r="32" spans="2:179" ht="12.75" customHeight="1" x14ac:dyDescent="0.25">
      <c r="B32" t="s">
        <v>1697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5">
      <c r="B33" t="s">
        <v>1208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5">
      <c r="B34" t="s">
        <v>1210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5">
      <c r="B35" t="s">
        <v>1233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5">
      <c r="B36" t="s">
        <v>1695</v>
      </c>
      <c r="C36" s="63"/>
      <c r="D36" s="64" t="s">
        <v>1701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1699</v>
      </c>
      <c r="DU36" s="121" t="s">
        <v>1260</v>
      </c>
      <c r="DV36" s="139"/>
      <c r="DW36" s="139"/>
      <c r="DX36" s="139"/>
      <c r="DY36" s="139"/>
      <c r="DZ36" s="139"/>
      <c r="EA36" s="139"/>
      <c r="EB36" s="139"/>
      <c r="EC36" s="139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5">
      <c r="B37" t="s">
        <v>1696</v>
      </c>
      <c r="C37" s="65" t="s">
        <v>1700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1702</v>
      </c>
      <c r="DU37" s="121"/>
      <c r="DV37" s="139"/>
      <c r="DW37" s="139"/>
      <c r="DX37" s="139"/>
      <c r="DY37" s="139"/>
      <c r="DZ37" s="139"/>
      <c r="EA37" s="139"/>
      <c r="EB37" s="139"/>
      <c r="EC37" s="139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5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ht="13" x14ac:dyDescent="0.3">
      <c r="B39" t="s">
        <v>1698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1774</v>
      </c>
    </row>
    <row r="40" spans="2:179" x14ac:dyDescent="0.25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5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5">
      <c r="B42" t="s">
        <v>1218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5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5">
      <c r="B44" t="s">
        <v>1703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1708</v>
      </c>
      <c r="EN44" s="138" t="s">
        <v>1710</v>
      </c>
      <c r="EO44" s="136"/>
      <c r="EP44" s="136"/>
      <c r="EQ44" s="138" t="s">
        <v>1710</v>
      </c>
      <c r="ER44" s="136"/>
      <c r="ES44" s="136"/>
      <c r="ET44" s="136"/>
      <c r="EU44" s="138" t="s">
        <v>1710</v>
      </c>
      <c r="EV44" s="136"/>
      <c r="EW44" s="136"/>
      <c r="EX44" s="136"/>
      <c r="EY44" s="136"/>
      <c r="EZ44" s="136"/>
    </row>
    <row r="45" spans="2:179" x14ac:dyDescent="0.25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1704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1706</v>
      </c>
      <c r="BA45" s="67" t="s">
        <v>1705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1707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1709</v>
      </c>
      <c r="EN45" s="138"/>
      <c r="EO45" s="136"/>
      <c r="EP45" s="136"/>
      <c r="EQ45" s="138"/>
      <c r="ER45" s="136"/>
      <c r="ES45" s="136"/>
      <c r="ET45" s="136"/>
      <c r="EU45" s="138"/>
      <c r="EV45" s="136"/>
      <c r="EW45" s="136"/>
      <c r="EX45" s="136"/>
      <c r="EY45" s="136"/>
      <c r="EZ45" s="136"/>
    </row>
    <row r="46" spans="2:179" x14ac:dyDescent="0.25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1726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34" t="s">
        <v>1727</v>
      </c>
      <c r="EY46" s="134"/>
      <c r="EZ46" s="134" t="s">
        <v>1727</v>
      </c>
      <c r="FA46" s="134"/>
      <c r="FB46" s="134" t="s">
        <v>1727</v>
      </c>
      <c r="FC46" s="134"/>
    </row>
    <row r="47" spans="2:179" x14ac:dyDescent="0.25">
      <c r="B47" t="s">
        <v>1718</v>
      </c>
      <c r="C47" s="65" t="s">
        <v>1719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1721</v>
      </c>
      <c r="DU47" s="137" t="s">
        <v>1716</v>
      </c>
      <c r="DV47" s="133"/>
      <c r="DW47" s="133"/>
      <c r="DX47" s="133"/>
      <c r="DY47" s="133"/>
      <c r="DZ47" s="133"/>
      <c r="EA47" s="133"/>
      <c r="EB47" s="133"/>
      <c r="EC47" s="133"/>
      <c r="ED47" s="133"/>
      <c r="EE47" s="133"/>
      <c r="EF47" s="133"/>
      <c r="EG47" s="133"/>
      <c r="EH47" s="133"/>
      <c r="EI47" s="133"/>
      <c r="EJ47" s="133"/>
      <c r="EK47" s="133"/>
      <c r="EL47" s="133"/>
      <c r="EM47" s="133"/>
      <c r="EN47" s="133"/>
      <c r="EO47" s="133"/>
      <c r="EP47" s="133"/>
      <c r="EQ47" s="133"/>
      <c r="ER47" s="133"/>
      <c r="ES47" s="133"/>
      <c r="ET47" s="133"/>
      <c r="EU47" s="133"/>
      <c r="EV47" s="133"/>
      <c r="EW47" s="135" t="s">
        <v>1723</v>
      </c>
      <c r="EX47" s="134"/>
      <c r="EY47" s="134"/>
      <c r="EZ47" s="134"/>
      <c r="FA47" s="134"/>
      <c r="FB47" s="134"/>
      <c r="FC47" s="134"/>
    </row>
    <row r="48" spans="2:179" x14ac:dyDescent="0.25">
      <c r="B48" t="s">
        <v>1720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1722</v>
      </c>
      <c r="DU48" s="137"/>
      <c r="DV48" s="133"/>
      <c r="DW48" s="133"/>
      <c r="DX48" s="133"/>
      <c r="DY48" s="133"/>
      <c r="DZ48" s="133"/>
      <c r="EA48" s="133"/>
      <c r="EB48" s="133"/>
      <c r="EC48" s="133"/>
      <c r="ED48" s="133"/>
      <c r="EE48" s="133"/>
      <c r="EF48" s="133"/>
      <c r="EG48" s="133"/>
      <c r="EH48" s="133"/>
      <c r="EI48" s="133"/>
      <c r="EJ48" s="133"/>
      <c r="EK48" s="133"/>
      <c r="EL48" s="133"/>
      <c r="EM48" s="133"/>
      <c r="EN48" s="133"/>
      <c r="EO48" s="133"/>
      <c r="EP48" s="133"/>
      <c r="EQ48" s="133"/>
      <c r="ER48" s="133"/>
      <c r="ES48" s="133"/>
      <c r="ET48" s="133"/>
      <c r="EU48" s="133"/>
      <c r="EV48" s="133"/>
      <c r="EW48" s="135"/>
      <c r="EX48" s="134"/>
      <c r="EY48" s="134"/>
      <c r="EZ48" s="134"/>
      <c r="FA48" s="134"/>
      <c r="FB48" s="134"/>
      <c r="FC48" s="134"/>
    </row>
    <row r="49" spans="2:77" x14ac:dyDescent="0.25">
      <c r="B49" t="s">
        <v>1712</v>
      </c>
    </row>
    <row r="50" spans="2:77" x14ac:dyDescent="0.25">
      <c r="B50" t="s">
        <v>1713</v>
      </c>
    </row>
    <row r="51" spans="2:77" x14ac:dyDescent="0.25">
      <c r="B51" t="s">
        <v>1714</v>
      </c>
    </row>
    <row r="52" spans="2:77" x14ac:dyDescent="0.25">
      <c r="B52" t="s">
        <v>1715</v>
      </c>
    </row>
    <row r="53" spans="2:77" x14ac:dyDescent="0.25">
      <c r="B53" t="s">
        <v>1717</v>
      </c>
    </row>
    <row r="54" spans="2:77" x14ac:dyDescent="0.25">
      <c r="B54" t="s">
        <v>1724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5">
      <c r="B55" t="s">
        <v>1725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5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5">
      <c r="B57" t="s">
        <v>1253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5">
      <c r="B58" t="s">
        <v>1250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5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5">
      <c r="B60" t="s">
        <v>61</v>
      </c>
    </row>
    <row r="61" spans="2:77" x14ac:dyDescent="0.25">
      <c r="B61" t="s">
        <v>1257</v>
      </c>
    </row>
    <row r="62" spans="2:77" x14ac:dyDescent="0.25">
      <c r="B62" t="s">
        <v>1236</v>
      </c>
    </row>
    <row r="63" spans="2:77" x14ac:dyDescent="0.25">
      <c r="B63" t="s">
        <v>1235</v>
      </c>
    </row>
    <row r="64" spans="2:77" x14ac:dyDescent="0.25">
      <c r="B64" t="s">
        <v>254</v>
      </c>
    </row>
    <row r="65" spans="2:120" x14ac:dyDescent="0.25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5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1259</v>
      </c>
    </row>
    <row r="3" spans="1:2" x14ac:dyDescent="0.25">
      <c r="B3" t="s">
        <v>991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2025-06-10T16:20:56Z</dcterms:modified>
</cp:coreProperties>
</file>