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externalLinks/externalLink19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C695FA0B-B1F9-4D66-945E-A9C0BD612AC2}" xr6:coauthVersionLast="47" xr6:coauthVersionMax="47" xr10:uidLastSave="{00000000-0000-0000-0000-000000000000}"/>
  <bookViews>
    <workbookView xWindow="42150" yWindow="2920" windowWidth="22230" windowHeight="1424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3" i="1" l="1"/>
  <c r="L163" i="1"/>
  <c r="H163" i="1" s="1"/>
  <c r="J163" i="1" s="1"/>
  <c r="I212" i="1"/>
  <c r="L212" i="1"/>
  <c r="H212" i="1" s="1"/>
  <c r="I285" i="1"/>
  <c r="L285" i="1"/>
  <c r="H285" i="1" s="1"/>
  <c r="M12" i="1"/>
  <c r="J212" i="1" l="1"/>
  <c r="J285" i="1"/>
  <c r="M27" i="1"/>
  <c r="I311" i="1" l="1"/>
  <c r="L311" i="1"/>
  <c r="H311" i="1" s="1"/>
  <c r="I201" i="1"/>
  <c r="L201" i="1"/>
  <c r="H201" i="1" s="1"/>
  <c r="J311" i="1" l="1"/>
  <c r="J201" i="1"/>
  <c r="I7" i="1"/>
  <c r="L7" i="1"/>
  <c r="H7" i="1" s="1"/>
  <c r="K24" i="1" l="1"/>
  <c r="AE4" i="1" l="1"/>
  <c r="AA22" i="1"/>
  <c r="L16" i="1"/>
  <c r="I121" i="4" l="1"/>
  <c r="E121" i="4" s="1"/>
  <c r="F121" i="4"/>
  <c r="H109" i="1"/>
  <c r="G121" i="4" l="1"/>
  <c r="J109" i="1"/>
  <c r="R22" i="1" l="1"/>
  <c r="Q22" i="1"/>
  <c r="P22" i="1"/>
  <c r="N22" i="1"/>
  <c r="O22" i="1" s="1"/>
  <c r="F120" i="4" l="1"/>
  <c r="I120" i="4"/>
  <c r="E120" i="4" s="1"/>
  <c r="G120" i="4" l="1"/>
  <c r="L372" i="1"/>
  <c r="H372" i="1" s="1"/>
  <c r="I372" i="1"/>
  <c r="J372" i="1" l="1"/>
  <c r="I432" i="1"/>
  <c r="L432" i="1"/>
  <c r="H432" i="1" s="1"/>
  <c r="J432" i="1" l="1"/>
  <c r="I379" i="1" l="1"/>
  <c r="L379" i="1"/>
  <c r="H379" i="1" s="1"/>
  <c r="J379" i="1" l="1"/>
  <c r="I89" i="1"/>
  <c r="L89" i="1"/>
  <c r="H89" i="1" s="1"/>
  <c r="J89" i="1" l="1"/>
  <c r="I230" i="1" l="1"/>
  <c r="L230" i="1"/>
  <c r="H230" i="1" s="1"/>
  <c r="J230" i="1" l="1"/>
  <c r="I259" i="1"/>
  <c r="L259" i="1"/>
  <c r="H259" i="1" s="1"/>
  <c r="J259" i="1" l="1"/>
  <c r="I162" i="1" l="1"/>
  <c r="L162" i="1"/>
  <c r="H162" i="1" s="1"/>
  <c r="J162" i="1" l="1"/>
  <c r="I253" i="1" l="1"/>
  <c r="L253" i="1"/>
  <c r="H253" i="1" s="1"/>
  <c r="J253" i="1" l="1"/>
  <c r="I252" i="1"/>
  <c r="L252" i="1"/>
  <c r="H252" i="1" s="1"/>
  <c r="J252" i="1" l="1"/>
  <c r="I427" i="1" l="1"/>
  <c r="L427" i="1"/>
  <c r="H427" i="1" s="1"/>
  <c r="AN1" i="6"/>
  <c r="J427" i="1" l="1"/>
  <c r="I371" i="1"/>
  <c r="L371" i="1"/>
  <c r="H371" i="1" s="1"/>
  <c r="J371" i="1" l="1"/>
  <c r="R16" i="1" l="1"/>
  <c r="Q16" i="1"/>
  <c r="P16" i="1"/>
  <c r="N16" i="1" l="1"/>
  <c r="O16" i="1" s="1"/>
  <c r="N19" i="9" l="1"/>
  <c r="N16" i="9" s="1"/>
  <c r="I428" i="1" l="1"/>
  <c r="L428" i="1"/>
  <c r="H428" i="1" s="1"/>
  <c r="I419" i="1"/>
  <c r="L419" i="1"/>
  <c r="H419" i="1" s="1"/>
  <c r="I403" i="1"/>
  <c r="L403" i="1"/>
  <c r="H403" i="1" s="1"/>
  <c r="J419" i="1" l="1"/>
  <c r="J428" i="1"/>
  <c r="J403" i="1"/>
  <c r="I233" i="1" l="1"/>
  <c r="L233" i="1"/>
  <c r="H233" i="1" s="1"/>
  <c r="J233" i="1" l="1"/>
  <c r="I166" i="1"/>
  <c r="L166" i="1"/>
  <c r="H166" i="1" s="1"/>
  <c r="I284" i="1"/>
  <c r="L284" i="1"/>
  <c r="H284" i="1" s="1"/>
  <c r="L546" i="1"/>
  <c r="H546" i="1" s="1"/>
  <c r="J166" i="1" l="1"/>
  <c r="J284" i="1"/>
  <c r="I101" i="1"/>
  <c r="L101" i="1"/>
  <c r="H101" i="1" s="1"/>
  <c r="J101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61" i="1"/>
  <c r="L461" i="1"/>
  <c r="H461" i="1" s="1"/>
  <c r="I257" i="1"/>
  <c r="L257" i="1"/>
  <c r="H257" i="1" s="1"/>
  <c r="I460" i="1"/>
  <c r="L460" i="1"/>
  <c r="H460" i="1" s="1"/>
  <c r="J461" i="1" l="1"/>
  <c r="J257" i="1"/>
  <c r="J460" i="1"/>
  <c r="K9" i="1"/>
  <c r="I254" i="1" l="1"/>
  <c r="L254" i="1"/>
  <c r="H254" i="1" s="1"/>
  <c r="J254" i="1" l="1"/>
  <c r="I213" i="1"/>
  <c r="L213" i="1"/>
  <c r="H213" i="1" s="1"/>
  <c r="I258" i="1"/>
  <c r="L258" i="1"/>
  <c r="H258" i="1" s="1"/>
  <c r="J213" i="1" l="1"/>
  <c r="J258" i="1"/>
  <c r="I364" i="1"/>
  <c r="L364" i="1"/>
  <c r="H364" i="1" s="1"/>
  <c r="J364" i="1" l="1"/>
  <c r="I86" i="1" l="1"/>
  <c r="L86" i="1"/>
  <c r="H86" i="1" s="1"/>
  <c r="I363" i="1"/>
  <c r="L363" i="1"/>
  <c r="H363" i="1" s="1"/>
  <c r="I459" i="1"/>
  <c r="L459" i="1"/>
  <c r="H459" i="1" s="1"/>
  <c r="I406" i="1"/>
  <c r="L406" i="1"/>
  <c r="H406" i="1" s="1"/>
  <c r="L404" i="1"/>
  <c r="H404" i="1" s="1"/>
  <c r="I404" i="1"/>
  <c r="I410" i="1"/>
  <c r="L410" i="1"/>
  <c r="H410" i="1" s="1"/>
  <c r="I455" i="1"/>
  <c r="L455" i="1"/>
  <c r="H455" i="1" s="1"/>
  <c r="I458" i="1"/>
  <c r="L458" i="1"/>
  <c r="H458" i="1" s="1"/>
  <c r="I405" i="1"/>
  <c r="L405" i="1"/>
  <c r="H405" i="1" s="1"/>
  <c r="J455" i="1" l="1"/>
  <c r="J363" i="1"/>
  <c r="J86" i="1"/>
  <c r="J459" i="1"/>
  <c r="J406" i="1"/>
  <c r="J404" i="1"/>
  <c r="J410" i="1"/>
  <c r="J458" i="1"/>
  <c r="J405" i="1"/>
  <c r="H19" i="1" l="1"/>
  <c r="I113" i="1" l="1"/>
  <c r="L113" i="1"/>
  <c r="H113" i="1" s="1"/>
  <c r="I464" i="1"/>
  <c r="L464" i="1"/>
  <c r="H464" i="1" s="1"/>
  <c r="J113" i="1" l="1"/>
  <c r="J464" i="1"/>
  <c r="I348" i="1"/>
  <c r="L348" i="1"/>
  <c r="H348" i="1" s="1"/>
  <c r="J348" i="1" l="1"/>
  <c r="N9" i="1" l="1"/>
  <c r="O9" i="1" s="1"/>
  <c r="I407" i="1"/>
  <c r="L407" i="1"/>
  <c r="H407" i="1" s="1"/>
  <c r="I457" i="1"/>
  <c r="L457" i="1"/>
  <c r="H457" i="1" s="1"/>
  <c r="I462" i="1"/>
  <c r="L462" i="1"/>
  <c r="H462" i="1" s="1"/>
  <c r="L433" i="1"/>
  <c r="J407" i="1" l="1"/>
  <c r="J457" i="1"/>
  <c r="J462" i="1"/>
  <c r="I118" i="1"/>
  <c r="L118" i="1"/>
  <c r="H118" i="1" s="1"/>
  <c r="J118" i="1" l="1"/>
  <c r="I97" i="1"/>
  <c r="L97" i="1"/>
  <c r="H97" i="1" s="1"/>
  <c r="J97" i="1" l="1"/>
  <c r="J6" i="12"/>
  <c r="I409" i="1" l="1"/>
  <c r="L409" i="1"/>
  <c r="H409" i="1" s="1"/>
  <c r="J409" i="1" l="1"/>
  <c r="G32" i="6"/>
  <c r="L69" i="1" l="1"/>
  <c r="H69" i="1" s="1"/>
  <c r="I69" i="1"/>
  <c r="J69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103" i="1"/>
  <c r="L103" i="1"/>
  <c r="H103" i="1" s="1"/>
  <c r="J103" i="1" l="1"/>
  <c r="I58" i="1" l="1"/>
  <c r="L58" i="1"/>
  <c r="H58" i="1" s="1"/>
  <c r="J58" i="1" l="1"/>
  <c r="I87" i="1"/>
  <c r="L87" i="1"/>
  <c r="H87" i="1" s="1"/>
  <c r="J87" i="1" l="1"/>
  <c r="I80" i="1" l="1"/>
  <c r="L80" i="1"/>
  <c r="H80" i="1" s="1"/>
  <c r="I90" i="1"/>
  <c r="L90" i="1"/>
  <c r="H90" i="1" s="1"/>
  <c r="I78" i="1"/>
  <c r="L78" i="1"/>
  <c r="H78" i="1" s="1"/>
  <c r="O49" i="6"/>
  <c r="N49" i="6"/>
  <c r="M49" i="6"/>
  <c r="J80" i="1" l="1"/>
  <c r="J90" i="1"/>
  <c r="J78" i="1"/>
  <c r="I262" i="1"/>
  <c r="L262" i="1"/>
  <c r="H262" i="1" s="1"/>
  <c r="I433" i="1"/>
  <c r="H433" i="1"/>
  <c r="J433" i="1" l="1"/>
  <c r="J262" i="1"/>
  <c r="I98" i="1" l="1"/>
  <c r="L98" i="1"/>
  <c r="H98" i="1" s="1"/>
  <c r="J98" i="1" l="1"/>
  <c r="I261" i="1" l="1"/>
  <c r="L261" i="1"/>
  <c r="H261" i="1" s="1"/>
  <c r="J261" i="1" l="1"/>
  <c r="I96" i="1"/>
  <c r="L96" i="1"/>
  <c r="H96" i="1" s="1"/>
  <c r="J96" i="1" l="1"/>
  <c r="I93" i="1"/>
  <c r="L93" i="1"/>
  <c r="H93" i="1" s="1"/>
  <c r="J93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2" i="1" l="1"/>
  <c r="J92" i="1" s="1"/>
  <c r="L92" i="1"/>
  <c r="I77" i="1"/>
  <c r="L77" i="1"/>
  <c r="H77" i="1" s="1"/>
  <c r="J77" i="1" l="1"/>
  <c r="I229" i="1" l="1"/>
  <c r="L229" i="1"/>
  <c r="H229" i="1" s="1"/>
  <c r="J229" i="1" l="1"/>
  <c r="I231" i="1"/>
  <c r="L231" i="1"/>
  <c r="H231" i="1" s="1"/>
  <c r="I303" i="1"/>
  <c r="L303" i="1"/>
  <c r="H303" i="1" s="1"/>
  <c r="J231" i="1" l="1"/>
  <c r="J303" i="1"/>
  <c r="I544" i="1"/>
  <c r="L544" i="1"/>
  <c r="H544" i="1" s="1"/>
  <c r="J544" i="1" l="1"/>
  <c r="I463" i="1"/>
  <c r="L463" i="1"/>
  <c r="H463" i="1" s="1"/>
  <c r="J463" i="1" l="1"/>
  <c r="I456" i="1"/>
  <c r="L456" i="1"/>
  <c r="H456" i="1" s="1"/>
  <c r="I304" i="1"/>
  <c r="L304" i="1"/>
  <c r="H304" i="1" s="1"/>
  <c r="I115" i="1"/>
  <c r="L115" i="1"/>
  <c r="H115" i="1" s="1"/>
  <c r="J115" i="1" l="1"/>
  <c r="J304" i="1"/>
  <c r="J456" i="1"/>
  <c r="I75" i="1"/>
  <c r="L75" i="1"/>
  <c r="H75" i="1" s="1"/>
  <c r="J75" i="1" l="1"/>
  <c r="I84" i="1"/>
  <c r="L84" i="1"/>
  <c r="H84" i="1" s="1"/>
  <c r="I70" i="1"/>
  <c r="L70" i="1"/>
  <c r="I76" i="1"/>
  <c r="L76" i="1"/>
  <c r="H76" i="1" s="1"/>
  <c r="J84" i="1" l="1"/>
  <c r="J76" i="1"/>
  <c r="H70" i="1" l="1"/>
  <c r="J70" i="1" s="1"/>
  <c r="I125" i="1" l="1"/>
  <c r="H125" i="1"/>
  <c r="J125" i="1" l="1"/>
  <c r="I312" i="1" l="1"/>
  <c r="L312" i="1"/>
  <c r="H312" i="1" s="1"/>
  <c r="J312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2" i="1"/>
  <c r="L232" i="1"/>
  <c r="H232" i="1" s="1"/>
  <c r="J232" i="1" l="1"/>
  <c r="I309" i="1" l="1"/>
  <c r="L309" i="1"/>
  <c r="H309" i="1" s="1"/>
  <c r="I102" i="1"/>
  <c r="J309" i="1" l="1"/>
  <c r="L102" i="1"/>
  <c r="H102" i="1" s="1"/>
  <c r="J102" i="1" s="1"/>
  <c r="I306" i="1" l="1"/>
  <c r="L306" i="1"/>
  <c r="H306" i="1" s="1"/>
  <c r="I79" i="1"/>
  <c r="L79" i="1"/>
  <c r="H79" i="1" s="1"/>
  <c r="J306" i="1" l="1"/>
  <c r="J79" i="1"/>
  <c r="I228" i="1"/>
  <c r="L228" i="1"/>
  <c r="H228" i="1" s="1"/>
  <c r="J228" i="1" l="1"/>
  <c r="I308" i="1" l="1"/>
  <c r="L308" i="1"/>
  <c r="H308" i="1" s="1"/>
  <c r="J308" i="1" l="1"/>
  <c r="I99" i="1"/>
  <c r="L99" i="1"/>
  <c r="H99" i="1" s="1"/>
  <c r="J99" i="1" l="1"/>
  <c r="L127" i="1" l="1"/>
  <c r="H127" i="1" s="1"/>
  <c r="I127" i="1"/>
  <c r="J127" i="1" l="1"/>
  <c r="L110" i="1"/>
  <c r="H110" i="1" s="1"/>
  <c r="I110" i="1"/>
  <c r="I501" i="1"/>
  <c r="L501" i="1"/>
  <c r="H501" i="1" s="1"/>
  <c r="J110" i="1" l="1"/>
  <c r="J501" i="1"/>
  <c r="R9" i="1"/>
  <c r="Q9" i="1"/>
  <c r="I83" i="1" l="1"/>
  <c r="L83" i="1"/>
  <c r="H83" i="1" s="1"/>
  <c r="J83" i="1" l="1"/>
  <c r="I521" i="1"/>
  <c r="L521" i="1"/>
  <c r="H521" i="1" s="1"/>
  <c r="I307" i="1"/>
  <c r="L307" i="1"/>
  <c r="H307" i="1" s="1"/>
  <c r="J521" i="1" l="1"/>
  <c r="J307" i="1"/>
  <c r="I95" i="1"/>
  <c r="L95" i="1"/>
  <c r="H95" i="1" s="1"/>
  <c r="J95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2" i="1"/>
  <c r="L82" i="1"/>
  <c r="H82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2" i="1"/>
  <c r="L72" i="1"/>
  <c r="H72" i="1" s="1"/>
  <c r="J111" i="1" l="1"/>
  <c r="J82" i="1"/>
  <c r="J36" i="1"/>
  <c r="J72" i="1"/>
  <c r="J56" i="1"/>
  <c r="J57" i="1"/>
  <c r="J106" i="1"/>
  <c r="L88" i="1" l="1"/>
  <c r="H88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7" i="1" l="1"/>
  <c r="L437" i="1"/>
  <c r="H437" i="1" s="1"/>
  <c r="J437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8" i="1" l="1"/>
  <c r="H408" i="1" s="1"/>
  <c r="I408" i="1"/>
  <c r="J408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105" i="1" l="1"/>
  <c r="L105" i="1"/>
  <c r="H105" i="1" s="1"/>
  <c r="I26" i="1"/>
  <c r="J105" i="1" l="1"/>
  <c r="I165" i="1"/>
  <c r="L165" i="1"/>
  <c r="H165" i="1" s="1"/>
  <c r="I164" i="1"/>
  <c r="L164" i="1"/>
  <c r="H164" i="1" s="1"/>
  <c r="J165" i="1" l="1"/>
  <c r="J164" i="1"/>
  <c r="L116" i="1"/>
  <c r="H116" i="1" s="1"/>
  <c r="I116" i="1"/>
  <c r="F12" i="5" a="1"/>
  <c r="F12" i="5" s="1"/>
  <c r="I305" i="1"/>
  <c r="L305" i="1"/>
  <c r="H305" i="1" s="1"/>
  <c r="I310" i="1"/>
  <c r="L310" i="1"/>
  <c r="G310" i="1"/>
  <c r="J116" i="1" l="1"/>
  <c r="H310" i="1"/>
  <c r="J310" i="1" s="1"/>
  <c r="J305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G15" i="6" l="1"/>
  <c r="AO52" i="6"/>
  <c r="G52" i="6" s="1"/>
  <c r="J52" i="6" l="1"/>
  <c r="I71" i="1"/>
  <c r="L71" i="1"/>
  <c r="H71" i="1" s="1"/>
  <c r="J71" i="1" l="1"/>
  <c r="L167" i="1"/>
  <c r="H167" i="1" s="1"/>
  <c r="I167" i="1"/>
  <c r="J167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67" i="1"/>
  <c r="L67" i="1"/>
  <c r="H67" i="1" s="1"/>
  <c r="J48" i="1" l="1"/>
  <c r="J67" i="1"/>
  <c r="M14" i="1"/>
  <c r="I51" i="1" l="1"/>
  <c r="I50" i="1"/>
  <c r="L51" i="1"/>
  <c r="H51" i="1" s="1"/>
  <c r="L50" i="1"/>
  <c r="H50" i="1" s="1"/>
  <c r="I117" i="1"/>
  <c r="L117" i="1"/>
  <c r="H117" i="1" s="1"/>
  <c r="I68" i="1"/>
  <c r="L68" i="1"/>
  <c r="H68" i="1" s="1"/>
  <c r="I107" i="1"/>
  <c r="L107" i="1"/>
  <c r="H107" i="1" s="1"/>
  <c r="J117" i="1" l="1"/>
  <c r="J51" i="1"/>
  <c r="J50" i="1"/>
  <c r="J68" i="1"/>
  <c r="J107" i="1"/>
  <c r="I100" i="1"/>
  <c r="L100" i="1"/>
  <c r="H100" i="1" s="1"/>
  <c r="L47" i="1"/>
  <c r="H47" i="1" s="1"/>
  <c r="J100" i="1" l="1"/>
  <c r="J47" i="1"/>
  <c r="L73" i="1"/>
  <c r="H73" i="1" s="1"/>
  <c r="I73" i="1"/>
  <c r="J73" i="1" l="1"/>
  <c r="L17" i="1" l="1"/>
  <c r="I120" i="1" l="1"/>
  <c r="L120" i="1"/>
  <c r="H120" i="1" s="1"/>
  <c r="J120" i="1" l="1"/>
  <c r="I547" i="1"/>
  <c r="L547" i="1"/>
  <c r="H547" i="1" s="1"/>
  <c r="J547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88" i="1"/>
  <c r="L32" i="1"/>
  <c r="H32" i="1" s="1" a="1"/>
  <c r="H32" i="1" s="1"/>
  <c r="J32" i="1" s="1"/>
  <c r="H206" i="1"/>
  <c r="J52" i="1" l="1"/>
  <c r="J88" i="1"/>
  <c r="I81" i="1"/>
  <c r="L81" i="1"/>
  <c r="H81" i="1" s="1"/>
  <c r="J81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5" i="1" l="1"/>
  <c r="L545" i="1"/>
  <c r="H545" i="1" s="1"/>
  <c r="L119" i="1"/>
  <c r="H119" i="1" s="1"/>
  <c r="I119" i="1"/>
  <c r="I161" i="1"/>
  <c r="L161" i="1"/>
  <c r="H161" i="1" s="1"/>
  <c r="J545" i="1" l="1"/>
  <c r="J161" i="1"/>
  <c r="J119" i="1"/>
  <c r="L27" i="1"/>
  <c r="H27" i="1" s="1"/>
  <c r="J27" i="1" s="1"/>
  <c r="L26" i="1"/>
  <c r="H26" i="1" s="1"/>
  <c r="J26" i="1" s="1"/>
  <c r="L23" i="1"/>
  <c r="L24" i="1" s="1"/>
  <c r="I256" i="1" l="1"/>
  <c r="L256" i="1"/>
  <c r="H256" i="1" s="1"/>
  <c r="I91" i="1"/>
  <c r="L91" i="1"/>
  <c r="H91" i="1" s="1"/>
  <c r="J91" i="1" l="1"/>
  <c r="J256" i="1"/>
  <c r="L64" i="1"/>
  <c r="H64" i="1" s="1"/>
  <c r="J64" i="1" s="1"/>
  <c r="L104" i="1" l="1"/>
  <c r="H104" i="1" s="1"/>
  <c r="I104" i="1"/>
  <c r="L22" i="1"/>
  <c r="J104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6" i="1"/>
  <c r="L496" i="1"/>
  <c r="H496" i="1" s="1"/>
  <c r="I85" i="1"/>
  <c r="L85" i="1"/>
  <c r="H85" i="1" s="1"/>
  <c r="J85" i="1" l="1"/>
  <c r="J496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I74" i="1" l="1"/>
  <c r="L74" i="1"/>
  <c r="H74" i="1" s="1"/>
  <c r="J74" i="1" l="1"/>
  <c r="I214" i="1"/>
  <c r="H214" i="1"/>
  <c r="J214" i="1" l="1"/>
  <c r="J59" i="1" l="1"/>
  <c r="I546" i="1"/>
  <c r="H22" i="1"/>
  <c r="I22" i="1"/>
  <c r="J546" i="1" l="1"/>
  <c r="J22" i="1"/>
  <c r="I260" i="1"/>
  <c r="H260" i="1"/>
  <c r="W22" i="1" l="1"/>
  <c r="V22" i="1"/>
  <c r="U22" i="1"/>
  <c r="S22" i="1"/>
  <c r="T22" i="1"/>
  <c r="J41" i="1"/>
  <c r="J260" i="1"/>
  <c r="I94" i="1"/>
  <c r="J94" i="1" l="1"/>
  <c r="I53" i="1" l="1"/>
  <c r="J53" i="1" l="1"/>
  <c r="I498" i="1"/>
  <c r="H498" i="1"/>
  <c r="I497" i="1"/>
  <c r="H497" i="1"/>
  <c r="I552" i="1"/>
  <c r="H552" i="1"/>
  <c r="I495" i="1"/>
  <c r="H495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9" i="1"/>
  <c r="J24" i="1"/>
  <c r="J13" i="1"/>
  <c r="J498" i="1"/>
  <c r="J500" i="1"/>
  <c r="J19" i="1"/>
  <c r="J23" i="1"/>
  <c r="J552" i="1"/>
  <c r="J16" i="1"/>
  <c r="J255" i="1"/>
  <c r="J495" i="1"/>
  <c r="J10" i="1"/>
  <c r="J21" i="1"/>
  <c r="J497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1" i="1" l="1"/>
  <c r="D32" i="1" s="1"/>
  <c r="D33" i="1" s="1"/>
  <c r="D34" i="1" s="1"/>
  <c r="D35" i="1" s="1"/>
  <c r="D36" i="1" s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8" i="1" s="1"/>
  <c r="D69" i="1" s="1"/>
  <c r="D70" i="1" l="1"/>
  <c r="D71" i="1" s="1"/>
  <c r="D72" i="1" s="1"/>
  <c r="D73" i="1" s="1"/>
  <c r="D74" i="1" s="1"/>
  <c r="D75" i="1" s="1"/>
  <c r="D76" i="1" s="1"/>
  <c r="D100" i="1" s="1"/>
  <c r="D77" i="1" s="1"/>
  <c r="D67" i="1" s="1"/>
  <c r="D78" i="1" s="1"/>
  <c r="D83" i="1" s="1"/>
  <c r="D87" i="1" s="1"/>
  <c r="D84" i="1" s="1"/>
  <c r="D82" i="1" s="1"/>
  <c r="D86" i="1" s="1"/>
  <c r="D103" i="1" s="1"/>
  <c r="D79" i="1" s="1"/>
  <c r="D81" i="1" s="1"/>
  <c r="D104" i="1" s="1"/>
  <c r="D85" i="1" s="1"/>
  <c r="D97" i="1" s="1"/>
  <c r="D80" i="1" s="1"/>
  <c r="D89" i="1" s="1"/>
  <c r="D102" i="1" s="1"/>
  <c r="D94" i="1" s="1"/>
  <c r="D88" i="1" s="1"/>
  <c r="D90" i="1" s="1"/>
  <c r="D91" i="1" s="1"/>
  <c r="D101" i="1" s="1"/>
  <c r="D105" i="1" s="1"/>
  <c r="D92" i="1" s="1"/>
  <c r="D93" i="1" s="1"/>
  <c r="D95" i="1" s="1"/>
  <c r="D96" i="1" s="1"/>
  <c r="D98" i="1" s="1"/>
  <c r="D99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63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3" i="1" s="1"/>
  <c r="D207" i="1" s="1"/>
  <c r="D208" i="1" s="1"/>
  <c r="D209" i="1" s="1"/>
  <c r="D210" i="1" s="1"/>
  <c r="D211" i="1" s="1"/>
  <c r="D213" i="1" s="1"/>
  <c r="D215" i="1" s="1"/>
  <c r="D216" i="1" l="1"/>
  <c r="D217" i="1" l="1"/>
  <c r="D218" i="1" l="1"/>
  <c r="D219" i="1" l="1"/>
  <c r="D220" i="1" l="1"/>
  <c r="D221" i="1" l="1"/>
  <c r="D222" i="1" l="1"/>
  <c r="D223" i="1" l="1"/>
  <c r="D212" i="1" s="1"/>
  <c r="D224" i="1" s="1"/>
  <c r="D225" i="1" l="1"/>
  <c r="D546" i="1" s="1"/>
  <c r="D547" i="1" s="1"/>
  <c r="D548" i="1" s="1"/>
  <c r="D549" i="1" l="1"/>
  <c r="D550" i="1" s="1"/>
  <c r="D551" i="1" s="1"/>
  <c r="D226" i="1" s="1"/>
  <c r="D227" i="1" s="1"/>
  <c r="D228" i="1" s="1"/>
  <c r="D544" i="1" s="1"/>
  <c r="D214" i="1" s="1"/>
  <c r="D229" i="1" s="1"/>
  <c r="D545" i="1" s="1"/>
  <c r="D230" i="1" s="1"/>
  <c r="D231" i="1" s="1"/>
  <c r="D521" i="1" s="1"/>
  <c r="D232" i="1" s="1"/>
  <c r="D437" i="1" s="1"/>
  <c r="D234" i="1" s="1"/>
  <c r="D522" i="1" s="1"/>
  <c r="D235" i="1" s="1"/>
  <c r="D236" i="1" s="1"/>
  <c r="D494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l="1"/>
  <c r="D248" i="1" s="1"/>
  <c r="D249" i="1" s="1"/>
  <c r="D250" i="1" s="1"/>
  <c r="D251" i="1" s="1"/>
  <c r="D252" i="1" s="1"/>
  <c r="D253" i="1" s="1"/>
  <c r="D254" i="1" s="1"/>
  <c r="D255" i="1" s="1"/>
  <c r="D256" i="1" s="1"/>
  <c r="D257" i="1" l="1"/>
  <c r="D258" i="1" s="1"/>
  <c r="D495" i="1" s="1"/>
  <c r="D259" i="1" s="1"/>
  <c r="D260" i="1" s="1"/>
  <c r="D552" i="1" s="1"/>
  <c r="D261" i="1" s="1"/>
  <c r="D496" i="1" s="1"/>
  <c r="D497" i="1" s="1"/>
  <c r="D498" i="1" s="1"/>
  <c r="D499" i="1" s="1"/>
  <c r="D500" i="1" s="1"/>
  <c r="D262" i="1" s="1"/>
  <c r="D501" i="1" s="1"/>
  <c r="D502" i="1" s="1"/>
  <c r="D503" i="1" s="1"/>
  <c r="D504" i="1" s="1"/>
  <c r="D505" i="1" s="1"/>
  <c r="D263" i="1" s="1"/>
  <c r="D506" i="1" s="1"/>
  <c r="D507" i="1" s="1"/>
  <c r="D508" i="1" s="1"/>
  <c r="D264" i="1" s="1"/>
  <c r="D265" i="1" s="1"/>
  <c r="D509" i="1" s="1"/>
  <c r="D266" i="1" s="1"/>
  <c r="D510" i="1" s="1"/>
  <c r="D511" i="1" s="1"/>
  <c r="D267" i="1" s="1"/>
  <c r="D268" i="1" s="1"/>
  <c r="D512" i="1" s="1"/>
  <c r="D269" i="1" s="1"/>
  <c r="D270" i="1" s="1"/>
  <c r="D271" i="1" s="1"/>
  <c r="D272" i="1" s="1"/>
  <c r="D273" i="1" s="1"/>
  <c r="D513" i="1" s="1"/>
  <c r="D514" i="1" s="1"/>
  <c r="D515" i="1" s="1"/>
  <c r="D274" i="1" s="1"/>
  <c r="D275" i="1" s="1"/>
  <c r="D276" i="1" s="1"/>
  <c r="D516" i="1" s="1"/>
  <c r="D517" i="1" s="1"/>
  <c r="D518" i="1" s="1"/>
  <c r="D519" i="1" s="1"/>
  <c r="D520" i="1" s="1"/>
  <c r="D277" i="1" s="1"/>
  <c r="D278" i="1" s="1"/>
  <c r="D279" i="1" s="1"/>
  <c r="D532" i="1" s="1"/>
  <c r="D533" i="1" s="1"/>
  <c r="D534" i="1" s="1"/>
  <c r="D535" i="1" s="1"/>
  <c r="D536" i="1" s="1"/>
  <c r="D537" i="1" s="1"/>
  <c r="D280" i="1" s="1"/>
  <c r="D281" i="1" s="1"/>
  <c r="D282" i="1" s="1"/>
  <c r="D538" i="1" s="1"/>
  <c r="D539" i="1" s="1"/>
  <c r="D283" i="1" s="1"/>
  <c r="D529" i="1" s="1"/>
  <c r="D530" i="1" s="1"/>
  <c r="D531" i="1" s="1"/>
  <c r="D284" i="1" s="1"/>
  <c r="D286" i="1" s="1"/>
  <c r="D287" i="1" s="1"/>
  <c r="D288" i="1" s="1"/>
  <c r="D289" i="1" s="1"/>
  <c r="D2" i="1"/>
  <c r="D540" i="1" l="1"/>
  <c r="D541" i="1" s="1"/>
  <c r="D290" i="1"/>
  <c r="D285" i="1" s="1"/>
  <c r="D291" i="1" s="1"/>
  <c r="D292" i="1" l="1"/>
  <c r="D293" i="1" s="1"/>
  <c r="D542" i="1" s="1"/>
  <c r="D543" i="1" s="1"/>
  <c r="D294" i="1" s="1"/>
  <c r="D295" i="1" s="1"/>
  <c r="D296" i="1" s="1"/>
  <c r="D297" i="1" s="1"/>
  <c r="D311" i="1" s="1"/>
  <c r="D298" i="1" s="1"/>
  <c r="D299" i="1" s="1"/>
  <c r="D300" i="1" s="1"/>
  <c r="D301" i="1" s="1"/>
  <c r="D526" i="1" s="1"/>
  <c r="D527" i="1" s="1"/>
  <c r="D302" i="1" s="1"/>
  <c r="D528" i="1" s="1"/>
  <c r="D303" i="1" s="1"/>
  <c r="D304" i="1" s="1"/>
  <c r="D305" i="1" s="1"/>
  <c r="D306" i="1" s="1"/>
  <c r="D307" i="1" s="1"/>
  <c r="D308" i="1" s="1"/>
  <c r="D309" i="1" s="1"/>
  <c r="D310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523" i="1" s="1"/>
  <c r="D524" i="1" s="1"/>
  <c r="D525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493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484" i="1" s="1"/>
  <c r="D485" i="1" s="1"/>
  <c r="D486" i="1" s="1"/>
  <c r="D487" i="1" s="1"/>
  <c r="D488" i="1" s="1"/>
  <c r="D489" i="1" s="1"/>
  <c r="D490" i="1" s="1"/>
  <c r="D491" i="1" s="1"/>
  <c r="D492" i="1" s="1"/>
  <c r="D382" i="1" s="1"/>
  <c r="D383" i="1" s="1"/>
  <c r="D384" i="1" s="1"/>
  <c r="D483" i="1" s="1"/>
  <c r="D385" i="1" s="1"/>
  <c r="D478" i="1" s="1"/>
  <c r="D479" i="1" s="1"/>
  <c r="D480" i="1" s="1"/>
  <c r="D481" i="1" s="1"/>
  <c r="D482" i="1" s="1"/>
  <c r="D386" i="1" s="1"/>
  <c r="D387" i="1" s="1"/>
  <c r="D388" i="1" s="1"/>
  <c r="D389" i="1" s="1"/>
  <c r="D390" i="1" s="1"/>
  <c r="D472" i="1" s="1"/>
  <c r="D473" i="1" s="1"/>
  <c r="D474" i="1" s="1"/>
  <c r="D475" i="1" s="1"/>
  <c r="D476" i="1" s="1"/>
  <c r="D477" i="1" s="1"/>
  <c r="D391" i="1" s="1"/>
  <c r="D392" i="1" s="1"/>
  <c r="D471" i="1" s="1"/>
  <c r="D393" i="1" s="1"/>
  <c r="D394" i="1" s="1"/>
  <c r="D470" i="1" s="1"/>
  <c r="D395" i="1" s="1"/>
  <c r="D467" i="1" s="1"/>
  <c r="D468" i="1" s="1"/>
  <c r="D469" i="1" s="1"/>
  <c r="D396" i="1" s="1"/>
  <c r="D397" i="1" s="1"/>
  <c r="D398" i="1" s="1"/>
  <c r="D399" i="1" s="1"/>
  <c r="D400" i="1" s="1"/>
  <c r="D401" i="1" s="1"/>
  <c r="D402" i="1" s="1"/>
  <c r="D465" i="1" s="1"/>
  <c r="D466" i="1" s="1"/>
  <c r="D403" i="1" s="1"/>
  <c r="D462" i="1" s="1"/>
  <c r="D463" i="1" s="1"/>
  <c r="D464" i="1" s="1"/>
  <c r="D404" i="1" s="1"/>
  <c r="D405" i="1" s="1"/>
  <c r="D406" i="1" s="1"/>
  <c r="D461" i="1" s="1"/>
  <c r="D407" i="1" s="1"/>
  <c r="D408" i="1" s="1"/>
  <c r="D456" i="1" s="1"/>
  <c r="D457" i="1" s="1"/>
  <c r="D458" i="1" s="1"/>
  <c r="D459" i="1" s="1"/>
  <c r="D460" i="1" s="1"/>
  <c r="D409" i="1" s="1"/>
  <c r="D455" i="1" s="1"/>
  <c r="D410" i="1" s="1"/>
  <c r="D452" i="1" s="1"/>
  <c r="D453" i="1" s="1"/>
  <c r="D454" i="1" s="1"/>
  <c r="D411" i="1" s="1"/>
  <c r="D450" i="1" s="1"/>
  <c r="D451" i="1" s="1"/>
  <c r="D412" i="1" s="1"/>
  <c r="D444" i="1" s="1"/>
  <c r="D445" i="1" s="1"/>
  <c r="D446" i="1" s="1"/>
  <c r="D447" i="1" s="1"/>
  <c r="D448" i="1" s="1"/>
  <c r="D449" i="1" s="1"/>
  <c r="D413" i="1" s="1"/>
  <c r="D414" i="1" s="1"/>
  <c r="D415" i="1" s="1"/>
  <c r="D416" i="1" s="1"/>
  <c r="D417" i="1" s="1"/>
  <c r="D418" i="1" s="1"/>
  <c r="D419" i="1" s="1"/>
  <c r="D443" i="1" s="1"/>
  <c r="D420" i="1" s="1"/>
  <c r="D421" i="1" s="1"/>
  <c r="D422" i="1" s="1"/>
  <c r="D423" i="1" s="1"/>
  <c r="D438" i="1" s="1"/>
  <c r="D439" i="1" s="1"/>
  <c r="D440" i="1" s="1"/>
  <c r="D441" i="1" s="1"/>
  <c r="D442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<sst xmlns="http://schemas.openxmlformats.org/spreadsheetml/2006/main" count="3460" uniqueCount="1982">
  <si>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</si>
  <si>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</si>
  <si>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</si>
  <si>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</si>
  <si>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</si>
  <si>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</si>
  <si>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</si>
  <si>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</si>
  <si>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</si>
  <si>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</si>
  <si>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</si>
  <si>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</si>
  <si>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</si>
  <si>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</si>
  <si>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</si>
  <si>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</si>
  <si>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</si>
  <si>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</si>
  <si>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</si>
  <si>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</si>
  <si>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</si>
  <si>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</si>
  <si>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</si>
  <si>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</si>
  <si>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</si>
  <si>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</si>
  <si>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</si>
  <si>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</si>
  <si>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</si>
  <si>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</si>
  <si>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</si>
  <si>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</si>
  <si>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</si>
  <si>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</si>
  <si>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</si>
  <si>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</si>
  <si>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</si>
  <si>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</si>
  <si>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</si>
  <si>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</si>
  <si>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</si>
  <si>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</si>
  <si>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</si>
  <si>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</si>
  <si>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</si>
  <si>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</si>
  <si>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</si>
  <si>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</si>
  <si>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</si>
  <si>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</si>
  <si>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</si>
  <si>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</si>
  <si>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</si>
  <si>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</si>
  <si>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</si>
  <si>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</si>
  <si>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</si>
  <si>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</si>
  <si>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</si>
  <si>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</si>
  <si>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</si>
  <si>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</si>
  <si>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</si>
  <si>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</si>
  <si>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</si>
  <si>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</si>
  <si>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</si>
  <si>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</si>
  <si>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</si>
  <si>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</si>
  <si>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</si>
  <si>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</si>
  <si>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</si>
  <si>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</si>
  <si>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</si>
  <si>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</si>
  <si>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</si>
  <si>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</si>
  <si>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</si>
  <si>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</si>
  <si>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</si>
  <si>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</si>
  <si>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</si>
  <si>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</si>
  <si>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</si>
  <si>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</si>
  <si>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</si>
  <si>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</si>
  <si>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</si>
  <si>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</si>
  <si>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</si>
  <si>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</si>
  <si>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</si>
  <si>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</si>
  <si>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</si>
  <si>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</si>
  <si>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</si>
  <si>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</si>
  <si>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</si>
  <si>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</si>
  <si>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</si>
  <si>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</si>
  <si>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</si>
  <si>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</si>
  <si>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</si>
  <si>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</si>
  <si>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</si>
  <si>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</si>
  <si>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</si>
  <si>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</si>
  <si>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</si>
  <si>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</si>
  <si>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</si>
  <si>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</si>
  <si>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</si>
  <si>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</si>
  <si>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</si>
  <si>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</si>
  <si>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</si>
  <si>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</si>
  <si>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</si>
  <si>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</si>
  <si>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</si>
  <si>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</si>
  <si>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</si>
  <si>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</si>
  <si>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</si>
  <si>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</si>
  <si>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</si>
  <si>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</si>
  <si>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</si>
  <si>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</si>
  <si>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</si>
  <si>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</si>
  <si>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</si>
  <si>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</si>
  <si>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</si>
  <si>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</si>
  <si>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</si>
  <si>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</si>
  <si>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</si>
  <si>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</si>
  <si>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</si>
  <si>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</si>
  <si>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</si>
  <si>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</si>
  <si>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</si>
  <si>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</si>
  <si>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</si>
  <si>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</si>
  <si>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</si>
  <si>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</si>
  <si>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</si>
  <si>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</si>
  <si>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</si>
  <si>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</si>
  <si>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</si>
  <si>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</si>
  <si>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</si>
  <si>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</si>
  <si>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</si>
  <si>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</si>
  <si>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</si>
  <si>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</si>
  <si>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</si>
  <si>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</si>
  <si>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</si>
  <si>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</si>
  <si>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</si>
  <si>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</si>
  <si>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</si>
  <si>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</si>
  <si>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</si>
  <si>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</si>
  <si>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</si>
  <si>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</si>
  <si>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</si>
  <si>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</si>
  <si>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</si>
  <si>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</si>
  <si>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</si>
  <si>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</si>
  <si>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</si>
  <si>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</si>
  <si>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</si>
  <si>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</si>
  <si>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</si>
  <si>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</si>
  <si>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</si>
  <si>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</si>
  <si>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</si>
  <si>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</si>
  <si>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</si>
  <si>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</si>
  <si>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</si>
  <si>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</si>
  <si>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</si>
  <si>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</si>
  <si>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</si>
  <si>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</si>
  <si>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</si>
  <si>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</si>
  <si>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</si>
  <si>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</si>
  <si>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</si>
  <si>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</si>
  <si>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</si>
  <si>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</si>
  <si>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</si>
  <si>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</si>
  <si>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</si>
  <si>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</si>
  <si>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</si>
  <si>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</si>
  <si>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</si>
  <si>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</si>
  <si>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</si>
  <si>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</si>
  <si>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</si>
  <si>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</si>
  <si>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</si>
  <si>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</si>
  <si>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</si>
  <si>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</si>
  <si>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</si>
  <si>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</si>
  <si>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</si>
  <si>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</si>
  <si>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</si>
  <si>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</si>
  <si>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</si>
  <si>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</si>
  <si>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</si>
  <si>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</si>
  <si>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</si>
  <si>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</si>
  <si>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</si>
  <si>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</si>
  <si>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</si>
  <si>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</si>
  <si>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</si>
  <si>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</si>
  <si>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</si>
  <si>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</si>
  <si>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</si>
  <si>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</si>
  <si>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</si>
  <si>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</si>
  <si>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</si>
  <si>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</si>
  <si>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</si>
  <si>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</si>
  <si>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</si>
  <si>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</si>
  <si>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</si>
  <si>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</si>
  <si>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</si>
  <si>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</si>
  <si>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</si>
  <si>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</si>
  <si>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</si>
  <si>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</si>
  <si>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</si>
  <si>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</si>
  <si>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</si>
  <si>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</si>
  <si>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</si>
  <si>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</si>
  <si>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</si>
  <si>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</si>
  <si>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</si>
  <si>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</si>
  <si>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</si>
  <si>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</si>
  <si>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</si>
  <si>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</si>
  <si>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</si>
  <si>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</si>
  <si>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</si>
  <si>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</si>
  <si>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</si>
  <si>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</si>
  <si>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</si>
  <si>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</si>
  <si>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</si>
  <si>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</si>
  <si>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</si>
  <si>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</si>
  <si>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</si>
  <si>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</si>
  <si>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</si>
  <si>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</si>
  <si>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</si>
  <si>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</si>
  <si>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</si>
  <si>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</si>
  <si>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</si>
  <si>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</si>
  <si>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</si>
  <si>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</si>
  <si>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</si>
  <si>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</si>
  <si>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</si>
  <si>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</si>
  <si>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</si>
  <si>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</si>
  <si>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</si>
  <si>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</si>
  <si>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</si>
  <si>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</si>
  <si>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</si>
  <si>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</si>
  <si>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</si>
  <si>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</si>
  <si>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</si>
  <si>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</si>
  <si>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</si>
  <si>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</si>
  <si>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</si>
  <si>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</si>
  <si>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</si>
  <si>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</si>
  <si>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</si>
  <si>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</si>
  <si>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</si>
  <si>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</si>
  <si>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</si>
  <si>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</si>
  <si>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</si>
  <si>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</si>
  <si>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</si>
  <si>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</si>
  <si>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</si>
  <si>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</si>
  <si>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</si>
  <si>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</si>
  <si>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</si>
  <si>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</si>
  <si>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</si>
  <si>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</si>
  <si>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</si>
  <si>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</si>
  <si>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</si>
  <si>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</si>
  <si>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</si>
  <si>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</si>
  <si>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</si>
  <si>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</si>
  <si>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</si>
  <si>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</si>
  <si>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</si>
  <si>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</si>
  <si>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</si>
  <si>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</si>
  <si>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</si>
  <si>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</si>
  <si>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</si>
  <si>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</si>
  <si>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</si>
  <si>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</si>
  <si>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</si>
  <si>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</si>
  <si>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</si>
  <si>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</si>
  <si>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</si>
  <si>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</si>
  <si>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</si>
  <si>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</si>
  <si>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</si>
  <si>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</si>
  <si>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</si>
  <si>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</si>
  <si>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</si>
  <si>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</si>
  <si>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</si>
  <si>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</si>
  <si>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</si>
  <si>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</si>
  <si>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</si>
  <si>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</si>
  <si>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</si>
  <si>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</si>
  <si>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</si>
  <si>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</si>
  <si>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</si>
  <si>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</si>
  <si>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</si>
  <si>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</si>
  <si>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</si>
  <si>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</si>
  <si>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</si>
  <si>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</si>
  <si>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</si>
  <si>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</si>
  <si>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</si>
  <si>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</si>
  <si>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</si>
  <si>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</si>
  <si>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</si>
  <si>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</si>
  <si>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</si>
  <si>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</si>
  <si>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</si>
  <si>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</si>
  <si>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</si>
  <si>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</si>
  <si>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</si>
  <si>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</si>
  <si>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</si>
  <si>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</si>
  <si>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</si>
  <si>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</si>
  <si>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</si>
  <si>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</si>
  <si>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</si>
  <si>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</si>
  <si>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</si>
  <si>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</si>
  <si>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</si>
  <si>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</si>
  <si>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</si>
  <si>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</si>
  <si>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</si>
  <si>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</si>
  <si>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</si>
  <si>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</si>
  <si>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</si>
  <si>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</si>
  <si>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</si>
  <si>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</si>
  <si>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</si>
  <si>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</si>
  <si>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</si>
  <si>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</si>
  <si>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</si>
  <si>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</si>
  <si>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</si>
  <si>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</si>
  <si>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</si>
  <si>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</si>
  <si>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</si>
  <si>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</si>
  <si>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</si>
  <si>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</si>
  <si>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</si>
  <si>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</si>
  <si>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</si>
  <si>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</si>
  <si>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</si>
  <si>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</si>
  <si>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</si>
  <si>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</si>
  <si>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</si>
  <si>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</si>
  <si>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</si>
  <si>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</si>
  <si>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</si>
  <si>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</si>
  <si>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</si>
  <si>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</si>
  <si>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</si>
  <si>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</si>
  <si>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</si>
  <si>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</si>
  <si>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</si>
  <si>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</si>
  <si>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</si>
  <si>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</si>
  <si>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</si>
  <si>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</si>
  <si>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</si>
  <si>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</si>
  <si>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</si>
  <si>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</si>
  <si>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</si>
  <si>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</si>
  <si>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</si>
  <si>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</si>
  <si>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</si>
  <si>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</si>
  <si>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</si>
  <si>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</si>
  <si>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</si>
  <si>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</si>
  <si>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</si>
  <si>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</si>
  <si>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</si>
  <si>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</si>
  <si>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</si>
  <si>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</si>
  <si>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</si>
  <si>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</si>
  <si>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</si>
  <si>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</si>
  <si>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</si>
  <si>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</si>
  <si>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</si>
  <si>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</si>
  <si>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</si>
  <si>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</si>
  <si>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</si>
  <si>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</si>
  <si>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</si>
  <si>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</si>
  <si>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</si>
  <si>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</si>
  <si>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</si>
  <si>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</si>
  <si>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</si>
  <si>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</si>
  <si>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</si>
  <si>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</si>
  <si>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</si>
  <si>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</si>
  <si>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</si>
  <si>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</si>
  <si>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</si>
  <si>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</si>
  <si>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</si>
  <si>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</si>
  <si>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</si>
  <si>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</si>
  <si>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</si>
  <si>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</si>
  <si>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</si>
  <si>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</si>
  <si>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</si>
  <si>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</si>
  <si>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</si>
  <si>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</si>
  <si>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</si>
  <si>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</si>
  <si>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</si>
  <si>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</si>
  <si>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</si>
  <si>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</si>
  <si>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</si>
  <si>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</si>
  <si>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</si>
  <si>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</si>
  <si>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</si>
  <si>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</si>
  <si>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</si>
  <si>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</si>
  <si>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</si>
  <si>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</si>
  <si>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</si>
  <si>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</si>
  <si>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</si>
  <si>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</si>
  <si>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</si>
  <si>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</si>
  <si>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</si>
  <si>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</si>
  <si>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</si>
  <si>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</si>
  <si>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</si>
  <si>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</si>
  <si>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</si>
  <si>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</si>
  <si>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</si>
  <si>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</si>
  <si>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</si>
  <si>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</si>
  <si>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</si>
  <si>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</si>
  <si>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</si>
  <si>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</si>
  <si>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</si>
  <si>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</si>
  <si>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</si>
  <si>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</si>
  <si>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</si>
  <si>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</si>
  <si>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</si>
  <si>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</si>
  <si>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</si>
  <si>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</si>
  <si>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</si>
  <si>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</si>
  <si>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</si>
  <si>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</si>
  <si>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</si>
  <si>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</si>
  <si>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</si>
  <si>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</si>
  <si>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</si>
  <si>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</si>
  <si>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</si>
  <si>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</si>
  <si>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</si>
  <si>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</si>
  <si>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</si>
  <si>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</si>
  <si>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</si>
  <si>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</si>
  <si>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</si>
  <si>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</si>
  <si>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</si>
  <si>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</si>
  <si>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</si>
  <si>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</si>
  <si>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</si>
  <si>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</si>
  <si>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</si>
  <si>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</si>
  <si>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</si>
  <si>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</si>
  <si>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</si>
  <si>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</si>
  <si>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</si>
  <si>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</si>
  <si>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</si>
  <si>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</si>
  <si>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</si>
  <si>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</si>
  <si>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</si>
  <si>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</si>
  <si>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</si>
  <si>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</si>
  <si>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</si>
  <si>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</si>
  <si>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</si>
  <si>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</si>
  <si>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</si>
  <si>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</si>
  <si>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</si>
  <si>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</si>
  <si>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</si>
  <si>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</si>
  <si>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</si>
  <si>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</si>
  <si>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</si>
  <si>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</si>
  <si>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</si>
  <si>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</si>
  <si>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</si>
  <si>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</si>
  <si>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</si>
  <si>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</si>
  <si>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</si>
  <si>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</si>
  <si>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</si>
  <si>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</si>
  <si>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</si>
  <si>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</si>
  <si>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</si>
  <si>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</si>
  <si>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</si>
  <si>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</si>
  <si>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</si>
  <si>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</si>
  <si>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</si>
  <si>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</si>
  <si>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</si>
  <si>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</si>
  <si>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</si>
  <si>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</si>
  <si>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</si>
  <si>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</si>
  <si>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</si>
  <si>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</si>
  <si>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</si>
  <si>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</si>
  <si>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</si>
  <si>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</si>
  <si>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</si>
  <si>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</si>
  <si>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</si>
  <si>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</si>
  <si>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</si>
  <si>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</si>
  <si>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</si>
  <si>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</si>
  <si>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</si>
  <si>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</si>
  <si>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</si>
  <si>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</si>
  <si>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</si>
  <si>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</si>
  <si>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</si>
  <si>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</si>
  <si>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</si>
  <si>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</si>
  <si>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</si>
  <si>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</si>
  <si>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</si>
  <si>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</si>
  <si>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</si>
  <si>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</si>
  <si>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</si>
  <si>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</si>
  <si>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</si>
  <si>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</si>
  <si>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</si>
  <si>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</si>
  <si>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</si>
  <si>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</si>
  <si>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</si>
  <si>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</si>
  <si>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</si>
  <si>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</si>
  <si>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</si>
  <si>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</si>
  <si>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</si>
  <si>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</si>
  <si>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</si>
  <si>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</si>
  <si>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</si>
  <si>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</si>
  <si>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</si>
  <si>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</si>
  <si>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</si>
  <si>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</si>
  <si>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</si>
  <si>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</si>
  <si>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</si>
  <si>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</si>
  <si>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</si>
  <si>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</si>
  <si>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</si>
  <si>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</si>
  <si>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</si>
  <si>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</si>
  <si>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</si>
  <si>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</si>
  <si>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</si>
  <si>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</si>
  <si>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</si>
  <si>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</si>
  <si>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</si>
  <si>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</si>
  <si>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</si>
  <si>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</si>
  <si>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</si>
  <si>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</si>
  <si>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</si>
  <si>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</si>
  <si>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</si>
  <si>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</si>
  <si>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</si>
  <si>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</si>
  <si>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</si>
  <si>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</si>
  <si>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</si>
  <si>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</si>
  <si>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</si>
  <si>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</si>
  <si>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</si>
  <si>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</si>
  <si>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</si>
  <si>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</si>
  <si>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</si>
  <si>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</si>
  <si>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</si>
  <si>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</si>
  <si>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</si>
  <si>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</si>
  <si>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</si>
  <si>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</si>
  <si>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</si>
  <si>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</si>
  <si>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</si>
  <si>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</si>
  <si>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</si>
  <si>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</si>
  <si>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</si>
  <si>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</si>
  <si>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</si>
  <si>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</si>
  <si>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</si>
  <si>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</si>
  <si>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</si>
  <si>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</si>
  <si>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</si>
  <si>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</si>
  <si>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</si>
  <si>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</si>
  <si>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</si>
  <si>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</si>
  <si>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</si>
  <si>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</si>
  <si>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</si>
  <si>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</si>
  <si>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</si>
  <si>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</si>
  <si>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</si>
  <si>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</si>
  <si>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</si>
  <si>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</si>
  <si>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</si>
  <si>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</si>
  <si>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</si>
  <si>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</si>
  <si>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</si>
  <si>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</si>
  <si>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</si>
  <si>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</si>
  <si>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</si>
  <si>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</si>
  <si>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</si>
  <si>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</si>
  <si>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</si>
  <si>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</si>
  <si>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</si>
  <si>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</si>
  <si>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</si>
  <si>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</si>
  <si>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</si>
  <si>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</si>
  <si>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</si>
  <si>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</si>
  <si>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</si>
  <si>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</si>
  <si>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</si>
  <si>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</si>
  <si>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</si>
  <si>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</si>
  <si>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</si>
  <si>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</si>
  <si>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</si>
  <si>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</si>
  <si>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</si>
  <si>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</si>
  <si>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</si>
  <si>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</si>
  <si>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</si>
  <si>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</si>
  <si>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</si>
  <si>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</si>
  <si>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</si>
  <si>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</si>
  <si>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</si>
  <si>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</si>
  <si>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</si>
  <si>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</si>
  <si>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</si>
  <si>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</si>
  <si>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</si>
  <si>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</si>
  <si>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</si>
  <si>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</si>
  <si>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</si>
  <si>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</si>
  <si>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</si>
  <si>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</si>
  <si>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</si>
  <si>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</si>
  <si>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</si>
  <si>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</si>
  <si>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</si>
  <si>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</si>
  <si>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</si>
  <si>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</si>
  <si>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</si>
  <si>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</si>
  <si>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</si>
  <si>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</si>
  <si>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</si>
  <si>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</si>
  <si>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</si>
  <si>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</si>
  <si>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</si>
  <si>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</si>
  <si>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</si>
  <si>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</si>
  <si>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</si>
  <si>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</si>
  <si>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</si>
  <si>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</si>
  <si>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</si>
  <si>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</si>
  <si>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</si>
  <si>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</si>
  <si>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</si>
  <si>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</si>
  <si>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</si>
  <si>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</si>
  <si>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</si>
  <si>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</si>
  <si>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</si>
  <si>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</si>
  <si>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</si>
  <si>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</si>
  <si>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</si>
  <si>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</si>
  <si>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</si>
  <si>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</si>
  <si>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</si>
  <si>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</si>
  <si>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</si>
  <si>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</si>
  <si>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</si>
  <si>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</si>
  <si>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</si>
  <si>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</si>
  <si>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</si>
  <si>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</si>
  <si>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</si>
  <si>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</si>
  <si>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</si>
  <si>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</si>
  <si>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</si>
  <si>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</si>
  <si>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</si>
  <si>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</si>
  <si>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</si>
  <si>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</si>
  <si>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</si>
  <si>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</si>
  <si>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</si>
  <si>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</si>
  <si>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</si>
  <si>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</si>
  <si>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</si>
  <si>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</si>
  <si>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</si>
  <si>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</si>
  <si>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</si>
  <si>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</si>
  <si>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</si>
  <si>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</si>
  <si>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</si>
  <si>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</si>
  <si>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</si>
  <si>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</si>
  <si>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</si>
  <si>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</si>
  <si>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</si>
  <si>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</si>
  <si>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</si>
  <si>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</si>
  <si>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</si>
  <si>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</si>
  <si>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</si>
  <si>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</si>
  <si>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</si>
  <si>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</si>
  <si>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</si>
  <si>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</si>
  <si>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</si>
  <si>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</si>
  <si>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</si>
  <si>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</si>
  <si>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</si>
  <si>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</si>
  <si>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</si>
  <si>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</si>
  <si>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</si>
  <si>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</si>
  <si>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</si>
  <si>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</si>
  <si>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</si>
  <si>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</si>
  <si>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</si>
  <si>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</si>
  <si>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</si>
  <si>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</si>
  <si>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</si>
  <si>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</si>
  <si>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</si>
  <si>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</si>
  <si>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</si>
  <si>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</si>
  <si>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</si>
  <si>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</si>
  <si>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</si>
  <si>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</si>
  <si>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</si>
  <si>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</si>
  <si>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</si>
  <si>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</si>
  <si>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</si>
  <si>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</si>
  <si>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</si>
  <si>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</si>
  <si>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</si>
  <si>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</si>
  <si>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</si>
  <si>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</si>
  <si>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</si>
  <si>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</si>
  <si>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</si>
  <si>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</si>
  <si>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</si>
  <si>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</si>
  <si>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</si>
  <si>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</si>
  <si>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</si>
  <si>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</si>
  <si>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</si>
  <si>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</si>
  <si>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</si>
  <si>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</si>
  <si>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</si>
  <si>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</si>
  <si>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</si>
  <si>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</si>
  <si>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</si>
  <si>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</si>
  <si>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</si>
  <si>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</si>
  <si>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</si>
  <si>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</si>
  <si>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</si>
  <si>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</si>
  <si>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</si>
  <si>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</si>
  <si>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</si>
  <si>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</si>
  <si>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</si>
  <si>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</si>
  <si>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</si>
  <si>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</si>
  <si>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</si>
  <si>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</si>
  <si>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</si>
  <si>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</si>
  <si>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</si>
  <si>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</si>
  <si>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</si>
  <si>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</si>
  <si>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</si>
  <si>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</si>
  <si>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</si>
  <si>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</si>
  <si>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</si>
  <si>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</si>
  <si>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</si>
  <si>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</si>
  <si>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</si>
  <si>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</si>
  <si>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</si>
  <si>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</si>
  <si>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</si>
  <si>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</si>
  <si>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</si>
  <si>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</si>
  <si>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</si>
  <si>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</si>
  <si>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</si>
  <si>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</si>
  <si>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</si>
  <si>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</si>
  <si>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</si>
  <si>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</si>
  <si>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</si>
  <si>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</si>
  <si>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</si>
  <si>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</si>
  <si>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</si>
  <si>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</si>
  <si>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</si>
  <si>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</si>
  <si>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</si>
  <si>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</si>
  <si>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</si>
  <si>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</si>
  <si>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</si>
  <si>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</si>
  <si>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</si>
  <si>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</si>
  <si>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</si>
  <si>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</si>
  <si>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</si>
  <si>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</si>
  <si>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</si>
  <si>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</si>
  <si>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</si>
  <si>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</si>
  <si>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</si>
  <si>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</si>
  <si>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</si>
  <si>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</si>
  <si>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</si>
  <si>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</si>
  <si>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</si>
  <si>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</si>
  <si>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</si>
  <si>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</si>
  <si>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</si>
  <si>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</si>
  <si>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</si>
  <si>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</si>
  <si>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</si>
  <si>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</si>
  <si>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</si>
  <si>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</si>
  <si>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</si>
  <si>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</si>
  <si>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</si>
  <si>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</si>
  <si>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</si>
  <si>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</si>
  <si>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</si>
  <si>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</si>
  <si>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</si>
  <si>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</si>
  <si>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</si>
  <si>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</si>
  <si>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</si>
  <si>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</si>
  <si>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</si>
  <si>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</si>
  <si>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</si>
  <si>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</si>
  <si>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</si>
  <si>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</si>
  <si>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</si>
  <si>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</si>
  <si>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</si>
  <si>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</si>
  <si>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</si>
  <si>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</si>
  <si>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</si>
  <si>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</si>
  <si>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</si>
  <si>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</si>
  <si>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</si>
  <si>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</si>
  <si>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</si>
  <si>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</si>
  <si>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</si>
  <si>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</si>
  <si>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</si>
  <si>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</si>
  <si>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</si>
  <si>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</si>
  <si>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</si>
  <si>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</si>
  <si>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</si>
  <si>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</si>
  <si>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</si>
  <si>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</si>
  <si>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</si>
  <si>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</si>
  <si>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</si>
  <si>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</si>
  <si>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</si>
  <si>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</si>
  <si>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</si>
  <si>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</si>
  <si>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</si>
  <si>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</si>
  <si>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</si>
  <si>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</si>
  <si>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</si>
  <si>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</si>
  <si>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</si>
  <si>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</si>
  <si>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</si>
  <si>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</si>
  <si>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</si>
  <si>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</si>
  <si>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</si>
  <si>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</si>
  <si>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</si>
  <si>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</si>
  <si>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</si>
  <si>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</si>
  <si>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</si>
  <si>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</si>
  <si>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</si>
  <si>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</si>
  <si>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</si>
  <si>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</si>
  <si>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</si>
  <si>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</si>
  <si>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</si>
  <si>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</si>
  <si>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</si>
  <si>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</si>
  <si>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</si>
  <si>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</si>
  <si>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</si>
  <si>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</si>
  <si>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</si>
  <si>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</si>
  <si>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</si>
  <si>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</si>
  <si>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</si>
  <si>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</si>
  <si>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</si>
  <si>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</si>
  <si>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</si>
  <si>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</si>
  <si>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</si>
  <si>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</si>
  <si>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</si>
  <si>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</si>
  <si>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</si>
  <si>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</si>
  <si>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</si>
  <si>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</si>
  <si>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</si>
  <si>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</si>
  <si>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</si>
  <si>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</si>
  <si>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</si>
  <si>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</si>
  <si>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</si>
  <si>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</si>
  <si>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</si>
  <si>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</si>
  <si>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</si>
  <si>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</si>
  <si>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</si>
  <si>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</si>
  <si>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</si>
  <si>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</si>
  <si>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</si>
  <si>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</si>
  <si>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</si>
  <si>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</si>
  <si>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</si>
  <si>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</si>
  <si>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</si>
  <si>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</si>
  <si>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</si>
  <si>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</si>
  <si>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</si>
  <si>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</si>
  <si>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</si>
  <si>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</si>
  <si>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</si>
  <si>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</si>
  <si>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</si>
  <si>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</si>
  <si>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</si>
  <si>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</si>
  <si>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</si>
  <si>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</si>
  <si>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</si>
  <si>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</si>
  <si>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</si>
  <si>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</si>
  <si>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</si>
  <si>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</si>
  <si>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</si>
  <si>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</si>
  <si>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</si>
  <si>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</si>
  <si>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</si>
  <si>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</si>
  <si>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</si>
  <si>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</si>
  <si>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</si>
  <si>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</si>
  <si>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</si>
  <si>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</si>
  <si>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</si>
  <si>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</si>
  <si>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</si>
  <si>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</si>
  <si>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</si>
  <si>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</si>
  <si>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</si>
  <si>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</si>
  <si>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</si>
  <si>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</si>
  <si>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</si>
  <si>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</si>
  <si>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</si>
  <si>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</si>
  <si>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</si>
  <si>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</si>
  <si>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</si>
  <si>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</si>
  <si>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</si>
  <si>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</si>
  <si>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</si>
  <si>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</si>
  <si>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</si>
  <si>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</si>
  <si>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</si>
  <si>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</si>
  <si>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</si>
  <si>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</si>
  <si>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</si>
  <si>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</si>
  <si>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</si>
  <si>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</si>
  <si>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</si>
  <si>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</si>
  <si>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</si>
  <si>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</si>
  <si>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</si>
  <si>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</si>
  <si>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</si>
  <si>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</si>
  <si>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</si>
  <si>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</si>
  <si>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</si>
  <si>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</si>
  <si>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</si>
  <si>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</si>
  <si>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</si>
  <si>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</si>
  <si>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</si>
  <si>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</si>
  <si>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</si>
  <si>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</si>
  <si>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</si>
  <si>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</si>
  <si>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</si>
  <si>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</si>
  <si>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</si>
  <si>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</si>
  <si>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</si>
  <si>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</si>
  <si>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</si>
  <si>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</si>
  <si>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</si>
  <si>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</si>
  <si>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</si>
  <si>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</si>
  <si>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</si>
  <si>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</si>
  <si>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</si>
  <si>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</si>
  <si>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</si>
  <si>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</si>
  <si>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</si>
  <si>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</si>
  <si>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</si>
  <si>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</si>
  <si>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</si>
  <si>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</si>
  <si>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</si>
  <si>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</si>
  <si>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</si>
  <si>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</si>
  <si>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</si>
  <si>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</si>
  <si>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</si>
  <si>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</si>
  <si>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</si>
  <si>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</si>
  <si>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</si>
  <si>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</si>
  <si>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</si>
  <si>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</si>
  <si>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</si>
  <si>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</si>
  <si>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</si>
  <si>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</si>
  <si>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</si>
  <si>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</si>
  <si>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</si>
  <si>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</si>
  <si>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</si>
  <si>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</si>
  <si>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</si>
  <si>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</si>
  <si>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</si>
  <si>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</si>
  <si>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</si>
  <si>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</si>
  <si>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</si>
  <si>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</si>
  <si>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</si>
  <si>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</si>
  <si>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</si>
  <si>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</si>
  <si>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</si>
  <si>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</si>
  <si>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</si>
  <si>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</si>
  <si>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</si>
  <si>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</si>
  <si>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</si>
  <si>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</si>
  <si>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</si>
  <si>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</si>
  <si>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</si>
  <si>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</si>
  <si>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</si>
  <si>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</si>
  <si>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</si>
  <si>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</si>
  <si>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</si>
  <si>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</si>
  <si>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</si>
  <si>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</si>
  <si>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</si>
  <si>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</si>
  <si>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</si>
  <si>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</si>
  <si>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</si>
  <si>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</si>
  <si>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</si>
  <si>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</si>
  <si>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</si>
  <si>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</si>
  <si>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</si>
  <si>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</si>
  <si>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</si>
  <si>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</si>
  <si>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</si>
  <si>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</si>
  <si>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</si>
  <si>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</si>
  <si>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</si>
  <si>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</si>
  <si>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</si>
  <si>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</si>
  <si>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</si>
  <si>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</si>
  <si>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</si>
  <si>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</si>
  <si>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</si>
  <si>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</si>
  <si>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</si>
  <si>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</si>
  <si>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</si>
  <si>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</si>
  <si>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</si>
  <si>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</si>
  <si>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</si>
  <si>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</si>
  <si>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</si>
  <si>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</si>
  <si>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</si>
  <si>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</si>
  <si>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</si>
  <si>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</si>
  <si>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</si>
  <si>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</si>
  <si>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</si>
  <si>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</si>
  <si>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</si>
  <si>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</si>
  <si>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</si>
  <si>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</si>
  <si>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</si>
  <si>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</si>
  <si>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</si>
  <si>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</si>
  <si>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</si>
  <si>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</si>
  <si>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</si>
  <si>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</si>
  <si>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</si>
  <si>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</si>
  <si>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</si>
  <si>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</si>
  <si>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</si>
  <si>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</si>
  <si>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</si>
  <si>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</si>
  <si>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</si>
  <si>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</si>
  <si>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</si>
  <si>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</si>
  <si>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</si>
  <si>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</si>
  <si>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</si>
  <si>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</si>
  <si>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</si>
  <si>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</si>
  <si>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</si>
  <si>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</si>
  <si>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</si>
  <si>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</si>
  <si>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</si>
  <si>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</si>
  <si>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</si>
  <si>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</si>
  <si>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</si>
  <si>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</si>
  <si>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</si>
  <si>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</si>
  <si>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</si>
  <si>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</si>
  <si>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</si>
  <si>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</si>
  <si>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</si>
  <si>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</si>
  <si>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</si>
  <si>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</si>
  <si>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</si>
  <si>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</si>
  <si>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</si>
  <si>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</si>
  <si>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</si>
  <si>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</si>
  <si>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</si>
  <si>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</si>
  <si>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</si>
  <si>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</si>
  <si>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</si>
  <si>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</si>
  <si>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</si>
  <si>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</si>
  <si>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</si>
  <si>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</si>
  <si>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</si>
  <si>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</si>
  <si>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</si>
  <si>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</si>
  <si>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</si>
  <si>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</si>
  <si>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</si>
  <si>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</si>
  <si>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</si>
  <si>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</si>
  <si>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</si>
  <si>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</si>
  <si>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</si>
  <si>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</si>
  <si>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</si>
  <si>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</si>
  <si>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</si>
  <si>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</si>
  <si>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</si>
  <si>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</si>
  <si>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</si>
  <si>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</si>
  <si>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</si>
  <si>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</si>
  <si>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</si>
  <si>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</si>
  <si>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</si>
  <si>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</si>
  <si>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</si>
  <si>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</si>
  <si>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</si>
  <si>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</si>
  <si>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</si>
  <si>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</si>
  <si>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</si>
  <si>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</si>
  <si>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</si>
  <si>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</si>
  <si>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</si>
  <si>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</si>
  <si>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</si>
  <si>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</si>
  <si>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</si>
  <si>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</si>
  <si>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</si>
  <si>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</si>
  <si>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</si>
  <si>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</si>
  <si>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</si>
  <si>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</si>
  <si>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</si>
  <si>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</si>
  <si>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</si>
  <si>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</si>
  <si>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</si>
  <si>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</si>
  <si>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</si>
  <si>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</si>
  <si>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</si>
  <si>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</si>
  <si>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</si>
  <si>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</si>
  <si>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</si>
  <si>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</si>
  <si>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</si>
  <si>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</si>
  <si>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</si>
  <si>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</si>
  <si>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</si>
  <si>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</si>
  <si>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</si>
  <si>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</si>
  <si>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</si>
  <si>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</si>
  <si>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</si>
  <si>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</si>
  <si>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</si>
  <si>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</si>
  <si>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</si>
  <si>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</si>
  <si>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</si>
  <si>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</si>
  <si>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</si>
  <si>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</si>
  <si>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</si>
  <si>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</si>
  <si>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</si>
  <si>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</si>
  <si>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</si>
  <si>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</si>
  <si>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</si>
  <si>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</si>
  <si>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</si>
  <si>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</si>
  <si>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</si>
  <si>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</si>
  <si>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</si>
  <si>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</si>
  <si>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</si>
  <si>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</si>
  <si>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</si>
  <si>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</si>
  <si>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</si>
  <si>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</si>
  <si>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</si>
  <si>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</si>
  <si>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</si>
  <si>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</si>
  <si>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</si>
  <si>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</si>
  <si>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</si>
  <si>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</si>
  <si>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</si>
  <si>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</si>
  <si>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</si>
  <si>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</si>
  <si>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</si>
  <si>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</si>
  <si>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</si>
  <si>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</si>
  <si>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</si>
  <si>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</si>
  <si>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</si>
  <si>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</si>
  <si>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</si>
  <si>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</si>
  <si>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</si>
  <si>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</si>
  <si>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</si>
  <si>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</si>
  <si>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</si>
  <si>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</si>
  <si>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</si>
  <si>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</si>
  <si>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</si>
  <si>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</si>
  <si>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</si>
  <si>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</si>
  <si>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</si>
  <si>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</si>
  <si>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</si>
  <si>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</si>
  <si>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</si>
  <si>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</si>
  <si>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</si>
  <si>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</si>
  <si>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</si>
  <si>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</si>
  <si>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</si>
  <si>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</si>
  <si>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</si>
  <si>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</si>
  <si>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</si>
  <si>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</si>
  <si>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</si>
  <si>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</si>
  <si>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</si>
  <si>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</si>
  <si>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</si>
  <si>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</si>
  <si>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</si>
  <si>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</si>
  <si>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</si>
  <si>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</si>
  <si>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</si>
  <si>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</si>
  <si>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</si>
  <si>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</si>
  <si>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</si>
  <si>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</si>
  <si>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</si>
  <si>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</si>
  <si>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</si>
  <si>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</si>
  <si>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</si>
  <si>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</si>
  <si>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</si>
  <si>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</si>
  <si>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</si>
  <si>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</si>
  <si>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</si>
  <si>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</si>
  <si>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</si>
  <si>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</si>
  <si>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</si>
  <si>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</si>
  <si>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</si>
  <si>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</si>
  <si>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</si>
  <si>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</si>
  <si>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</si>
  <si>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</si>
  <si>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</si>
  <si>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</si>
  <si>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</si>
  <si>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</si>
  <si>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</si>
  <si>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</si>
  <si>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</si>
  <si>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</si>
  <si>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</si>
  <si>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</si>
  <si>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</si>
  <si>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</si>
  <si>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</si>
  <si>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</si>
  <si>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</si>
  <si>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</si>
  <si>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</si>
  <si>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</si>
  <si>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</si>
  <si>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</si>
  <si>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</si>
  <si>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</si>
  <si>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</si>
  <si>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</si>
  <si>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</si>
  <si>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</si>
  <si>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</si>
  <si>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</si>
  <si>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</si>
  <si>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</si>
  <si>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</si>
  <si>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</si>
  <si>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</si>
  <si>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</si>
  <si>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</si>
  <si>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</si>
  <si>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</si>
  <si>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</si>
  <si>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</si>
  <si>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</si>
  <si>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</si>
  <si>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</si>
  <si>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</si>
  <si>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</si>
  <si>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</si>
  <si>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</si>
  <si>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</si>
  <si>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</si>
  <si>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</si>
  <si>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</si>
  <si>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</si>
  <si>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</si>
  <si>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</si>
  <si>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</si>
  <si>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</si>
  <si>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</si>
  <si>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</si>
  <si>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</si>
  <si>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</si>
  <si>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</si>
  <si>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</si>
  <si>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</si>
  <si>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</si>
  <si>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</si>
  <si>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</si>
  <si>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</si>
  <si>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</si>
  <si>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</si>
  <si>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</si>
  <si>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</si>
  <si>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</si>
  <si>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</si>
  <si>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</si>
  <si>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</si>
  <si>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</si>
  <si>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</si>
  <si>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</si>
  <si>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</si>
  <si>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</si>
  <si>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</si>
  <si>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</si>
  <si>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</si>
  <si>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</si>
  <si>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</si>
  <si>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</si>
  <si>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</si>
  <si>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</si>
  <si>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</si>
  <si>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</si>
  <si>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</si>
  <si>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</si>
  <si>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</si>
  <si>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</si>
  <si>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</si>
  <si>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</si>
  <si>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</si>
  <si>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</si>
  <si>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</si>
  <si>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</si>
  <si>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</si>
  <si>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</si>
  <si>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</si>
  <si>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</si>
  <si>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</si>
  <si>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</si>
  <si>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</si>
  <si>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</si>
  <si>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</si>
  <si>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</si>
  <si>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</si>
  <si>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</si>
  <si>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</si>
  <si>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</si>
  <si>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</si>
  <si>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</si>
  <si>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</si>
  <si>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</si>
  <si>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</si>
  <si>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</si>
  <si>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</si>
  <si>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</si>
  <si>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</si>
  <si>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</si>
  <si>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</si>
  <si>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</si>
  <si>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</si>
  <si>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</si>
  <si>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</si>
  <si>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</si>
  <si>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</si>
  <si>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</si>
  <si>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</si>
  <si>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</si>
  <si>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</si>
  <si>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</si>
  <si>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</si>
  <si>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</si>
  <si>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</si>
  <si>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</si>
  <si>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</si>
  <si>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</si>
  <si>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</si>
  <si>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</si>
  <si>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</si>
  <si>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</si>
  <si>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</si>
  <si>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</si>
  <si>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</si>
  <si>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</si>
  <si>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</si>
  <si>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</si>
  <si>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</si>
  <si>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</si>
  <si>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</si>
  <si>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</si>
  <si>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</si>
  <si>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</si>
  <si>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</si>
  <si>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</si>
  <si>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</si>
  <si>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</si>
  <si>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</si>
  <si>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</si>
  <si>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</si>
  <si>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</si>
  <si>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</si>
  <si>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</si>
  <si>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</si>
  <si>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</si>
  <si>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</si>
  <si>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</si>
  <si>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</si>
  <si>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</si>
  <si>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</si>
  <si>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</si>
  <si>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</si>
  <si>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</si>
  <si>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</si>
  <si>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</si>
  <si>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</si>
  <si>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</si>
  <si>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</si>
  <si>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</si>
  <si>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</si>
  <si>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</si>
  <si>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</si>
  <si>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</si>
  <si>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</si>
  <si>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</si>
  <si>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</si>
  <si>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</si>
  <si>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</si>
  <si>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</si>
  <si>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</si>
  <si>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</si>
  <si>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</si>
  <si>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</si>
  <si>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</si>
  <si>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</si>
  <si>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</si>
  <si>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</si>
  <si>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</si>
  <si>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</si>
  <si>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</si>
  <si>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</si>
  <si>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</si>
  <si>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</si>
  <si>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</si>
  <si>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</si>
  <si>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</si>
  <si>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</si>
  <si>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</si>
  <si>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</si>
  <si>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</si>
  <si>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</si>
  <si>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</si>
  <si>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</si>
  <si>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</si>
  <si>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</si>
  <si>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</si>
  <si>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</si>
  <si>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</si>
  <si>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</si>
  <si>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</si>
  <si>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</si>
  <si>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</si>
  <si>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</si>
  <si>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</si>
  <si>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</si>
  <si>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</si>
  <si>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</si>
  <si>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</si>
  <si>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</si>
  <si>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</si>
  <si>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</si>
  <si>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</si>
  <si>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</si>
  <si>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</si>
  <si>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</si>
  <si>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</si>
  <si>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</si>
  <si>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</si>
  <si>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</si>
  <si>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</si>
  <si>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</si>
  <si>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</si>
  <si>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</si>
  <si>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</si>
  <si>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</si>
  <si>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</si>
  <si>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</si>
  <si>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</si>
  <si>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</si>
  <si>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</si>
  <si>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</si>
  <si>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</si>
  <si>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</si>
  <si>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</si>
  <si>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</si>
  <si>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</si>
  <si>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</si>
  <si>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</si>
  <si>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</si>
  <si>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</si>
  <si>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</si>
  <si>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</si>
  <si>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</si>
  <si>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</si>
  <si>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</si>
  <si>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</si>
  <si>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</si>
  <si>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</si>
  <si>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</si>
  <si>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</si>
  <si>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</si>
  <si>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</si>
  <si>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</si>
  <si>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</si>
  <si>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</si>
  <si>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</si>
  <si>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</si>
  <si>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</si>
  <si>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</si>
  <si>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</si>
  <si>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</si>
  <si>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</si>
  <si>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</si>
  <si>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</si>
  <si>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</si>
  <si>
    <t>Viela</t>
  </si>
  <si>
    <t>Sagimet</t>
  </si>
  <si>
    <t>SGMT</t>
  </si>
  <si>
    <t>Belite</t>
  </si>
  <si>
    <t>BLTE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</si>
</sst>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externalLink" Target="externalLinks/externalLink195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208" Type="http://schemas.openxmlformats.org/officeDocument/2006/relationships/theme" Target="theme/theme1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tyles" Target="style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aredStrings" Target="sharedStrings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openxmlformats.org/officeDocument/2006/relationships/sheetMetadata" Target="metadata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microsoft.com/office/2017/10/relationships/person" Target="persons/perso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13" Type="http://schemas.openxmlformats.org/officeDocument/2006/relationships/calcChain" Target="calcChain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EGN.xlsx" TargetMode="External"/><Relationship Id="rId1" Type="http://schemas.openxmlformats.org/officeDocument/2006/relationships/externalLinkPath" Target="REGN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EXEL.xlsx" TargetMode="External"/><Relationship Id="rId1" Type="http://schemas.openxmlformats.org/officeDocument/2006/relationships/externalLinkPath" Target="EXE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SRPT.xlsx" TargetMode="External"/><Relationship Id="rId1" Type="http://schemas.openxmlformats.org/officeDocument/2006/relationships/externalLinkPath" Target="SRPT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NLI.xlsx" TargetMode="External"/><Relationship Id="rId1" Type="http://schemas.openxmlformats.org/officeDocument/2006/relationships/externalLinkPath" Target="DNLI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AMS.xlsx" TargetMode="External"/><Relationship Id="rId1" Type="http://schemas.openxmlformats.org/officeDocument/2006/relationships/externalLinkPath" Target="NAMS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YTM.xlsx" TargetMode="External"/><Relationship Id="rId1" Type="http://schemas.openxmlformats.org/officeDocument/2006/relationships/externalLinkPath" Target="RYTM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LTE.xlsx" TargetMode="External"/><Relationship Id="rId1" Type="http://schemas.openxmlformats.org/officeDocument/2006/relationships/externalLinkPath" Target="BLT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INMB.xlsx" TargetMode="External"/><Relationship Id="rId1" Type="http://schemas.openxmlformats.org/officeDocument/2006/relationships/externalLinkPath" Target="INMB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GMT.xlsx" TargetMode="External"/><Relationship Id="rId1" Type="http://schemas.openxmlformats.org/officeDocument/2006/relationships/externalLinkPath" Target="SGM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KTR.xlsx" TargetMode="External"/><Relationship Id="rId1" Type="http://schemas.openxmlformats.org/officeDocument/2006/relationships/externalLinkPath" Target="NKTR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TOS.xlsx" TargetMode="External"/><Relationship Id="rId1" Type="http://schemas.openxmlformats.org/officeDocument/2006/relationships/externalLinkPath" Target="ATO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8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9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L3">
            <v>2406</v>
          </cell>
        </row>
        <row r="5">
          <cell r="L5">
            <v>38781</v>
          </cell>
        </row>
        <row r="6">
          <cell r="L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4446</v>
          </cell>
        </row>
        <row r="5">
          <cell r="J5">
            <v>47876</v>
          </cell>
        </row>
        <row r="6">
          <cell r="J6">
            <v>121115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657.4555785154206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Wainua"/>
      <sheetName val="Beyonttra"/>
      <sheetName val="Nexium"/>
      <sheetName val="Seroquel"/>
      <sheetName val="Crestor"/>
      <sheetName val="Brilinta"/>
      <sheetName val="datopotamab"/>
      <sheetName val="camizestrant"/>
      <sheetName val="eneboparatide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26067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3975500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7121.1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34255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130.31100000000001</v>
          </cell>
        </row>
        <row r="5">
          <cell r="L5">
            <v>2632.2219999999998</v>
          </cell>
        </row>
        <row r="6">
          <cell r="L6">
            <v>1025.566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1173.6819640000001</v>
          </cell>
        </row>
        <row r="5">
          <cell r="M5">
            <v>755</v>
          </cell>
        </row>
        <row r="6">
          <cell r="M6">
            <v>14186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272.70828</v>
          </cell>
        </row>
        <row r="5">
          <cell r="M5">
            <v>1650.7570000000001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Vtama"/>
      <sheetName val="brepocitinib"/>
      <sheetName val="batoclimab"/>
      <sheetName val="IP"/>
    </sheetNames>
    <sheetDataSet>
      <sheetData sheetId="0"/>
      <sheetData sheetId="1">
        <row r="3">
          <cell r="K3">
            <v>713.54945799999996</v>
          </cell>
        </row>
        <row r="5">
          <cell r="K5">
            <v>5436.5479999999998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  <sheetName val="SRP-9005"/>
      <sheetName val="SRP-9004"/>
      <sheetName val="SRP-9003"/>
    </sheetNames>
    <sheetDataSet>
      <sheetData sheetId="0">
        <row r="3">
          <cell r="L3">
            <v>97</v>
          </cell>
        </row>
        <row r="5">
          <cell r="L5">
            <v>786</v>
          </cell>
        </row>
        <row r="6">
          <cell r="L6">
            <v>1138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NL310"/>
    </sheetNames>
    <sheetDataSet>
      <sheetData sheetId="0">
        <row r="3">
          <cell r="K3">
            <v>171.22202999999999</v>
          </cell>
        </row>
        <row r="5">
          <cell r="K5">
            <v>1053.77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bicetrapib"/>
    </sheetNames>
    <sheetDataSet>
      <sheetData sheetId="0">
        <row r="3">
          <cell r="I3">
            <v>112.27067700000001</v>
          </cell>
        </row>
        <row r="5">
          <cell r="I5">
            <v>748.42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72.991389999999996</v>
          </cell>
        </row>
        <row r="5">
          <cell r="O5">
            <v>954.3</v>
          </cell>
        </row>
        <row r="6">
          <cell r="O6">
            <v>0.5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mcivree"/>
    </sheetNames>
    <sheetDataSet>
      <sheetData sheetId="0">
        <row r="3">
          <cell r="K3">
            <v>63.621471999999997</v>
          </cell>
        </row>
        <row r="5">
          <cell r="K5">
            <v>314.488</v>
          </cell>
        </row>
        <row r="6">
          <cell r="K6">
            <v>107.934</v>
          </cell>
        </row>
      </sheetData>
      <sheetData sheetId="1"/>
      <sheetData sheetId="2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30.538378000000002</v>
          </cell>
        </row>
        <row r="5">
          <cell r="M5">
            <v>145.149</v>
          </cell>
        </row>
        <row r="6">
          <cell r="M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T-621"/>
    </sheetNames>
    <sheetDataSet>
      <sheetData sheetId="0">
        <row r="3">
          <cell r="L3">
            <v>65.119568000000001</v>
          </cell>
        </row>
        <row r="5">
          <cell r="L5">
            <v>775.48500000000001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79.032341000000002</v>
          </cell>
        </row>
        <row r="5">
          <cell r="J5">
            <v>266.5</v>
          </cell>
        </row>
        <row r="6">
          <cell r="J6">
            <v>75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  <sheetName val="Autoimmune-Inflammatory-Drugs"/>
      <sheetName val="Trials"/>
      <sheetName val="AD"/>
      <sheetName val="TNF"/>
      <sheetName val="Glossary"/>
      <sheetName val="Literature"/>
    </sheetNames>
    <sheetDataSet>
      <sheetData sheetId="0">
        <row r="3">
          <cell r="M3">
            <v>23.210377000000001</v>
          </cell>
        </row>
        <row r="5">
          <cell r="M5">
            <v>19.337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denifanstat"/>
    </sheetNames>
    <sheetDataSet>
      <sheetData sheetId="0">
        <row r="3">
          <cell r="K3">
            <v>32.195345000000003</v>
          </cell>
        </row>
        <row r="5">
          <cell r="K5">
            <v>144.56900000000002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pegaldesleukin"/>
    </sheetNames>
    <sheetDataSet>
      <sheetData sheetId="0">
        <row r="3">
          <cell r="I3">
            <v>12.406903866666665</v>
          </cell>
        </row>
        <row r="5">
          <cell r="I5">
            <v>220.65100000000001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45.707819000000001</v>
          </cell>
        </row>
        <row r="5">
          <cell r="K5">
            <v>144.77739600000001</v>
          </cell>
        </row>
        <row r="6">
          <cell r="K6">
            <v>0</v>
          </cell>
        </row>
      </sheetData>
      <sheetData sheetId="1" refreshError="1"/>
      <sheetData sheetId="2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129.17000400000001</v>
          </cell>
        </row>
        <row r="5">
          <cell r="L5">
            <v>65.116</v>
          </cell>
        </row>
        <row r="6">
          <cell r="L6">
            <v>0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hyperlink" Target="SGMT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openxmlformats.org/officeDocument/2006/relationships/hyperlink" Target="BLTE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219" Type="http://schemas.openxmlformats.org/officeDocument/2006/relationships/vmlDrawing" Target="../drawings/vmlDrawing1.vml"/><Relationship Id="rId3" Type="http://schemas.openxmlformats.org/officeDocument/2006/relationships/hyperlink" Target="PFE.xlsx" TargetMode="External"/><Relationship Id="rId214" Type="http://schemas.openxmlformats.org/officeDocument/2006/relationships/hyperlink" Target="RYTM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220" Type="http://schemas.openxmlformats.org/officeDocument/2006/relationships/comments" Target="../comments1.x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hyperlink" Target="NKT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221" Type="http://schemas.microsoft.com/office/2017/10/relationships/threadedComment" Target="../threadedComments/threadedComment1.xm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Relationship Id="rId30" Type="http://schemas.openxmlformats.org/officeDocument/2006/relationships/hyperlink" Target="VTRS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2"/>
  <sheetViews>
    <sheetView tabSelected="1" zoomScale="145" zoomScaleNormal="145" workbookViewId="0">
      <pane xSplit="5" ySplit="3" topLeftCell="F361" activePane="bottomRight" state="frozen"/>
      <selection pane="topRight" activeCell="C1" sqref="C1"/>
      <selection pane="bottomLeft" activeCell="A4" sqref="A4"/>
      <selection pane="bottomRight" activeCell="G372" sqref="G372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RANDBETWEEN(1,D256)</f>
        <v>250</v>
      </c>
      <c r="H2" s="6">
        <f>SUM(H5:H417)-H8-H11-H13-H19-H23-H26-H50-H56</f>
        <v>4718366.5417435151</v>
      </c>
      <c r="M2" s="9">
        <f>MIN(M5:M88)</f>
        <v>45535</v>
      </c>
      <c r="O2" s="10">
        <f>AVERAGE(O5:O25)</f>
        <v>0.19657770615050429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 t="shared" ref="S4:X4" si="0">TRIMMEAN(S5:S301,10%)</f>
        <v>39.707562738088768</v>
      </c>
      <c r="T4" s="106">
        <f t="shared" si="0"/>
        <v>81.875898919566097</v>
      </c>
      <c r="U4" s="106">
        <f t="shared" si="0"/>
        <v>48.768623887654556</v>
      </c>
      <c r="V4" s="106">
        <f t="shared" si="0"/>
        <v>17.806350953385813</v>
      </c>
      <c r="W4" s="106">
        <f t="shared" si="0"/>
        <v>15.936200291057885</v>
      </c>
      <c r="X4" s="106">
        <f t="shared" si="0"/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AVERAGE(AE5:AE223)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1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2">($J5/$L5)/Y5</f>
        <v>114.29172821983411</v>
      </c>
      <c r="T5" s="11">
        <f t="shared" ref="T5" si="3">($J5/$L5)/Z5</f>
        <v>135.96774564083714</v>
      </c>
      <c r="U5" s="11">
        <f t="shared" ref="U5" si="4">($J5/$L5)/AA5</f>
        <v>67.345254032182353</v>
      </c>
      <c r="V5" s="11">
        <f t="shared" ref="V5" si="5">($J5/$L5)/AB5</f>
        <v>36.174904803525479</v>
      </c>
      <c r="W5" s="11">
        <f t="shared" ref="W5" si="6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1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2"/>
        <v>36.70554868934898</v>
      </c>
      <c r="T6" s="11">
        <f t="shared" ref="T6" si="7">($J6/$L6)/Z6</f>
        <v>89.469774930288139</v>
      </c>
      <c r="U6" s="11">
        <f t="shared" ref="U6" si="8">($J6/$L6)/AA6</f>
        <v>101.82334218007688</v>
      </c>
      <c r="V6" s="11">
        <f t="shared" ref="V6" si="9">($J6/$L6)/AB6</f>
        <v>19.898429093244786</v>
      </c>
      <c r="W6" s="11">
        <f t="shared" ref="W6" si="10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+G7*L7</f>
        <v>371221.74</v>
      </c>
      <c r="I7" s="6">
        <f>+[3]Main!$L$5-[3]Main!$L$6</f>
        <v>-13471</v>
      </c>
      <c r="J7" s="6">
        <f t="shared" si="1"/>
        <v>384692.74</v>
      </c>
      <c r="K7" s="3" t="s">
        <v>1843</v>
      </c>
      <c r="L7" s="6">
        <f>+[3]Main!$L$3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1">($J7/$L7)/Y7</f>
        <v>23.757640322176229</v>
      </c>
      <c r="T7" s="11">
        <f t="shared" ref="T7" si="12">($J7/$L7)/Z7</f>
        <v>28.913005310713569</v>
      </c>
      <c r="U7" s="11">
        <f t="shared" ref="U7" si="13">($J7/$L7)/AA7</f>
        <v>27.614666557555445</v>
      </c>
      <c r="V7" s="11">
        <f t="shared" ref="V7" si="14">($J7/$L7)/AB7</f>
        <v>15.069643672784736</v>
      </c>
      <c r="W7" s="11">
        <f t="shared" ref="W7:X7" si="15">($J7/$L7)/AC7</f>
        <v>14.404407150292435</v>
      </c>
      <c r="X7" s="11">
        <f t="shared" si="15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300505.14</v>
      </c>
      <c r="I8" s="6">
        <f>([4]Main!$J$5-[4]Main!$J$6)/DKK</f>
        <v>-10378.206036559444</v>
      </c>
      <c r="J8" s="6">
        <f t="shared" si="1"/>
        <v>310883.34603655944</v>
      </c>
      <c r="K8" s="3" t="s">
        <v>1276</v>
      </c>
      <c r="L8" s="6">
        <f>+[4]Main!$J$3</f>
        <v>4446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6">($J8/$L8)/Y8</f>
        <v>40.418658589855326</v>
      </c>
      <c r="T8" s="11">
        <f t="shared" ref="T8" si="17">($J8/$L8)/Z8</f>
        <v>25.802317107177018</v>
      </c>
      <c r="U8" s="11">
        <f t="shared" ref="U8" si="18">($J8/$L8)/AA8</f>
        <v>21.253580352720277</v>
      </c>
      <c r="V8" s="11">
        <f t="shared" ref="V8" si="19">($J8/$L8)/AB8</f>
        <v>17.568914412173296</v>
      </c>
      <c r="W8" s="11">
        <f t="shared" ref="W8" si="20">($J8/$L8)/AC8</f>
        <v>14.814465966196975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295979.9914978036</v>
      </c>
      <c r="I9" s="6">
        <f>([4]Main!$J$5-[4]Main!$J$6)/DKK</f>
        <v>-10378.206036559444</v>
      </c>
      <c r="J9" s="6">
        <f t="shared" si="1"/>
        <v>306358.19753436302</v>
      </c>
      <c r="K9" s="3" t="str">
        <f>+K8</f>
        <v>Q324</v>
      </c>
      <c r="L9" s="6">
        <f>+[4]Main!$J$3</f>
        <v>4446</v>
      </c>
      <c r="M9" s="9">
        <f>+M8</f>
        <v>45671</v>
      </c>
      <c r="N9" s="7">
        <f>+[4]Model!$DM$53</f>
        <v>657.4555785154206</v>
      </c>
      <c r="O9" s="10">
        <f>N9/G9-1</f>
        <v>0.39943716159093356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1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1">($J10/$L10)/AA10</f>
        <v>16.882657577308169</v>
      </c>
      <c r="V10" s="11">
        <f t="shared" ref="V10:V11" si="22">($J10/$L10)/AB10</f>
        <v>15.600216821810495</v>
      </c>
      <c r="W10" s="11">
        <f t="shared" ref="W10:W11" si="23">($J10/$L10)/AC10</f>
        <v>14.655414957954367</v>
      </c>
      <c r="X10" s="11">
        <f t="shared" ref="X10" si="24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72.989999999999995</v>
      </c>
      <c r="H11" s="6">
        <f>+G11*L11*2</f>
        <v>227728.8</v>
      </c>
      <c r="I11" s="6">
        <f>+[6]Main!$K$5-[6]Main!$K$6</f>
        <v>-26067</v>
      </c>
      <c r="J11" s="6">
        <f t="shared" si="1"/>
        <v>253795.8</v>
      </c>
      <c r="K11" s="3" t="s">
        <v>1843</v>
      </c>
      <c r="L11" s="6">
        <f>+[6]Main!$K$3</f>
        <v>1560</v>
      </c>
      <c r="M11" s="9">
        <v>45820</v>
      </c>
      <c r="S11" s="11">
        <f t="shared" ref="S11" si="25">($J11/$L11)/Y11</f>
        <v>153.4807692307692</v>
      </c>
      <c r="T11" s="11">
        <f t="shared" ref="T11" si="26">($J11/$L11)/Z11</f>
        <v>84.734174679487168</v>
      </c>
      <c r="U11" s="11">
        <f t="shared" si="21"/>
        <v>71.669434090138921</v>
      </c>
      <c r="V11" s="11">
        <f t="shared" si="22"/>
        <v>36.073085451134226</v>
      </c>
      <c r="W11" s="11">
        <f t="shared" si="23"/>
        <v>31.96259634275351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-26067</v>
      </c>
      <c r="J12" s="6">
        <f t="shared" si="1"/>
        <v>254298.12</v>
      </c>
      <c r="K12" s="3" t="str">
        <f>+K11</f>
        <v>Q125</v>
      </c>
      <c r="L12" s="6">
        <f>+[6]Main!$K$3</f>
        <v>1560</v>
      </c>
      <c r="M12" s="9">
        <f>+M11</f>
        <v>45820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1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7">($J13/$L13)/Y13</f>
        <v>38.22792541888041</v>
      </c>
      <c r="T13" s="11">
        <f t="shared" ref="T13" si="28">($J13/$L13)/Z13</f>
        <v>17.055535956115875</v>
      </c>
      <c r="U13" s="11">
        <f t="shared" ref="U13" si="29">($J13/$L13)/AA13</f>
        <v>20.599169271322381</v>
      </c>
      <c r="V13" s="11">
        <f t="shared" ref="V13" si="30">($J13/$L13)/AB13</f>
        <v>14.081649201643014</v>
      </c>
      <c r="W13" s="11">
        <f t="shared" ref="W13" si="31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1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1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2">($J15/$L15)/Y15</f>
        <v>15.215226486342189</v>
      </c>
      <c r="T15" s="11">
        <f t="shared" ref="T15" si="33">($J15/$L15)/Z15</f>
        <v>620.56388026438492</v>
      </c>
      <c r="U15" s="11">
        <f t="shared" ref="U15" si="34">($J15/$L15)/AA15</f>
        <v>12.890050925372982</v>
      </c>
      <c r="V15" s="11">
        <f t="shared" ref="V15" si="35">($J15/$L15)/AB15</f>
        <v>9.7616790153948205</v>
      </c>
      <c r="W15" s="11">
        <f t="shared" ref="W15" si="36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1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7">($J16/$L16)/Y16</f>
        <v>30.947979931344076</v>
      </c>
      <c r="T16" s="11">
        <f t="shared" ref="T16:T17" si="38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1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7"/>
        <v>5.7115071221148952</v>
      </c>
      <c r="T17" s="11">
        <f t="shared" si="38"/>
        <v>82.215641994653879</v>
      </c>
      <c r="U17" s="11">
        <f t="shared" ref="U17" si="39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1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7"/>
        <v>32.373731114001174</v>
      </c>
      <c r="T18" s="11">
        <f t="shared" ref="T18:U18" si="40">($J18/$L18)/Z18</f>
        <v>26.186751389992061</v>
      </c>
      <c r="U18" s="11">
        <f t="shared" si="40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1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1">($J19/$L19)/AB19</f>
        <v>26.925753929607406</v>
      </c>
      <c r="W19" s="11">
        <f t="shared" si="41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1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1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2">($J21/$L21)/Y21</f>
        <v>22.613586053077828</v>
      </c>
      <c r="T21" s="11">
        <f t="shared" ref="T21" si="43">($J21/$L21)/Z21</f>
        <v>17.28240384885482</v>
      </c>
      <c r="U21" s="11">
        <f t="shared" ref="U21" si="44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1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5">($J22/$L22)/Y22</f>
        <v>30.091306048807535</v>
      </c>
      <c r="T22" s="11">
        <f t="shared" ref="T22:T23" si="46">($J22/$L22)/Z22</f>
        <v>27.77325727470933</v>
      </c>
      <c r="U22" s="11">
        <f t="shared" ref="U22:W23" si="47">($J22/$L22)/AA22</f>
        <v>32.581971583252752</v>
      </c>
      <c r="V22" s="11">
        <f t="shared" si="47"/>
        <v>21.443609980306427</v>
      </c>
      <c r="W22" s="11">
        <f t="shared" si="47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1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5"/>
        <v>6.955845971140608</v>
      </c>
      <c r="T23" s="11">
        <f t="shared" si="46"/>
        <v>6.217012590786295</v>
      </c>
      <c r="U23" s="11">
        <f t="shared" ref="U23" si="48">($J23/$L23)/AA23</f>
        <v>5.8962330713599744</v>
      </c>
      <c r="V23" s="11">
        <f t="shared" ref="V23" si="49">($J23/$L23)/AB23</f>
        <v>5.3686059508803359</v>
      </c>
      <c r="W23" s="11">
        <f t="shared" si="47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1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50">($J24/$L24)/Y24</f>
        <v>16.706191857453643</v>
      </c>
      <c r="T24" s="11">
        <f t="shared" ref="T24" si="51">($J24/$L24)/Z24</f>
        <v>15.089463613183934</v>
      </c>
      <c r="U24" s="11">
        <f t="shared" ref="U24" si="52">($J24/$L24)/AA24</f>
        <v>14.709854465682453</v>
      </c>
      <c r="V24" s="11">
        <f t="shared" ref="V24" si="53">($J24/$L24)/AB24</f>
        <v>14.174950666930364</v>
      </c>
      <c r="W24" s="11">
        <f t="shared" ref="W24" si="54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1"/>
        <v>91399.823776803198</v>
      </c>
      <c r="K25" s="3" t="s">
        <v>1070</v>
      </c>
      <c r="L25" s="6">
        <f>+[17]Main!$J$3</f>
        <v>485.19930699999998</v>
      </c>
      <c r="M25" s="9">
        <v>45822</v>
      </c>
      <c r="S25" s="11">
        <f t="shared" ref="S25" si="55">($J25/$L25)/Y25</f>
        <v>28.115796016185257</v>
      </c>
      <c r="T25" s="11">
        <f t="shared" ref="T25" si="56">($J25/$L25)/Z25</f>
        <v>20.86111110835451</v>
      </c>
      <c r="U25" s="11">
        <f t="shared" ref="U25" si="57">($J25/$L25)/AA25</f>
        <v>20.321017616876077</v>
      </c>
      <c r="V25" s="11">
        <f t="shared" ref="V25" si="58">($J25/$L25)/AB25</f>
        <v>17.704495611695602</v>
      </c>
      <c r="W25" s="11">
        <f t="shared" ref="W25" si="59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-27370.051635111875</v>
      </c>
      <c r="J26" s="6">
        <f>+H26-I26</f>
        <v>73749.691635111871</v>
      </c>
      <c r="K26" s="3" t="s">
        <v>1070</v>
      </c>
      <c r="L26" s="6">
        <f>+[18]Main!$K$4</f>
        <v>1569</v>
      </c>
      <c r="M26" s="9">
        <v>45812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-27370.051635111875</v>
      </c>
      <c r="J27" s="6">
        <f>+H27-I27</f>
        <v>75039.566265060246</v>
      </c>
      <c r="K27" s="3" t="s">
        <v>1070</v>
      </c>
      <c r="L27" s="6">
        <f>+[18]Main!$K$4</f>
        <v>1569</v>
      </c>
      <c r="M27" s="9">
        <f>+M26</f>
        <v>45812</v>
      </c>
    </row>
    <row r="28" spans="1:31" x14ac:dyDescent="0.25">
      <c r="A28" s="101" t="s">
        <v>333</v>
      </c>
      <c r="B28"/>
      <c r="C28"/>
      <c r="D28" s="1">
        <f t="shared" ref="D28:D56" si="60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60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-7904.4210000000012</v>
      </c>
      <c r="J29" s="6">
        <f>H29-I29</f>
        <v>62975.421000000002</v>
      </c>
      <c r="K29" s="3" t="s">
        <v>1843</v>
      </c>
      <c r="L29" s="3">
        <v>435</v>
      </c>
      <c r="M29" s="9">
        <v>45822</v>
      </c>
    </row>
    <row r="30" spans="1:31" x14ac:dyDescent="0.25">
      <c r="A30" s="101" t="s">
        <v>333</v>
      </c>
      <c r="B30"/>
      <c r="C30"/>
      <c r="D30" s="1">
        <f t="shared" si="60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-34255</v>
      </c>
      <c r="J30" s="6">
        <f>+H30-I30</f>
        <v>58322.030434</v>
      </c>
      <c r="K30" s="3" t="s">
        <v>1843</v>
      </c>
      <c r="L30" s="6">
        <f>+[21]Main!$J$3</f>
        <v>982.42</v>
      </c>
      <c r="M30" s="9">
        <v>45822</v>
      </c>
    </row>
    <row r="31" spans="1:31" x14ac:dyDescent="0.25">
      <c r="A31" s="101" t="s">
        <v>333</v>
      </c>
      <c r="B31"/>
      <c r="C31"/>
      <c r="D31" s="1">
        <f t="shared" si="60"/>
        <v>21</v>
      </c>
      <c r="E31" s="5" t="s">
        <v>51</v>
      </c>
      <c r="F31" s="1" t="s">
        <v>52</v>
      </c>
      <c r="G31" s="7">
        <v>493</v>
      </c>
      <c r="H31" s="6">
        <f>+G31*L31</f>
        <v>54821.599999999999</v>
      </c>
      <c r="I31" s="6">
        <f>+[22]Main!$J$5-[22]Main!$J$6</f>
        <v>15641</v>
      </c>
      <c r="J31" s="6">
        <f>H31-I31</f>
        <v>39180.6</v>
      </c>
      <c r="K31" s="3" t="s">
        <v>1843</v>
      </c>
      <c r="L31" s="6">
        <f>+[22]Main!$J$3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60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([23]Main!$J$5-[23]Main!$J$6)/INR</f>
        <v>361.34100545124147</v>
      </c>
      <c r="J32" s="6">
        <f>H32-I32</f>
        <v>50029.283464566935</v>
      </c>
      <c r="K32" s="3" t="s">
        <v>1070</v>
      </c>
      <c r="L32" s="6">
        <f>+[23]Main!$J$3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60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([24]Main!$M$5-[24]Main!$M$6)/KRW*1000</f>
        <v>439.56163852058603</v>
      </c>
      <c r="J33" s="6">
        <f>+H33-I33</f>
        <v>49923.617705512908</v>
      </c>
      <c r="K33" s="3" t="s">
        <v>1040</v>
      </c>
      <c r="L33" s="6">
        <f>+[24]Main!$M$3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60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60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60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60"/>
        <v>27</v>
      </c>
      <c r="E37" s="5" t="s">
        <v>57</v>
      </c>
      <c r="F37" s="1" t="s">
        <v>58</v>
      </c>
      <c r="G37" s="7">
        <v>304</v>
      </c>
      <c r="H37" s="6">
        <f>+G37*L37</f>
        <v>39614.544000000002</v>
      </c>
      <c r="I37" s="6">
        <f>+[28]Main!$L$5-[28]Main!$L$6</f>
        <v>1606.6559999999997</v>
      </c>
      <c r="J37" s="6">
        <f>H37-I37</f>
        <v>38007.887999999999</v>
      </c>
      <c r="K37" s="3" t="s">
        <v>1843</v>
      </c>
      <c r="L37" s="6">
        <f>+[28]Main!$L$3</f>
        <v>130.31100000000001</v>
      </c>
      <c r="M37" s="9">
        <v>45821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60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60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60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60"/>
        <v>31</v>
      </c>
      <c r="E41" s="5" t="s">
        <v>75</v>
      </c>
      <c r="F41" s="1" t="s">
        <v>76</v>
      </c>
      <c r="G41" s="7">
        <v>8.74</v>
      </c>
      <c r="H41" s="6">
        <f>G41*[31]Main!$M$3</f>
        <v>10257.980365360001</v>
      </c>
      <c r="I41" s="6">
        <f>[31]Main!$M$5-[31]Main!$M$6</f>
        <v>-13431</v>
      </c>
      <c r="J41" s="6">
        <f>H41-I41</f>
        <v>23688.980365360003</v>
      </c>
      <c r="K41" s="3" t="s">
        <v>1070</v>
      </c>
      <c r="L41" s="6">
        <f>+[31]Main!$M$3</f>
        <v>1173.6819640000001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60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60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60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60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60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60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1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60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1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60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1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60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1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60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1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60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1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60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1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60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1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60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60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76" si="62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2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2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2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2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2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2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2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2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D67">
        <f>+D77+1</f>
        <v>67</v>
      </c>
      <c r="E67" s="5" t="s">
        <v>121</v>
      </c>
      <c r="F67" s="1" t="s">
        <v>122</v>
      </c>
      <c r="G67" s="7">
        <v>42.57</v>
      </c>
      <c r="H67" s="6">
        <f>+G67*L67</f>
        <v>11609.1914796</v>
      </c>
      <c r="I67" s="6">
        <f>+[55]Main!$M$5-[55]Main!$M$6</f>
        <v>1650.7570000000001</v>
      </c>
      <c r="J67" s="6">
        <f>+H67-I67</f>
        <v>9958.4344796000005</v>
      </c>
      <c r="K67" s="3" t="s">
        <v>1843</v>
      </c>
      <c r="L67" s="6">
        <f>+[55]Main!$M$3</f>
        <v>272.70828</v>
      </c>
      <c r="M67" s="9">
        <v>45812</v>
      </c>
    </row>
    <row r="68" spans="1:32" x14ac:dyDescent="0.25">
      <c r="A68" s="88" t="s">
        <v>333</v>
      </c>
      <c r="B68"/>
      <c r="C68"/>
      <c r="D68" s="1">
        <f>+D66+1</f>
        <v>56</v>
      </c>
      <c r="E68" s="5" t="s">
        <v>98</v>
      </c>
      <c r="F68" s="1" t="s">
        <v>99</v>
      </c>
      <c r="G68" s="7">
        <v>63</v>
      </c>
      <c r="H68" s="6">
        <f>+G68*L68</f>
        <v>7980.7139999999999</v>
      </c>
      <c r="I68" s="6">
        <f>+[56]Main!$M$5-[56]Main!$M$6</f>
        <v>-973.48500000000013</v>
      </c>
      <c r="J68" s="6">
        <f>+H68-I68</f>
        <v>8954.1990000000005</v>
      </c>
      <c r="K68" s="3" t="s">
        <v>1070</v>
      </c>
      <c r="L68" s="6">
        <f>+[56]Main!$M$3</f>
        <v>126.678</v>
      </c>
      <c r="M68" s="9">
        <v>45538</v>
      </c>
    </row>
    <row r="69" spans="1:32" x14ac:dyDescent="0.25">
      <c r="A69"/>
      <c r="B69"/>
      <c r="C69"/>
      <c r="D69" s="1">
        <f t="shared" si="62"/>
        <v>57</v>
      </c>
      <c r="E69" s="5" t="s">
        <v>138</v>
      </c>
      <c r="F69" s="1" t="s">
        <v>139</v>
      </c>
      <c r="G69" s="3">
        <v>97.64</v>
      </c>
      <c r="H69" s="6">
        <f>+G69*L69</f>
        <v>6779.2078848800011</v>
      </c>
      <c r="I69" s="6">
        <f>+[57]Main!$K$5-[57]Main!$K$6</f>
        <v>310.25300000000004</v>
      </c>
      <c r="J69" s="6">
        <f>+H69-I69</f>
        <v>6468.9548848800014</v>
      </c>
      <c r="K69" s="3" t="s">
        <v>1070</v>
      </c>
      <c r="L69" s="6">
        <f>+[57]Main!$K$3</f>
        <v>69.430642000000006</v>
      </c>
      <c r="M69" s="9">
        <v>45586</v>
      </c>
    </row>
    <row r="70" spans="1:32" x14ac:dyDescent="0.25">
      <c r="A70" s="88" t="s">
        <v>333</v>
      </c>
      <c r="B70"/>
      <c r="C70"/>
      <c r="D70" s="1">
        <f t="shared" si="62"/>
        <v>58</v>
      </c>
      <c r="E70" s="5" t="s">
        <v>371</v>
      </c>
      <c r="F70" t="s">
        <v>372</v>
      </c>
      <c r="G70" s="3">
        <v>54.86</v>
      </c>
      <c r="H70" s="6">
        <f>+G70*L70*EUR</f>
        <v>8594.2984763999993</v>
      </c>
      <c r="I70" s="6">
        <f>([58]Main!$L$5-[58]Main!$L$6)*EUR</f>
        <v>-123.432</v>
      </c>
      <c r="J70" s="6">
        <f>+H70-I70</f>
        <v>8717.7304764</v>
      </c>
      <c r="K70" s="3" t="s">
        <v>1070</v>
      </c>
      <c r="L70" s="6">
        <f>+[58]Main!$L$3</f>
        <v>141.13399999999999</v>
      </c>
      <c r="M70" s="9">
        <v>45566</v>
      </c>
    </row>
    <row r="71" spans="1:32" x14ac:dyDescent="0.25">
      <c r="A71" s="88" t="s">
        <v>333</v>
      </c>
      <c r="D71" s="1">
        <f t="shared" si="62"/>
        <v>59</v>
      </c>
      <c r="E71" s="5" t="s">
        <v>136</v>
      </c>
      <c r="F71" s="1" t="s">
        <v>137</v>
      </c>
      <c r="G71" s="7">
        <v>152</v>
      </c>
      <c r="H71" s="6">
        <f>G71*L71</f>
        <v>8851.112000000001</v>
      </c>
      <c r="I71" s="6">
        <f>[59]Main!$K$5-[59]Main!$K$6</f>
        <v>-413.63900000000001</v>
      </c>
      <c r="J71" s="6">
        <f>H71-I71</f>
        <v>9264.7510000000002</v>
      </c>
      <c r="K71" s="3" t="s">
        <v>1070</v>
      </c>
      <c r="L71" s="6">
        <f>[59]Main!$K$3</f>
        <v>58.231000000000002</v>
      </c>
      <c r="M71" s="9">
        <v>45539</v>
      </c>
      <c r="AE71" s="1">
        <v>2007</v>
      </c>
      <c r="AF71" s="1" t="s">
        <v>1141</v>
      </c>
    </row>
    <row r="72" spans="1:32" s="24" customFormat="1" ht="13" x14ac:dyDescent="0.3">
      <c r="A72" s="88" t="s">
        <v>333</v>
      </c>
      <c r="D72" s="24">
        <f t="shared" si="62"/>
        <v>60</v>
      </c>
      <c r="E72" s="42" t="s">
        <v>1058</v>
      </c>
      <c r="F72" s="24" t="s">
        <v>1059</v>
      </c>
      <c r="G72" s="46">
        <v>24.11</v>
      </c>
      <c r="H72" s="26">
        <f>+G72*L72</f>
        <v>2507.44</v>
      </c>
      <c r="I72" s="25">
        <f>+[60]Main!$K$5-[60]Main!$K$6</f>
        <v>711</v>
      </c>
      <c r="J72" s="26">
        <f t="shared" ref="J72:J81" si="63">+H72-I72</f>
        <v>1796.44</v>
      </c>
      <c r="K72" s="25" t="s">
        <v>1113</v>
      </c>
      <c r="L72" s="25">
        <f>+[60]Main!$K$3</f>
        <v>104</v>
      </c>
      <c r="M72" s="43">
        <v>45541</v>
      </c>
      <c r="N72" s="25"/>
      <c r="O72" s="25"/>
      <c r="P72" s="25"/>
      <c r="Q72" s="25"/>
      <c r="R72" s="25"/>
      <c r="S72" s="44"/>
      <c r="T72" s="44"/>
      <c r="U72" s="44"/>
      <c r="V72" s="44"/>
      <c r="W72" s="44"/>
      <c r="X72" s="44"/>
      <c r="Y72" s="104"/>
      <c r="Z72" s="104"/>
      <c r="AA72" s="104"/>
      <c r="AB72" s="104"/>
      <c r="AC72" s="104"/>
      <c r="AD72" s="104"/>
    </row>
    <row r="73" spans="1:32" x14ac:dyDescent="0.25">
      <c r="A73" s="88" t="s">
        <v>333</v>
      </c>
      <c r="D73">
        <f t="shared" si="62"/>
        <v>61</v>
      </c>
      <c r="E73" s="5" t="s">
        <v>100</v>
      </c>
      <c r="F73" s="1" t="s">
        <v>101</v>
      </c>
      <c r="G73" s="3">
        <v>29.92</v>
      </c>
      <c r="H73" s="6">
        <f>+G73*L73</f>
        <v>4374.6358427200003</v>
      </c>
      <c r="I73" s="6">
        <f>+[61]Main!$L$5-[61]Main!$L$6</f>
        <v>309.9079999999999</v>
      </c>
      <c r="J73" s="6">
        <f t="shared" si="63"/>
        <v>4064.7278427200004</v>
      </c>
      <c r="K73" s="9" t="s">
        <v>1070</v>
      </c>
      <c r="L73" s="6">
        <f>+[61]Main!$L$3</f>
        <v>146.21109100000001</v>
      </c>
      <c r="M73" s="9">
        <v>45539</v>
      </c>
      <c r="AE73" s="1">
        <v>1989</v>
      </c>
    </row>
    <row r="74" spans="1:32" x14ac:dyDescent="0.25">
      <c r="A74" s="88" t="s">
        <v>333</v>
      </c>
      <c r="D74">
        <f t="shared" si="62"/>
        <v>62</v>
      </c>
      <c r="E74" s="5" t="s">
        <v>295</v>
      </c>
      <c r="F74" t="s">
        <v>296</v>
      </c>
      <c r="G74" s="21">
        <v>1949</v>
      </c>
      <c r="H74" s="6">
        <f>+G74*L74/100*GBP</f>
        <v>5618.4183077750004</v>
      </c>
      <c r="I74" s="6">
        <f>+[62]Main!$K$5-[62]Main!$K$6</f>
        <v>-1276</v>
      </c>
      <c r="J74" s="6">
        <f t="shared" si="63"/>
        <v>6894.4183077750004</v>
      </c>
      <c r="K74" s="3" t="s">
        <v>1070</v>
      </c>
      <c r="L74" s="6">
        <f>+[62]Main!$K$3</f>
        <v>221.74757500000001</v>
      </c>
      <c r="M74" s="9">
        <v>45541</v>
      </c>
    </row>
    <row r="75" spans="1:32" x14ac:dyDescent="0.25">
      <c r="A75" s="88" t="s">
        <v>333</v>
      </c>
      <c r="D75">
        <f t="shared" si="62"/>
        <v>63</v>
      </c>
      <c r="E75" s="5" t="s">
        <v>275</v>
      </c>
      <c r="F75" t="s">
        <v>276</v>
      </c>
      <c r="G75" s="6">
        <v>2173</v>
      </c>
      <c r="H75" s="6">
        <f>+G75*L75/JPY</f>
        <v>7987.034906148021</v>
      </c>
      <c r="I75" s="6">
        <f>([63]Main!$L$5-[63]Main!$L$6)/JPY</f>
        <v>2512.9707401032701</v>
      </c>
      <c r="J75" s="6">
        <f t="shared" si="63"/>
        <v>5474.0641660447509</v>
      </c>
      <c r="K75" s="3" t="s">
        <v>1070</v>
      </c>
      <c r="L75" s="6">
        <f>+[63]Main!$L$3</f>
        <v>533.87796600000001</v>
      </c>
      <c r="M75" s="9">
        <v>45567</v>
      </c>
    </row>
    <row r="76" spans="1:32" x14ac:dyDescent="0.25">
      <c r="A76" t="s">
        <v>333</v>
      </c>
      <c r="B76"/>
      <c r="C76"/>
      <c r="D76">
        <f t="shared" si="62"/>
        <v>64</v>
      </c>
      <c r="E76" s="5" t="s">
        <v>130</v>
      </c>
      <c r="F76" s="1" t="s">
        <v>131</v>
      </c>
      <c r="G76" s="3">
        <v>27.9</v>
      </c>
      <c r="H76" s="6">
        <f t="shared" ref="H76:H78" si="64">+G76*L76</f>
        <v>3805.9901621999993</v>
      </c>
      <c r="I76" s="6">
        <f>+[64]Main!$N$5-[64]Main!$N$6</f>
        <v>-3514.8</v>
      </c>
      <c r="J76" s="6">
        <f t="shared" si="63"/>
        <v>7320.790162199999</v>
      </c>
      <c r="K76" s="3" t="s">
        <v>1070</v>
      </c>
      <c r="L76" s="6">
        <f>+[64]Main!$N$3</f>
        <v>136.41541799999999</v>
      </c>
      <c r="M76" s="9">
        <v>45566</v>
      </c>
    </row>
    <row r="77" spans="1:32" x14ac:dyDescent="0.25">
      <c r="A77" s="88" t="s">
        <v>333</v>
      </c>
      <c r="D77">
        <f>+D100+1</f>
        <v>66</v>
      </c>
      <c r="E77" s="5" t="s">
        <v>685</v>
      </c>
      <c r="F77" t="s">
        <v>686</v>
      </c>
      <c r="G77" s="7">
        <v>40.200000000000003</v>
      </c>
      <c r="H77" s="6">
        <f t="shared" si="64"/>
        <v>4729.9150356</v>
      </c>
      <c r="I77" s="6">
        <f>+[65]Main!$K$5-[65]Main!$K$6</f>
        <v>707.18499999999995</v>
      </c>
      <c r="J77" s="6">
        <f t="shared" si="63"/>
        <v>4022.7300356000001</v>
      </c>
      <c r="K77" s="3" t="s">
        <v>1070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>+D67+1</f>
        <v>68</v>
      </c>
      <c r="E78" s="5" t="s">
        <v>697</v>
      </c>
      <c r="F78" t="s">
        <v>698</v>
      </c>
      <c r="G78" s="53">
        <v>34.42</v>
      </c>
      <c r="H78" s="29">
        <f t="shared" si="64"/>
        <v>6456.7101200000006</v>
      </c>
      <c r="I78" s="29">
        <f>+[66]Main!$N$5-[66]Main!$N$6</f>
        <v>-1130.3990000000001</v>
      </c>
      <c r="J78" s="29">
        <f t="shared" si="63"/>
        <v>7587.109120000001</v>
      </c>
      <c r="K78" s="27" t="s">
        <v>1070</v>
      </c>
      <c r="L78" s="29">
        <f>+[66]Main!$N$3</f>
        <v>187.58600000000001</v>
      </c>
      <c r="M78" s="36">
        <v>45579</v>
      </c>
    </row>
    <row r="79" spans="1:32" x14ac:dyDescent="0.25">
      <c r="A79" s="88" t="s">
        <v>333</v>
      </c>
      <c r="B79"/>
      <c r="C79"/>
      <c r="D79">
        <f>+D103+1</f>
        <v>75</v>
      </c>
      <c r="E79" s="5" t="s">
        <v>678</v>
      </c>
      <c r="F79" t="s">
        <v>679</v>
      </c>
      <c r="G79" s="7">
        <v>325</v>
      </c>
      <c r="H79" s="6">
        <f t="shared" ref="H79:H81" si="65">+G79*L79</f>
        <v>7056.6200250000002</v>
      </c>
      <c r="I79" s="6">
        <f>+[67]Main!$M$5-[67]Main!$M$6</f>
        <v>946.1869999999999</v>
      </c>
      <c r="J79" s="6">
        <f t="shared" si="63"/>
        <v>6110.4330250000003</v>
      </c>
      <c r="K79" s="3" t="s">
        <v>1070</v>
      </c>
      <c r="L79" s="6">
        <f>+[67]Main!$M$3</f>
        <v>21.712676999999999</v>
      </c>
      <c r="M79" s="9">
        <v>45783</v>
      </c>
    </row>
    <row r="80" spans="1:32" x14ac:dyDescent="0.25">
      <c r="A80" s="88" t="s">
        <v>333</v>
      </c>
      <c r="D80">
        <f>+D97+1</f>
        <v>80</v>
      </c>
      <c r="E80" s="5" t="s">
        <v>505</v>
      </c>
      <c r="F80" t="s">
        <v>506</v>
      </c>
      <c r="G80" s="7">
        <v>37.1</v>
      </c>
      <c r="H80" s="6">
        <f>+G80*L80</f>
        <v>5743.9383827000001</v>
      </c>
      <c r="I80" s="6">
        <f>+[68]Main!$J$5-[68]Main!$J$6</f>
        <v>115.66200000000001</v>
      </c>
      <c r="J80" s="6">
        <f>+H80-I80</f>
        <v>5628.2763826999999</v>
      </c>
      <c r="K80" s="3" t="s">
        <v>1070</v>
      </c>
      <c r="L80" s="6">
        <f>+[68]Main!$J$3</f>
        <v>154.823137</v>
      </c>
      <c r="M80" s="9">
        <v>45580</v>
      </c>
    </row>
    <row r="81" spans="1:32" x14ac:dyDescent="0.25">
      <c r="A81" s="88" t="s">
        <v>333</v>
      </c>
      <c r="B81"/>
      <c r="C81"/>
      <c r="D81">
        <f>+D79+1</f>
        <v>76</v>
      </c>
      <c r="E81" s="5" t="s">
        <v>430</v>
      </c>
      <c r="F81" t="s">
        <v>431</v>
      </c>
      <c r="G81" s="7">
        <v>115.95</v>
      </c>
      <c r="H81" s="6">
        <f t="shared" si="65"/>
        <v>5616.1667226</v>
      </c>
      <c r="I81" s="6">
        <f>+[69]Main!$L$5-[69]Main!$L$6</f>
        <v>206.86999999999998</v>
      </c>
      <c r="J81" s="6">
        <f t="shared" si="63"/>
        <v>5409.2967226000001</v>
      </c>
      <c r="K81" s="3" t="s">
        <v>1070</v>
      </c>
      <c r="L81" s="6">
        <f>+[69]Main!$L$3</f>
        <v>48.436107999999997</v>
      </c>
      <c r="M81" s="9">
        <v>45540</v>
      </c>
    </row>
    <row r="82" spans="1:32" x14ac:dyDescent="0.25">
      <c r="A82" s="88" t="s">
        <v>333</v>
      </c>
      <c r="D82">
        <f>+D84+1</f>
        <v>72</v>
      </c>
      <c r="E82" s="5" t="s">
        <v>117</v>
      </c>
      <c r="F82" s="1" t="s">
        <v>118</v>
      </c>
      <c r="G82" s="7">
        <v>33.270000000000003</v>
      </c>
      <c r="H82" s="6">
        <f>+G82*L82</f>
        <v>6075.1711017900006</v>
      </c>
      <c r="I82" s="6">
        <f>+[70]Main!$K$5-[70]Main!$K$6</f>
        <v>1008.441</v>
      </c>
      <c r="J82" s="6">
        <f>+H82-I82</f>
        <v>5066.7301017900008</v>
      </c>
      <c r="K82" s="3" t="s">
        <v>1070</v>
      </c>
      <c r="L82" s="6">
        <f>+[70]Main!$K$3</f>
        <v>182.60207700000001</v>
      </c>
      <c r="M82" s="9">
        <v>45574</v>
      </c>
    </row>
    <row r="83" spans="1:32" x14ac:dyDescent="0.25">
      <c r="A83" s="88" t="s">
        <v>333</v>
      </c>
      <c r="B83"/>
      <c r="C83"/>
      <c r="D83">
        <f>+D78+1</f>
        <v>69</v>
      </c>
      <c r="E83" s="5" t="s">
        <v>151</v>
      </c>
      <c r="F83" s="1" t="s">
        <v>152</v>
      </c>
      <c r="G83" s="3">
        <v>86.95</v>
      </c>
      <c r="H83" s="6">
        <f>+G83*L83</f>
        <v>5465.1553000000004</v>
      </c>
      <c r="I83" s="6">
        <f>+[71]Main!$K$5-[71]Main!$K$6</f>
        <v>481.55700000000002</v>
      </c>
      <c r="J83" s="6">
        <f>+H83-I83</f>
        <v>4983.5983000000006</v>
      </c>
      <c r="K83" s="3" t="s">
        <v>1070</v>
      </c>
      <c r="L83" s="6">
        <f>+[71]Main!$K$3</f>
        <v>62.853999999999999</v>
      </c>
      <c r="M83" s="9">
        <v>45549</v>
      </c>
    </row>
    <row r="84" spans="1:32" x14ac:dyDescent="0.25">
      <c r="A84" s="88" t="s">
        <v>333</v>
      </c>
      <c r="D84">
        <f>+D87+1</f>
        <v>71</v>
      </c>
      <c r="E84" s="5" t="s">
        <v>803</v>
      </c>
      <c r="F84" t="s">
        <v>804</v>
      </c>
      <c r="G84" s="3">
        <v>19.350000000000001</v>
      </c>
      <c r="H84" s="6">
        <f>+G84*L84</f>
        <v>4682.7000000000007</v>
      </c>
      <c r="I84" s="6">
        <f>+[72]Main!$L$5-[72]Main!$L$6</f>
        <v>-43</v>
      </c>
      <c r="J84" s="6">
        <f>+H84-I84</f>
        <v>4725.7000000000007</v>
      </c>
      <c r="K84" s="3" t="s">
        <v>1070</v>
      </c>
      <c r="L84" s="6">
        <f>+[72]Main!$L$3</f>
        <v>242</v>
      </c>
      <c r="M84" s="9">
        <v>45566</v>
      </c>
    </row>
    <row r="85" spans="1:32" x14ac:dyDescent="0.25">
      <c r="A85" s="88" t="s">
        <v>333</v>
      </c>
      <c r="B85"/>
      <c r="C85"/>
      <c r="D85">
        <f>+D104+1</f>
        <v>78</v>
      </c>
      <c r="E85" s="5" t="s">
        <v>134</v>
      </c>
      <c r="F85" s="1" t="s">
        <v>135</v>
      </c>
      <c r="G85" s="3">
        <v>32.590000000000003</v>
      </c>
      <c r="H85" s="6">
        <f>+L85*G85</f>
        <v>5366.540842110001</v>
      </c>
      <c r="I85" s="6">
        <f>+[73]Main!$L$5-[73]Main!$L$6</f>
        <v>673.06</v>
      </c>
      <c r="J85" s="6">
        <f t="shared" ref="J85" si="66">+H85-I85</f>
        <v>4693.4808421100006</v>
      </c>
      <c r="K85" s="3" t="s">
        <v>1070</v>
      </c>
      <c r="L85" s="6">
        <f>+[73]Main!$L$3</f>
        <v>164.668329</v>
      </c>
      <c r="M85" s="9">
        <v>45540</v>
      </c>
    </row>
    <row r="86" spans="1:32" x14ac:dyDescent="0.25">
      <c r="A86" s="88" t="s">
        <v>333</v>
      </c>
      <c r="B86"/>
      <c r="C86"/>
      <c r="D86">
        <f>+D82+1</f>
        <v>73</v>
      </c>
      <c r="E86" s="5" t="s">
        <v>197</v>
      </c>
      <c r="F86" s="1" t="s">
        <v>198</v>
      </c>
      <c r="G86" s="7">
        <v>177</v>
      </c>
      <c r="H86" s="6">
        <f>+G86*L86</f>
        <v>5090.6169959999997</v>
      </c>
      <c r="I86" s="6">
        <f>+[74]Main!$K$5-[74]Main!$K$6</f>
        <v>694.2120000000001</v>
      </c>
      <c r="J86" s="6">
        <f>+H86-I86</f>
        <v>4396.4049959999993</v>
      </c>
      <c r="K86" s="3" t="s">
        <v>1276</v>
      </c>
      <c r="L86" s="6">
        <f>+[74]Main!$K$3</f>
        <v>28.760548</v>
      </c>
      <c r="M86" s="9">
        <v>45631</v>
      </c>
    </row>
    <row r="87" spans="1:32" x14ac:dyDescent="0.25">
      <c r="A87" s="88" t="s">
        <v>333</v>
      </c>
      <c r="B87"/>
      <c r="C87"/>
      <c r="D87">
        <f>+D83+1</f>
        <v>70</v>
      </c>
      <c r="E87" s="5" t="s">
        <v>680</v>
      </c>
      <c r="F87" t="s">
        <v>1825</v>
      </c>
      <c r="G87" s="7">
        <v>28.8</v>
      </c>
      <c r="H87" s="6">
        <f>+G87*L87/DKK</f>
        <v>4047.1815218931561</v>
      </c>
      <c r="I87" s="6">
        <f>([75]Main!$K$5-[75]Main!$K$6)/DKK</f>
        <v>356.95054555760237</v>
      </c>
      <c r="J87" s="6">
        <f>+H87-I87</f>
        <v>3690.2309763355538</v>
      </c>
      <c r="K87" s="3" t="s">
        <v>1070</v>
      </c>
      <c r="L87" s="6">
        <f>+[75]Main!$K$3</f>
        <v>991.7</v>
      </c>
      <c r="M87" s="9">
        <v>45581</v>
      </c>
    </row>
    <row r="88" spans="1:32" x14ac:dyDescent="0.25">
      <c r="A88" s="88" t="s">
        <v>333</v>
      </c>
      <c r="B88"/>
      <c r="C88"/>
      <c r="D88">
        <f>+D94+1</f>
        <v>84</v>
      </c>
      <c r="E88" s="5" t="s">
        <v>406</v>
      </c>
      <c r="F88" t="s">
        <v>407</v>
      </c>
      <c r="G88" s="18">
        <v>3.14</v>
      </c>
      <c r="H88" s="6">
        <f>+G88*L88/HKD</f>
        <v>7410.5214572128207</v>
      </c>
      <c r="I88" s="6">
        <f>([76]Main!$K$5-[76]Main!$K$6)/HKD</f>
        <v>3986.4565384615375</v>
      </c>
      <c r="J88" s="6">
        <f>H88-I88</f>
        <v>3424.0649187512831</v>
      </c>
      <c r="K88" s="3" t="s">
        <v>1070</v>
      </c>
      <c r="L88" s="6">
        <f>+[76]Main!$K$3</f>
        <v>18408.301708999999</v>
      </c>
      <c r="M88" s="9">
        <v>45539</v>
      </c>
    </row>
    <row r="89" spans="1:32" x14ac:dyDescent="0.25">
      <c r="A89" s="88" t="s">
        <v>333</v>
      </c>
      <c r="D89">
        <f>+D80+1</f>
        <v>81</v>
      </c>
      <c r="E89" s="5" t="s">
        <v>497</v>
      </c>
      <c r="F89" s="1" t="s">
        <v>498</v>
      </c>
      <c r="G89" s="3">
        <v>8.64</v>
      </c>
      <c r="H89" s="6">
        <f>+G89*L89</f>
        <v>2314.8682848000003</v>
      </c>
      <c r="I89" s="6">
        <f>+[77]Main!$J$5-[77]Main!$J$6</f>
        <v>-984</v>
      </c>
      <c r="J89" s="6">
        <f>+H89-I89</f>
        <v>3298.8682848000003</v>
      </c>
      <c r="K89" s="3" t="s">
        <v>1277</v>
      </c>
      <c r="L89" s="6">
        <f>+[77]Main!$J$3</f>
        <v>267.92457000000002</v>
      </c>
      <c r="M89" s="9">
        <v>45761</v>
      </c>
    </row>
    <row r="90" spans="1:32" x14ac:dyDescent="0.25">
      <c r="A90" s="88" t="s">
        <v>333</v>
      </c>
      <c r="B90"/>
      <c r="C90"/>
      <c r="D90">
        <f>+D88+1</f>
        <v>85</v>
      </c>
      <c r="E90" s="5" t="s">
        <v>163</v>
      </c>
      <c r="F90" s="1" t="s">
        <v>164</v>
      </c>
      <c r="G90" s="7">
        <v>10.43</v>
      </c>
      <c r="H90" s="6">
        <f>+G90*L90</f>
        <v>3093.44341033</v>
      </c>
      <c r="I90" s="6">
        <f>+[78]Main!$M$5-[78]Main!$M$6</f>
        <v>-128.87700000000001</v>
      </c>
      <c r="J90" s="6">
        <f t="shared" ref="J90:J111" si="67">+H90-I90</f>
        <v>3222.32041033</v>
      </c>
      <c r="K90" s="3" t="s">
        <v>1070</v>
      </c>
      <c r="L90" s="6">
        <f>+[78]Main!$M$3</f>
        <v>296.59093100000001</v>
      </c>
      <c r="M90" s="9">
        <v>45580</v>
      </c>
    </row>
    <row r="91" spans="1:32" x14ac:dyDescent="0.25">
      <c r="A91" s="88" t="s">
        <v>333</v>
      </c>
      <c r="B91"/>
      <c r="C91"/>
      <c r="D91">
        <f t="shared" ref="D91:D121" si="68">+D90+1</f>
        <v>86</v>
      </c>
      <c r="E91" s="5" t="s">
        <v>349</v>
      </c>
      <c r="F91" t="s">
        <v>690</v>
      </c>
      <c r="G91" s="3">
        <v>12.01</v>
      </c>
      <c r="H91" s="6">
        <f>+G91*L91</f>
        <v>8569.7289905799989</v>
      </c>
      <c r="I91" s="6">
        <f>+[79]Main!$K$5-[79]Main!$K$6</f>
        <v>5436.5479999999998</v>
      </c>
      <c r="J91" s="6">
        <f t="shared" si="67"/>
        <v>3133.1809905799992</v>
      </c>
      <c r="K91" s="3" t="s">
        <v>1070</v>
      </c>
      <c r="L91" s="6">
        <f>+[79]Main!$K$3</f>
        <v>713.54945799999996</v>
      </c>
      <c r="M91" s="9">
        <v>45540</v>
      </c>
    </row>
    <row r="92" spans="1:32" x14ac:dyDescent="0.25">
      <c r="A92" s="88" t="s">
        <v>333</v>
      </c>
      <c r="D92">
        <f>+D105+1</f>
        <v>89</v>
      </c>
      <c r="E92" s="5" t="s">
        <v>147</v>
      </c>
      <c r="F92" s="1" t="s">
        <v>148</v>
      </c>
      <c r="G92" s="3">
        <v>53.29</v>
      </c>
      <c r="H92" s="6">
        <v>3560</v>
      </c>
      <c r="I92" s="6">
        <f>+[80]Main!$L$5-[80]Main!$L$6</f>
        <v>568.66099999999994</v>
      </c>
      <c r="J92" s="6">
        <f>+H92-I92</f>
        <v>2991.3389999999999</v>
      </c>
      <c r="K92" s="3" t="s">
        <v>1040</v>
      </c>
      <c r="L92" s="6">
        <f>[80]Main!$L$3</f>
        <v>83.133341000000001</v>
      </c>
      <c r="M92" s="9">
        <v>45571</v>
      </c>
    </row>
    <row r="93" spans="1:32" x14ac:dyDescent="0.25">
      <c r="A93" s="88" t="s">
        <v>333</v>
      </c>
      <c r="B93"/>
      <c r="C93"/>
      <c r="D93">
        <f>+D92+1</f>
        <v>90</v>
      </c>
      <c r="E93" s="5" t="s">
        <v>211</v>
      </c>
      <c r="F93" s="1" t="s">
        <v>212</v>
      </c>
      <c r="G93" s="7">
        <v>3.52</v>
      </c>
      <c r="H93" s="6">
        <f>+G93*L93</f>
        <v>2451.7976313599997</v>
      </c>
      <c r="I93" s="6">
        <f>+[81]Main!$J$5-[81]Main!$J$6</f>
        <v>-474.93899999999996</v>
      </c>
      <c r="J93" s="6">
        <f>+H93-I93</f>
        <v>2926.7366313599996</v>
      </c>
      <c r="K93" s="3" t="s">
        <v>1070</v>
      </c>
      <c r="L93" s="6">
        <f>+[81]Main!$J$3</f>
        <v>696.53341799999998</v>
      </c>
      <c r="M93" s="9">
        <v>45572</v>
      </c>
    </row>
    <row r="94" spans="1:32" x14ac:dyDescent="0.25">
      <c r="A94" s="88" t="s">
        <v>333</v>
      </c>
      <c r="B94"/>
      <c r="C94"/>
      <c r="D94">
        <f>+D102+1</f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ref="J94:J103" si="69">+H94-I94</f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D95">
        <f>+D93+1</f>
        <v>91</v>
      </c>
      <c r="E95" s="39" t="s">
        <v>1161</v>
      </c>
      <c r="F95" t="s">
        <v>1162</v>
      </c>
      <c r="G95" s="7">
        <v>65</v>
      </c>
      <c r="H95" s="6">
        <f>+G95*L95</f>
        <v>2970.747715</v>
      </c>
      <c r="I95" s="6">
        <f>+[83]Main!$J$5-[83]Main!$J$6</f>
        <v>268.82000000000005</v>
      </c>
      <c r="J95" s="6">
        <f>+H95-I95</f>
        <v>2701.9277149999998</v>
      </c>
      <c r="K95" s="3" t="s">
        <v>1277</v>
      </c>
      <c r="L95" s="6">
        <f>+[83]Main!$J$3</f>
        <v>45.703811000000002</v>
      </c>
      <c r="M95" s="9">
        <v>45546</v>
      </c>
      <c r="AE95" s="1">
        <v>1999</v>
      </c>
    </row>
    <row r="96" spans="1:32" x14ac:dyDescent="0.25">
      <c r="A96" s="88" t="s">
        <v>333</v>
      </c>
      <c r="B96"/>
      <c r="C96"/>
      <c r="D96">
        <f>+D95+1</f>
        <v>92</v>
      </c>
      <c r="E96" s="5" t="s">
        <v>1290</v>
      </c>
      <c r="F96" t="s">
        <v>1291</v>
      </c>
      <c r="G96" s="7">
        <v>35</v>
      </c>
      <c r="H96" s="6">
        <f>+G96*L96</f>
        <v>2801.12</v>
      </c>
      <c r="I96" s="6">
        <f>+[84]Main!$K$5-[84]Main!$K$6</f>
        <v>140.42099999999999</v>
      </c>
      <c r="J96" s="6">
        <f>+H96-I96</f>
        <v>2660.6990000000001</v>
      </c>
      <c r="K96" s="3" t="s">
        <v>1070</v>
      </c>
      <c r="L96" s="6">
        <f>+[84]Main!$K$3</f>
        <v>80.031999999999996</v>
      </c>
      <c r="M96" s="9">
        <v>45572</v>
      </c>
    </row>
    <row r="97" spans="1:32" ht="13" x14ac:dyDescent="0.3">
      <c r="A97" s="88" t="s">
        <v>333</v>
      </c>
      <c r="D97">
        <f>+D85+1</f>
        <v>79</v>
      </c>
      <c r="E97" s="42" t="s">
        <v>335</v>
      </c>
      <c r="F97" s="24" t="s">
        <v>336</v>
      </c>
      <c r="G97" s="46">
        <v>61.31</v>
      </c>
      <c r="H97" s="26">
        <f>+G97*L97</f>
        <v>3295.7606794900003</v>
      </c>
      <c r="I97" s="26">
        <f>+[85]Main!$K$5-[85]Main!$K$6</f>
        <v>649.44200000000001</v>
      </c>
      <c r="J97" s="26">
        <f>+H97-I97</f>
        <v>2646.3186794900002</v>
      </c>
      <c r="K97" s="25" t="s">
        <v>1070</v>
      </c>
      <c r="L97" s="26">
        <f>+[85]Main!$K$3</f>
        <v>53.755679000000001</v>
      </c>
      <c r="M97" s="43">
        <v>45591</v>
      </c>
    </row>
    <row r="98" spans="1:32" x14ac:dyDescent="0.25">
      <c r="A98" s="88" t="s">
        <v>333</v>
      </c>
      <c r="B98"/>
      <c r="C98"/>
      <c r="D98">
        <f>+D96+1</f>
        <v>93</v>
      </c>
      <c r="E98" s="5" t="s">
        <v>203</v>
      </c>
      <c r="F98" s="1" t="s">
        <v>204</v>
      </c>
      <c r="G98" s="3">
        <v>46.29</v>
      </c>
      <c r="H98" s="6">
        <f>+G98*L98</f>
        <v>2253.2038003799998</v>
      </c>
      <c r="I98" s="6">
        <f>+[86]Main!$L$5-[86]Main!$L$6</f>
        <v>-356.94799999999998</v>
      </c>
      <c r="J98" s="6">
        <f>+H98-I98</f>
        <v>2610.1518003799997</v>
      </c>
      <c r="K98" s="3" t="s">
        <v>1070</v>
      </c>
      <c r="L98" s="6">
        <f>+[86]Main!$L$3</f>
        <v>48.675821999999997</v>
      </c>
      <c r="M98" s="9">
        <v>45576</v>
      </c>
    </row>
    <row r="99" spans="1:32" x14ac:dyDescent="0.25">
      <c r="A99" s="88" t="s">
        <v>333</v>
      </c>
      <c r="B99"/>
      <c r="C99"/>
      <c r="D99">
        <f>+D98+1</f>
        <v>94</v>
      </c>
      <c r="E99" s="5" t="s">
        <v>847</v>
      </c>
      <c r="F99" t="s">
        <v>848</v>
      </c>
      <c r="G99" s="3">
        <v>29.07</v>
      </c>
      <c r="H99" s="6">
        <f>+G99*L99</f>
        <v>2725.96041216</v>
      </c>
      <c r="I99" s="6">
        <f>+[87]Main!$J$5-[87]Main!$J$6</f>
        <v>511.75100000000003</v>
      </c>
      <c r="J99" s="6">
        <f>+H99-I99</f>
        <v>2214.2094121599998</v>
      </c>
      <c r="K99" s="3" t="s">
        <v>1070</v>
      </c>
      <c r="L99" s="6">
        <f>+[87]Main!$J$3</f>
        <v>93.772288000000003</v>
      </c>
      <c r="M99" s="9">
        <v>45554</v>
      </c>
    </row>
    <row r="100" spans="1:32" x14ac:dyDescent="0.25">
      <c r="A100" s="88" t="s">
        <v>333</v>
      </c>
      <c r="D100">
        <f>+D76+1</f>
        <v>65</v>
      </c>
      <c r="E100" s="5" t="s">
        <v>126</v>
      </c>
      <c r="F100" s="1" t="s">
        <v>127</v>
      </c>
      <c r="G100" s="7">
        <v>17</v>
      </c>
      <c r="H100" s="6">
        <f t="shared" ref="H100:H104" si="70">+G100*L100</f>
        <v>1649</v>
      </c>
      <c r="I100" s="6">
        <f>+[88]Main!$L$5-[88]Main!$L$6</f>
        <v>-352</v>
      </c>
      <c r="J100" s="6">
        <f t="shared" si="69"/>
        <v>2001</v>
      </c>
      <c r="K100" s="3" t="s">
        <v>1277</v>
      </c>
      <c r="L100" s="6">
        <f>+[88]Main!$L$3</f>
        <v>97</v>
      </c>
      <c r="M100" s="9">
        <v>45783</v>
      </c>
    </row>
    <row r="101" spans="1:32" x14ac:dyDescent="0.25">
      <c r="A101" s="88" t="s">
        <v>333</v>
      </c>
      <c r="B101"/>
      <c r="C101"/>
      <c r="D101">
        <f>+D91+1</f>
        <v>87</v>
      </c>
      <c r="E101" s="5" t="s">
        <v>691</v>
      </c>
      <c r="F101" t="s">
        <v>692</v>
      </c>
      <c r="G101" s="7">
        <v>38.619999999999997</v>
      </c>
      <c r="H101" s="6">
        <f t="shared" si="70"/>
        <v>3049.3814795799994</v>
      </c>
      <c r="I101" s="6">
        <f>+[89]Main!$L$5-[89]Main!$L$6</f>
        <v>1071.1729999999998</v>
      </c>
      <c r="J101" s="6">
        <f t="shared" si="69"/>
        <v>1978.2084795799997</v>
      </c>
      <c r="K101" s="3" t="s">
        <v>1276</v>
      </c>
      <c r="L101" s="6">
        <f>+[89]Main!$L$3</f>
        <v>78.958608999999996</v>
      </c>
      <c r="M101" s="9">
        <v>45684</v>
      </c>
    </row>
    <row r="102" spans="1:32" x14ac:dyDescent="0.25">
      <c r="A102" s="88" t="s">
        <v>333</v>
      </c>
      <c r="D102">
        <f>+D89+1</f>
        <v>82</v>
      </c>
      <c r="E102" s="5" t="s">
        <v>788</v>
      </c>
      <c r="F102" t="s">
        <v>1173</v>
      </c>
      <c r="G102" s="7">
        <v>29.13</v>
      </c>
      <c r="H102" s="6">
        <f t="shared" si="70"/>
        <v>3411.7462946099999</v>
      </c>
      <c r="I102" s="6">
        <f>+[90]Main!$L$5-[90]Main!$L$6</f>
        <v>1590.0459999999998</v>
      </c>
      <c r="J102" s="6">
        <f t="shared" si="69"/>
        <v>1821.7002946100001</v>
      </c>
      <c r="K102" s="3" t="s">
        <v>1070</v>
      </c>
      <c r="L102" s="6">
        <f>+[90]Main!$L$3</f>
        <v>117.121397</v>
      </c>
      <c r="M102" s="9">
        <v>45558</v>
      </c>
    </row>
    <row r="103" spans="1:32" x14ac:dyDescent="0.25">
      <c r="A103" s="88" t="s">
        <v>333</v>
      </c>
      <c r="B103"/>
      <c r="C103"/>
      <c r="D103">
        <f>+D86+1</f>
        <v>74</v>
      </c>
      <c r="E103" s="5" t="s">
        <v>86</v>
      </c>
      <c r="F103" s="1" t="s">
        <v>87</v>
      </c>
      <c r="G103" s="7">
        <v>20.46</v>
      </c>
      <c r="H103" s="6">
        <f t="shared" si="70"/>
        <v>2067.5831517000001</v>
      </c>
      <c r="I103" s="6">
        <f>+[91]Main!$L$5-[91]Main!$L$6</f>
        <v>489</v>
      </c>
      <c r="J103" s="6">
        <f t="shared" si="69"/>
        <v>1578.5831517000001</v>
      </c>
      <c r="K103" s="3" t="s">
        <v>1070</v>
      </c>
      <c r="L103" s="6">
        <f>+[91]Main!$L$3</f>
        <v>101.054895</v>
      </c>
      <c r="M103" s="9">
        <v>45583</v>
      </c>
    </row>
    <row r="104" spans="1:32" x14ac:dyDescent="0.25">
      <c r="A104" s="88" t="s">
        <v>333</v>
      </c>
      <c r="B104"/>
      <c r="C104"/>
      <c r="D104">
        <f>+D81+1</f>
        <v>77</v>
      </c>
      <c r="E104" s="13" t="s">
        <v>53</v>
      </c>
      <c r="F104" s="1" t="s">
        <v>54</v>
      </c>
      <c r="G104" s="7">
        <v>28.15</v>
      </c>
      <c r="H104" s="6">
        <f t="shared" si="70"/>
        <v>10832.62137965</v>
      </c>
      <c r="I104" s="6">
        <f>+[92]Main!$K$5-[92]Main!$K$6</f>
        <v>9519</v>
      </c>
      <c r="J104" s="6">
        <f>H104-I104</f>
        <v>1313.6213796499997</v>
      </c>
      <c r="K104" s="3" t="s">
        <v>1277</v>
      </c>
      <c r="L104" s="6">
        <f>+[92]Main!$K$3</f>
        <v>384.81781100000001</v>
      </c>
      <c r="M104" s="9">
        <v>45707</v>
      </c>
      <c r="AF104" s="1" t="s">
        <v>608</v>
      </c>
    </row>
    <row r="105" spans="1:32" x14ac:dyDescent="0.25">
      <c r="A105" s="88" t="s">
        <v>333</v>
      </c>
      <c r="B105"/>
      <c r="C105"/>
      <c r="D105">
        <f>+D101+1</f>
        <v>88</v>
      </c>
      <c r="E105" s="5" t="s">
        <v>683</v>
      </c>
      <c r="F105" t="s">
        <v>684</v>
      </c>
      <c r="G105" s="3">
        <v>14.14</v>
      </c>
      <c r="H105" s="6">
        <f>G105*L105</f>
        <v>2421.0795042</v>
      </c>
      <c r="I105" s="6">
        <f>[93]Main!$K$5-[93]Main!$K$6</f>
        <v>1053.77</v>
      </c>
      <c r="J105" s="6">
        <f t="shared" si="67"/>
        <v>1367.3095042</v>
      </c>
      <c r="K105" s="3" t="s">
        <v>1843</v>
      </c>
      <c r="L105" s="6">
        <f>[93]Main!$K$3</f>
        <v>171.22202999999999</v>
      </c>
      <c r="M105" s="9">
        <v>45839</v>
      </c>
    </row>
    <row r="106" spans="1:32" x14ac:dyDescent="0.25">
      <c r="A106" s="88" t="s">
        <v>333</v>
      </c>
      <c r="B106"/>
      <c r="C106"/>
      <c r="D106">
        <f>+D99+1</f>
        <v>95</v>
      </c>
      <c r="E106" s="5" t="s">
        <v>124</v>
      </c>
      <c r="F106" s="1" t="s">
        <v>125</v>
      </c>
      <c r="G106" s="3">
        <v>16.22</v>
      </c>
      <c r="H106" s="6">
        <f t="shared" ref="H106:H107" si="71">+G106*L106</f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2" x14ac:dyDescent="0.25">
      <c r="A107" s="88" t="s">
        <v>333</v>
      </c>
      <c r="B107"/>
      <c r="C107"/>
      <c r="D107">
        <f t="shared" si="68"/>
        <v>96</v>
      </c>
      <c r="E107" s="5" t="s">
        <v>111</v>
      </c>
      <c r="F107" s="1" t="s">
        <v>112</v>
      </c>
      <c r="G107" s="3">
        <v>19.670000000000002</v>
      </c>
      <c r="H107" s="6">
        <f t="shared" si="71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2" x14ac:dyDescent="0.25">
      <c r="A108" s="88" t="s">
        <v>333</v>
      </c>
      <c r="B108"/>
      <c r="C108"/>
      <c r="D108">
        <f t="shared" si="68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2" s="24" customFormat="1" ht="13" x14ac:dyDescent="0.3">
      <c r="A109" s="102" t="s">
        <v>333</v>
      </c>
      <c r="B109" s="24">
        <v>7</v>
      </c>
      <c r="C109" s="24">
        <v>3</v>
      </c>
      <c r="D109">
        <f t="shared" si="68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2" x14ac:dyDescent="0.25">
      <c r="A110" s="88" t="s">
        <v>333</v>
      </c>
      <c r="B110"/>
      <c r="C110"/>
      <c r="D110">
        <f t="shared" si="68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2" x14ac:dyDescent="0.25">
      <c r="A111" s="88" t="s">
        <v>333</v>
      </c>
      <c r="B111"/>
      <c r="C111"/>
      <c r="D111">
        <f t="shared" si="68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2" x14ac:dyDescent="0.25">
      <c r="A112" s="88" t="s">
        <v>333</v>
      </c>
      <c r="B112"/>
      <c r="C112"/>
      <c r="D112">
        <f t="shared" si="68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8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8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8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8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8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8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8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8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8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72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72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72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72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72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72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72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72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72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72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72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72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72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72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72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72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72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72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72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72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72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72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72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72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72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72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72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72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72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72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72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72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3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3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3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3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3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3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3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3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 t="shared" ref="J161:J166" si="74"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3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 t="shared" si="74"/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>+D174+1</f>
        <v>163</v>
      </c>
      <c r="E163" s="5" t="s">
        <v>1068</v>
      </c>
      <c r="F163" t="s">
        <v>1069</v>
      </c>
      <c r="G163" s="7">
        <v>17</v>
      </c>
      <c r="H163" s="6">
        <f>+G163*L163</f>
        <v>1908.6015090000001</v>
      </c>
      <c r="I163" s="6">
        <f>[115]Main!$I$5-[115]Main!$I$6</f>
        <v>748.42</v>
      </c>
      <c r="J163" s="6">
        <f t="shared" si="74"/>
        <v>1160.181509</v>
      </c>
      <c r="K163" s="3" t="s">
        <v>1843</v>
      </c>
      <c r="L163" s="6">
        <f>[115]Main!$I$3</f>
        <v>112.27067700000001</v>
      </c>
      <c r="M163" s="9">
        <v>45824</v>
      </c>
    </row>
    <row r="164" spans="1:13" x14ac:dyDescent="0.25">
      <c r="A164" s="88" t="s">
        <v>333</v>
      </c>
      <c r="B164"/>
      <c r="C164"/>
      <c r="D164">
        <f>+D162+1</f>
        <v>152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[116]Main!$L$5-[116]Main!$L$6</f>
        <v>578</v>
      </c>
      <c r="J164" s="6">
        <f t="shared" si="74"/>
        <v>108.11028007999994</v>
      </c>
      <c r="K164" s="3" t="s">
        <v>648</v>
      </c>
      <c r="L164" s="6">
        <f>[116]Main!$L$3</f>
        <v>55.286887999999998</v>
      </c>
      <c r="M164" s="9">
        <v>45064</v>
      </c>
    </row>
    <row r="165" spans="1:13" x14ac:dyDescent="0.25">
      <c r="A165" s="88" t="s">
        <v>333</v>
      </c>
      <c r="B165"/>
      <c r="C165"/>
      <c r="D165">
        <f t="shared" si="73"/>
        <v>153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[117]Main!$O$5-[117]Main!$O$6</f>
        <v>345.67399999999998</v>
      </c>
      <c r="J165" s="6">
        <f t="shared" si="74"/>
        <v>-140.11523497999997</v>
      </c>
      <c r="K165" s="3" t="s">
        <v>648</v>
      </c>
      <c r="L165" s="6">
        <f>[117]Main!$O$3</f>
        <v>67.176067000000003</v>
      </c>
      <c r="M165" s="9">
        <v>45067</v>
      </c>
    </row>
    <row r="166" spans="1:13" x14ac:dyDescent="0.25">
      <c r="A166" s="88" t="s">
        <v>333</v>
      </c>
      <c r="B166">
        <v>4</v>
      </c>
      <c r="C166">
        <v>3</v>
      </c>
      <c r="D166">
        <f t="shared" si="73"/>
        <v>154</v>
      </c>
      <c r="E166" s="5" t="s">
        <v>182</v>
      </c>
      <c r="F166" s="1" t="s">
        <v>183</v>
      </c>
      <c r="G166" s="3">
        <v>7.58</v>
      </c>
      <c r="H166" s="6">
        <f>+G166*L166</f>
        <v>553.27473620000001</v>
      </c>
      <c r="I166" s="6">
        <f>+[118]Main!$O$5-[118]Main!$O$6</f>
        <v>953.8</v>
      </c>
      <c r="J166" s="6">
        <f t="shared" si="74"/>
        <v>-400.52526379999995</v>
      </c>
      <c r="K166" s="3" t="s">
        <v>1276</v>
      </c>
      <c r="L166" s="6">
        <f>+[118]Main!$O$3</f>
        <v>72.991389999999996</v>
      </c>
      <c r="M166" s="9">
        <v>45684</v>
      </c>
    </row>
    <row r="167" spans="1:13" x14ac:dyDescent="0.25">
      <c r="A167" s="88" t="s">
        <v>333</v>
      </c>
      <c r="B167"/>
      <c r="C167"/>
      <c r="D167">
        <f t="shared" si="73"/>
        <v>155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[119]Main!$K$5-[119]Main!$K$6</f>
        <v>1272.4940000000001</v>
      </c>
      <c r="J167" s="6">
        <f>H167-I167</f>
        <v>-837.74981376000017</v>
      </c>
      <c r="K167" s="3" t="s">
        <v>516</v>
      </c>
      <c r="L167" s="6">
        <f>[119]Main!$K$3</f>
        <v>59.717607999999998</v>
      </c>
      <c r="M167" s="9">
        <v>44999</v>
      </c>
    </row>
    <row r="168" spans="1:13" x14ac:dyDescent="0.25">
      <c r="A168"/>
      <c r="B168"/>
      <c r="C168"/>
      <c r="D168">
        <f t="shared" si="73"/>
        <v>156</v>
      </c>
      <c r="E168" s="5" t="s">
        <v>140</v>
      </c>
      <c r="F168" t="s">
        <v>1176</v>
      </c>
      <c r="G168" s="7">
        <v>5.91</v>
      </c>
      <c r="H168" s="6"/>
    </row>
    <row r="169" spans="1:13" x14ac:dyDescent="0.25">
      <c r="A169"/>
      <c r="B169"/>
      <c r="C169"/>
      <c r="D169">
        <f t="shared" si="73"/>
        <v>157</v>
      </c>
      <c r="E169" s="5" t="s">
        <v>140</v>
      </c>
      <c r="F169" t="s">
        <v>141</v>
      </c>
      <c r="G169" s="7">
        <v>3.32</v>
      </c>
      <c r="H169" s="6"/>
    </row>
    <row r="170" spans="1:13" x14ac:dyDescent="0.25">
      <c r="A170" s="88" t="s">
        <v>333</v>
      </c>
      <c r="B170"/>
      <c r="C170"/>
      <c r="D170">
        <f t="shared" si="73"/>
        <v>158</v>
      </c>
      <c r="E170" t="s">
        <v>1120</v>
      </c>
      <c r="F170" t="s">
        <v>1121</v>
      </c>
      <c r="H170" s="6"/>
    </row>
    <row r="171" spans="1:13" x14ac:dyDescent="0.25">
      <c r="A171" s="88" t="s">
        <v>333</v>
      </c>
      <c r="B171"/>
      <c r="C171"/>
      <c r="D171">
        <f t="shared" si="73"/>
        <v>159</v>
      </c>
      <c r="E171" s="5" t="s">
        <v>1844</v>
      </c>
      <c r="F171" t="s">
        <v>1845</v>
      </c>
      <c r="G171" s="3">
        <v>14.45</v>
      </c>
      <c r="H171" s="6">
        <v>1700</v>
      </c>
    </row>
    <row r="172" spans="1:13" x14ac:dyDescent="0.25">
      <c r="A172" s="88" t="s">
        <v>333</v>
      </c>
      <c r="D172">
        <f t="shared" si="73"/>
        <v>160</v>
      </c>
      <c r="E172" t="s">
        <v>1122</v>
      </c>
      <c r="F172" t="s">
        <v>1123</v>
      </c>
    </row>
    <row r="173" spans="1:13" x14ac:dyDescent="0.25">
      <c r="A173" s="88" t="s">
        <v>333</v>
      </c>
      <c r="B173"/>
      <c r="C173"/>
      <c r="D173">
        <f t="shared" si="73"/>
        <v>161</v>
      </c>
      <c r="E173" s="1" t="s">
        <v>783</v>
      </c>
      <c r="F173" s="1" t="s">
        <v>169</v>
      </c>
      <c r="G173" s="3">
        <v>38.67</v>
      </c>
      <c r="H173" s="6">
        <v>1770</v>
      </c>
    </row>
    <row r="174" spans="1:13" x14ac:dyDescent="0.25">
      <c r="A174" s="88" t="s">
        <v>333</v>
      </c>
      <c r="B174"/>
      <c r="C174"/>
      <c r="D174">
        <f t="shared" si="73"/>
        <v>162</v>
      </c>
      <c r="E174" t="s">
        <v>376</v>
      </c>
      <c r="F174" t="s">
        <v>377</v>
      </c>
      <c r="G174" s="7">
        <v>43.5</v>
      </c>
    </row>
    <row r="175" spans="1:13" x14ac:dyDescent="0.25">
      <c r="A175" s="88" t="s">
        <v>333</v>
      </c>
      <c r="B175"/>
      <c r="C175"/>
      <c r="D175">
        <f>+D163+1</f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3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3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3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3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3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3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3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3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3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3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8" si="75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5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5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5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5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5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5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5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5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5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5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5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5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5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5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5"/>
        <v>190</v>
      </c>
      <c r="E201" s="5" t="s">
        <v>770</v>
      </c>
      <c r="F201" t="s">
        <v>771</v>
      </c>
      <c r="G201" s="7">
        <v>61.69</v>
      </c>
      <c r="H201" s="6">
        <f>+G201*L201</f>
        <v>3924.8086076799996</v>
      </c>
      <c r="I201" s="6">
        <f>+[120]Main!$K$5-[120]Main!$K$6</f>
        <v>206.554</v>
      </c>
      <c r="J201" s="6">
        <f>+H201-I201</f>
        <v>3718.2546076799995</v>
      </c>
      <c r="K201" s="3" t="s">
        <v>1843</v>
      </c>
      <c r="L201" s="6">
        <f>+[120]Main!$K$3</f>
        <v>63.621471999999997</v>
      </c>
      <c r="M201" s="9">
        <v>45810</v>
      </c>
    </row>
    <row r="202" spans="1:30" x14ac:dyDescent="0.25">
      <c r="A202" s="88" t="s">
        <v>333</v>
      </c>
      <c r="B202"/>
      <c r="C202"/>
      <c r="D202">
        <f t="shared" si="75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5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5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5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5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+D233+1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5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8" x14ac:dyDescent="0.25">
      <c r="A209" s="88" t="s">
        <v>333</v>
      </c>
      <c r="B209"/>
      <c r="C209"/>
      <c r="D209">
        <f t="shared" si="75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8" x14ac:dyDescent="0.25">
      <c r="A210" s="88" t="s">
        <v>333</v>
      </c>
      <c r="B210"/>
      <c r="C210"/>
      <c r="D210">
        <f t="shared" si="75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8" x14ac:dyDescent="0.25">
      <c r="A211" s="88" t="s">
        <v>333</v>
      </c>
      <c r="B211"/>
      <c r="C211"/>
      <c r="D211">
        <f t="shared" si="75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8" x14ac:dyDescent="0.25">
      <c r="A212"/>
      <c r="B212"/>
      <c r="C212"/>
      <c r="D212">
        <f>+D223+1</f>
        <v>212</v>
      </c>
      <c r="E212" s="5" t="s">
        <v>1980</v>
      </c>
      <c r="F212" t="s">
        <v>1981</v>
      </c>
      <c r="G212" s="7">
        <v>60</v>
      </c>
      <c r="H212" s="6">
        <f>+G212*L212</f>
        <v>1832.30268</v>
      </c>
      <c r="I212" s="6">
        <f>+[121]Sheet1!$M$5-[121]Sheet1!$M$6</f>
        <v>145.149</v>
      </c>
      <c r="J212" s="6">
        <f>+H212-I212</f>
        <v>1687.1536799999999</v>
      </c>
      <c r="K212" s="3" t="s">
        <v>1277</v>
      </c>
      <c r="L212" s="6">
        <f>+[121]Sheet1!$M$3</f>
        <v>30.538378000000002</v>
      </c>
      <c r="M212" s="9">
        <v>45824</v>
      </c>
    </row>
    <row r="213" spans="1:18" x14ac:dyDescent="0.25">
      <c r="A213" s="88" t="s">
        <v>333</v>
      </c>
      <c r="B213"/>
      <c r="C213"/>
      <c r="D213">
        <f>+D211+1</f>
        <v>202</v>
      </c>
      <c r="E213" s="5" t="s">
        <v>703</v>
      </c>
      <c r="F213" t="s">
        <v>704</v>
      </c>
      <c r="G213" s="7">
        <v>36.86</v>
      </c>
      <c r="H213" s="6">
        <f>+G213*L213</f>
        <v>2400.3072764799999</v>
      </c>
      <c r="I213" s="6">
        <f>+[122]Main!$L$5-[122]Main!$L$6</f>
        <v>775.48500000000001</v>
      </c>
      <c r="J213" s="6">
        <f>+H213-I213</f>
        <v>1624.8222764799998</v>
      </c>
      <c r="K213" s="3" t="s">
        <v>1276</v>
      </c>
      <c r="L213" s="6">
        <f>+[122]Main!$L$3</f>
        <v>65.119568000000001</v>
      </c>
      <c r="M213" s="9">
        <v>45632</v>
      </c>
    </row>
    <row r="214" spans="1:18" x14ac:dyDescent="0.25">
      <c r="A214" s="88" t="s">
        <v>333</v>
      </c>
      <c r="B214"/>
      <c r="C214"/>
      <c r="D214">
        <f>+D544+1</f>
        <v>225</v>
      </c>
      <c r="E214" s="5" t="s">
        <v>297</v>
      </c>
      <c r="F214" t="s">
        <v>298</v>
      </c>
      <c r="G214" s="7">
        <v>11</v>
      </c>
      <c r="H214" s="6">
        <f>+G214*[123]Main!$L$3</f>
        <v>798.23003700000004</v>
      </c>
      <c r="I214" s="6">
        <f>+[123]Main!$L$5-[123]Main!$L$6</f>
        <v>153.25991400000001</v>
      </c>
      <c r="J214" s="6">
        <f>+H214-I214</f>
        <v>644.97012300000006</v>
      </c>
      <c r="K214" s="3" t="s">
        <v>16</v>
      </c>
      <c r="M214" s="9">
        <v>44771</v>
      </c>
      <c r="N214" s="9"/>
      <c r="O214" s="9"/>
      <c r="P214" s="9"/>
      <c r="Q214" s="9"/>
      <c r="R214" s="9"/>
    </row>
    <row r="215" spans="1:18" x14ac:dyDescent="0.25">
      <c r="A215" s="88" t="s">
        <v>333</v>
      </c>
      <c r="B215"/>
      <c r="C215"/>
      <c r="D215">
        <f>+D213+1</f>
        <v>203</v>
      </c>
      <c r="E215" s="1" t="s">
        <v>1884</v>
      </c>
      <c r="F215" t="s">
        <v>1885</v>
      </c>
      <c r="G215" s="7"/>
      <c r="H215" s="6"/>
      <c r="I215" s="6"/>
      <c r="J215" s="6"/>
      <c r="L215" s="6"/>
      <c r="M215" s="9"/>
    </row>
    <row r="216" spans="1:18" x14ac:dyDescent="0.25">
      <c r="A216" s="88" t="s">
        <v>333</v>
      </c>
      <c r="B216"/>
      <c r="C216"/>
      <c r="D216">
        <f t="shared" si="75"/>
        <v>204</v>
      </c>
      <c r="E216" t="s">
        <v>1900</v>
      </c>
      <c r="F216"/>
      <c r="G216" s="7"/>
      <c r="H216" s="6"/>
      <c r="I216" s="6"/>
      <c r="J216" s="6"/>
      <c r="L216" s="6"/>
      <c r="M216" s="9"/>
    </row>
    <row r="217" spans="1:18" x14ac:dyDescent="0.25">
      <c r="A217" s="88" t="s">
        <v>333</v>
      </c>
      <c r="B217"/>
      <c r="C217"/>
      <c r="D217">
        <f t="shared" si="75"/>
        <v>205</v>
      </c>
      <c r="E217" t="s">
        <v>1918</v>
      </c>
      <c r="F217" t="s">
        <v>1919</v>
      </c>
      <c r="G217" s="7"/>
      <c r="H217" s="6"/>
      <c r="I217" s="6"/>
      <c r="J217" s="6"/>
      <c r="L217" s="6"/>
      <c r="M217" s="9"/>
    </row>
    <row r="218" spans="1:18" x14ac:dyDescent="0.25">
      <c r="A218" s="88" t="s">
        <v>333</v>
      </c>
      <c r="B218"/>
      <c r="C218"/>
      <c r="D218">
        <f t="shared" si="75"/>
        <v>206</v>
      </c>
      <c r="E218" t="s">
        <v>1920</v>
      </c>
      <c r="F218" t="s">
        <v>1921</v>
      </c>
      <c r="G218" s="7"/>
      <c r="H218" s="6"/>
      <c r="I218" s="6"/>
      <c r="J218" s="6"/>
      <c r="L218" s="6"/>
      <c r="M218" s="9"/>
    </row>
    <row r="219" spans="1:18" x14ac:dyDescent="0.25">
      <c r="A219" s="88" t="s">
        <v>333</v>
      </c>
      <c r="B219"/>
      <c r="C219"/>
      <c r="D219">
        <f t="shared" ref="D219:D225" si="76">+D218+1</f>
        <v>207</v>
      </c>
      <c r="E219" t="s">
        <v>1922</v>
      </c>
      <c r="F219" t="s">
        <v>1923</v>
      </c>
      <c r="G219" s="7"/>
      <c r="H219" s="6"/>
      <c r="I219" s="6"/>
      <c r="J219" s="6"/>
      <c r="L219" s="6"/>
      <c r="M219" s="9"/>
    </row>
    <row r="220" spans="1:18" x14ac:dyDescent="0.25">
      <c r="A220" s="88" t="s">
        <v>333</v>
      </c>
      <c r="B220"/>
      <c r="C220"/>
      <c r="D220">
        <f t="shared" si="76"/>
        <v>208</v>
      </c>
      <c r="E220" t="s">
        <v>1924</v>
      </c>
      <c r="F220" t="s">
        <v>1925</v>
      </c>
      <c r="G220" s="7"/>
      <c r="H220" s="6"/>
      <c r="I220" s="6"/>
      <c r="J220" s="6"/>
      <c r="L220" s="6"/>
      <c r="M220" s="9"/>
    </row>
    <row r="221" spans="1:18" x14ac:dyDescent="0.25">
      <c r="A221" s="88" t="s">
        <v>333</v>
      </c>
      <c r="B221"/>
      <c r="C221"/>
      <c r="D221">
        <f t="shared" si="76"/>
        <v>209</v>
      </c>
      <c r="E221" t="s">
        <v>1943</v>
      </c>
      <c r="F221" t="s">
        <v>1944</v>
      </c>
      <c r="G221" s="7"/>
      <c r="H221" s="6"/>
      <c r="I221" s="6"/>
      <c r="J221" s="6"/>
      <c r="L221" s="6"/>
      <c r="M221" s="9"/>
    </row>
    <row r="222" spans="1:18" x14ac:dyDescent="0.25">
      <c r="A222" s="88" t="s">
        <v>333</v>
      </c>
      <c r="B222"/>
      <c r="C222"/>
      <c r="D222">
        <f t="shared" si="76"/>
        <v>210</v>
      </c>
      <c r="E222" t="s">
        <v>1945</v>
      </c>
      <c r="F222" t="s">
        <v>1946</v>
      </c>
      <c r="G222" s="7"/>
      <c r="H222" s="6"/>
      <c r="I222" s="6"/>
      <c r="J222" s="6"/>
      <c r="L222" s="6"/>
      <c r="M222" s="9"/>
    </row>
    <row r="223" spans="1:18" x14ac:dyDescent="0.25">
      <c r="A223" s="88" t="s">
        <v>333</v>
      </c>
      <c r="B223"/>
      <c r="C223"/>
      <c r="D223">
        <f t="shared" si="76"/>
        <v>211</v>
      </c>
      <c r="E223" t="s">
        <v>1947</v>
      </c>
      <c r="F223" t="s">
        <v>1948</v>
      </c>
      <c r="G223" s="7"/>
      <c r="H223" s="6"/>
      <c r="I223" s="6"/>
      <c r="J223" s="6"/>
      <c r="L223" s="6"/>
      <c r="M223" s="9"/>
    </row>
    <row r="224" spans="1:18" x14ac:dyDescent="0.25">
      <c r="A224" s="88" t="s">
        <v>333</v>
      </c>
      <c r="B224"/>
      <c r="C224"/>
      <c r="D224">
        <f>+D212+1</f>
        <v>213</v>
      </c>
      <c r="E224" t="s">
        <v>1949</v>
      </c>
      <c r="F224" t="s">
        <v>1950</v>
      </c>
      <c r="G224" s="7"/>
      <c r="H224" s="6"/>
      <c r="I224" s="6"/>
      <c r="J224" s="6"/>
      <c r="L224" s="6"/>
      <c r="M224" s="9"/>
    </row>
    <row r="225" spans="1:31" x14ac:dyDescent="0.25">
      <c r="A225" s="88" t="s">
        <v>333</v>
      </c>
      <c r="B225"/>
      <c r="C225"/>
      <c r="D225">
        <f t="shared" si="76"/>
        <v>214</v>
      </c>
      <c r="E225" t="s">
        <v>1951</v>
      </c>
      <c r="F225" t="s">
        <v>1952</v>
      </c>
      <c r="G225" s="7"/>
      <c r="H225" s="6"/>
      <c r="I225" s="6"/>
      <c r="J225" s="6"/>
      <c r="L225" s="6"/>
      <c r="M225" s="9"/>
    </row>
    <row r="226" spans="1:31" x14ac:dyDescent="0.25">
      <c r="A226" s="88" t="s">
        <v>333</v>
      </c>
      <c r="D226">
        <f>+D551+1</f>
        <v>221</v>
      </c>
      <c r="E226" t="s">
        <v>1967</v>
      </c>
      <c r="F226" t="s">
        <v>1968</v>
      </c>
      <c r="H226" s="6"/>
    </row>
    <row r="227" spans="1:31" x14ac:dyDescent="0.25">
      <c r="A227" s="88" t="s">
        <v>333</v>
      </c>
      <c r="D227">
        <f>+D226+1</f>
        <v>222</v>
      </c>
      <c r="E227" t="s">
        <v>1966</v>
      </c>
      <c r="F227" t="s">
        <v>1965</v>
      </c>
      <c r="H227" s="6"/>
    </row>
    <row r="228" spans="1:31" x14ac:dyDescent="0.25">
      <c r="A228" s="88" t="s">
        <v>333</v>
      </c>
      <c r="B228"/>
      <c r="C228"/>
      <c r="D228">
        <f>+D227+1</f>
        <v>223</v>
      </c>
      <c r="E228" s="5" t="s">
        <v>754</v>
      </c>
      <c r="F228" t="s">
        <v>755</v>
      </c>
      <c r="G228" s="7">
        <v>6.18</v>
      </c>
      <c r="H228" s="6">
        <f>+G228*L228</f>
        <v>626.36771999999996</v>
      </c>
      <c r="I228" s="6">
        <f>+[124]Main!$K$5-[124]Main!$K$6</f>
        <v>531</v>
      </c>
      <c r="J228" s="6">
        <f>+H228-I228</f>
        <v>95.367719999999963</v>
      </c>
      <c r="K228" s="3" t="s">
        <v>1277</v>
      </c>
      <c r="L228" s="6">
        <f>+[124]Main!$K$3</f>
        <v>101.354</v>
      </c>
      <c r="M228" s="9">
        <v>45792</v>
      </c>
    </row>
    <row r="229" spans="1:31" x14ac:dyDescent="0.25">
      <c r="A229" s="88" t="s">
        <v>333</v>
      </c>
      <c r="B229"/>
      <c r="C229"/>
      <c r="D229">
        <f>+D214+1</f>
        <v>226</v>
      </c>
      <c r="E229" s="5" t="s">
        <v>1195</v>
      </c>
      <c r="F229" t="s">
        <v>1196</v>
      </c>
      <c r="G229" s="3">
        <v>7.86</v>
      </c>
      <c r="H229" s="6">
        <f t="shared" ref="H229:H232" si="77">+G229*L229</f>
        <v>491.65306866000003</v>
      </c>
      <c r="I229" s="6">
        <f>+[125]Main!$K$5-[125]Main!$K$6</f>
        <v>62.650000000000006</v>
      </c>
      <c r="J229" s="6">
        <f t="shared" ref="J229:J232" si="78">+H229-I229</f>
        <v>429.00306866000005</v>
      </c>
      <c r="K229" s="3" t="s">
        <v>1070</v>
      </c>
      <c r="L229" s="6">
        <f>+[125]Main!$K$3</f>
        <v>62.551281000000003</v>
      </c>
      <c r="M229" s="9">
        <v>45569</v>
      </c>
      <c r="AE229" s="1">
        <v>2014</v>
      </c>
    </row>
    <row r="230" spans="1:31" x14ac:dyDescent="0.25">
      <c r="A230" s="88" t="s">
        <v>333</v>
      </c>
      <c r="B230">
        <v>6</v>
      </c>
      <c r="C230">
        <v>1</v>
      </c>
      <c r="D230">
        <f>+D545+1</f>
        <v>228</v>
      </c>
      <c r="E230" s="5" t="s">
        <v>784</v>
      </c>
      <c r="F230" t="s">
        <v>785</v>
      </c>
      <c r="G230" s="3">
        <v>8.7899999999999991</v>
      </c>
      <c r="H230" s="6">
        <f t="shared" si="77"/>
        <v>994.3367280299999</v>
      </c>
      <c r="I230" s="6">
        <f>+[126]Main!$K$5-[126]Main!$K$6</f>
        <v>642.26800000000003</v>
      </c>
      <c r="J230" s="6">
        <f t="shared" si="78"/>
        <v>352.06872802999987</v>
      </c>
      <c r="K230" s="3" t="s">
        <v>1277</v>
      </c>
      <c r="L230" s="6">
        <f>+[126]Main!$K$3</f>
        <v>113.121357</v>
      </c>
      <c r="M230" s="9">
        <v>45751</v>
      </c>
    </row>
    <row r="231" spans="1:31" x14ac:dyDescent="0.25">
      <c r="A231" s="88" t="s">
        <v>333</v>
      </c>
      <c r="B231"/>
      <c r="C231"/>
      <c r="D231">
        <f>+D230+1</f>
        <v>229</v>
      </c>
      <c r="E231" s="5" t="s">
        <v>1193</v>
      </c>
      <c r="F231" t="s">
        <v>1194</v>
      </c>
      <c r="G231" s="7">
        <v>1</v>
      </c>
      <c r="H231" s="6">
        <f t="shared" si="77"/>
        <v>226.227259</v>
      </c>
      <c r="I231" s="6">
        <f>+[127]Main!$K$5-[127]Main!$K$6</f>
        <v>157.43700000000001</v>
      </c>
      <c r="J231" s="6">
        <f t="shared" si="78"/>
        <v>68.790258999999992</v>
      </c>
      <c r="K231" s="3" t="s">
        <v>1070</v>
      </c>
      <c r="L231" s="6">
        <f>+[127]Main!$K$3</f>
        <v>226.227259</v>
      </c>
      <c r="M231" s="9">
        <v>45569</v>
      </c>
    </row>
    <row r="232" spans="1:31" x14ac:dyDescent="0.25">
      <c r="A232" s="88" t="s">
        <v>333</v>
      </c>
      <c r="B232"/>
      <c r="C232"/>
      <c r="D232">
        <f>+D521+1</f>
        <v>231</v>
      </c>
      <c r="E232" s="5" t="s">
        <v>1180</v>
      </c>
      <c r="F232" t="s">
        <v>1181</v>
      </c>
      <c r="G232" s="7">
        <v>1.08</v>
      </c>
      <c r="H232" s="6">
        <f t="shared" si="77"/>
        <v>76.012537320000007</v>
      </c>
      <c r="I232" s="6">
        <f>+[128]Main!$L$5-[128]Main!$L$6</f>
        <v>10.994</v>
      </c>
      <c r="J232" s="6">
        <f t="shared" si="78"/>
        <v>65.018537320000007</v>
      </c>
      <c r="K232" s="3" t="s">
        <v>1070</v>
      </c>
      <c r="L232" s="6">
        <f>+[128]Main!$L$3</f>
        <v>70.381979000000001</v>
      </c>
      <c r="M232" s="9">
        <v>45562</v>
      </c>
    </row>
    <row r="233" spans="1:31" x14ac:dyDescent="0.25">
      <c r="A233" s="88" t="s">
        <v>333</v>
      </c>
      <c r="B233"/>
      <c r="C233"/>
      <c r="D233">
        <f>+D206+1</f>
        <v>196</v>
      </c>
      <c r="E233" s="5" t="s">
        <v>726</v>
      </c>
      <c r="F233" t="s">
        <v>727</v>
      </c>
      <c r="G233" s="7">
        <v>13.61</v>
      </c>
      <c r="H233" s="6">
        <f>+G233*L233</f>
        <v>551.30583649000005</v>
      </c>
      <c r="I233" s="6">
        <f>+[129]Main!$L$5-[129]Main!$L$6</f>
        <v>732.13299999999992</v>
      </c>
      <c r="J233" s="6">
        <f>+H233-I233</f>
        <v>-180.82716350999988</v>
      </c>
      <c r="K233" s="3" t="s">
        <v>1843</v>
      </c>
      <c r="L233" s="6">
        <f>+[129]Main!$L$3</f>
        <v>40.507409000000003</v>
      </c>
      <c r="M233" s="9">
        <v>45792</v>
      </c>
    </row>
    <row r="234" spans="1:31" s="24" customFormat="1" ht="13" x14ac:dyDescent="0.3">
      <c r="A234" s="88" t="s">
        <v>333</v>
      </c>
      <c r="D234">
        <f>+D437+1</f>
        <v>233</v>
      </c>
      <c r="E234" s="24" t="s">
        <v>301</v>
      </c>
      <c r="F234" s="24" t="s">
        <v>302</v>
      </c>
      <c r="G234" s="25">
        <v>12.42</v>
      </c>
      <c r="H234" s="26">
        <v>516</v>
      </c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44"/>
      <c r="T234" s="44"/>
      <c r="U234" s="44"/>
      <c r="V234" s="44"/>
      <c r="W234" s="44"/>
      <c r="X234" s="44"/>
      <c r="Y234" s="104"/>
      <c r="Z234" s="104"/>
      <c r="AA234" s="104"/>
      <c r="AB234" s="104"/>
      <c r="AC234" s="104"/>
      <c r="AD234" s="104"/>
    </row>
    <row r="235" spans="1:31" x14ac:dyDescent="0.25">
      <c r="A235" s="88" t="s">
        <v>333</v>
      </c>
      <c r="B235"/>
      <c r="C235"/>
      <c r="D235">
        <f>+D522+1</f>
        <v>235</v>
      </c>
      <c r="E235" s="1" t="s">
        <v>217</v>
      </c>
      <c r="F235" s="1" t="s">
        <v>218</v>
      </c>
      <c r="G235" s="3">
        <v>6.34</v>
      </c>
      <c r="H235" s="3">
        <v>547</v>
      </c>
    </row>
    <row r="236" spans="1:31" x14ac:dyDescent="0.25">
      <c r="A236" s="88" t="s">
        <v>333</v>
      </c>
      <c r="B236"/>
      <c r="C236"/>
      <c r="D236">
        <f>+D235+1</f>
        <v>236</v>
      </c>
      <c r="E236" s="1" t="s">
        <v>1896</v>
      </c>
      <c r="F236" t="s">
        <v>1897</v>
      </c>
    </row>
    <row r="237" spans="1:31" x14ac:dyDescent="0.25">
      <c r="A237" s="88" t="s">
        <v>333</v>
      </c>
      <c r="B237"/>
      <c r="C237"/>
      <c r="D237">
        <f>+D494+1</f>
        <v>238</v>
      </c>
      <c r="E237" t="s">
        <v>760</v>
      </c>
      <c r="F237" t="s">
        <v>761</v>
      </c>
      <c r="G237" s="7"/>
    </row>
    <row r="238" spans="1:31" x14ac:dyDescent="0.25">
      <c r="A238" s="88" t="s">
        <v>333</v>
      </c>
      <c r="B238"/>
      <c r="C238"/>
      <c r="D238">
        <f t="shared" ref="D238:D250" si="79">+D237+1</f>
        <v>239</v>
      </c>
      <c r="E238" t="s">
        <v>758</v>
      </c>
      <c r="F238" t="s">
        <v>759</v>
      </c>
      <c r="G238" s="7"/>
    </row>
    <row r="239" spans="1:31" x14ac:dyDescent="0.25">
      <c r="A239" s="88" t="s">
        <v>333</v>
      </c>
      <c r="B239"/>
      <c r="C239"/>
      <c r="D239">
        <f t="shared" si="79"/>
        <v>240</v>
      </c>
      <c r="E239" t="s">
        <v>756</v>
      </c>
      <c r="F239" t="s">
        <v>757</v>
      </c>
      <c r="G239" s="7"/>
    </row>
    <row r="240" spans="1:31" x14ac:dyDescent="0.25">
      <c r="A240" s="88" t="s">
        <v>333</v>
      </c>
      <c r="B240"/>
      <c r="C240"/>
      <c r="D240">
        <f t="shared" si="79"/>
        <v>241</v>
      </c>
      <c r="E240" t="s">
        <v>1865</v>
      </c>
      <c r="F240" t="s">
        <v>1866</v>
      </c>
      <c r="G240" s="7"/>
    </row>
    <row r="241" spans="1:31" x14ac:dyDescent="0.25">
      <c r="A241" s="88" t="s">
        <v>333</v>
      </c>
      <c r="B241"/>
      <c r="C241"/>
      <c r="D241">
        <f t="shared" si="79"/>
        <v>242</v>
      </c>
      <c r="E241" t="s">
        <v>1171</v>
      </c>
      <c r="F241" t="s">
        <v>1172</v>
      </c>
      <c r="G241" s="7">
        <v>5.43</v>
      </c>
    </row>
    <row r="242" spans="1:31" x14ac:dyDescent="0.25">
      <c r="A242" s="88" t="s">
        <v>333</v>
      </c>
      <c r="B242"/>
      <c r="C242"/>
      <c r="D242">
        <f t="shared" si="79"/>
        <v>243</v>
      </c>
      <c r="E242" t="s">
        <v>1871</v>
      </c>
      <c r="F242" t="s">
        <v>1872</v>
      </c>
      <c r="G242" s="7"/>
    </row>
    <row r="243" spans="1:31" x14ac:dyDescent="0.25">
      <c r="A243" s="88" t="s">
        <v>333</v>
      </c>
      <c r="B243"/>
      <c r="C243"/>
      <c r="D243">
        <f t="shared" si="79"/>
        <v>244</v>
      </c>
      <c r="E243" t="s">
        <v>1037</v>
      </c>
      <c r="F243" t="s">
        <v>1873</v>
      </c>
      <c r="G243" s="7">
        <v>36.28</v>
      </c>
    </row>
    <row r="244" spans="1:31" x14ac:dyDescent="0.25">
      <c r="A244" s="88" t="s">
        <v>333</v>
      </c>
      <c r="B244"/>
      <c r="C244"/>
      <c r="D244">
        <f t="shared" si="79"/>
        <v>245</v>
      </c>
      <c r="E244" t="s">
        <v>752</v>
      </c>
      <c r="F244" t="s">
        <v>753</v>
      </c>
      <c r="G244" s="7">
        <v>5.55</v>
      </c>
      <c r="H244" s="3">
        <v>270</v>
      </c>
    </row>
    <row r="245" spans="1:31" x14ac:dyDescent="0.25">
      <c r="A245" s="88" t="s">
        <v>333</v>
      </c>
      <c r="B245"/>
      <c r="C245"/>
      <c r="D245">
        <f t="shared" si="79"/>
        <v>246</v>
      </c>
      <c r="E245" s="1" t="s">
        <v>221</v>
      </c>
      <c r="F245" s="1" t="s">
        <v>222</v>
      </c>
      <c r="G245" s="7">
        <v>5.9</v>
      </c>
      <c r="H245" s="6">
        <v>508</v>
      </c>
    </row>
    <row r="246" spans="1:31" x14ac:dyDescent="0.25">
      <c r="A246" s="88" t="s">
        <v>333</v>
      </c>
      <c r="B246"/>
      <c r="C246"/>
      <c r="D246">
        <f t="shared" si="79"/>
        <v>247</v>
      </c>
      <c r="E246" s="1" t="s">
        <v>225</v>
      </c>
      <c r="F246" s="1" t="s">
        <v>226</v>
      </c>
      <c r="G246" s="3">
        <v>10.31</v>
      </c>
      <c r="H246" s="6">
        <v>1240</v>
      </c>
    </row>
    <row r="247" spans="1:31" x14ac:dyDescent="0.25">
      <c r="A247" s="88" t="s">
        <v>333</v>
      </c>
      <c r="B247"/>
      <c r="C247"/>
      <c r="D247">
        <f t="shared" si="79"/>
        <v>248</v>
      </c>
      <c r="E247" t="s">
        <v>713</v>
      </c>
      <c r="F247" t="s">
        <v>714</v>
      </c>
      <c r="H247" s="6"/>
    </row>
    <row r="248" spans="1:31" x14ac:dyDescent="0.25">
      <c r="A248" s="88" t="s">
        <v>333</v>
      </c>
      <c r="B248"/>
      <c r="C248"/>
      <c r="D248">
        <f t="shared" si="79"/>
        <v>249</v>
      </c>
      <c r="E248" t="s">
        <v>709</v>
      </c>
      <c r="F248" t="s">
        <v>710</v>
      </c>
    </row>
    <row r="249" spans="1:31" x14ac:dyDescent="0.25">
      <c r="A249" s="88" t="s">
        <v>333</v>
      </c>
      <c r="B249"/>
      <c r="C249"/>
      <c r="D249">
        <f t="shared" si="79"/>
        <v>250</v>
      </c>
      <c r="E249" s="1" t="s">
        <v>227</v>
      </c>
      <c r="F249" s="1" t="s">
        <v>228</v>
      </c>
      <c r="G249" s="7">
        <v>1.3</v>
      </c>
      <c r="H249" s="3">
        <v>107</v>
      </c>
    </row>
    <row r="250" spans="1:31" x14ac:dyDescent="0.25">
      <c r="A250" s="88" t="s">
        <v>333</v>
      </c>
      <c r="B250"/>
      <c r="C250"/>
      <c r="D250">
        <f t="shared" si="79"/>
        <v>251</v>
      </c>
      <c r="E250" s="1" t="s">
        <v>229</v>
      </c>
      <c r="F250" s="1" t="s">
        <v>230</v>
      </c>
      <c r="G250" s="3">
        <v>3.35</v>
      </c>
      <c r="H250" s="3">
        <v>457</v>
      </c>
    </row>
    <row r="251" spans="1:31" x14ac:dyDescent="0.25">
      <c r="A251" s="88" t="s">
        <v>333</v>
      </c>
      <c r="D251">
        <f t="shared" ref="D251:D281" si="80">+D250+1</f>
        <v>252</v>
      </c>
      <c r="E251" s="5" t="s">
        <v>1426</v>
      </c>
      <c r="F251" t="s">
        <v>1427</v>
      </c>
      <c r="G251" s="7">
        <v>2.06</v>
      </c>
    </row>
    <row r="252" spans="1:31" x14ac:dyDescent="0.25">
      <c r="A252" s="88" t="s">
        <v>333</v>
      </c>
      <c r="B252"/>
      <c r="C252"/>
      <c r="D252">
        <f t="shared" si="80"/>
        <v>253</v>
      </c>
      <c r="E252" s="5" t="s">
        <v>1823</v>
      </c>
      <c r="F252" t="s">
        <v>1824</v>
      </c>
      <c r="G252" s="7">
        <v>40.130000000000003</v>
      </c>
      <c r="H252" s="6">
        <f>+G252*L252</f>
        <v>2387.8627739200001</v>
      </c>
      <c r="I252" s="6">
        <f>+[130]Main!$L$5-[130]Main!$L$6</f>
        <v>731.06899999999996</v>
      </c>
      <c r="J252" s="6">
        <f>+H252-I252</f>
        <v>1656.7937739200001</v>
      </c>
      <c r="K252" s="3" t="s">
        <v>1277</v>
      </c>
      <c r="L252" s="6">
        <f>+[130]Main!$L$3</f>
        <v>59.503183999999997</v>
      </c>
      <c r="M252" s="9">
        <v>45733</v>
      </c>
    </row>
    <row r="253" spans="1:31" x14ac:dyDescent="0.25">
      <c r="A253" s="88" t="s">
        <v>333</v>
      </c>
      <c r="B253"/>
      <c r="C253"/>
      <c r="D253">
        <f t="shared" si="80"/>
        <v>254</v>
      </c>
      <c r="E253" s="5" t="s">
        <v>869</v>
      </c>
      <c r="F253" t="s">
        <v>870</v>
      </c>
      <c r="G253" s="7">
        <v>5.7</v>
      </c>
      <c r="H253" s="6">
        <f>+G253*L253</f>
        <v>877.45876950000002</v>
      </c>
      <c r="I253" s="6">
        <f>+[131]Main!$L$5-[131]Main!$L$6</f>
        <v>-160.48700000000002</v>
      </c>
      <c r="J253" s="6">
        <f>+H253-I253</f>
        <v>1037.9457695000001</v>
      </c>
      <c r="K253" s="3" t="s">
        <v>1277</v>
      </c>
      <c r="L253" s="6">
        <f>+[131]Main!$L$3</f>
        <v>153.940135</v>
      </c>
      <c r="M253" s="9">
        <v>45743</v>
      </c>
    </row>
    <row r="254" spans="1:31" x14ac:dyDescent="0.25">
      <c r="A254" s="88" t="s">
        <v>333</v>
      </c>
      <c r="D254">
        <f t="shared" si="80"/>
        <v>255</v>
      </c>
      <c r="E254" s="5" t="s">
        <v>422</v>
      </c>
      <c r="F254" t="s">
        <v>423</v>
      </c>
      <c r="G254" s="3">
        <v>19.47</v>
      </c>
      <c r="H254" s="6">
        <f>+G254*L254</f>
        <v>1542.2721840899999</v>
      </c>
      <c r="I254" s="6">
        <f>+[132]Main!$N$5-[132]Main!$N$6</f>
        <v>732.71699999999998</v>
      </c>
      <c r="J254" s="6">
        <f>+H254-I254</f>
        <v>809.5551840899999</v>
      </c>
      <c r="K254" s="3" t="s">
        <v>1276</v>
      </c>
      <c r="L254" s="6">
        <f>+[132]Main!$N$3</f>
        <v>79.212746999999993</v>
      </c>
      <c r="M254" s="9">
        <v>45636</v>
      </c>
    </row>
    <row r="255" spans="1:31" x14ac:dyDescent="0.25">
      <c r="A255" s="88" t="s">
        <v>333</v>
      </c>
      <c r="B255"/>
      <c r="C255"/>
      <c r="D255">
        <f t="shared" si="80"/>
        <v>256</v>
      </c>
      <c r="E255" s="5" t="s">
        <v>231</v>
      </c>
      <c r="F255" s="1" t="s">
        <v>232</v>
      </c>
      <c r="G255" s="3">
        <v>7.06</v>
      </c>
      <c r="H255" s="6">
        <v>725.62786605999997</v>
      </c>
      <c r="I255" s="6">
        <v>197.79600000000002</v>
      </c>
      <c r="J255" s="8">
        <f>+H255-I255</f>
        <v>527.83186605999992</v>
      </c>
      <c r="K255" s="3" t="s">
        <v>16</v>
      </c>
    </row>
    <row r="256" spans="1:31" x14ac:dyDescent="0.25">
      <c r="A256" s="88" t="s">
        <v>333</v>
      </c>
      <c r="B256"/>
      <c r="C256"/>
      <c r="D256">
        <f t="shared" si="80"/>
        <v>257</v>
      </c>
      <c r="E256" s="5" t="s">
        <v>350</v>
      </c>
      <c r="F256" s="1" t="s">
        <v>351</v>
      </c>
      <c r="G256" s="7">
        <v>0.6</v>
      </c>
      <c r="H256" s="6">
        <f>+G256*L256</f>
        <v>486.43225439999998</v>
      </c>
      <c r="I256" s="6">
        <f>+[133]Main!$K$5-[133]Main!$K$6</f>
        <v>-37.984000000000002</v>
      </c>
      <c r="J256" s="8">
        <f t="shared" ref="J256" si="81">+H256-I256</f>
        <v>524.41625439999996</v>
      </c>
      <c r="K256" s="3" t="s">
        <v>300</v>
      </c>
      <c r="L256" s="6">
        <f>+[133]Main!$K$3</f>
        <v>810.72042399999998</v>
      </c>
      <c r="M256" s="9">
        <v>44816</v>
      </c>
      <c r="AE256" s="1">
        <v>2002</v>
      </c>
    </row>
    <row r="257" spans="1:13" x14ac:dyDescent="0.25">
      <c r="A257" s="88" t="s">
        <v>333</v>
      </c>
      <c r="B257"/>
      <c r="C257"/>
      <c r="D257">
        <f t="shared" si="80"/>
        <v>258</v>
      </c>
      <c r="E257" s="5" t="s">
        <v>237</v>
      </c>
      <c r="F257" s="1" t="s">
        <v>238</v>
      </c>
      <c r="G257" s="7">
        <v>6.29</v>
      </c>
      <c r="H257" s="6">
        <f>+G257*L257</f>
        <v>497.11342489000003</v>
      </c>
      <c r="I257" s="6">
        <f>+[134]Main!$J$5-[134]Main!$J$6</f>
        <v>191.5</v>
      </c>
      <c r="J257" s="8">
        <f>+H257-I257</f>
        <v>305.61342489000003</v>
      </c>
      <c r="K257" s="3" t="s">
        <v>1276</v>
      </c>
      <c r="L257" s="6">
        <f>[134]Main!$J$3</f>
        <v>79.032341000000002</v>
      </c>
      <c r="M257" s="9">
        <v>45659</v>
      </c>
    </row>
    <row r="258" spans="1:13" x14ac:dyDescent="0.25">
      <c r="A258" s="88" t="s">
        <v>333</v>
      </c>
      <c r="D258">
        <f t="shared" si="80"/>
        <v>259</v>
      </c>
      <c r="E258" s="5" t="s">
        <v>560</v>
      </c>
      <c r="F258" t="s">
        <v>561</v>
      </c>
      <c r="G258" s="3">
        <v>12.34</v>
      </c>
      <c r="H258" s="6">
        <f>+G258*L258</f>
        <v>520.74076875999992</v>
      </c>
      <c r="I258" s="6">
        <f>+[135]Main!$J$5-[135]Main!$J$6</f>
        <v>127.87499999999999</v>
      </c>
      <c r="J258" s="6">
        <f>+H258-I258</f>
        <v>392.86576875999992</v>
      </c>
      <c r="K258" s="3" t="s">
        <v>1276</v>
      </c>
      <c r="L258" s="6">
        <f>+[135]Main!$J$3</f>
        <v>42.199413999999997</v>
      </c>
      <c r="M258" s="9">
        <v>45631</v>
      </c>
    </row>
    <row r="259" spans="1:13" x14ac:dyDescent="0.25">
      <c r="A259" s="88" t="s">
        <v>333</v>
      </c>
      <c r="B259" s="1">
        <v>7</v>
      </c>
      <c r="C259" s="1">
        <v>4</v>
      </c>
      <c r="D259">
        <f>+D495+1</f>
        <v>261</v>
      </c>
      <c r="E259" s="5" t="s">
        <v>799</v>
      </c>
      <c r="F259" t="s">
        <v>1808</v>
      </c>
      <c r="G259" s="3">
        <v>8.85</v>
      </c>
      <c r="H259" s="6">
        <f>+G259*L259/10</f>
        <v>695.17723499999988</v>
      </c>
      <c r="I259" s="6">
        <f>+[136]Main!$M$5-[136]Main!$M$6</f>
        <v>87</v>
      </c>
      <c r="J259" s="6">
        <f>+H259-I259</f>
        <v>608.17723499999988</v>
      </c>
      <c r="K259" s="3" t="s">
        <v>1276</v>
      </c>
      <c r="L259" s="6">
        <f>+[136]Main!$M$3</f>
        <v>785.51099999999997</v>
      </c>
      <c r="M259" s="9">
        <v>45749</v>
      </c>
    </row>
    <row r="260" spans="1:13" x14ac:dyDescent="0.25">
      <c r="A260" s="88" t="s">
        <v>333</v>
      </c>
      <c r="B260"/>
      <c r="C260"/>
      <c r="D260">
        <f t="shared" si="80"/>
        <v>262</v>
      </c>
      <c r="E260" s="5" t="s">
        <v>235</v>
      </c>
      <c r="F260" s="1" t="s">
        <v>236</v>
      </c>
      <c r="G260" s="3">
        <v>4.8600000000000003</v>
      </c>
      <c r="H260" s="6">
        <f>G260*[137]Main!$J$3</f>
        <v>312.71415336000001</v>
      </c>
      <c r="I260" s="8">
        <f>+[137]Main!$J$5-[137]Main!$J$6</f>
        <v>92.317999999999998</v>
      </c>
      <c r="J260" s="8">
        <f>+H260-I260</f>
        <v>220.39615336000003</v>
      </c>
      <c r="K260" s="3" t="s">
        <v>16</v>
      </c>
    </row>
    <row r="261" spans="1:13" x14ac:dyDescent="0.25">
      <c r="A261" s="88" t="s">
        <v>333</v>
      </c>
      <c r="D261">
        <f>+D552+1</f>
        <v>264</v>
      </c>
      <c r="E261" s="5" t="s">
        <v>992</v>
      </c>
      <c r="F261" t="s">
        <v>993</v>
      </c>
      <c r="G261" s="3">
        <v>1.91</v>
      </c>
      <c r="H261" s="6">
        <f>+G261*L261</f>
        <v>144.77073818</v>
      </c>
      <c r="I261" s="6">
        <f>+[138]Main!$K$5-[138]Main!$K$6</f>
        <v>78.481999999999999</v>
      </c>
      <c r="J261" s="6">
        <f>+H261-I261</f>
        <v>66.288738179999996</v>
      </c>
      <c r="K261" s="3" t="s">
        <v>1070</v>
      </c>
      <c r="L261" s="6">
        <f>+[138]Main!$K$3</f>
        <v>75.796198000000004</v>
      </c>
      <c r="M261" s="9">
        <v>45573</v>
      </c>
    </row>
    <row r="262" spans="1:13" x14ac:dyDescent="0.25">
      <c r="A262" s="101" t="s">
        <v>333</v>
      </c>
      <c r="D262">
        <f>+D500+1</f>
        <v>270</v>
      </c>
      <c r="E262" s="5" t="s">
        <v>1305</v>
      </c>
      <c r="F262" t="s">
        <v>1186</v>
      </c>
      <c r="G262" s="7">
        <v>5</v>
      </c>
      <c r="H262" s="6">
        <f>+G262*L262</f>
        <v>639.20965000000001</v>
      </c>
      <c r="I262" s="6">
        <f>+[139]Main!$J$5-[139]Main!$J$6</f>
        <v>115.78</v>
      </c>
      <c r="J262" s="8">
        <f t="shared" ref="J262" si="82">+H262-I262</f>
        <v>523.42965000000004</v>
      </c>
      <c r="K262" s="3" t="s">
        <v>1070</v>
      </c>
      <c r="L262" s="6">
        <f>+[139]Main!$J$3</f>
        <v>127.84193</v>
      </c>
    </row>
    <row r="263" spans="1:13" x14ac:dyDescent="0.25">
      <c r="A263" s="101" t="s">
        <v>333</v>
      </c>
      <c r="D263">
        <f>+D505+1</f>
        <v>276</v>
      </c>
      <c r="E263" s="1" t="s">
        <v>331</v>
      </c>
      <c r="F263" t="s">
        <v>332</v>
      </c>
      <c r="G263" s="7">
        <v>4.0999999999999996</v>
      </c>
      <c r="H263" s="3">
        <v>380</v>
      </c>
    </row>
    <row r="264" spans="1:13" ht="13" x14ac:dyDescent="0.3">
      <c r="A264" s="101" t="s">
        <v>333</v>
      </c>
      <c r="D264">
        <f>+D508+1</f>
        <v>280</v>
      </c>
      <c r="E264" s="24" t="s">
        <v>1351</v>
      </c>
      <c r="F264" t="s">
        <v>1352</v>
      </c>
      <c r="G264" s="3">
        <v>30.21</v>
      </c>
    </row>
    <row r="265" spans="1:13" x14ac:dyDescent="0.25">
      <c r="A265" s="101" t="s">
        <v>333</v>
      </c>
      <c r="D265">
        <f t="shared" si="80"/>
        <v>281</v>
      </c>
      <c r="E265" t="s">
        <v>428</v>
      </c>
      <c r="F265" t="s">
        <v>429</v>
      </c>
      <c r="G265" s="7">
        <v>17.55</v>
      </c>
      <c r="H265" s="3">
        <v>593</v>
      </c>
    </row>
    <row r="266" spans="1:13" x14ac:dyDescent="0.25">
      <c r="A266" s="101" t="s">
        <v>333</v>
      </c>
      <c r="D266">
        <f>+D509+1</f>
        <v>283</v>
      </c>
      <c r="E266" t="s">
        <v>740</v>
      </c>
      <c r="F266" t="s">
        <v>741</v>
      </c>
      <c r="G266" s="7">
        <v>30.7</v>
      </c>
      <c r="H266" s="3">
        <v>1800</v>
      </c>
    </row>
    <row r="267" spans="1:13" x14ac:dyDescent="0.25">
      <c r="A267" s="101" t="s">
        <v>333</v>
      </c>
      <c r="B267"/>
      <c r="C267"/>
      <c r="D267">
        <f>+D511+1</f>
        <v>286</v>
      </c>
      <c r="E267" t="s">
        <v>749</v>
      </c>
      <c r="F267" t="s">
        <v>750</v>
      </c>
      <c r="G267" s="3">
        <v>6.62</v>
      </c>
      <c r="H267" s="6">
        <v>1800</v>
      </c>
    </row>
    <row r="268" spans="1:13" x14ac:dyDescent="0.25">
      <c r="A268" s="101" t="s">
        <v>333</v>
      </c>
      <c r="D268">
        <f t="shared" si="80"/>
        <v>287</v>
      </c>
      <c r="E268" t="s">
        <v>742</v>
      </c>
      <c r="F268" t="s">
        <v>743</v>
      </c>
    </row>
    <row r="269" spans="1:13" x14ac:dyDescent="0.25">
      <c r="A269" s="101" t="s">
        <v>333</v>
      </c>
      <c r="D269">
        <f>+D512+1</f>
        <v>289</v>
      </c>
      <c r="E269" t="s">
        <v>732</v>
      </c>
      <c r="F269" t="s">
        <v>733</v>
      </c>
    </row>
    <row r="270" spans="1:13" x14ac:dyDescent="0.25">
      <c r="A270" s="101" t="s">
        <v>333</v>
      </c>
      <c r="D270">
        <f t="shared" si="80"/>
        <v>290</v>
      </c>
      <c r="E270" t="s">
        <v>1849</v>
      </c>
      <c r="F270" t="s">
        <v>1850</v>
      </c>
    </row>
    <row r="271" spans="1:13" x14ac:dyDescent="0.25">
      <c r="A271" s="101" t="s">
        <v>333</v>
      </c>
      <c r="D271">
        <f t="shared" si="80"/>
        <v>291</v>
      </c>
      <c r="E271" t="s">
        <v>1851</v>
      </c>
      <c r="F271" t="s">
        <v>1852</v>
      </c>
    </row>
    <row r="272" spans="1:13" x14ac:dyDescent="0.25">
      <c r="A272" s="101" t="s">
        <v>333</v>
      </c>
      <c r="D272">
        <f t="shared" si="80"/>
        <v>292</v>
      </c>
      <c r="E272" t="s">
        <v>728</v>
      </c>
      <c r="F272" t="s">
        <v>729</v>
      </c>
    </row>
    <row r="273" spans="1:13" x14ac:dyDescent="0.25">
      <c r="A273" s="101" t="s">
        <v>333</v>
      </c>
      <c r="D273">
        <f t="shared" si="80"/>
        <v>293</v>
      </c>
      <c r="E273" t="s">
        <v>1880</v>
      </c>
      <c r="F273" t="s">
        <v>1881</v>
      </c>
    </row>
    <row r="274" spans="1:13" x14ac:dyDescent="0.25">
      <c r="A274" s="101" t="s">
        <v>333</v>
      </c>
      <c r="D274">
        <f>+D515+1</f>
        <v>297</v>
      </c>
      <c r="E274" t="s">
        <v>525</v>
      </c>
      <c r="F274" t="s">
        <v>524</v>
      </c>
      <c r="G274" s="7">
        <v>20.3</v>
      </c>
    </row>
    <row r="275" spans="1:13" x14ac:dyDescent="0.25">
      <c r="A275" s="101" t="s">
        <v>333</v>
      </c>
      <c r="D275">
        <f t="shared" si="80"/>
        <v>298</v>
      </c>
      <c r="E275" t="s">
        <v>1882</v>
      </c>
      <c r="F275" t="s">
        <v>1883</v>
      </c>
      <c r="G275" s="7"/>
    </row>
    <row r="276" spans="1:13" x14ac:dyDescent="0.25">
      <c r="A276" s="101" t="s">
        <v>333</v>
      </c>
      <c r="D276">
        <f t="shared" si="80"/>
        <v>299</v>
      </c>
      <c r="E276" t="s">
        <v>1890</v>
      </c>
      <c r="F276" t="s">
        <v>1891</v>
      </c>
      <c r="G276" s="7"/>
    </row>
    <row r="277" spans="1:13" x14ac:dyDescent="0.25">
      <c r="A277" s="101" t="s">
        <v>333</v>
      </c>
      <c r="D277">
        <f>+D520+1</f>
        <v>305</v>
      </c>
      <c r="E277" t="s">
        <v>786</v>
      </c>
      <c r="F277" t="s">
        <v>787</v>
      </c>
    </row>
    <row r="278" spans="1:13" x14ac:dyDescent="0.25">
      <c r="A278" s="88" t="s">
        <v>333</v>
      </c>
      <c r="D278">
        <f t="shared" si="80"/>
        <v>306</v>
      </c>
      <c r="E278" t="s">
        <v>1888</v>
      </c>
      <c r="F278" t="s">
        <v>1889</v>
      </c>
    </row>
    <row r="279" spans="1:13" x14ac:dyDescent="0.25">
      <c r="A279" s="88" t="s">
        <v>333</v>
      </c>
      <c r="D279">
        <f t="shared" si="80"/>
        <v>307</v>
      </c>
      <c r="E279" t="s">
        <v>536</v>
      </c>
      <c r="F279" t="s">
        <v>537</v>
      </c>
      <c r="G279" s="3">
        <v>1.04</v>
      </c>
    </row>
    <row r="280" spans="1:13" x14ac:dyDescent="0.25">
      <c r="A280" s="88" t="s">
        <v>333</v>
      </c>
      <c r="D280">
        <f>+D537+1</f>
        <v>314</v>
      </c>
      <c r="E280" t="s">
        <v>552</v>
      </c>
      <c r="F280" t="s">
        <v>553</v>
      </c>
      <c r="G280" s="7">
        <v>7</v>
      </c>
    </row>
    <row r="281" spans="1:13" x14ac:dyDescent="0.25">
      <c r="A281" s="88" t="s">
        <v>333</v>
      </c>
      <c r="B281"/>
      <c r="C281"/>
      <c r="D281">
        <f t="shared" si="80"/>
        <v>315</v>
      </c>
      <c r="E281" t="s">
        <v>1428</v>
      </c>
      <c r="F281" t="s">
        <v>1846</v>
      </c>
      <c r="G281" s="7"/>
    </row>
    <row r="282" spans="1:13" x14ac:dyDescent="0.25">
      <c r="A282" s="88" t="s">
        <v>333</v>
      </c>
      <c r="D282">
        <f>+D281+1</f>
        <v>316</v>
      </c>
      <c r="E282" t="s">
        <v>554</v>
      </c>
      <c r="F282" t="s">
        <v>555</v>
      </c>
      <c r="G282" s="3">
        <v>1.76</v>
      </c>
    </row>
    <row r="283" spans="1:13" x14ac:dyDescent="0.25">
      <c r="A283" s="88" t="s">
        <v>333</v>
      </c>
      <c r="D283">
        <f>+D539+1</f>
        <v>319</v>
      </c>
      <c r="E283" t="s">
        <v>558</v>
      </c>
      <c r="F283" t="s">
        <v>559</v>
      </c>
      <c r="G283" s="3">
        <v>0.68</v>
      </c>
    </row>
    <row r="284" spans="1:13" x14ac:dyDescent="0.25">
      <c r="A284" s="88" t="s">
        <v>333</v>
      </c>
      <c r="B284" s="1">
        <v>-9</v>
      </c>
      <c r="C284" s="1">
        <v>7</v>
      </c>
      <c r="D284">
        <f>+D531+1</f>
        <v>323</v>
      </c>
      <c r="E284" s="5" t="s">
        <v>569</v>
      </c>
      <c r="F284" t="s">
        <v>568</v>
      </c>
      <c r="G284" s="3">
        <v>7.86</v>
      </c>
      <c r="H284" s="6">
        <f>+G284*L284</f>
        <v>182.43356322000002</v>
      </c>
      <c r="I284" s="6">
        <f>+[140]Main!$M$5-[140]Main!$M$6</f>
        <v>19.337</v>
      </c>
      <c r="J284" s="6">
        <f>+H284-I284</f>
        <v>163.09656322000004</v>
      </c>
      <c r="K284" s="3" t="s">
        <v>1276</v>
      </c>
      <c r="L284" s="6">
        <f>+[140]Main!$M$3</f>
        <v>23.210377000000001</v>
      </c>
      <c r="M284" s="9">
        <v>45684</v>
      </c>
    </row>
    <row r="285" spans="1:13" x14ac:dyDescent="0.25">
      <c r="D285">
        <f>+D290+1</f>
        <v>329</v>
      </c>
      <c r="E285" s="5" t="s">
        <v>1978</v>
      </c>
      <c r="F285" t="s">
        <v>1979</v>
      </c>
      <c r="G285" s="3">
        <v>7.98</v>
      </c>
      <c r="H285" s="6">
        <f>+G285*L285</f>
        <v>256.91885310000004</v>
      </c>
      <c r="I285" s="6">
        <f>+[141]Main!$K$5-[141]Main!$K$6</f>
        <v>144.56900000000002</v>
      </c>
      <c r="J285" s="6">
        <f>+H285-I285</f>
        <v>112.34985310000002</v>
      </c>
      <c r="K285" s="3" t="s">
        <v>1843</v>
      </c>
      <c r="L285" s="6">
        <f>+[141]Main!$K$3</f>
        <v>32.195345000000003</v>
      </c>
      <c r="M285" s="9">
        <v>45824</v>
      </c>
    </row>
    <row r="286" spans="1:13" x14ac:dyDescent="0.25">
      <c r="A286" s="88" t="s">
        <v>333</v>
      </c>
      <c r="C286"/>
      <c r="D286">
        <f>+D284+1</f>
        <v>324</v>
      </c>
      <c r="E286" s="1" t="s">
        <v>186</v>
      </c>
      <c r="F286" s="1" t="s">
        <v>187</v>
      </c>
      <c r="G286" s="7">
        <v>10.1</v>
      </c>
      <c r="H286" s="6">
        <v>1880</v>
      </c>
    </row>
    <row r="287" spans="1:13" x14ac:dyDescent="0.25">
      <c r="A287" s="88" t="s">
        <v>333</v>
      </c>
      <c r="D287">
        <f>+D286+1</f>
        <v>325</v>
      </c>
      <c r="E287" t="s">
        <v>800</v>
      </c>
      <c r="F287" t="s">
        <v>801</v>
      </c>
    </row>
    <row r="288" spans="1:13" x14ac:dyDescent="0.25">
      <c r="A288" s="88" t="s">
        <v>333</v>
      </c>
      <c r="D288">
        <f>+D287+1</f>
        <v>326</v>
      </c>
      <c r="E288" t="s">
        <v>1957</v>
      </c>
      <c r="F288" t="s">
        <v>1958</v>
      </c>
    </row>
    <row r="289" spans="1:13" x14ac:dyDescent="0.25">
      <c r="A289" s="88" t="s">
        <v>333</v>
      </c>
      <c r="D289">
        <f>+D288+1</f>
        <v>327</v>
      </c>
      <c r="E289" t="s">
        <v>1905</v>
      </c>
      <c r="F289" t="s">
        <v>1906</v>
      </c>
    </row>
    <row r="290" spans="1:13" x14ac:dyDescent="0.25">
      <c r="A290" s="88" t="s">
        <v>333</v>
      </c>
      <c r="D290">
        <f>+D289+1</f>
        <v>328</v>
      </c>
      <c r="E290" t="s">
        <v>977</v>
      </c>
      <c r="F290" t="s">
        <v>978</v>
      </c>
    </row>
    <row r="291" spans="1:13" x14ac:dyDescent="0.25">
      <c r="A291" s="88" t="s">
        <v>333</v>
      </c>
      <c r="D291">
        <f>+D285+1</f>
        <v>330</v>
      </c>
      <c r="E291" t="s">
        <v>975</v>
      </c>
      <c r="F291" t="s">
        <v>976</v>
      </c>
    </row>
    <row r="292" spans="1:13" x14ac:dyDescent="0.25">
      <c r="A292" s="88" t="s">
        <v>333</v>
      </c>
      <c r="D292">
        <f>+D291+1</f>
        <v>331</v>
      </c>
      <c r="E292" t="s">
        <v>1939</v>
      </c>
      <c r="F292" t="s">
        <v>1940</v>
      </c>
    </row>
    <row r="293" spans="1:13" x14ac:dyDescent="0.25">
      <c r="A293" s="88" t="s">
        <v>333</v>
      </c>
      <c r="D293">
        <f>+D292+1</f>
        <v>332</v>
      </c>
      <c r="E293" t="s">
        <v>1941</v>
      </c>
      <c r="F293" t="s">
        <v>1942</v>
      </c>
    </row>
    <row r="294" spans="1:13" x14ac:dyDescent="0.25">
      <c r="A294" s="88" t="s">
        <v>333</v>
      </c>
      <c r="B294"/>
      <c r="C294"/>
      <c r="D294">
        <f>+D543+1</f>
        <v>335</v>
      </c>
      <c r="E294" t="s">
        <v>985</v>
      </c>
      <c r="F294" t="s">
        <v>986</v>
      </c>
    </row>
    <row r="295" spans="1:13" x14ac:dyDescent="0.25">
      <c r="A295" s="88" t="s">
        <v>333</v>
      </c>
      <c r="B295"/>
      <c r="C295"/>
      <c r="D295">
        <f t="shared" ref="D295:D301" si="83">+D294+1</f>
        <v>336</v>
      </c>
      <c r="E295" t="s">
        <v>1971</v>
      </c>
      <c r="F295" t="s">
        <v>1972</v>
      </c>
    </row>
    <row r="296" spans="1:13" x14ac:dyDescent="0.25">
      <c r="A296" s="88" t="s">
        <v>333</v>
      </c>
      <c r="B296"/>
      <c r="C296"/>
      <c r="D296">
        <f t="shared" si="83"/>
        <v>337</v>
      </c>
      <c r="E296" t="s">
        <v>1973</v>
      </c>
      <c r="F296" t="s">
        <v>1974</v>
      </c>
    </row>
    <row r="297" spans="1:13" x14ac:dyDescent="0.25">
      <c r="A297" t="s">
        <v>333</v>
      </c>
      <c r="B297"/>
      <c r="C297"/>
      <c r="D297">
        <f t="shared" si="83"/>
        <v>338</v>
      </c>
      <c r="E297" t="s">
        <v>987</v>
      </c>
      <c r="F297" t="s">
        <v>988</v>
      </c>
    </row>
    <row r="298" spans="1:13" x14ac:dyDescent="0.25">
      <c r="A298" s="1" t="s">
        <v>333</v>
      </c>
      <c r="D298">
        <f>+D311+1</f>
        <v>340</v>
      </c>
      <c r="E298" t="s">
        <v>973</v>
      </c>
      <c r="F298" t="s">
        <v>974</v>
      </c>
    </row>
    <row r="299" spans="1:13" x14ac:dyDescent="0.25">
      <c r="A299" s="1" t="s">
        <v>333</v>
      </c>
      <c r="D299">
        <f t="shared" si="83"/>
        <v>341</v>
      </c>
      <c r="E299" t="s">
        <v>572</v>
      </c>
      <c r="F299" t="s">
        <v>573</v>
      </c>
      <c r="G299" s="7">
        <v>2.2000000000000002</v>
      </c>
    </row>
    <row r="300" spans="1:13" x14ac:dyDescent="0.25">
      <c r="A300" s="88" t="s">
        <v>333</v>
      </c>
      <c r="D300">
        <f t="shared" si="83"/>
        <v>342</v>
      </c>
      <c r="E300" t="s">
        <v>576</v>
      </c>
      <c r="F300" t="s">
        <v>577</v>
      </c>
      <c r="G300" s="3">
        <v>0.92</v>
      </c>
    </row>
    <row r="301" spans="1:13" x14ac:dyDescent="0.25">
      <c r="A301" s="88" t="s">
        <v>333</v>
      </c>
      <c r="D301">
        <f t="shared" si="83"/>
        <v>343</v>
      </c>
      <c r="E301" t="s">
        <v>1975</v>
      </c>
      <c r="F301" t="s">
        <v>1976</v>
      </c>
    </row>
    <row r="302" spans="1:13" x14ac:dyDescent="0.25">
      <c r="A302" s="101" t="s">
        <v>333</v>
      </c>
      <c r="D302">
        <f>+D527+1</f>
        <v>346</v>
      </c>
      <c r="E302" t="s">
        <v>580</v>
      </c>
      <c r="F302" t="s">
        <v>581</v>
      </c>
      <c r="G302" s="3">
        <v>5.88</v>
      </c>
    </row>
    <row r="303" spans="1:13" x14ac:dyDescent="0.25">
      <c r="A303" s="101" t="s">
        <v>333</v>
      </c>
      <c r="B303"/>
      <c r="C303"/>
      <c r="D303">
        <f>+D528+1</f>
        <v>348</v>
      </c>
      <c r="E303" s="5" t="s">
        <v>883</v>
      </c>
      <c r="F303" t="s">
        <v>884</v>
      </c>
      <c r="G303" s="7">
        <v>13.21</v>
      </c>
      <c r="H303" s="6">
        <f>+G303*L303</f>
        <v>588.73448214000007</v>
      </c>
      <c r="I303" s="6">
        <f>+[142]Main!$M$5-[142]Main!$M$6</f>
        <v>99.997</v>
      </c>
      <c r="J303" s="6">
        <f>+H303-I303</f>
        <v>488.73748214000005</v>
      </c>
      <c r="K303" s="3" t="s">
        <v>1070</v>
      </c>
      <c r="L303" s="6">
        <f>+[142]Main!$M$3</f>
        <v>44.567334000000002</v>
      </c>
      <c r="M303" s="9">
        <v>45568</v>
      </c>
    </row>
    <row r="304" spans="1:13" x14ac:dyDescent="0.25">
      <c r="A304" s="101" t="s">
        <v>333</v>
      </c>
      <c r="B304"/>
      <c r="C304"/>
      <c r="D304">
        <f t="shared" ref="D304:D321" si="84">+D303+1</f>
        <v>349</v>
      </c>
      <c r="E304" s="5" t="s">
        <v>867</v>
      </c>
      <c r="F304" t="s">
        <v>868</v>
      </c>
      <c r="G304" s="7">
        <v>11.39</v>
      </c>
      <c r="H304" s="6">
        <f>+G304*L304</f>
        <v>492.22422607999999</v>
      </c>
      <c r="I304" s="6">
        <f>+[143]Main!$K$5-[143]Main!$K$6</f>
        <v>174.27199999999999</v>
      </c>
      <c r="J304" s="6">
        <f>+H304-I304</f>
        <v>317.95222608</v>
      </c>
      <c r="K304" s="3" t="s">
        <v>1070</v>
      </c>
      <c r="L304" s="6">
        <f>+[143]Main!$K$3</f>
        <v>43.215471999999998</v>
      </c>
      <c r="M304" s="9">
        <v>45567</v>
      </c>
    </row>
    <row r="305" spans="1:31" x14ac:dyDescent="0.25">
      <c r="A305" s="101" t="s">
        <v>333</v>
      </c>
      <c r="D305">
        <f t="shared" si="84"/>
        <v>350</v>
      </c>
      <c r="E305" s="5" t="s">
        <v>584</v>
      </c>
      <c r="F305" t="s">
        <v>585</v>
      </c>
      <c r="G305" s="7">
        <v>33</v>
      </c>
      <c r="H305" s="6">
        <f>G305*L305</f>
        <v>653.378781</v>
      </c>
      <c r="I305" s="6">
        <f>[144]Main!$M$5-[144]Main!$M$6</f>
        <v>236.422</v>
      </c>
      <c r="J305" s="6">
        <f>H305-I305</f>
        <v>416.95678099999998</v>
      </c>
      <c r="L305" s="6">
        <f>[144]Main!$M$3</f>
        <v>19.799357000000001</v>
      </c>
      <c r="M305" s="9">
        <v>45063</v>
      </c>
      <c r="AE305" s="1">
        <v>2017</v>
      </c>
    </row>
    <row r="306" spans="1:31" x14ac:dyDescent="0.25">
      <c r="A306" s="101" t="s">
        <v>333</v>
      </c>
      <c r="B306"/>
      <c r="C306"/>
      <c r="D306">
        <f t="shared" si="84"/>
        <v>351</v>
      </c>
      <c r="E306" s="5" t="s">
        <v>937</v>
      </c>
      <c r="F306" t="s">
        <v>938</v>
      </c>
      <c r="G306" s="3">
        <v>8.91</v>
      </c>
      <c r="H306" s="6">
        <f>+G306*L306</f>
        <v>476.84725110000005</v>
      </c>
      <c r="I306" s="6">
        <f>+[145]Main!$K$5-[145]Main!$K$6</f>
        <v>280.24800000000005</v>
      </c>
      <c r="J306" s="6">
        <f>+H306-I306</f>
        <v>196.5992511</v>
      </c>
      <c r="K306" s="3" t="s">
        <v>1070</v>
      </c>
      <c r="L306" s="6">
        <f>+[145]Main!$K$3</f>
        <v>53.518210000000003</v>
      </c>
      <c r="M306" s="9">
        <v>45557</v>
      </c>
    </row>
    <row r="307" spans="1:31" x14ac:dyDescent="0.25">
      <c r="A307" s="101" t="s">
        <v>333</v>
      </c>
      <c r="D307">
        <f t="shared" si="84"/>
        <v>352</v>
      </c>
      <c r="E307" s="5" t="s">
        <v>574</v>
      </c>
      <c r="F307" t="s">
        <v>575</v>
      </c>
      <c r="G307" s="3">
        <v>3.34</v>
      </c>
      <c r="H307" s="6">
        <f>+G307*L307</f>
        <v>242.45700277999998</v>
      </c>
      <c r="I307" s="6">
        <f>+[146]Main!$J$5-[146]Main!$J$6</f>
        <v>69.49499999999999</v>
      </c>
      <c r="J307" s="6">
        <f>+H307-I307</f>
        <v>172.96200277999998</v>
      </c>
      <c r="K307" s="3" t="s">
        <v>1070</v>
      </c>
      <c r="L307" s="6">
        <f>+[146]Main!$J$3</f>
        <v>72.591916999999995</v>
      </c>
      <c r="M307" s="9">
        <v>45548</v>
      </c>
    </row>
    <row r="308" spans="1:31" x14ac:dyDescent="0.25">
      <c r="A308"/>
      <c r="B308"/>
      <c r="C308"/>
      <c r="D308">
        <f t="shared" si="84"/>
        <v>353</v>
      </c>
      <c r="E308" s="5" t="s">
        <v>1167</v>
      </c>
      <c r="F308" t="s">
        <v>1168</v>
      </c>
      <c r="G308" s="7">
        <v>1.28</v>
      </c>
      <c r="H308" s="6">
        <f>+G308*L308</f>
        <v>95.674332159999992</v>
      </c>
      <c r="I308" s="6">
        <f>+[147]Main!$K$5-[147]Main!$K$6</f>
        <v>29.36</v>
      </c>
      <c r="J308" s="6">
        <f>+H308-I308</f>
        <v>66.314332159999992</v>
      </c>
      <c r="K308" s="3" t="s">
        <v>1070</v>
      </c>
      <c r="L308" s="6">
        <f>+[147]Main!$K$3</f>
        <v>74.745571999999996</v>
      </c>
      <c r="M308" s="9">
        <v>45554</v>
      </c>
    </row>
    <row r="309" spans="1:31" x14ac:dyDescent="0.25">
      <c r="A309"/>
      <c r="B309"/>
      <c r="C309"/>
      <c r="D309">
        <f t="shared" si="84"/>
        <v>354</v>
      </c>
      <c r="E309" s="5" t="s">
        <v>1174</v>
      </c>
      <c r="F309" t="s">
        <v>1175</v>
      </c>
      <c r="G309" s="3">
        <v>0.85</v>
      </c>
      <c r="H309" s="6">
        <f>+G309*L309</f>
        <v>30.110729799999998</v>
      </c>
      <c r="I309" s="6">
        <f>+[148]Main!$L$5-[148]Main!$L$6</f>
        <v>33.298999999999999</v>
      </c>
      <c r="J309" s="6">
        <f>+H309-I309</f>
        <v>-3.1882702000000016</v>
      </c>
      <c r="K309" s="3" t="s">
        <v>1070</v>
      </c>
      <c r="L309" s="6">
        <f>+[148]Main!$L$3</f>
        <v>35.424388</v>
      </c>
      <c r="M309" s="9">
        <v>45558</v>
      </c>
    </row>
    <row r="310" spans="1:31" x14ac:dyDescent="0.25">
      <c r="D310">
        <f t="shared" si="84"/>
        <v>355</v>
      </c>
      <c r="E310" s="5" t="s">
        <v>586</v>
      </c>
      <c r="F310" t="s">
        <v>587</v>
      </c>
      <c r="G310" s="3">
        <f>0.35</f>
        <v>0.35</v>
      </c>
      <c r="H310" s="6">
        <f>G310*L310</f>
        <v>12.513184599999999</v>
      </c>
      <c r="I310" s="6">
        <f>[149]Main!$K$5-[149]Main!$K$6</f>
        <v>54.983000000000004</v>
      </c>
      <c r="J310" s="6">
        <f>H310-I310</f>
        <v>-42.469815400000002</v>
      </c>
      <c r="L310" s="6">
        <f>[149]Main!$K$3</f>
        <v>35.751956</v>
      </c>
      <c r="M310" s="9">
        <v>45063</v>
      </c>
    </row>
    <row r="311" spans="1:31" x14ac:dyDescent="0.25">
      <c r="A311" s="88" t="s">
        <v>333</v>
      </c>
      <c r="B311"/>
      <c r="C311"/>
      <c r="D311">
        <f>+D297+1</f>
        <v>339</v>
      </c>
      <c r="E311" s="5" t="s">
        <v>979</v>
      </c>
      <c r="F311" t="s">
        <v>980</v>
      </c>
      <c r="G311" s="7">
        <v>0.77</v>
      </c>
      <c r="H311" s="6">
        <f>+G311*L311</f>
        <v>9.553315977333332</v>
      </c>
      <c r="I311" s="6">
        <f>[150]Main!$I$5-[150]Main!$I$6</f>
        <v>220.65100000000001</v>
      </c>
      <c r="J311" s="6">
        <f>+H311-I311</f>
        <v>-211.09768402266667</v>
      </c>
      <c r="K311" s="3" t="s">
        <v>1843</v>
      </c>
      <c r="L311" s="6">
        <f>+[150]Main!$I$3</f>
        <v>12.406903866666665</v>
      </c>
      <c r="M311" s="9">
        <v>45810</v>
      </c>
    </row>
    <row r="312" spans="1:31" x14ac:dyDescent="0.25">
      <c r="A312" s="101" t="s">
        <v>333</v>
      </c>
      <c r="B312"/>
      <c r="C312"/>
      <c r="D312">
        <f>+D310+1</f>
        <v>356</v>
      </c>
      <c r="E312" s="5" t="s">
        <v>933</v>
      </c>
      <c r="F312" t="s">
        <v>934</v>
      </c>
      <c r="G312" s="7">
        <v>4.63</v>
      </c>
      <c r="H312" s="6">
        <f>+G312*L312</f>
        <v>326.68703101999995</v>
      </c>
      <c r="I312" s="6">
        <f>+[151]Main!$K$5-[151]Main!$K$6</f>
        <v>426.65000000000003</v>
      </c>
      <c r="J312" s="6">
        <f>+H312-I312</f>
        <v>-99.962968980000085</v>
      </c>
      <c r="K312" s="3" t="s">
        <v>1070</v>
      </c>
      <c r="L312" s="6">
        <f>+[151]Main!$K$3</f>
        <v>70.558753999999993</v>
      </c>
      <c r="M312" s="9">
        <v>45564</v>
      </c>
      <c r="AE312" s="1">
        <v>2015</v>
      </c>
    </row>
    <row r="313" spans="1:31" x14ac:dyDescent="0.25">
      <c r="A313" s="1" t="s">
        <v>333</v>
      </c>
      <c r="D313">
        <f t="shared" si="84"/>
        <v>357</v>
      </c>
      <c r="E313" s="1" t="s">
        <v>588</v>
      </c>
      <c r="F313" s="1" t="s">
        <v>589</v>
      </c>
    </row>
    <row r="314" spans="1:31" x14ac:dyDescent="0.25">
      <c r="D314">
        <f t="shared" si="84"/>
        <v>358</v>
      </c>
      <c r="E314" t="s">
        <v>590</v>
      </c>
      <c r="F314" t="s">
        <v>591</v>
      </c>
    </row>
    <row r="315" spans="1:31" x14ac:dyDescent="0.25">
      <c r="A315" s="1" t="s">
        <v>333</v>
      </c>
      <c r="D315">
        <f t="shared" si="84"/>
        <v>359</v>
      </c>
      <c r="E315" t="s">
        <v>592</v>
      </c>
      <c r="F315" t="s">
        <v>593</v>
      </c>
    </row>
    <row r="316" spans="1:31" x14ac:dyDescent="0.25">
      <c r="A316" s="101" t="s">
        <v>333</v>
      </c>
      <c r="D316">
        <f t="shared" si="84"/>
        <v>360</v>
      </c>
      <c r="E316" s="1" t="s">
        <v>448</v>
      </c>
      <c r="F316" s="1" t="s">
        <v>661</v>
      </c>
    </row>
    <row r="317" spans="1:31" x14ac:dyDescent="0.25">
      <c r="D317">
        <f t="shared" si="84"/>
        <v>361</v>
      </c>
      <c r="E317" t="s">
        <v>1169</v>
      </c>
      <c r="F317" t="s">
        <v>1170</v>
      </c>
    </row>
    <row r="318" spans="1:31" x14ac:dyDescent="0.25">
      <c r="A318" s="1" t="s">
        <v>333</v>
      </c>
      <c r="D318">
        <f t="shared" si="84"/>
        <v>362</v>
      </c>
      <c r="E318" t="s">
        <v>774</v>
      </c>
      <c r="F318" t="s">
        <v>775</v>
      </c>
    </row>
    <row r="319" spans="1:31" x14ac:dyDescent="0.25">
      <c r="A319"/>
      <c r="B319"/>
      <c r="C319"/>
      <c r="D319">
        <f t="shared" si="84"/>
        <v>363</v>
      </c>
      <c r="E319" t="s">
        <v>1268</v>
      </c>
      <c r="F319" t="s">
        <v>1269</v>
      </c>
      <c r="G319" s="7">
        <v>3.5</v>
      </c>
      <c r="H319" s="6"/>
    </row>
    <row r="320" spans="1:31" x14ac:dyDescent="0.25">
      <c r="A320" s="101" t="s">
        <v>333</v>
      </c>
      <c r="D320">
        <f t="shared" si="84"/>
        <v>364</v>
      </c>
      <c r="E320" t="s">
        <v>664</v>
      </c>
      <c r="F320" t="s">
        <v>665</v>
      </c>
    </row>
    <row r="321" spans="1:6" x14ac:dyDescent="0.25">
      <c r="A321" s="101" t="s">
        <v>333</v>
      </c>
      <c r="B321"/>
      <c r="C321"/>
      <c r="D321">
        <f t="shared" si="84"/>
        <v>365</v>
      </c>
      <c r="E321" t="s">
        <v>666</v>
      </c>
      <c r="F321" t="s">
        <v>667</v>
      </c>
    </row>
    <row r="322" spans="1:6" x14ac:dyDescent="0.25">
      <c r="A322" s="1" t="s">
        <v>333</v>
      </c>
      <c r="D322">
        <f>+D525+1</f>
        <v>369</v>
      </c>
      <c r="E322" t="s">
        <v>809</v>
      </c>
      <c r="F322" t="s">
        <v>810</v>
      </c>
    </row>
    <row r="323" spans="1:6" x14ac:dyDescent="0.25">
      <c r="A323" s="88" t="s">
        <v>333</v>
      </c>
      <c r="D323">
        <f t="shared" ref="D323:D343" si="85">+D322+1</f>
        <v>370</v>
      </c>
      <c r="E323" t="s">
        <v>1909</v>
      </c>
      <c r="F323" t="s">
        <v>1910</v>
      </c>
    </row>
    <row r="324" spans="1:6" x14ac:dyDescent="0.25">
      <c r="A324" s="88" t="s">
        <v>333</v>
      </c>
      <c r="B324"/>
      <c r="C324"/>
      <c r="D324">
        <f t="shared" si="85"/>
        <v>371</v>
      </c>
      <c r="E324" t="s">
        <v>815</v>
      </c>
      <c r="F324" t="s">
        <v>816</v>
      </c>
    </row>
    <row r="325" spans="1:6" x14ac:dyDescent="0.25">
      <c r="A325" s="88" t="s">
        <v>333</v>
      </c>
      <c r="B325"/>
      <c r="C325"/>
      <c r="D325">
        <f t="shared" si="85"/>
        <v>372</v>
      </c>
      <c r="E325" t="s">
        <v>1960</v>
      </c>
      <c r="F325" t="s">
        <v>1959</v>
      </c>
    </row>
    <row r="326" spans="1:6" x14ac:dyDescent="0.25">
      <c r="A326" s="88" t="s">
        <v>333</v>
      </c>
      <c r="B326"/>
      <c r="C326"/>
      <c r="D326">
        <f t="shared" si="85"/>
        <v>373</v>
      </c>
      <c r="E326" t="s">
        <v>819</v>
      </c>
      <c r="F326" t="s">
        <v>820</v>
      </c>
    </row>
    <row r="327" spans="1:6" x14ac:dyDescent="0.25">
      <c r="A327" s="88" t="s">
        <v>333</v>
      </c>
      <c r="B327"/>
      <c r="C327"/>
      <c r="D327">
        <f t="shared" si="85"/>
        <v>374</v>
      </c>
      <c r="E327" t="s">
        <v>1961</v>
      </c>
      <c r="F327" t="s">
        <v>1962</v>
      </c>
    </row>
    <row r="328" spans="1:6" x14ac:dyDescent="0.25">
      <c r="A328" s="88" t="s">
        <v>333</v>
      </c>
      <c r="B328"/>
      <c r="C328"/>
      <c r="D328">
        <f t="shared" si="85"/>
        <v>375</v>
      </c>
      <c r="E328" t="s">
        <v>1911</v>
      </c>
      <c r="F328" t="s">
        <v>1912</v>
      </c>
    </row>
    <row r="329" spans="1:6" x14ac:dyDescent="0.25">
      <c r="A329" s="88" t="s">
        <v>333</v>
      </c>
      <c r="B329"/>
      <c r="C329"/>
      <c r="D329">
        <f t="shared" si="85"/>
        <v>376</v>
      </c>
      <c r="E329" t="s">
        <v>1913</v>
      </c>
      <c r="F329" t="s">
        <v>1914</v>
      </c>
    </row>
    <row r="330" spans="1:6" x14ac:dyDescent="0.25">
      <c r="A330" s="88" t="s">
        <v>333</v>
      </c>
      <c r="B330"/>
      <c r="C330"/>
      <c r="D330">
        <f t="shared" si="85"/>
        <v>377</v>
      </c>
      <c r="E330" t="s">
        <v>817</v>
      </c>
      <c r="F330" t="s">
        <v>818</v>
      </c>
    </row>
    <row r="331" spans="1:6" x14ac:dyDescent="0.25">
      <c r="A331" s="88" t="s">
        <v>333</v>
      </c>
      <c r="B331"/>
      <c r="C331"/>
      <c r="D331">
        <f t="shared" si="85"/>
        <v>378</v>
      </c>
      <c r="E331" t="s">
        <v>813</v>
      </c>
      <c r="F331" t="s">
        <v>814</v>
      </c>
    </row>
    <row r="332" spans="1:6" x14ac:dyDescent="0.25">
      <c r="A332" s="88" t="s">
        <v>333</v>
      </c>
      <c r="B332"/>
      <c r="C332"/>
      <c r="D332">
        <f t="shared" si="85"/>
        <v>379</v>
      </c>
      <c r="E332" t="s">
        <v>811</v>
      </c>
      <c r="F332" t="s">
        <v>812</v>
      </c>
    </row>
    <row r="333" spans="1:6" x14ac:dyDescent="0.25">
      <c r="A333" s="88" t="s">
        <v>333</v>
      </c>
      <c r="B333"/>
      <c r="C333"/>
      <c r="D333">
        <f t="shared" si="85"/>
        <v>380</v>
      </c>
      <c r="E333" t="s">
        <v>1926</v>
      </c>
      <c r="F333" t="s">
        <v>1927</v>
      </c>
    </row>
    <row r="334" spans="1:6" x14ac:dyDescent="0.25">
      <c r="A334" s="88" t="s">
        <v>333</v>
      </c>
      <c r="D334">
        <f t="shared" si="85"/>
        <v>381</v>
      </c>
      <c r="E334" t="s">
        <v>807</v>
      </c>
      <c r="F334" t="s">
        <v>808</v>
      </c>
    </row>
    <row r="335" spans="1:6" x14ac:dyDescent="0.25">
      <c r="A335" s="1" t="s">
        <v>333</v>
      </c>
      <c r="D335">
        <f t="shared" si="85"/>
        <v>382</v>
      </c>
      <c r="E335" t="s">
        <v>672</v>
      </c>
      <c r="F335" t="s">
        <v>673</v>
      </c>
    </row>
    <row r="336" spans="1:6" x14ac:dyDescent="0.25">
      <c r="A336" s="101" t="s">
        <v>333</v>
      </c>
      <c r="D336">
        <f t="shared" si="85"/>
        <v>383</v>
      </c>
      <c r="E336" t="s">
        <v>1886</v>
      </c>
      <c r="F336" t="s">
        <v>1887</v>
      </c>
    </row>
    <row r="337" spans="1:13" x14ac:dyDescent="0.25">
      <c r="A337" s="101" t="s">
        <v>333</v>
      </c>
      <c r="D337">
        <f t="shared" si="85"/>
        <v>384</v>
      </c>
      <c r="E337" t="s">
        <v>736</v>
      </c>
      <c r="F337" t="s">
        <v>737</v>
      </c>
    </row>
    <row r="338" spans="1:13" x14ac:dyDescent="0.25">
      <c r="A338" s="1" t="s">
        <v>333</v>
      </c>
      <c r="D338">
        <f t="shared" si="85"/>
        <v>385</v>
      </c>
      <c r="E338" s="5" t="s">
        <v>734</v>
      </c>
      <c r="F338" t="s">
        <v>735</v>
      </c>
      <c r="G338" s="3">
        <v>6.71</v>
      </c>
    </row>
    <row r="339" spans="1:13" x14ac:dyDescent="0.25">
      <c r="A339" s="101" t="s">
        <v>333</v>
      </c>
      <c r="D339">
        <f t="shared" si="85"/>
        <v>386</v>
      </c>
      <c r="E339" t="s">
        <v>674</v>
      </c>
      <c r="F339" t="s">
        <v>675</v>
      </c>
    </row>
    <row r="340" spans="1:13" x14ac:dyDescent="0.25">
      <c r="A340" s="101" t="s">
        <v>333</v>
      </c>
      <c r="B340"/>
      <c r="C340"/>
      <c r="D340">
        <f t="shared" si="85"/>
        <v>387</v>
      </c>
      <c r="E340" t="s">
        <v>721</v>
      </c>
      <c r="F340" t="s">
        <v>722</v>
      </c>
    </row>
    <row r="341" spans="1:13" x14ac:dyDescent="0.25">
      <c r="A341" s="1" t="s">
        <v>333</v>
      </c>
      <c r="D341">
        <f t="shared" si="85"/>
        <v>388</v>
      </c>
      <c r="E341" t="s">
        <v>676</v>
      </c>
      <c r="F341" t="s">
        <v>677</v>
      </c>
    </row>
    <row r="342" spans="1:13" x14ac:dyDescent="0.25">
      <c r="A342" s="101" t="s">
        <v>333</v>
      </c>
      <c r="D342">
        <f t="shared" si="85"/>
        <v>389</v>
      </c>
      <c r="E342" s="1" t="s">
        <v>695</v>
      </c>
      <c r="F342" s="1" t="s">
        <v>696</v>
      </c>
    </row>
    <row r="343" spans="1:13" x14ac:dyDescent="0.25">
      <c r="A343" s="101" t="s">
        <v>333</v>
      </c>
      <c r="B343"/>
      <c r="C343"/>
      <c r="D343">
        <f t="shared" si="85"/>
        <v>390</v>
      </c>
      <c r="E343" t="s">
        <v>699</v>
      </c>
      <c r="F343" t="s">
        <v>700</v>
      </c>
    </row>
    <row r="344" spans="1:13" x14ac:dyDescent="0.25">
      <c r="A344" t="s">
        <v>333</v>
      </c>
      <c r="B344"/>
      <c r="C344"/>
      <c r="D344">
        <f t="shared" ref="D344:D392" si="86">+D343+1</f>
        <v>391</v>
      </c>
      <c r="E344" t="s">
        <v>701</v>
      </c>
      <c r="F344" t="s">
        <v>702</v>
      </c>
    </row>
    <row r="345" spans="1:13" x14ac:dyDescent="0.25">
      <c r="A345" s="101" t="s">
        <v>333</v>
      </c>
      <c r="B345"/>
      <c r="C345"/>
      <c r="D345">
        <f t="shared" si="86"/>
        <v>392</v>
      </c>
      <c r="E345" t="s">
        <v>1874</v>
      </c>
      <c r="F345" t="s">
        <v>1875</v>
      </c>
    </row>
    <row r="346" spans="1:13" x14ac:dyDescent="0.25">
      <c r="A346" s="101" t="s">
        <v>333</v>
      </c>
      <c r="B346"/>
      <c r="C346"/>
      <c r="D346">
        <f t="shared" si="86"/>
        <v>393</v>
      </c>
      <c r="E346" t="s">
        <v>821</v>
      </c>
      <c r="F346" t="s">
        <v>822</v>
      </c>
    </row>
    <row r="347" spans="1:13" x14ac:dyDescent="0.25">
      <c r="A347" t="s">
        <v>333</v>
      </c>
      <c r="B347"/>
      <c r="C347"/>
      <c r="D347">
        <f t="shared" si="86"/>
        <v>394</v>
      </c>
      <c r="E347" t="s">
        <v>825</v>
      </c>
      <c r="F347" t="s">
        <v>826</v>
      </c>
      <c r="G347" s="3">
        <v>0.48</v>
      </c>
    </row>
    <row r="348" spans="1:13" x14ac:dyDescent="0.25">
      <c r="A348" s="101" t="s">
        <v>333</v>
      </c>
      <c r="B348"/>
      <c r="C348"/>
      <c r="D348">
        <f t="shared" si="86"/>
        <v>395</v>
      </c>
      <c r="E348" s="5" t="s">
        <v>827</v>
      </c>
      <c r="F348" t="s">
        <v>828</v>
      </c>
      <c r="G348" s="3">
        <v>9.11</v>
      </c>
      <c r="H348" s="6">
        <f>G348*L348</f>
        <v>774.93485289</v>
      </c>
      <c r="I348" s="6">
        <f>[152]Main!$I$5-[152]Main!$I$6</f>
        <v>120.77500000000001</v>
      </c>
      <c r="J348" s="6">
        <f>H348-I348</f>
        <v>654.15985289000002</v>
      </c>
      <c r="K348" s="9" t="s">
        <v>1615</v>
      </c>
      <c r="L348" s="6">
        <f>[152]Main!$I$3</f>
        <v>85.064199000000002</v>
      </c>
      <c r="M348" s="9">
        <v>45622</v>
      </c>
    </row>
    <row r="349" spans="1:13" x14ac:dyDescent="0.25">
      <c r="A349"/>
      <c r="B349"/>
      <c r="C349"/>
      <c r="D349">
        <f t="shared" si="86"/>
        <v>396</v>
      </c>
      <c r="E349" s="88" t="s">
        <v>829</v>
      </c>
      <c r="F349" s="88" t="s">
        <v>830</v>
      </c>
    </row>
    <row r="350" spans="1:13" x14ac:dyDescent="0.25">
      <c r="A350" s="101" t="s">
        <v>333</v>
      </c>
      <c r="B350"/>
      <c r="C350"/>
      <c r="D350">
        <f t="shared" si="86"/>
        <v>397</v>
      </c>
      <c r="E350" s="5" t="s">
        <v>831</v>
      </c>
      <c r="F350" t="s">
        <v>832</v>
      </c>
      <c r="G350" s="3">
        <v>0.51</v>
      </c>
      <c r="H350" s="3">
        <v>184</v>
      </c>
    </row>
    <row r="351" spans="1:13" x14ac:dyDescent="0.25">
      <c r="A351" t="s">
        <v>333</v>
      </c>
      <c r="B351"/>
      <c r="C351"/>
      <c r="D351">
        <f t="shared" si="86"/>
        <v>398</v>
      </c>
      <c r="E351" t="s">
        <v>833</v>
      </c>
      <c r="F351" t="s">
        <v>834</v>
      </c>
      <c r="G351" s="3">
        <v>0.86</v>
      </c>
      <c r="H351" s="3">
        <v>114</v>
      </c>
    </row>
    <row r="352" spans="1:13" x14ac:dyDescent="0.25">
      <c r="A352" s="101" t="s">
        <v>333</v>
      </c>
      <c r="B352"/>
      <c r="C352"/>
      <c r="D352">
        <f t="shared" si="86"/>
        <v>399</v>
      </c>
      <c r="E352" t="s">
        <v>1937</v>
      </c>
      <c r="F352" t="s">
        <v>1938</v>
      </c>
    </row>
    <row r="353" spans="1:13" x14ac:dyDescent="0.25">
      <c r="A353" s="101" t="s">
        <v>333</v>
      </c>
      <c r="B353"/>
      <c r="C353"/>
      <c r="D353">
        <f t="shared" si="86"/>
        <v>400</v>
      </c>
      <c r="E353" t="s">
        <v>835</v>
      </c>
      <c r="F353" t="s">
        <v>836</v>
      </c>
      <c r="G353" s="3">
        <v>7.61</v>
      </c>
      <c r="H353" s="3">
        <v>363</v>
      </c>
    </row>
    <row r="354" spans="1:13" x14ac:dyDescent="0.25">
      <c r="A354"/>
      <c r="B354"/>
      <c r="C354"/>
      <c r="D354">
        <f t="shared" si="86"/>
        <v>401</v>
      </c>
      <c r="E354" s="88" t="s">
        <v>837</v>
      </c>
      <c r="F354" s="88" t="s">
        <v>838</v>
      </c>
    </row>
    <row r="355" spans="1:13" x14ac:dyDescent="0.25">
      <c r="A355"/>
      <c r="B355"/>
      <c r="C355"/>
      <c r="D355">
        <f t="shared" si="86"/>
        <v>402</v>
      </c>
      <c r="E355" s="88" t="s">
        <v>839</v>
      </c>
      <c r="F355" s="88" t="s">
        <v>840</v>
      </c>
    </row>
    <row r="356" spans="1:13" x14ac:dyDescent="0.25">
      <c r="A356"/>
      <c r="B356"/>
      <c r="C356"/>
      <c r="D356">
        <f t="shared" si="86"/>
        <v>403</v>
      </c>
      <c r="E356" t="s">
        <v>1298</v>
      </c>
      <c r="F356" t="s">
        <v>1299</v>
      </c>
      <c r="G356" s="7">
        <v>2.0499999999999998</v>
      </c>
      <c r="H356" s="3">
        <v>164</v>
      </c>
    </row>
    <row r="357" spans="1:13" x14ac:dyDescent="0.25">
      <c r="A357" s="101" t="s">
        <v>333</v>
      </c>
      <c r="B357"/>
      <c r="C357"/>
      <c r="D357">
        <f t="shared" si="86"/>
        <v>404</v>
      </c>
      <c r="E357" t="s">
        <v>1969</v>
      </c>
      <c r="F357" t="s">
        <v>1970</v>
      </c>
      <c r="G357" s="7"/>
    </row>
    <row r="358" spans="1:13" x14ac:dyDescent="0.25">
      <c r="A358" s="101" t="s">
        <v>333</v>
      </c>
      <c r="B358"/>
      <c r="C358"/>
      <c r="D358">
        <f t="shared" si="86"/>
        <v>405</v>
      </c>
      <c r="E358" t="s">
        <v>841</v>
      </c>
      <c r="F358" t="s">
        <v>842</v>
      </c>
      <c r="G358" s="3">
        <v>1.1200000000000001</v>
      </c>
      <c r="H358" s="3">
        <v>120</v>
      </c>
    </row>
    <row r="359" spans="1:13" x14ac:dyDescent="0.25">
      <c r="A359" s="101" t="s">
        <v>333</v>
      </c>
      <c r="B359"/>
      <c r="C359"/>
      <c r="D359">
        <f t="shared" si="86"/>
        <v>406</v>
      </c>
      <c r="E359" t="s">
        <v>843</v>
      </c>
      <c r="F359" t="s">
        <v>844</v>
      </c>
      <c r="G359" s="3">
        <v>1.08</v>
      </c>
      <c r="H359" s="3">
        <v>107</v>
      </c>
    </row>
    <row r="360" spans="1:13" x14ac:dyDescent="0.25">
      <c r="A360" t="s">
        <v>333</v>
      </c>
      <c r="B360"/>
      <c r="C360"/>
      <c r="D360">
        <f t="shared" si="86"/>
        <v>407</v>
      </c>
      <c r="E360" s="5" t="s">
        <v>849</v>
      </c>
      <c r="F360" t="s">
        <v>850</v>
      </c>
      <c r="G360" s="3">
        <v>0.32</v>
      </c>
    </row>
    <row r="361" spans="1:13" x14ac:dyDescent="0.25">
      <c r="A361" s="88" t="s">
        <v>333</v>
      </c>
      <c r="B361"/>
      <c r="C361"/>
      <c r="D361">
        <f t="shared" si="86"/>
        <v>408</v>
      </c>
      <c r="E361" s="5" t="s">
        <v>851</v>
      </c>
      <c r="F361" t="s">
        <v>852</v>
      </c>
      <c r="G361" s="3">
        <v>14.25</v>
      </c>
    </row>
    <row r="362" spans="1:13" x14ac:dyDescent="0.25">
      <c r="A362"/>
      <c r="B362"/>
      <c r="C362"/>
      <c r="D362">
        <f t="shared" si="86"/>
        <v>409</v>
      </c>
      <c r="E362" t="s">
        <v>853</v>
      </c>
      <c r="F362" t="s">
        <v>854</v>
      </c>
    </row>
    <row r="363" spans="1:13" x14ac:dyDescent="0.25">
      <c r="A363" s="88" t="s">
        <v>333</v>
      </c>
      <c r="B363"/>
      <c r="C363"/>
      <c r="D363">
        <f t="shared" si="86"/>
        <v>410</v>
      </c>
      <c r="E363" s="5" t="s">
        <v>855</v>
      </c>
      <c r="F363" t="s">
        <v>856</v>
      </c>
      <c r="G363" s="3">
        <v>23.86</v>
      </c>
      <c r="H363" s="6">
        <f>+G363*L363</f>
        <v>725.98063251999997</v>
      </c>
      <c r="I363" s="6">
        <f>+[153]Main!$K$5-[153]Main!$K$6</f>
        <v>458.03099999999995</v>
      </c>
      <c r="J363" s="6">
        <f>+H363-I363</f>
        <v>267.94963252000002</v>
      </c>
      <c r="K363" s="3" t="s">
        <v>1276</v>
      </c>
      <c r="L363" s="6">
        <f>+[153]Main!$K$3</f>
        <v>30.426682</v>
      </c>
      <c r="M363" s="9">
        <v>45631</v>
      </c>
    </row>
    <row r="364" spans="1:13" x14ac:dyDescent="0.25">
      <c r="A364" t="s">
        <v>333</v>
      </c>
      <c r="B364"/>
      <c r="C364"/>
      <c r="D364">
        <f t="shared" si="86"/>
        <v>411</v>
      </c>
      <c r="E364" s="5" t="s">
        <v>857</v>
      </c>
      <c r="F364" t="s">
        <v>858</v>
      </c>
      <c r="G364" s="3">
        <v>1.74</v>
      </c>
      <c r="H364" s="6">
        <f>+G364*L364</f>
        <v>200.47132818</v>
      </c>
      <c r="I364" s="6">
        <f>+[154]Main!$J$5-[154]Main!$J$6</f>
        <v>316.5809999999999</v>
      </c>
      <c r="J364" s="6">
        <f>+H364-I364</f>
        <v>-116.1096718199999</v>
      </c>
      <c r="K364" s="3" t="s">
        <v>1276</v>
      </c>
      <c r="L364" s="6">
        <f>+[154]Main!$J$3</f>
        <v>115.213407</v>
      </c>
      <c r="M364" s="9">
        <v>45631</v>
      </c>
    </row>
    <row r="365" spans="1:13" x14ac:dyDescent="0.25">
      <c r="A365" t="s">
        <v>333</v>
      </c>
      <c r="B365"/>
      <c r="C365"/>
      <c r="D365">
        <f t="shared" si="86"/>
        <v>412</v>
      </c>
      <c r="E365" t="s">
        <v>859</v>
      </c>
      <c r="F365" t="s">
        <v>860</v>
      </c>
    </row>
    <row r="366" spans="1:13" x14ac:dyDescent="0.25">
      <c r="A366" t="s">
        <v>333</v>
      </c>
      <c r="B366"/>
      <c r="C366"/>
      <c r="D366">
        <f t="shared" si="86"/>
        <v>413</v>
      </c>
      <c r="E366" t="s">
        <v>861</v>
      </c>
      <c r="F366" t="s">
        <v>862</v>
      </c>
    </row>
    <row r="367" spans="1:13" x14ac:dyDescent="0.25">
      <c r="A367" s="88" t="s">
        <v>333</v>
      </c>
      <c r="B367"/>
      <c r="C367"/>
      <c r="D367">
        <f t="shared" si="86"/>
        <v>414</v>
      </c>
      <c r="E367" t="s">
        <v>1935</v>
      </c>
      <c r="F367" t="s">
        <v>1936</v>
      </c>
    </row>
    <row r="368" spans="1:13" x14ac:dyDescent="0.25">
      <c r="A368" s="88" t="s">
        <v>333</v>
      </c>
      <c r="B368"/>
      <c r="C368"/>
      <c r="D368">
        <f t="shared" si="86"/>
        <v>415</v>
      </c>
      <c r="E368" t="s">
        <v>863</v>
      </c>
      <c r="F368" t="s">
        <v>864</v>
      </c>
    </row>
    <row r="369" spans="1:13" x14ac:dyDescent="0.25">
      <c r="A369" s="88" t="s">
        <v>333</v>
      </c>
      <c r="B369"/>
      <c r="C369"/>
      <c r="D369">
        <f t="shared" si="86"/>
        <v>416</v>
      </c>
      <c r="E369" t="s">
        <v>865</v>
      </c>
      <c r="F369" t="s">
        <v>866</v>
      </c>
    </row>
    <row r="370" spans="1:13" x14ac:dyDescent="0.25">
      <c r="A370" s="88" t="s">
        <v>333</v>
      </c>
      <c r="B370"/>
      <c r="C370"/>
      <c r="D370">
        <f t="shared" si="86"/>
        <v>417</v>
      </c>
      <c r="E370" t="s">
        <v>871</v>
      </c>
      <c r="F370" t="s">
        <v>872</v>
      </c>
      <c r="G370" s="7">
        <v>2.02</v>
      </c>
    </row>
    <row r="371" spans="1:13" x14ac:dyDescent="0.25">
      <c r="A371" s="88" t="s">
        <v>333</v>
      </c>
      <c r="B371"/>
      <c r="C371"/>
      <c r="D371">
        <f>+D493+1</f>
        <v>419</v>
      </c>
      <c r="E371" s="5" t="s">
        <v>909</v>
      </c>
      <c r="F371" t="s">
        <v>910</v>
      </c>
      <c r="G371" s="7">
        <v>3.5</v>
      </c>
      <c r="H371" s="6">
        <f>+G371*L371</f>
        <v>663.22089749999998</v>
      </c>
      <c r="I371" s="6">
        <f>+[155]Main!$L$5-[155]Main!$L$6</f>
        <v>130.75800000000001</v>
      </c>
      <c r="J371" s="6">
        <f>+H371-I371</f>
        <v>532.46289749999994</v>
      </c>
      <c r="K371" s="3" t="s">
        <v>1276</v>
      </c>
      <c r="L371" s="6">
        <f>+[155]Main!$L$3</f>
        <v>189.49168499999999</v>
      </c>
      <c r="M371" s="9">
        <v>45712</v>
      </c>
    </row>
    <row r="372" spans="1:13" x14ac:dyDescent="0.25">
      <c r="A372" s="88" t="s">
        <v>333</v>
      </c>
      <c r="B372"/>
      <c r="C372"/>
      <c r="D372">
        <f t="shared" si="86"/>
        <v>420</v>
      </c>
      <c r="E372" s="5" t="s">
        <v>1819</v>
      </c>
      <c r="F372" t="s">
        <v>1820</v>
      </c>
      <c r="G372" s="7">
        <v>10.050000000000001</v>
      </c>
      <c r="H372" s="6">
        <f>+G372*L372</f>
        <v>459.36358095000003</v>
      </c>
      <c r="I372" s="6">
        <f>+[156]Main!$K$5-[156]Main!$K$6</f>
        <v>144.77739600000001</v>
      </c>
      <c r="J372" s="6">
        <f>+H372-I372</f>
        <v>314.58618495000002</v>
      </c>
      <c r="K372" s="3" t="s">
        <v>1843</v>
      </c>
      <c r="L372" s="6">
        <f>+[156]Main!$K$3</f>
        <v>45.707819000000001</v>
      </c>
      <c r="M372" s="9">
        <v>45845</v>
      </c>
    </row>
    <row r="373" spans="1:13" x14ac:dyDescent="0.25">
      <c r="A373" s="88" t="s">
        <v>333</v>
      </c>
      <c r="B373"/>
      <c r="C373"/>
      <c r="D373">
        <f t="shared" si="86"/>
        <v>421</v>
      </c>
      <c r="E373" t="s">
        <v>875</v>
      </c>
      <c r="F373" t="s">
        <v>876</v>
      </c>
      <c r="G373" s="7">
        <v>0.94</v>
      </c>
      <c r="H373" s="3">
        <v>424</v>
      </c>
    </row>
    <row r="374" spans="1:13" x14ac:dyDescent="0.25">
      <c r="A374" s="88" t="s">
        <v>333</v>
      </c>
      <c r="B374"/>
      <c r="C374"/>
      <c r="D374">
        <f t="shared" si="86"/>
        <v>422</v>
      </c>
      <c r="E374" t="s">
        <v>899</v>
      </c>
      <c r="F374" t="s">
        <v>900</v>
      </c>
      <c r="G374" s="3">
        <v>1.91</v>
      </c>
      <c r="H374" s="3">
        <v>404</v>
      </c>
    </row>
    <row r="375" spans="1:13" x14ac:dyDescent="0.25">
      <c r="A375" s="88" t="s">
        <v>333</v>
      </c>
      <c r="B375"/>
      <c r="C375"/>
      <c r="D375">
        <f t="shared" si="86"/>
        <v>423</v>
      </c>
      <c r="E375" t="s">
        <v>1829</v>
      </c>
      <c r="F375" t="s">
        <v>1830</v>
      </c>
      <c r="G375" s="7">
        <v>14.27</v>
      </c>
      <c r="H375" s="3">
        <v>365</v>
      </c>
    </row>
    <row r="376" spans="1:13" x14ac:dyDescent="0.25">
      <c r="A376" s="88" t="s">
        <v>333</v>
      </c>
      <c r="B376"/>
      <c r="C376"/>
      <c r="D376">
        <f t="shared" si="86"/>
        <v>424</v>
      </c>
      <c r="E376" t="s">
        <v>895</v>
      </c>
      <c r="F376" t="s">
        <v>896</v>
      </c>
      <c r="G376" s="7">
        <v>17.100000000000001</v>
      </c>
      <c r="H376" s="3">
        <v>300</v>
      </c>
    </row>
    <row r="377" spans="1:13" x14ac:dyDescent="0.25">
      <c r="A377" s="88" t="s">
        <v>333</v>
      </c>
      <c r="B377"/>
      <c r="C377"/>
      <c r="D377">
        <f t="shared" si="86"/>
        <v>425</v>
      </c>
      <c r="E377" t="s">
        <v>887</v>
      </c>
      <c r="F377" t="s">
        <v>888</v>
      </c>
      <c r="G377" s="7">
        <v>4.7699999999999996</v>
      </c>
      <c r="H377" s="3">
        <v>327</v>
      </c>
    </row>
    <row r="378" spans="1:13" x14ac:dyDescent="0.25">
      <c r="A378" s="88" t="s">
        <v>333</v>
      </c>
      <c r="B378"/>
      <c r="C378"/>
      <c r="D378">
        <f t="shared" si="86"/>
        <v>426</v>
      </c>
      <c r="E378" t="s">
        <v>905</v>
      </c>
      <c r="F378" t="s">
        <v>906</v>
      </c>
      <c r="G378" s="7">
        <v>20.8</v>
      </c>
      <c r="H378" s="3">
        <v>245</v>
      </c>
    </row>
    <row r="379" spans="1:13" x14ac:dyDescent="0.25">
      <c r="A379" s="88" t="s">
        <v>333</v>
      </c>
      <c r="B379"/>
      <c r="C379"/>
      <c r="D379">
        <f t="shared" si="86"/>
        <v>427</v>
      </c>
      <c r="E379" s="5" t="s">
        <v>1831</v>
      </c>
      <c r="F379" t="s">
        <v>1832</v>
      </c>
      <c r="G379" s="7">
        <v>2.97</v>
      </c>
      <c r="H379" s="6">
        <f>+G379*L379</f>
        <v>275.23920204000001</v>
      </c>
      <c r="I379" s="6">
        <f>+[157]Sheet1!$K$5-[157]Sheet1!$K$6</f>
        <v>134.916</v>
      </c>
      <c r="J379" s="6">
        <f>+H379-I379</f>
        <v>140.32320204000001</v>
      </c>
      <c r="K379" s="3" t="s">
        <v>1277</v>
      </c>
      <c r="L379" s="6">
        <f>[157]Sheet1!$K$3</f>
        <v>92.673131999999995</v>
      </c>
      <c r="M379" s="9">
        <v>45762</v>
      </c>
    </row>
    <row r="380" spans="1:13" x14ac:dyDescent="0.25">
      <c r="A380" s="88" t="s">
        <v>333</v>
      </c>
      <c r="B380"/>
      <c r="C380"/>
      <c r="D380">
        <f t="shared" si="86"/>
        <v>428</v>
      </c>
      <c r="E380" t="s">
        <v>881</v>
      </c>
      <c r="F380" t="s">
        <v>882</v>
      </c>
      <c r="G380" s="7">
        <v>1.35</v>
      </c>
      <c r="H380" s="3">
        <v>145</v>
      </c>
    </row>
    <row r="381" spans="1:13" x14ac:dyDescent="0.25">
      <c r="A381" s="88" t="s">
        <v>333</v>
      </c>
      <c r="B381"/>
      <c r="C381"/>
      <c r="D381">
        <f t="shared" si="86"/>
        <v>429</v>
      </c>
      <c r="E381" t="s">
        <v>893</v>
      </c>
      <c r="F381" t="s">
        <v>894</v>
      </c>
      <c r="G381" s="7">
        <v>1.84</v>
      </c>
      <c r="H381" s="3">
        <v>118</v>
      </c>
    </row>
    <row r="382" spans="1:13" x14ac:dyDescent="0.25">
      <c r="A382" s="88" t="s">
        <v>333</v>
      </c>
      <c r="B382"/>
      <c r="C382"/>
      <c r="D382">
        <f>+D492+1</f>
        <v>439</v>
      </c>
      <c r="E382" t="s">
        <v>911</v>
      </c>
      <c r="F382" t="s">
        <v>912</v>
      </c>
    </row>
    <row r="383" spans="1:13" x14ac:dyDescent="0.25">
      <c r="A383" s="88" t="s">
        <v>333</v>
      </c>
      <c r="B383"/>
      <c r="C383"/>
      <c r="D383">
        <f t="shared" si="86"/>
        <v>440</v>
      </c>
      <c r="E383" t="s">
        <v>913</v>
      </c>
      <c r="F383" t="s">
        <v>914</v>
      </c>
    </row>
    <row r="384" spans="1:13" x14ac:dyDescent="0.25">
      <c r="A384" s="88" t="s">
        <v>333</v>
      </c>
      <c r="B384"/>
      <c r="C384"/>
      <c r="D384">
        <f t="shared" si="86"/>
        <v>441</v>
      </c>
      <c r="E384" t="s">
        <v>1928</v>
      </c>
      <c r="F384" t="s">
        <v>1929</v>
      </c>
    </row>
    <row r="385" spans="1:7" x14ac:dyDescent="0.25">
      <c r="A385" s="88" t="s">
        <v>333</v>
      </c>
      <c r="B385"/>
      <c r="C385"/>
      <c r="D385">
        <f>+D483+1</f>
        <v>443</v>
      </c>
      <c r="E385" t="s">
        <v>917</v>
      </c>
      <c r="F385" t="s">
        <v>918</v>
      </c>
    </row>
    <row r="386" spans="1:7" x14ac:dyDescent="0.25">
      <c r="A386" s="88" t="s">
        <v>333</v>
      </c>
      <c r="B386"/>
      <c r="C386"/>
      <c r="D386">
        <f>+D482+1</f>
        <v>449</v>
      </c>
      <c r="E386" t="s">
        <v>927</v>
      </c>
      <c r="F386" t="s">
        <v>928</v>
      </c>
    </row>
    <row r="387" spans="1:7" x14ac:dyDescent="0.25">
      <c r="A387" s="88" t="s">
        <v>333</v>
      </c>
      <c r="B387"/>
      <c r="C387"/>
      <c r="D387">
        <f t="shared" si="86"/>
        <v>450</v>
      </c>
      <c r="E387" t="s">
        <v>929</v>
      </c>
      <c r="F387" t="s">
        <v>932</v>
      </c>
    </row>
    <row r="388" spans="1:7" x14ac:dyDescent="0.25">
      <c r="A388" s="88" t="s">
        <v>333</v>
      </c>
      <c r="B388"/>
      <c r="C388"/>
      <c r="D388">
        <f t="shared" si="86"/>
        <v>451</v>
      </c>
      <c r="E388" t="s">
        <v>1953</v>
      </c>
      <c r="F388" t="s">
        <v>1956</v>
      </c>
    </row>
    <row r="389" spans="1:7" x14ac:dyDescent="0.25">
      <c r="A389" s="88" t="s">
        <v>333</v>
      </c>
      <c r="B389"/>
      <c r="C389"/>
      <c r="D389">
        <f t="shared" si="86"/>
        <v>452</v>
      </c>
      <c r="E389" t="s">
        <v>1954</v>
      </c>
      <c r="F389" t="s">
        <v>1955</v>
      </c>
    </row>
    <row r="390" spans="1:7" x14ac:dyDescent="0.25">
      <c r="A390" s="88" t="s">
        <v>333</v>
      </c>
      <c r="B390"/>
      <c r="C390"/>
      <c r="D390">
        <f t="shared" si="86"/>
        <v>453</v>
      </c>
      <c r="E390" t="s">
        <v>930</v>
      </c>
      <c r="F390" t="s">
        <v>931</v>
      </c>
    </row>
    <row r="391" spans="1:7" x14ac:dyDescent="0.25">
      <c r="A391" s="88" t="s">
        <v>333</v>
      </c>
      <c r="B391"/>
      <c r="C391"/>
      <c r="D391">
        <f>+D477+1</f>
        <v>460</v>
      </c>
      <c r="E391" t="s">
        <v>947</v>
      </c>
      <c r="F391" t="s">
        <v>948</v>
      </c>
    </row>
    <row r="392" spans="1:7" x14ac:dyDescent="0.25">
      <c r="A392" s="88" t="s">
        <v>333</v>
      </c>
      <c r="B392"/>
      <c r="C392"/>
      <c r="D392">
        <f t="shared" si="86"/>
        <v>461</v>
      </c>
      <c r="E392" t="s">
        <v>1903</v>
      </c>
      <c r="F392" t="s">
        <v>1904</v>
      </c>
    </row>
    <row r="393" spans="1:7" x14ac:dyDescent="0.25">
      <c r="A393" s="88" t="s">
        <v>333</v>
      </c>
      <c r="B393"/>
      <c r="C393"/>
      <c r="D393">
        <f>+D471+1</f>
        <v>463</v>
      </c>
      <c r="E393" t="s">
        <v>953</v>
      </c>
      <c r="F393" t="s">
        <v>954</v>
      </c>
      <c r="G393" s="7">
        <v>2.19</v>
      </c>
    </row>
    <row r="394" spans="1:7" x14ac:dyDescent="0.25">
      <c r="A394" s="88" t="s">
        <v>333</v>
      </c>
      <c r="B394"/>
      <c r="C394"/>
      <c r="D394">
        <f t="shared" ref="D394:D432" si="87">+D393+1</f>
        <v>464</v>
      </c>
      <c r="E394" t="s">
        <v>1878</v>
      </c>
      <c r="F394" t="s">
        <v>1879</v>
      </c>
      <c r="G394" s="7"/>
    </row>
    <row r="395" spans="1:7" x14ac:dyDescent="0.25">
      <c r="A395" s="88" t="s">
        <v>333</v>
      </c>
      <c r="B395"/>
      <c r="C395"/>
      <c r="D395">
        <f>+D470+1</f>
        <v>466</v>
      </c>
      <c r="E395" t="s">
        <v>1876</v>
      </c>
      <c r="F395" t="s">
        <v>1877</v>
      </c>
    </row>
    <row r="396" spans="1:7" x14ac:dyDescent="0.25">
      <c r="A396" s="88" t="s">
        <v>333</v>
      </c>
      <c r="B396"/>
      <c r="C396"/>
      <c r="D396">
        <f>+D469+1</f>
        <v>470</v>
      </c>
      <c r="E396" t="s">
        <v>963</v>
      </c>
      <c r="F396" t="s">
        <v>964</v>
      </c>
    </row>
    <row r="397" spans="1:7" x14ac:dyDescent="0.25">
      <c r="A397" s="88" t="s">
        <v>333</v>
      </c>
      <c r="B397"/>
      <c r="C397"/>
      <c r="D397">
        <f t="shared" si="87"/>
        <v>471</v>
      </c>
      <c r="E397" t="s">
        <v>965</v>
      </c>
      <c r="F397" t="s">
        <v>966</v>
      </c>
    </row>
    <row r="398" spans="1:7" x14ac:dyDescent="0.25">
      <c r="A398" s="88" t="s">
        <v>333</v>
      </c>
      <c r="B398"/>
      <c r="C398"/>
      <c r="D398">
        <f t="shared" si="87"/>
        <v>472</v>
      </c>
      <c r="E398" t="s">
        <v>967</v>
      </c>
      <c r="F398" t="s">
        <v>968</v>
      </c>
    </row>
    <row r="399" spans="1:7" x14ac:dyDescent="0.25">
      <c r="A399" s="88" t="s">
        <v>333</v>
      </c>
      <c r="B399"/>
      <c r="C399"/>
      <c r="D399">
        <f t="shared" si="87"/>
        <v>473</v>
      </c>
      <c r="E399" t="s">
        <v>969</v>
      </c>
      <c r="F399" t="s">
        <v>970</v>
      </c>
    </row>
    <row r="400" spans="1:7" x14ac:dyDescent="0.25">
      <c r="A400" s="88" t="s">
        <v>333</v>
      </c>
      <c r="B400"/>
      <c r="C400"/>
      <c r="D400">
        <f t="shared" si="87"/>
        <v>474</v>
      </c>
      <c r="E400" t="s">
        <v>1907</v>
      </c>
      <c r="F400" t="s">
        <v>1908</v>
      </c>
    </row>
    <row r="401" spans="1:13" x14ac:dyDescent="0.25">
      <c r="A401" s="88" t="s">
        <v>333</v>
      </c>
      <c r="B401"/>
      <c r="C401"/>
      <c r="D401">
        <f t="shared" si="87"/>
        <v>475</v>
      </c>
      <c r="E401" t="s">
        <v>1915</v>
      </c>
      <c r="F401" t="s">
        <v>1916</v>
      </c>
    </row>
    <row r="402" spans="1:13" x14ac:dyDescent="0.25">
      <c r="A402" s="88" t="s">
        <v>333</v>
      </c>
      <c r="B402"/>
      <c r="C402"/>
      <c r="D402">
        <f t="shared" si="87"/>
        <v>476</v>
      </c>
      <c r="E402" t="s">
        <v>1831</v>
      </c>
      <c r="F402" t="s">
        <v>1917</v>
      </c>
    </row>
    <row r="403" spans="1:13" x14ac:dyDescent="0.25">
      <c r="A403" s="88" t="s">
        <v>333</v>
      </c>
      <c r="D403">
        <f>+D466+1</f>
        <v>479</v>
      </c>
      <c r="E403" s="5" t="s">
        <v>1789</v>
      </c>
      <c r="F403" s="1" t="s">
        <v>1790</v>
      </c>
      <c r="G403" s="7">
        <v>50.86</v>
      </c>
      <c r="H403" s="6">
        <f>+G403*L403</f>
        <v>750.32176254000001</v>
      </c>
      <c r="I403" s="6">
        <f>+[158]Main!$M$5-[158]Main!$M$6</f>
        <v>159.095</v>
      </c>
      <c r="J403" s="6">
        <f>+H403-I403</f>
        <v>591.22676253999998</v>
      </c>
      <c r="K403" s="3" t="s">
        <v>1276</v>
      </c>
      <c r="L403" s="6">
        <f>+[158]Main!$M$3</f>
        <v>14.752689</v>
      </c>
      <c r="M403" s="9">
        <v>45687</v>
      </c>
    </row>
    <row r="404" spans="1:13" x14ac:dyDescent="0.25">
      <c r="A404" s="88" t="s">
        <v>333</v>
      </c>
      <c r="B404" s="1">
        <v>6</v>
      </c>
      <c r="C404" s="1">
        <v>2</v>
      </c>
      <c r="D404">
        <f>+D464+1</f>
        <v>483</v>
      </c>
      <c r="E404" s="5" t="s">
        <v>1635</v>
      </c>
      <c r="F404" t="s">
        <v>1634</v>
      </c>
      <c r="G404" s="3">
        <v>31.98</v>
      </c>
      <c r="H404" s="6">
        <f>+G404*L404</f>
        <v>195.84830226</v>
      </c>
      <c r="I404" s="6">
        <f>+[159]Main!$L$5-[159]Main!$L$6</f>
        <v>40.720092000000001</v>
      </c>
      <c r="J404" s="6">
        <f>+H404-I404</f>
        <v>155.12821026</v>
      </c>
      <c r="K404" s="3" t="s">
        <v>1070</v>
      </c>
      <c r="L404" s="6">
        <f>+[159]Main!$L$3</f>
        <v>6.1240869999999994</v>
      </c>
      <c r="M404" s="9">
        <v>45630</v>
      </c>
    </row>
    <row r="405" spans="1:13" x14ac:dyDescent="0.25">
      <c r="A405" s="88" t="s">
        <v>333</v>
      </c>
      <c r="D405">
        <f t="shared" si="87"/>
        <v>484</v>
      </c>
      <c r="E405" s="5" t="s">
        <v>1623</v>
      </c>
      <c r="F405" t="s">
        <v>1622</v>
      </c>
      <c r="G405" s="7">
        <v>4</v>
      </c>
      <c r="H405" s="6">
        <f>+G405*L405</f>
        <v>390.524</v>
      </c>
      <c r="I405" s="6">
        <f>+[160]Main!$M$5-[160]Main!$M$6</f>
        <v>195.3</v>
      </c>
      <c r="J405" s="6">
        <f>+H405-I405</f>
        <v>195.22399999999999</v>
      </c>
      <c r="K405" s="3" t="s">
        <v>1276</v>
      </c>
      <c r="L405" s="6">
        <f>+[160]Main!$M$3</f>
        <v>97.631</v>
      </c>
      <c r="M405" s="9">
        <v>45629</v>
      </c>
    </row>
    <row r="406" spans="1:13" x14ac:dyDescent="0.25">
      <c r="A406" s="88" t="s">
        <v>333</v>
      </c>
      <c r="D406">
        <f t="shared" si="87"/>
        <v>485</v>
      </c>
      <c r="E406" s="5" t="s">
        <v>1640</v>
      </c>
      <c r="F406" t="s">
        <v>1641</v>
      </c>
      <c r="G406" s="7">
        <v>4.5</v>
      </c>
      <c r="H406" s="6">
        <f>+G406*L406</f>
        <v>146.13991650000003</v>
      </c>
      <c r="I406" s="6">
        <f>+[161]Main!$M$5-[161]Main!$M$6</f>
        <v>1.9079999999999977</v>
      </c>
      <c r="J406" s="6">
        <f>+H406-I406</f>
        <v>144.23191650000004</v>
      </c>
      <c r="K406" s="3" t="s">
        <v>1276</v>
      </c>
      <c r="L406" s="6">
        <f>+[161]Main!$M$3</f>
        <v>32.475537000000003</v>
      </c>
      <c r="M406" s="9">
        <v>45630</v>
      </c>
    </row>
    <row r="407" spans="1:13" x14ac:dyDescent="0.25">
      <c r="A407" s="88" t="s">
        <v>333</v>
      </c>
      <c r="D407">
        <f>+D461+1</f>
        <v>487</v>
      </c>
      <c r="E407" s="5" t="s">
        <v>1611</v>
      </c>
      <c r="F407" t="s">
        <v>1612</v>
      </c>
      <c r="G407" s="3">
        <v>0.85</v>
      </c>
      <c r="H407" s="6">
        <f t="shared" ref="H407:H409" si="88">+G407*L407</f>
        <v>109.7945034</v>
      </c>
      <c r="I407" s="6">
        <f>+[162]Main!$L$5-[162]Main!$L$6</f>
        <v>65.116</v>
      </c>
      <c r="J407" s="6">
        <f t="shared" ref="J407:J409" si="89">+H407-I407</f>
        <v>44.678503399999997</v>
      </c>
      <c r="K407" s="3" t="s">
        <v>1843</v>
      </c>
      <c r="L407" s="6">
        <f>+[162]Main!$L$3</f>
        <v>129.17000400000001</v>
      </c>
      <c r="M407" s="9">
        <v>45810</v>
      </c>
    </row>
    <row r="408" spans="1:13" x14ac:dyDescent="0.25">
      <c r="A408" s="88" t="s">
        <v>333</v>
      </c>
      <c r="D408">
        <f t="shared" si="87"/>
        <v>488</v>
      </c>
      <c r="E408" s="5" t="s">
        <v>1095</v>
      </c>
      <c r="F408" t="s">
        <v>1096</v>
      </c>
      <c r="G408" s="7">
        <v>5</v>
      </c>
      <c r="H408" s="6">
        <f t="shared" si="88"/>
        <v>216.57198499999998</v>
      </c>
      <c r="I408" s="6">
        <f>+[163]Main!$J$5-[163]Main!$J$6</f>
        <v>104.35299999999999</v>
      </c>
      <c r="J408" s="6">
        <f t="shared" si="89"/>
        <v>112.21898499999999</v>
      </c>
      <c r="K408" s="3" t="s">
        <v>1070</v>
      </c>
      <c r="L408" s="6">
        <f>+[163]Main!$J$3</f>
        <v>43.314397</v>
      </c>
      <c r="M408" s="9">
        <v>45525</v>
      </c>
    </row>
    <row r="409" spans="1:13" x14ac:dyDescent="0.25">
      <c r="A409" s="101" t="s">
        <v>333</v>
      </c>
      <c r="D409">
        <f>+D460+1</f>
        <v>494</v>
      </c>
      <c r="E409" s="5" t="s">
        <v>1433</v>
      </c>
      <c r="F409" s="1" t="s">
        <v>1434</v>
      </c>
      <c r="G409" s="3">
        <v>0.19</v>
      </c>
      <c r="H409" s="6">
        <f t="shared" si="88"/>
        <v>4.1807902100000005</v>
      </c>
      <c r="I409" s="6">
        <f>+[164]Main!$P$5-[164]Main!$P$6</f>
        <v>-4.3319999999999999</v>
      </c>
      <c r="J409" s="6">
        <f t="shared" si="89"/>
        <v>8.5127902100000004</v>
      </c>
      <c r="K409" s="3" t="s">
        <v>1070</v>
      </c>
      <c r="L409" s="6">
        <f>+[164]Main!$P$3</f>
        <v>22.004159000000001</v>
      </c>
      <c r="M409" s="9">
        <v>45587</v>
      </c>
    </row>
    <row r="410" spans="1:13" x14ac:dyDescent="0.25">
      <c r="A410" s="101" t="s">
        <v>333</v>
      </c>
      <c r="D410">
        <f>+D455+1</f>
        <v>496</v>
      </c>
      <c r="E410" s="5" t="s">
        <v>1630</v>
      </c>
      <c r="F410" s="1" t="s">
        <v>1631</v>
      </c>
      <c r="G410" s="7">
        <v>6</v>
      </c>
      <c r="H410" s="6">
        <f>+G410*L410</f>
        <v>327.199524</v>
      </c>
      <c r="I410" s="6">
        <f>+[165]Main!$L$5-[165]Main!$L$6</f>
        <v>371.02100000000002</v>
      </c>
      <c r="J410" s="6">
        <f>+H410-I410</f>
        <v>-43.821476000000018</v>
      </c>
      <c r="K410" s="3" t="s">
        <v>1070</v>
      </c>
      <c r="L410" s="6">
        <f>+[165]Main!$L$3</f>
        <v>54.533253999999999</v>
      </c>
      <c r="M410" s="9">
        <v>45629</v>
      </c>
    </row>
    <row r="411" spans="1:13" x14ac:dyDescent="0.25">
      <c r="A411" s="101" t="s">
        <v>333</v>
      </c>
      <c r="D411">
        <f>+D454+1</f>
        <v>500</v>
      </c>
      <c r="E411" t="s">
        <v>1963</v>
      </c>
      <c r="F411" t="s">
        <v>1964</v>
      </c>
    </row>
    <row r="412" spans="1:13" x14ac:dyDescent="0.25">
      <c r="A412" s="101" t="s">
        <v>333</v>
      </c>
      <c r="D412">
        <f>+D451+1</f>
        <v>503</v>
      </c>
      <c r="E412" s="5" t="s">
        <v>1438</v>
      </c>
      <c r="F412" s="1" t="s">
        <v>1439</v>
      </c>
      <c r="G412" s="7">
        <v>30</v>
      </c>
    </row>
    <row r="413" spans="1:13" x14ac:dyDescent="0.25">
      <c r="A413" s="101" t="s">
        <v>333</v>
      </c>
      <c r="D413">
        <f>+D449+1</f>
        <v>510</v>
      </c>
      <c r="E413" s="1" t="s">
        <v>1638</v>
      </c>
      <c r="F413" t="s">
        <v>1639</v>
      </c>
    </row>
    <row r="414" spans="1:13" x14ac:dyDescent="0.25">
      <c r="A414" s="101" t="s">
        <v>333</v>
      </c>
      <c r="D414">
        <f t="shared" si="87"/>
        <v>511</v>
      </c>
      <c r="E414" t="s">
        <v>1894</v>
      </c>
      <c r="F414" t="s">
        <v>1895</v>
      </c>
    </row>
    <row r="415" spans="1:13" x14ac:dyDescent="0.25">
      <c r="A415" s="101" t="s">
        <v>333</v>
      </c>
      <c r="D415">
        <f t="shared" si="87"/>
        <v>512</v>
      </c>
      <c r="E415" t="s">
        <v>1930</v>
      </c>
      <c r="F415" t="s">
        <v>1931</v>
      </c>
    </row>
    <row r="416" spans="1:13" x14ac:dyDescent="0.25">
      <c r="A416" s="101" t="s">
        <v>333</v>
      </c>
      <c r="D416">
        <f t="shared" si="87"/>
        <v>513</v>
      </c>
      <c r="E416" t="s">
        <v>1932</v>
      </c>
      <c r="F416" t="s">
        <v>1933</v>
      </c>
    </row>
    <row r="417" spans="1:13" x14ac:dyDescent="0.25">
      <c r="A417" s="101" t="s">
        <v>333</v>
      </c>
      <c r="D417">
        <f t="shared" si="87"/>
        <v>514</v>
      </c>
      <c r="E417" t="s">
        <v>1644</v>
      </c>
      <c r="F417" s="1" t="s">
        <v>1645</v>
      </c>
    </row>
    <row r="418" spans="1:13" x14ac:dyDescent="0.25">
      <c r="A418" s="101" t="s">
        <v>333</v>
      </c>
      <c r="D418">
        <f t="shared" si="87"/>
        <v>515</v>
      </c>
      <c r="E418" s="1" t="s">
        <v>1646</v>
      </c>
      <c r="F418" t="s">
        <v>1647</v>
      </c>
      <c r="G418" s="3">
        <v>4.1100000000000003</v>
      </c>
    </row>
    <row r="419" spans="1:13" x14ac:dyDescent="0.25">
      <c r="A419" s="101" t="s">
        <v>333</v>
      </c>
      <c r="B419" s="1">
        <v>7</v>
      </c>
      <c r="C419" s="1">
        <v>2</v>
      </c>
      <c r="D419">
        <f t="shared" si="87"/>
        <v>516</v>
      </c>
      <c r="E419" s="5" t="s">
        <v>1791</v>
      </c>
      <c r="F419" s="1" t="s">
        <v>1792</v>
      </c>
      <c r="G419" s="7">
        <v>20</v>
      </c>
      <c r="H419" s="6">
        <f>+G419*L419</f>
        <v>1040.5629000000001</v>
      </c>
      <c r="I419" s="6">
        <f>+[166]Main!$L$5-[166]Main!$L$6</f>
        <v>193.8</v>
      </c>
      <c r="J419" s="6">
        <f>+H419-I419</f>
        <v>846.76290000000017</v>
      </c>
      <c r="K419" s="3" t="s">
        <v>1276</v>
      </c>
      <c r="L419" s="6">
        <f>+[166]Main!$L$3</f>
        <v>52.028145000000002</v>
      </c>
      <c r="M419" s="9">
        <v>45691</v>
      </c>
    </row>
    <row r="420" spans="1:13" x14ac:dyDescent="0.25">
      <c r="A420" s="101" t="s">
        <v>333</v>
      </c>
      <c r="D420">
        <f>+D443+1</f>
        <v>518</v>
      </c>
      <c r="E420" s="1" t="s">
        <v>1654</v>
      </c>
      <c r="F420" s="1" t="s">
        <v>1655</v>
      </c>
    </row>
    <row r="421" spans="1:13" x14ac:dyDescent="0.25">
      <c r="A421" s="101" t="s">
        <v>333</v>
      </c>
      <c r="D421">
        <f t="shared" si="87"/>
        <v>519</v>
      </c>
      <c r="E421" t="s">
        <v>1901</v>
      </c>
      <c r="F421" t="s">
        <v>1902</v>
      </c>
    </row>
    <row r="422" spans="1:13" x14ac:dyDescent="0.25">
      <c r="A422" s="101" t="s">
        <v>333</v>
      </c>
      <c r="D422">
        <f t="shared" si="87"/>
        <v>520</v>
      </c>
      <c r="E422" t="s">
        <v>1656</v>
      </c>
      <c r="F422" t="s">
        <v>1657</v>
      </c>
    </row>
    <row r="423" spans="1:13" x14ac:dyDescent="0.25">
      <c r="A423" s="101" t="s">
        <v>333</v>
      </c>
      <c r="D423">
        <f t="shared" si="87"/>
        <v>521</v>
      </c>
      <c r="E423" t="s">
        <v>1934</v>
      </c>
      <c r="F423" t="s">
        <v>1143</v>
      </c>
    </row>
    <row r="424" spans="1:13" x14ac:dyDescent="0.25">
      <c r="A424" s="101" t="s">
        <v>333</v>
      </c>
      <c r="D424">
        <f>+D442+1</f>
        <v>527</v>
      </c>
      <c r="E424" s="1" t="s">
        <v>1111</v>
      </c>
      <c r="F424" s="1" t="s">
        <v>1692</v>
      </c>
    </row>
    <row r="425" spans="1:13" x14ac:dyDescent="0.25">
      <c r="A425" s="101" t="s">
        <v>333</v>
      </c>
      <c r="D425">
        <f t="shared" si="87"/>
        <v>528</v>
      </c>
      <c r="E425" s="5" t="s">
        <v>1835</v>
      </c>
      <c r="F425" s="1" t="s">
        <v>1836</v>
      </c>
      <c r="G425" s="7">
        <v>0.83</v>
      </c>
    </row>
    <row r="426" spans="1:13" x14ac:dyDescent="0.25">
      <c r="A426" s="101" t="s">
        <v>333</v>
      </c>
      <c r="D426">
        <f t="shared" si="87"/>
        <v>529</v>
      </c>
      <c r="E426" t="s">
        <v>1777</v>
      </c>
      <c r="F426" t="s">
        <v>1778</v>
      </c>
    </row>
    <row r="427" spans="1:13" x14ac:dyDescent="0.25">
      <c r="B427" s="1">
        <v>-1</v>
      </c>
      <c r="C427" s="1">
        <v>3</v>
      </c>
      <c r="D427">
        <f t="shared" si="87"/>
        <v>530</v>
      </c>
      <c r="E427" s="5" t="s">
        <v>1821</v>
      </c>
      <c r="F427" s="1" t="s">
        <v>1822</v>
      </c>
      <c r="G427" s="7">
        <v>1.24</v>
      </c>
      <c r="H427" s="6">
        <f>+G427*L427</f>
        <v>60.456759240000004</v>
      </c>
      <c r="I427" s="6">
        <f>+[167]Main!$K$5-[167]Main!$K$6</f>
        <v>41.556999999999995</v>
      </c>
      <c r="J427" s="6">
        <f>+H427-I427</f>
        <v>18.899759240000009</v>
      </c>
      <c r="K427" s="3" t="s">
        <v>1277</v>
      </c>
      <c r="L427" s="6">
        <f>+[167]Main!$K$3</f>
        <v>48.755451000000001</v>
      </c>
      <c r="M427" s="9">
        <v>45733</v>
      </c>
    </row>
    <row r="428" spans="1:13" x14ac:dyDescent="0.25">
      <c r="B428" s="1">
        <v>7</v>
      </c>
      <c r="C428" s="1">
        <v>3</v>
      </c>
      <c r="D428">
        <f t="shared" si="87"/>
        <v>531</v>
      </c>
      <c r="E428" s="5" t="s">
        <v>1794</v>
      </c>
      <c r="F428" t="s">
        <v>1793</v>
      </c>
      <c r="G428" s="7">
        <v>0.54</v>
      </c>
      <c r="H428" s="6">
        <f>+G428*L428</f>
        <v>64.779180300000007</v>
      </c>
      <c r="I428" s="6">
        <f>+[168]Main!$M$5-[168]Main!$M$6</f>
        <v>69.349000000000004</v>
      </c>
      <c r="J428" s="6">
        <f>+H428-I428</f>
        <v>-4.5698196999999965</v>
      </c>
      <c r="K428" s="3" t="s">
        <v>1276</v>
      </c>
      <c r="L428" s="6">
        <f>+[168]Main!$M$3</f>
        <v>119.961445</v>
      </c>
      <c r="M428" s="9">
        <v>45750</v>
      </c>
    </row>
    <row r="429" spans="1:13" x14ac:dyDescent="0.25">
      <c r="D429">
        <f t="shared" si="87"/>
        <v>532</v>
      </c>
      <c r="E429" s="1" t="s">
        <v>1795</v>
      </c>
      <c r="F429" t="s">
        <v>1796</v>
      </c>
    </row>
    <row r="430" spans="1:13" x14ac:dyDescent="0.25">
      <c r="D430">
        <f t="shared" si="87"/>
        <v>533</v>
      </c>
      <c r="E430" t="s">
        <v>1809</v>
      </c>
      <c r="F430" s="1" t="s">
        <v>1810</v>
      </c>
      <c r="G430" s="7">
        <v>1.38</v>
      </c>
    </row>
    <row r="431" spans="1:13" x14ac:dyDescent="0.25">
      <c r="D431">
        <f t="shared" si="87"/>
        <v>534</v>
      </c>
      <c r="E431" s="1" t="s">
        <v>1811</v>
      </c>
      <c r="F431" t="s">
        <v>1814</v>
      </c>
    </row>
    <row r="432" spans="1:13" x14ac:dyDescent="0.25">
      <c r="B432" s="1">
        <v>3</v>
      </c>
      <c r="C432" s="1">
        <v>4</v>
      </c>
      <c r="D432">
        <f t="shared" si="87"/>
        <v>535</v>
      </c>
      <c r="E432" s="5" t="s">
        <v>1833</v>
      </c>
      <c r="F432" t="s">
        <v>1834</v>
      </c>
      <c r="G432" s="3">
        <v>0.31</v>
      </c>
      <c r="H432" s="6">
        <f>+G432*L432</f>
        <v>18.356896450000001</v>
      </c>
      <c r="I432" s="6">
        <f>+[169]Sheet1!$J$5-[169]Sheet1!$J$6</f>
        <v>62.05</v>
      </c>
      <c r="J432" s="6">
        <f>+H432-I432</f>
        <v>-43.693103549999996</v>
      </c>
      <c r="K432" s="3" t="s">
        <v>1277</v>
      </c>
      <c r="L432" s="6">
        <f>+[169]Sheet1!$J$3</f>
        <v>59.215795</v>
      </c>
      <c r="M432" s="9">
        <v>45763</v>
      </c>
    </row>
    <row r="433" spans="1:30" x14ac:dyDescent="0.25">
      <c r="D433">
        <f t="shared" ref="D433:D436" si="90">+D432+1</f>
        <v>536</v>
      </c>
      <c r="E433" s="5" t="s">
        <v>1295</v>
      </c>
      <c r="F433" t="s">
        <v>1296</v>
      </c>
      <c r="G433" s="7">
        <v>10</v>
      </c>
      <c r="H433" s="6">
        <f>+G433*[170]Main!$K$3</f>
        <v>1589.8400000000001</v>
      </c>
      <c r="I433" s="6">
        <f>+[170]Main!$K$5-[170]Main!$K$6</f>
        <v>371.63900000000001</v>
      </c>
      <c r="J433" s="6">
        <f>+H433-I433</f>
        <v>1218.201</v>
      </c>
      <c r="K433" s="3" t="s">
        <v>1070</v>
      </c>
      <c r="L433" s="6">
        <f>+[170]Main!$K$3</f>
        <v>158.98400000000001</v>
      </c>
      <c r="M433" s="9">
        <v>45600</v>
      </c>
    </row>
    <row r="434" spans="1:30" x14ac:dyDescent="0.25">
      <c r="D434">
        <f t="shared" si="90"/>
        <v>537</v>
      </c>
      <c r="E434" t="s">
        <v>1812</v>
      </c>
      <c r="F434" t="s">
        <v>1813</v>
      </c>
    </row>
    <row r="435" spans="1:30" x14ac:dyDescent="0.25">
      <c r="D435">
        <f t="shared" si="90"/>
        <v>538</v>
      </c>
      <c r="E435" s="1" t="s">
        <v>1839</v>
      </c>
      <c r="F435" s="1" t="s">
        <v>1840</v>
      </c>
    </row>
    <row r="436" spans="1:30" x14ac:dyDescent="0.25">
      <c r="D436">
        <f t="shared" si="90"/>
        <v>539</v>
      </c>
      <c r="E436" t="s">
        <v>1841</v>
      </c>
      <c r="F436" t="s">
        <v>1842</v>
      </c>
    </row>
    <row r="437" spans="1:30" customFormat="1" x14ac:dyDescent="0.25">
      <c r="A437" t="s">
        <v>333</v>
      </c>
      <c r="D437">
        <f>+D232+1</f>
        <v>232</v>
      </c>
      <c r="E437" s="5" t="s">
        <v>772</v>
      </c>
      <c r="F437" t="s">
        <v>773</v>
      </c>
      <c r="G437" s="53">
        <v>3.64</v>
      </c>
      <c r="H437" s="29">
        <f>+G437*L437</f>
        <v>174.63324424000001</v>
      </c>
      <c r="I437" s="29">
        <f>+[171]Main!$J$5-[171]Main!$J$6</f>
        <v>149</v>
      </c>
      <c r="J437" s="29">
        <f>+H437-I437</f>
        <v>25.63324424000001</v>
      </c>
      <c r="K437" s="27" t="s">
        <v>1276</v>
      </c>
      <c r="L437" s="29">
        <f>+[171]Main!$J$3</f>
        <v>47.976165999999999</v>
      </c>
      <c r="M437" s="36">
        <v>45628</v>
      </c>
      <c r="N437" s="27"/>
      <c r="O437" s="27"/>
      <c r="P437" s="27"/>
      <c r="Q437" s="27"/>
      <c r="R437" s="27"/>
      <c r="S437" s="57"/>
      <c r="T437" s="57"/>
      <c r="U437" s="57"/>
      <c r="V437" s="57"/>
      <c r="W437" s="57"/>
      <c r="X437" s="57"/>
      <c r="Y437" s="105"/>
      <c r="Z437" s="105"/>
      <c r="AA437" s="105"/>
      <c r="AB437" s="105"/>
      <c r="AC437" s="105"/>
      <c r="AD437" s="105"/>
    </row>
    <row r="438" spans="1:30" x14ac:dyDescent="0.25">
      <c r="D438">
        <f>+D423+1</f>
        <v>522</v>
      </c>
      <c r="E438" s="1" t="s">
        <v>1658</v>
      </c>
      <c r="F438" s="1" t="s">
        <v>1659</v>
      </c>
      <c r="G438" s="3">
        <v>0.61</v>
      </c>
    </row>
    <row r="439" spans="1:30" x14ac:dyDescent="0.25">
      <c r="D439">
        <f>+D438+1</f>
        <v>523</v>
      </c>
      <c r="E439" t="s">
        <v>1664</v>
      </c>
      <c r="F439" t="s">
        <v>1665</v>
      </c>
    </row>
    <row r="440" spans="1:30" x14ac:dyDescent="0.25">
      <c r="D440">
        <f>+D439+1</f>
        <v>524</v>
      </c>
      <c r="E440" s="1" t="s">
        <v>1667</v>
      </c>
      <c r="F440" s="1" t="s">
        <v>1666</v>
      </c>
      <c r="G440" s="3">
        <v>1.46</v>
      </c>
    </row>
    <row r="441" spans="1:30" x14ac:dyDescent="0.25">
      <c r="D441">
        <f>+D440+1</f>
        <v>525</v>
      </c>
      <c r="E441" t="s">
        <v>1672</v>
      </c>
      <c r="F441" t="s">
        <v>1673</v>
      </c>
    </row>
    <row r="442" spans="1:30" x14ac:dyDescent="0.25">
      <c r="D442">
        <f>+D441+1</f>
        <v>526</v>
      </c>
      <c r="E442" t="s">
        <v>1674</v>
      </c>
      <c r="F442" t="s">
        <v>1675</v>
      </c>
    </row>
    <row r="443" spans="1:30" x14ac:dyDescent="0.25">
      <c r="D443">
        <f>+D419+1</f>
        <v>517</v>
      </c>
      <c r="E443" t="s">
        <v>1652</v>
      </c>
      <c r="F443" t="s">
        <v>1653</v>
      </c>
    </row>
    <row r="444" spans="1:30" x14ac:dyDescent="0.25">
      <c r="D444">
        <f>+D412+1</f>
        <v>504</v>
      </c>
      <c r="E444" t="s">
        <v>1501</v>
      </c>
    </row>
    <row r="445" spans="1:30" x14ac:dyDescent="0.25">
      <c r="D445">
        <f>+D444+1</f>
        <v>505</v>
      </c>
      <c r="E445" s="1" t="s">
        <v>1613</v>
      </c>
      <c r="F445" t="s">
        <v>1614</v>
      </c>
    </row>
    <row r="446" spans="1:30" x14ac:dyDescent="0.25">
      <c r="D446">
        <f>+D445+1</f>
        <v>506</v>
      </c>
      <c r="E446" t="s">
        <v>1618</v>
      </c>
      <c r="F446" s="1" t="s">
        <v>1619</v>
      </c>
    </row>
    <row r="447" spans="1:30" x14ac:dyDescent="0.25">
      <c r="D447">
        <f>+D446+1</f>
        <v>507</v>
      </c>
      <c r="E447" t="s">
        <v>1620</v>
      </c>
      <c r="F447" t="s">
        <v>1621</v>
      </c>
    </row>
    <row r="448" spans="1:30" x14ac:dyDescent="0.25">
      <c r="D448">
        <f>+D447+1</f>
        <v>508</v>
      </c>
      <c r="E448" t="s">
        <v>1628</v>
      </c>
      <c r="F448" t="s">
        <v>1629</v>
      </c>
    </row>
    <row r="449" spans="4:13" x14ac:dyDescent="0.25">
      <c r="D449">
        <f>+D448+1</f>
        <v>509</v>
      </c>
      <c r="E449" s="5" t="s">
        <v>1633</v>
      </c>
      <c r="F449" s="1" t="s">
        <v>1632</v>
      </c>
      <c r="G449" s="3">
        <v>26.71</v>
      </c>
    </row>
    <row r="450" spans="4:13" x14ac:dyDescent="0.25">
      <c r="D450">
        <f>+D411+1</f>
        <v>501</v>
      </c>
      <c r="E450" t="s">
        <v>1302</v>
      </c>
      <c r="F450" t="s">
        <v>1303</v>
      </c>
    </row>
    <row r="451" spans="4:13" x14ac:dyDescent="0.25">
      <c r="D451">
        <f>+D450+1</f>
        <v>502</v>
      </c>
      <c r="E451" s="1" t="s">
        <v>1353</v>
      </c>
    </row>
    <row r="452" spans="4:13" x14ac:dyDescent="0.25">
      <c r="D452">
        <f>+D410+1</f>
        <v>497</v>
      </c>
      <c r="E452" s="1" t="s">
        <v>1189</v>
      </c>
      <c r="F452" s="1" t="s">
        <v>1190</v>
      </c>
      <c r="G452" s="3">
        <v>0.28999999999999998</v>
      </c>
    </row>
    <row r="453" spans="4:13" x14ac:dyDescent="0.25">
      <c r="D453">
        <f>+D452+1</f>
        <v>498</v>
      </c>
      <c r="E453" s="1" t="s">
        <v>1271</v>
      </c>
      <c r="F453" t="s">
        <v>1272</v>
      </c>
    </row>
    <row r="454" spans="4:13" x14ac:dyDescent="0.25">
      <c r="D454">
        <f>+D453+1</f>
        <v>499</v>
      </c>
      <c r="E454" s="1" t="s">
        <v>1300</v>
      </c>
      <c r="F454" s="1" t="s">
        <v>1301</v>
      </c>
    </row>
    <row r="455" spans="4:13" x14ac:dyDescent="0.25">
      <c r="D455">
        <f>+D409+1</f>
        <v>495</v>
      </c>
      <c r="E455" s="39" t="s">
        <v>1627</v>
      </c>
      <c r="F455" t="s">
        <v>1626</v>
      </c>
      <c r="G455" s="7">
        <v>3.71</v>
      </c>
      <c r="H455" s="6">
        <f t="shared" ref="H455:H464" si="91">+G455*L455</f>
        <v>181.33427843999999</v>
      </c>
      <c r="I455" s="6">
        <f>+[172]Main!$K$5-[172]Main!$K$6</f>
        <v>183.012</v>
      </c>
      <c r="J455" s="6">
        <f t="shared" ref="J455:J464" si="92">+H455-I455</f>
        <v>-1.677721560000009</v>
      </c>
      <c r="K455" s="3" t="s">
        <v>1276</v>
      </c>
      <c r="L455" s="6">
        <f>+[172]Main!$K$3</f>
        <v>48.877164</v>
      </c>
      <c r="M455" s="9">
        <v>45629</v>
      </c>
    </row>
    <row r="456" spans="4:13" x14ac:dyDescent="0.25">
      <c r="D456">
        <f>+D408+1</f>
        <v>489</v>
      </c>
      <c r="E456" s="5" t="s">
        <v>1159</v>
      </c>
      <c r="F456" t="s">
        <v>1160</v>
      </c>
      <c r="G456" s="7">
        <v>3.6</v>
      </c>
      <c r="H456" s="6">
        <f t="shared" si="91"/>
        <v>132.55131599999999</v>
      </c>
      <c r="I456" s="6">
        <f>+[173]Main!$L$5-[173]Main!$L$6</f>
        <v>33.507724000000003</v>
      </c>
      <c r="J456" s="6">
        <f t="shared" si="92"/>
        <v>99.04359199999999</v>
      </c>
      <c r="K456" s="3" t="s">
        <v>1070</v>
      </c>
      <c r="L456" s="6">
        <f>+[173]Main!$L$3</f>
        <v>36.819809999999997</v>
      </c>
      <c r="M456" s="9">
        <v>45567</v>
      </c>
    </row>
    <row r="457" spans="4:13" x14ac:dyDescent="0.25">
      <c r="D457">
        <f>+D456+1</f>
        <v>490</v>
      </c>
      <c r="E457" s="5" t="s">
        <v>1609</v>
      </c>
      <c r="F457" t="s">
        <v>1610</v>
      </c>
      <c r="G457" s="7">
        <v>13.15</v>
      </c>
      <c r="H457" s="6">
        <f t="shared" si="91"/>
        <v>319.40466320000002</v>
      </c>
      <c r="I457" s="6">
        <f>+[174]Main!$K$5-[174]Main!$K$6</f>
        <v>199.59700000000001</v>
      </c>
      <c r="J457" s="6">
        <f t="shared" si="92"/>
        <v>119.80766320000001</v>
      </c>
      <c r="K457" s="3" t="s">
        <v>1276</v>
      </c>
      <c r="L457" s="6">
        <f>+[174]Main!$K$3</f>
        <v>24.289328000000001</v>
      </c>
      <c r="M457" s="9">
        <v>45608</v>
      </c>
    </row>
    <row r="458" spans="4:13" x14ac:dyDescent="0.25">
      <c r="D458">
        <f>+D457+1</f>
        <v>491</v>
      </c>
      <c r="E458" s="5" t="s">
        <v>1625</v>
      </c>
      <c r="F458" t="s">
        <v>1624</v>
      </c>
      <c r="G458" s="3">
        <v>2.83</v>
      </c>
      <c r="H458" s="6">
        <f t="shared" si="91"/>
        <v>108.43964851000001</v>
      </c>
      <c r="I458" s="6">
        <f>+[175]Main!$K$5-[175]Main!$K$6</f>
        <v>62.823</v>
      </c>
      <c r="J458" s="6">
        <f t="shared" si="92"/>
        <v>45.616648510000012</v>
      </c>
      <c r="K458" s="3" t="s">
        <v>1276</v>
      </c>
      <c r="L458" s="6">
        <f>+[175]Main!$K$3</f>
        <v>38.317897000000002</v>
      </c>
      <c r="M458" s="9">
        <v>45629</v>
      </c>
    </row>
    <row r="459" spans="4:13" x14ac:dyDescent="0.25">
      <c r="D459">
        <f>+D458+1</f>
        <v>492</v>
      </c>
      <c r="E459" s="5" t="s">
        <v>1642</v>
      </c>
      <c r="F459" t="s">
        <v>1643</v>
      </c>
      <c r="G459" s="7">
        <v>2.69</v>
      </c>
      <c r="H459" s="6">
        <f t="shared" si="91"/>
        <v>89.956825309999985</v>
      </c>
      <c r="I459" s="6">
        <f>+[176]Main!$K$5-[176]Main!$K$6</f>
        <v>5.4758170000000002</v>
      </c>
      <c r="J459" s="6">
        <f t="shared" si="92"/>
        <v>84.481008309999979</v>
      </c>
      <c r="K459" s="3" t="s">
        <v>1276</v>
      </c>
      <c r="L459" s="6">
        <f>+[176]Main!$K$3</f>
        <v>33.441198999999997</v>
      </c>
      <c r="M459" s="9">
        <v>45630</v>
      </c>
    </row>
    <row r="460" spans="4:13" x14ac:dyDescent="0.25">
      <c r="D460">
        <f>+D459+1</f>
        <v>493</v>
      </c>
      <c r="E460" s="5" t="s">
        <v>1663</v>
      </c>
      <c r="F460" t="s">
        <v>1662</v>
      </c>
      <c r="G460" s="3">
        <v>1.02</v>
      </c>
      <c r="H460" s="6">
        <f t="shared" si="91"/>
        <v>103.2980316</v>
      </c>
      <c r="I460" s="6">
        <f>+[177]Main!$L$5-[177]Main!$L$6</f>
        <v>59.1</v>
      </c>
      <c r="J460" s="6">
        <f t="shared" si="92"/>
        <v>44.1980316</v>
      </c>
      <c r="K460" s="3" t="s">
        <v>1276</v>
      </c>
      <c r="L460" s="6">
        <f>+[177]Main!$L$3</f>
        <v>101.27258</v>
      </c>
      <c r="M460" s="9">
        <v>45656</v>
      </c>
    </row>
    <row r="461" spans="4:13" x14ac:dyDescent="0.25">
      <c r="D461">
        <f>+D406+1</f>
        <v>486</v>
      </c>
      <c r="E461" s="5" t="s">
        <v>1668</v>
      </c>
      <c r="F461" t="s">
        <v>1669</v>
      </c>
      <c r="G461" s="3">
        <v>6.41</v>
      </c>
      <c r="H461" s="6">
        <f t="shared" si="91"/>
        <v>226.21900856999997</v>
      </c>
      <c r="I461" s="6">
        <f>+[178]Main!$K$5-[178]Main!$K$6</f>
        <v>98.310918000000001</v>
      </c>
      <c r="J461" s="6">
        <f t="shared" si="92"/>
        <v>127.90809056999997</v>
      </c>
      <c r="K461" s="3" t="s">
        <v>1276</v>
      </c>
      <c r="L461" s="6">
        <f>+[178]Main!$K$3</f>
        <v>35.291576999999997</v>
      </c>
      <c r="M461" s="9">
        <v>45660</v>
      </c>
    </row>
    <row r="462" spans="4:13" x14ac:dyDescent="0.25">
      <c r="D462">
        <f>+D403+1</f>
        <v>480</v>
      </c>
      <c r="E462" s="5" t="s">
        <v>1607</v>
      </c>
      <c r="F462" t="s">
        <v>1608</v>
      </c>
      <c r="G462" s="7">
        <v>42.9</v>
      </c>
      <c r="H462" s="6">
        <f t="shared" si="91"/>
        <v>518.07807479999997</v>
      </c>
      <c r="I462" s="6">
        <f>+[179]Main!$K$5-[179]Main!$K$6</f>
        <v>89.078000000000003</v>
      </c>
      <c r="J462" s="6">
        <f t="shared" si="92"/>
        <v>429.00007479999999</v>
      </c>
      <c r="K462" s="3" t="s">
        <v>1276</v>
      </c>
      <c r="L462" s="6">
        <f>+[179]Main!$K$3</f>
        <v>12.076411999999999</v>
      </c>
      <c r="M462" s="9">
        <v>45608</v>
      </c>
    </row>
    <row r="463" spans="4:13" x14ac:dyDescent="0.25">
      <c r="D463">
        <f>+D462+1</f>
        <v>481</v>
      </c>
      <c r="E463" s="39" t="s">
        <v>1126</v>
      </c>
      <c r="F463" s="1" t="s">
        <v>1127</v>
      </c>
      <c r="G463" s="7">
        <v>10.54</v>
      </c>
      <c r="H463" s="6">
        <f t="shared" si="91"/>
        <v>295.11496187999995</v>
      </c>
      <c r="I463" s="6">
        <f>+[180]Main!$K$5-[180]Main!$K$6</f>
        <v>15.414999999999999</v>
      </c>
      <c r="J463" s="6">
        <f t="shared" si="92"/>
        <v>279.69996187999993</v>
      </c>
      <c r="K463" s="3" t="s">
        <v>1070</v>
      </c>
      <c r="L463" s="6">
        <f>+[180]Main!$K$3</f>
        <v>27.999521999999999</v>
      </c>
      <c r="M463" s="9">
        <v>45474</v>
      </c>
    </row>
    <row r="464" spans="4:13" x14ac:dyDescent="0.25">
      <c r="D464">
        <f>+D463+1</f>
        <v>482</v>
      </c>
      <c r="E464" s="5" t="s">
        <v>1617</v>
      </c>
      <c r="F464" s="1" t="s">
        <v>1616</v>
      </c>
      <c r="G464" s="3">
        <v>2.62</v>
      </c>
      <c r="H464" s="6">
        <f t="shared" si="91"/>
        <v>164.43598150000003</v>
      </c>
      <c r="I464" s="6">
        <f>+[181]Main!$K$5-[181]Main!$K$6</f>
        <v>-77.494</v>
      </c>
      <c r="J464" s="6">
        <f t="shared" si="92"/>
        <v>241.92998150000003</v>
      </c>
      <c r="K464" s="3" t="s">
        <v>1276</v>
      </c>
      <c r="L464" s="6">
        <f>+[181]Main!$K$3</f>
        <v>62.761825000000002</v>
      </c>
      <c r="M464" s="9">
        <v>45628</v>
      </c>
    </row>
    <row r="465" spans="1:8" x14ac:dyDescent="0.25">
      <c r="A465"/>
      <c r="B465"/>
      <c r="C465"/>
      <c r="D465">
        <f>+D402+1</f>
        <v>477</v>
      </c>
      <c r="E465" t="s">
        <v>971</v>
      </c>
      <c r="F465" t="s">
        <v>972</v>
      </c>
    </row>
    <row r="466" spans="1:8" x14ac:dyDescent="0.25">
      <c r="D466">
        <f>+D465+1</f>
        <v>478</v>
      </c>
      <c r="E466" s="1" t="s">
        <v>1093</v>
      </c>
      <c r="F466" s="1" t="s">
        <v>1094</v>
      </c>
      <c r="G466" s="3">
        <v>5.45</v>
      </c>
      <c r="H466" s="3">
        <v>91</v>
      </c>
    </row>
    <row r="467" spans="1:8" x14ac:dyDescent="0.25">
      <c r="A467"/>
      <c r="B467"/>
      <c r="C467"/>
      <c r="D467">
        <f>+D395+1</f>
        <v>467</v>
      </c>
      <c r="E467" t="s">
        <v>957</v>
      </c>
      <c r="F467" t="s">
        <v>958</v>
      </c>
      <c r="G467" s="3">
        <v>0.59</v>
      </c>
      <c r="H467" s="3">
        <v>51</v>
      </c>
    </row>
    <row r="468" spans="1:8" x14ac:dyDescent="0.25">
      <c r="A468"/>
      <c r="B468"/>
      <c r="C468"/>
      <c r="D468">
        <f>+D467+1</f>
        <v>468</v>
      </c>
      <c r="E468" t="s">
        <v>959</v>
      </c>
      <c r="F468" t="s">
        <v>960</v>
      </c>
    </row>
    <row r="469" spans="1:8" x14ac:dyDescent="0.25">
      <c r="A469"/>
      <c r="B469"/>
      <c r="C469"/>
      <c r="D469">
        <f>+D468+1</f>
        <v>469</v>
      </c>
      <c r="E469" t="s">
        <v>961</v>
      </c>
      <c r="F469" t="s">
        <v>962</v>
      </c>
    </row>
    <row r="470" spans="1:8" x14ac:dyDescent="0.25">
      <c r="A470"/>
      <c r="B470"/>
      <c r="C470"/>
      <c r="D470">
        <f>+D394+1</f>
        <v>465</v>
      </c>
      <c r="E470" t="s">
        <v>955</v>
      </c>
      <c r="F470" t="s">
        <v>956</v>
      </c>
    </row>
    <row r="471" spans="1:8" x14ac:dyDescent="0.25">
      <c r="A471"/>
      <c r="B471"/>
      <c r="C471"/>
      <c r="D471">
        <f>+D392+1</f>
        <v>462</v>
      </c>
      <c r="E471" t="s">
        <v>951</v>
      </c>
      <c r="F471" t="s">
        <v>952</v>
      </c>
    </row>
    <row r="472" spans="1:8" x14ac:dyDescent="0.25">
      <c r="A472"/>
      <c r="B472"/>
      <c r="C472"/>
      <c r="D472">
        <f>+D390+1</f>
        <v>454</v>
      </c>
      <c r="E472" t="s">
        <v>935</v>
      </c>
      <c r="F472" t="s">
        <v>936</v>
      </c>
    </row>
    <row r="473" spans="1:8" ht="13" x14ac:dyDescent="0.3">
      <c r="A473"/>
      <c r="B473"/>
      <c r="C473"/>
      <c r="D473">
        <f>+D472+1</f>
        <v>455</v>
      </c>
      <c r="E473" s="24" t="s">
        <v>1349</v>
      </c>
      <c r="F473" t="s">
        <v>1350</v>
      </c>
      <c r="G473" s="3">
        <v>0.87</v>
      </c>
      <c r="H473" s="3">
        <v>8</v>
      </c>
    </row>
    <row r="474" spans="1:8" x14ac:dyDescent="0.25">
      <c r="A474"/>
      <c r="B474"/>
      <c r="C474"/>
      <c r="D474">
        <f>+D473+1</f>
        <v>456</v>
      </c>
      <c r="E474" t="s">
        <v>939</v>
      </c>
      <c r="F474" t="s">
        <v>940</v>
      </c>
      <c r="G474" s="3">
        <v>1.06</v>
      </c>
      <c r="H474" s="3">
        <v>55</v>
      </c>
    </row>
    <row r="475" spans="1:8" x14ac:dyDescent="0.25">
      <c r="A475"/>
      <c r="B475"/>
      <c r="C475"/>
      <c r="D475">
        <f>+D474+1</f>
        <v>457</v>
      </c>
      <c r="E475" t="s">
        <v>941</v>
      </c>
      <c r="F475" t="s">
        <v>942</v>
      </c>
    </row>
    <row r="476" spans="1:8" x14ac:dyDescent="0.25">
      <c r="A476"/>
      <c r="B476"/>
      <c r="C476"/>
      <c r="D476">
        <f>+D475+1</f>
        <v>458</v>
      </c>
      <c r="E476" t="s">
        <v>943</v>
      </c>
      <c r="F476" t="s">
        <v>944</v>
      </c>
    </row>
    <row r="477" spans="1:8" x14ac:dyDescent="0.25">
      <c r="A477"/>
      <c r="B477"/>
      <c r="C477"/>
      <c r="D477">
        <f>+D476+1</f>
        <v>459</v>
      </c>
      <c r="E477" t="s">
        <v>945</v>
      </c>
      <c r="F477" t="s">
        <v>946</v>
      </c>
    </row>
    <row r="478" spans="1:8" x14ac:dyDescent="0.25">
      <c r="A478"/>
      <c r="B478"/>
      <c r="C478"/>
      <c r="D478">
        <f>+D385+1</f>
        <v>444</v>
      </c>
      <c r="E478" t="s">
        <v>919</v>
      </c>
      <c r="F478" t="s">
        <v>920</v>
      </c>
    </row>
    <row r="479" spans="1:8" x14ac:dyDescent="0.25">
      <c r="A479"/>
      <c r="B479"/>
      <c r="C479"/>
      <c r="D479">
        <f>+D478+1</f>
        <v>445</v>
      </c>
      <c r="E479" s="5" t="s">
        <v>1292</v>
      </c>
      <c r="F479" t="s">
        <v>1293</v>
      </c>
      <c r="G479" s="7">
        <v>1</v>
      </c>
    </row>
    <row r="480" spans="1:8" x14ac:dyDescent="0.25">
      <c r="A480"/>
      <c r="B480"/>
      <c r="C480"/>
      <c r="D480">
        <f>+D479+1</f>
        <v>446</v>
      </c>
      <c r="E480" t="s">
        <v>921</v>
      </c>
      <c r="F480" t="s">
        <v>922</v>
      </c>
    </row>
    <row r="481" spans="1:13" x14ac:dyDescent="0.25">
      <c r="A481"/>
      <c r="B481"/>
      <c r="C481"/>
      <c r="D481">
        <f>+D480+1</f>
        <v>447</v>
      </c>
      <c r="E481" t="s">
        <v>923</v>
      </c>
      <c r="F481" t="s">
        <v>924</v>
      </c>
    </row>
    <row r="482" spans="1:13" x14ac:dyDescent="0.25">
      <c r="A482"/>
      <c r="B482"/>
      <c r="C482"/>
      <c r="D482">
        <f>+D481+1</f>
        <v>448</v>
      </c>
      <c r="E482" t="s">
        <v>925</v>
      </c>
      <c r="F482" t="s">
        <v>926</v>
      </c>
    </row>
    <row r="483" spans="1:13" x14ac:dyDescent="0.25">
      <c r="A483"/>
      <c r="B483"/>
      <c r="C483"/>
      <c r="D483">
        <f>+D384+1</f>
        <v>442</v>
      </c>
      <c r="E483" t="s">
        <v>915</v>
      </c>
      <c r="F483" t="s">
        <v>916</v>
      </c>
    </row>
    <row r="484" spans="1:13" x14ac:dyDescent="0.25">
      <c r="A484" t="s">
        <v>333</v>
      </c>
      <c r="B484"/>
      <c r="C484"/>
      <c r="D484">
        <f>+D381+1</f>
        <v>430</v>
      </c>
      <c r="E484" t="s">
        <v>891</v>
      </c>
      <c r="F484" t="s">
        <v>892</v>
      </c>
      <c r="G484" s="7">
        <v>2.2200000000000002</v>
      </c>
      <c r="H484" s="3">
        <v>90</v>
      </c>
    </row>
    <row r="485" spans="1:13" x14ac:dyDescent="0.25">
      <c r="A485" t="s">
        <v>333</v>
      </c>
      <c r="B485"/>
      <c r="C485"/>
      <c r="D485">
        <f t="shared" ref="D485:D492" si="93">+D484+1</f>
        <v>431</v>
      </c>
      <c r="E485" t="s">
        <v>885</v>
      </c>
      <c r="F485" t="s">
        <v>886</v>
      </c>
      <c r="G485" s="7">
        <v>1.21</v>
      </c>
      <c r="H485" s="3">
        <v>72</v>
      </c>
    </row>
    <row r="486" spans="1:13" x14ac:dyDescent="0.25">
      <c r="A486" t="s">
        <v>333</v>
      </c>
      <c r="B486"/>
      <c r="C486"/>
      <c r="D486">
        <f t="shared" si="93"/>
        <v>432</v>
      </c>
      <c r="E486" t="s">
        <v>890</v>
      </c>
      <c r="F486" t="s">
        <v>889</v>
      </c>
      <c r="G486" s="7">
        <v>1.26</v>
      </c>
      <c r="H486" s="3">
        <v>38</v>
      </c>
    </row>
    <row r="487" spans="1:13" x14ac:dyDescent="0.25">
      <c r="A487" t="s">
        <v>333</v>
      </c>
      <c r="B487"/>
      <c r="C487"/>
      <c r="D487">
        <f t="shared" si="93"/>
        <v>433</v>
      </c>
      <c r="E487" t="s">
        <v>897</v>
      </c>
      <c r="F487" t="s">
        <v>898</v>
      </c>
      <c r="G487" s="3">
        <v>0.21</v>
      </c>
      <c r="H487" s="3">
        <v>36</v>
      </c>
    </row>
    <row r="488" spans="1:13" x14ac:dyDescent="0.25">
      <c r="A488" t="s">
        <v>333</v>
      </c>
      <c r="B488"/>
      <c r="C488"/>
      <c r="D488">
        <f t="shared" si="93"/>
        <v>434</v>
      </c>
      <c r="E488" t="s">
        <v>877</v>
      </c>
      <c r="F488" t="s">
        <v>878</v>
      </c>
      <c r="G488" s="7">
        <v>2.36</v>
      </c>
      <c r="H488" s="3">
        <v>25</v>
      </c>
    </row>
    <row r="489" spans="1:13" x14ac:dyDescent="0.25">
      <c r="A489" t="s">
        <v>333</v>
      </c>
      <c r="B489"/>
      <c r="C489"/>
      <c r="D489">
        <f t="shared" si="93"/>
        <v>435</v>
      </c>
      <c r="E489" t="s">
        <v>901</v>
      </c>
      <c r="F489" t="s">
        <v>902</v>
      </c>
      <c r="G489" s="3">
        <v>0.27</v>
      </c>
      <c r="H489" s="3">
        <v>11</v>
      </c>
    </row>
    <row r="490" spans="1:13" x14ac:dyDescent="0.25">
      <c r="A490" t="s">
        <v>333</v>
      </c>
      <c r="B490"/>
      <c r="C490"/>
      <c r="D490">
        <f t="shared" si="93"/>
        <v>436</v>
      </c>
      <c r="E490" t="s">
        <v>903</v>
      </c>
      <c r="F490" t="s">
        <v>904</v>
      </c>
      <c r="G490" s="3">
        <v>0.74</v>
      </c>
      <c r="H490" s="3">
        <v>47</v>
      </c>
    </row>
    <row r="491" spans="1:13" x14ac:dyDescent="0.25">
      <c r="A491" t="s">
        <v>333</v>
      </c>
      <c r="B491"/>
      <c r="C491"/>
      <c r="D491">
        <f t="shared" si="93"/>
        <v>437</v>
      </c>
      <c r="E491" t="s">
        <v>907</v>
      </c>
      <c r="F491" t="s">
        <v>908</v>
      </c>
      <c r="G491" s="3">
        <v>1.26</v>
      </c>
      <c r="H491" s="3">
        <v>79</v>
      </c>
    </row>
    <row r="492" spans="1:13" x14ac:dyDescent="0.25">
      <c r="A492" t="s">
        <v>333</v>
      </c>
      <c r="B492"/>
      <c r="C492"/>
      <c r="D492">
        <f t="shared" si="93"/>
        <v>438</v>
      </c>
      <c r="E492" t="s">
        <v>879</v>
      </c>
      <c r="F492" t="s">
        <v>880</v>
      </c>
      <c r="G492" s="7"/>
    </row>
    <row r="493" spans="1:13" x14ac:dyDescent="0.25">
      <c r="A493" t="s">
        <v>333</v>
      </c>
      <c r="B493"/>
      <c r="C493"/>
      <c r="D493">
        <f>+D370+1</f>
        <v>418</v>
      </c>
      <c r="E493" t="s">
        <v>873</v>
      </c>
      <c r="F493" t="s">
        <v>874</v>
      </c>
      <c r="G493" s="7">
        <v>2</v>
      </c>
    </row>
    <row r="494" spans="1:13" x14ac:dyDescent="0.25">
      <c r="A494" t="s">
        <v>333</v>
      </c>
      <c r="B494"/>
      <c r="C494"/>
      <c r="D494">
        <f>+D236+1</f>
        <v>237</v>
      </c>
      <c r="E494" s="1" t="s">
        <v>219</v>
      </c>
      <c r="F494" s="1" t="s">
        <v>220</v>
      </c>
      <c r="G494" s="7">
        <v>31.39</v>
      </c>
      <c r="H494" s="3">
        <v>1020</v>
      </c>
    </row>
    <row r="495" spans="1:13" x14ac:dyDescent="0.25">
      <c r="A495" t="s">
        <v>333</v>
      </c>
      <c r="B495"/>
      <c r="C495"/>
      <c r="D495">
        <f>+D258+1</f>
        <v>260</v>
      </c>
      <c r="E495" s="5" t="s">
        <v>233</v>
      </c>
      <c r="F495" s="1" t="s">
        <v>234</v>
      </c>
      <c r="G495" s="3">
        <v>14.68</v>
      </c>
      <c r="H495" s="6">
        <f>G495*[182]Main!$L$3</f>
        <v>587.26396075999992</v>
      </c>
      <c r="I495" s="6">
        <f>[182]Main!$L$5-[182]Main!$L$6</f>
        <v>277.88299999999998</v>
      </c>
      <c r="J495" s="8">
        <f t="shared" ref="J495:J501" si="94">+H495-I495</f>
        <v>309.38096075999994</v>
      </c>
      <c r="K495" s="3" t="s">
        <v>16</v>
      </c>
    </row>
    <row r="496" spans="1:13" x14ac:dyDescent="0.25">
      <c r="A496" t="s">
        <v>333</v>
      </c>
      <c r="B496"/>
      <c r="C496"/>
      <c r="D496">
        <f>+D261+1</f>
        <v>265</v>
      </c>
      <c r="E496" s="5" t="s">
        <v>320</v>
      </c>
      <c r="F496" t="s">
        <v>321</v>
      </c>
      <c r="G496" s="3">
        <v>3.23</v>
      </c>
      <c r="H496" s="6">
        <f>+G496*L496</f>
        <v>30.407559149999997</v>
      </c>
      <c r="I496" s="6">
        <f>+[183]Main!$N$5-[183]Main!$N$6</f>
        <v>-7.4640000000000004</v>
      </c>
      <c r="J496" s="6">
        <f t="shared" si="94"/>
        <v>37.871559149999996</v>
      </c>
      <c r="K496" s="3" t="s">
        <v>300</v>
      </c>
      <c r="L496" s="6">
        <f>+[183]Main!$N$3</f>
        <v>9.4141049999999993</v>
      </c>
      <c r="M496" s="9">
        <v>44780</v>
      </c>
    </row>
    <row r="497" spans="1:31" x14ac:dyDescent="0.25">
      <c r="A497" t="s">
        <v>333</v>
      </c>
      <c r="B497"/>
      <c r="C497"/>
      <c r="D497">
        <f>+D496+1</f>
        <v>266</v>
      </c>
      <c r="E497" s="5" t="s">
        <v>241</v>
      </c>
      <c r="F497" s="1" t="s">
        <v>242</v>
      </c>
      <c r="G497" s="3">
        <v>1.98</v>
      </c>
      <c r="H497" s="6">
        <f>G497*[184]Main!$N$3</f>
        <v>39.757463459999997</v>
      </c>
      <c r="I497" s="6">
        <f>[184]Main!$N$5-[184]Main!$N$6</f>
        <v>15.942</v>
      </c>
      <c r="J497" s="8">
        <f t="shared" si="94"/>
        <v>23.815463459999997</v>
      </c>
      <c r="K497" s="3" t="s">
        <v>16</v>
      </c>
    </row>
    <row r="498" spans="1:31" x14ac:dyDescent="0.25">
      <c r="D498">
        <f>+D497+1</f>
        <v>267</v>
      </c>
      <c r="E498" s="5" t="s">
        <v>243</v>
      </c>
      <c r="F498" s="1" t="s">
        <v>244</v>
      </c>
      <c r="G498" s="3">
        <v>0.62</v>
      </c>
      <c r="H498" s="6">
        <f>G498*[185]Main!$L$3</f>
        <v>30.1881658</v>
      </c>
      <c r="I498" s="6">
        <f>[185]Main!$L$5-[185]Main!$L$6</f>
        <v>13.262999999999998</v>
      </c>
      <c r="J498" s="8">
        <f t="shared" si="94"/>
        <v>16.925165800000002</v>
      </c>
      <c r="K498" s="3" t="s">
        <v>16</v>
      </c>
    </row>
    <row r="499" spans="1:31" x14ac:dyDescent="0.25">
      <c r="D499">
        <f>+D498+1</f>
        <v>268</v>
      </c>
      <c r="E499" s="5" t="s">
        <v>245</v>
      </c>
      <c r="F499" s="1" t="s">
        <v>246</v>
      </c>
      <c r="G499" s="3">
        <v>6.12</v>
      </c>
      <c r="H499" s="6">
        <v>125.46108324000001</v>
      </c>
      <c r="I499" s="6">
        <v>131.17699999999999</v>
      </c>
      <c r="J499" s="8">
        <f t="shared" si="94"/>
        <v>-5.7159167599999847</v>
      </c>
      <c r="K499" s="3" t="s">
        <v>16</v>
      </c>
    </row>
    <row r="500" spans="1:31" x14ac:dyDescent="0.25">
      <c r="D500">
        <f>+D499+1</f>
        <v>269</v>
      </c>
      <c r="E500" s="5" t="s">
        <v>247</v>
      </c>
      <c r="F500" s="1" t="s">
        <v>248</v>
      </c>
      <c r="G500" s="3">
        <v>0.98</v>
      </c>
      <c r="H500" s="6">
        <v>20.935517539999999</v>
      </c>
      <c r="I500" s="6">
        <v>55.28</v>
      </c>
      <c r="J500" s="8">
        <f t="shared" si="94"/>
        <v>-34.344482460000002</v>
      </c>
      <c r="K500" s="3" t="s">
        <v>16</v>
      </c>
    </row>
    <row r="501" spans="1:31" x14ac:dyDescent="0.25">
      <c r="D501">
        <f>+D262+1</f>
        <v>271</v>
      </c>
      <c r="E501" s="5" t="s">
        <v>544</v>
      </c>
      <c r="F501" t="s">
        <v>545</v>
      </c>
      <c r="G501" s="3">
        <v>0.94</v>
      </c>
      <c r="H501" s="6">
        <f>+G501*L501</f>
        <v>56.676359999999995</v>
      </c>
      <c r="I501" s="6">
        <f>+[186]Main!$K$5-[186]Main!$K$6</f>
        <v>136.64599999999999</v>
      </c>
      <c r="J501" s="6">
        <f t="shared" si="94"/>
        <v>-79.969639999999998</v>
      </c>
      <c r="K501" s="3" t="s">
        <v>1070</v>
      </c>
      <c r="L501" s="6">
        <f>+[186]Main!$K$3</f>
        <v>60.293999999999997</v>
      </c>
      <c r="M501" s="9">
        <v>45550</v>
      </c>
      <c r="AE501" s="1">
        <v>2017</v>
      </c>
    </row>
    <row r="502" spans="1:31" x14ac:dyDescent="0.25">
      <c r="A502"/>
      <c r="B502"/>
      <c r="C502"/>
      <c r="D502">
        <f>+D501+1</f>
        <v>272</v>
      </c>
      <c r="E502" t="s">
        <v>1178</v>
      </c>
      <c r="F502" t="s">
        <v>1179</v>
      </c>
      <c r="H502" s="6"/>
    </row>
    <row r="503" spans="1:31" x14ac:dyDescent="0.25">
      <c r="D503">
        <f>+D502+1</f>
        <v>273</v>
      </c>
      <c r="E503" s="1" t="s">
        <v>249</v>
      </c>
      <c r="F503" s="1" t="s">
        <v>250</v>
      </c>
      <c r="G503" s="3">
        <v>0.61</v>
      </c>
    </row>
    <row r="504" spans="1:31" x14ac:dyDescent="0.25">
      <c r="D504">
        <f>+D503+1</f>
        <v>274</v>
      </c>
      <c r="E504" s="1" t="s">
        <v>251</v>
      </c>
      <c r="F504" s="1" t="s">
        <v>252</v>
      </c>
      <c r="G504" s="3">
        <v>1.75</v>
      </c>
      <c r="H504" s="3">
        <v>96</v>
      </c>
    </row>
    <row r="505" spans="1:31" x14ac:dyDescent="0.25">
      <c r="D505">
        <f>+D504+1</f>
        <v>275</v>
      </c>
      <c r="E505" s="1" t="s">
        <v>347</v>
      </c>
      <c r="F505" t="s">
        <v>348</v>
      </c>
      <c r="G505" s="7">
        <v>0.96</v>
      </c>
      <c r="H505" s="3">
        <v>52</v>
      </c>
    </row>
    <row r="506" spans="1:31" x14ac:dyDescent="0.25">
      <c r="D506">
        <f>+D263+1</f>
        <v>277</v>
      </c>
      <c r="E506" t="s">
        <v>1306</v>
      </c>
      <c r="F506" t="s">
        <v>1307</v>
      </c>
      <c r="G506" s="7">
        <v>14.68</v>
      </c>
      <c r="H506" s="3">
        <v>396</v>
      </c>
    </row>
    <row r="507" spans="1:31" x14ac:dyDescent="0.25">
      <c r="D507">
        <f>+D506+1</f>
        <v>278</v>
      </c>
      <c r="E507" s="1" t="s">
        <v>378</v>
      </c>
      <c r="F507" s="1" t="s">
        <v>379</v>
      </c>
      <c r="G507" s="3">
        <v>25.85</v>
      </c>
    </row>
    <row r="508" spans="1:31" x14ac:dyDescent="0.25">
      <c r="D508">
        <f>+D507+1</f>
        <v>279</v>
      </c>
      <c r="E508" t="s">
        <v>384</v>
      </c>
      <c r="F508" t="s">
        <v>385</v>
      </c>
      <c r="G508" s="3">
        <v>9.26</v>
      </c>
      <c r="H508" s="3">
        <v>204</v>
      </c>
    </row>
    <row r="509" spans="1:31" x14ac:dyDescent="0.25">
      <c r="D509">
        <f>+D265+1</f>
        <v>282</v>
      </c>
      <c r="E509" s="1" t="s">
        <v>394</v>
      </c>
      <c r="F509" s="1" t="s">
        <v>395</v>
      </c>
      <c r="G509" s="3">
        <v>4.09</v>
      </c>
      <c r="H509" s="3">
        <v>4</v>
      </c>
    </row>
    <row r="510" spans="1:31" x14ac:dyDescent="0.25">
      <c r="D510">
        <f>+D266+1</f>
        <v>284</v>
      </c>
      <c r="E510" t="s">
        <v>744</v>
      </c>
      <c r="F510" t="s">
        <v>745</v>
      </c>
    </row>
    <row r="511" spans="1:31" x14ac:dyDescent="0.25">
      <c r="D511">
        <f>+D510+1</f>
        <v>285</v>
      </c>
      <c r="E511" t="s">
        <v>747</v>
      </c>
      <c r="F511" t="s">
        <v>748</v>
      </c>
    </row>
    <row r="512" spans="1:31" x14ac:dyDescent="0.25">
      <c r="D512">
        <f>+D268+1</f>
        <v>288</v>
      </c>
      <c r="E512" t="s">
        <v>503</v>
      </c>
      <c r="F512" t="s">
        <v>504</v>
      </c>
    </row>
    <row r="513" spans="1:31" x14ac:dyDescent="0.25">
      <c r="D513">
        <f>+D273+1</f>
        <v>294</v>
      </c>
      <c r="E513" s="1" t="s">
        <v>514</v>
      </c>
      <c r="F513" s="1" t="s">
        <v>515</v>
      </c>
    </row>
    <row r="514" spans="1:31" x14ac:dyDescent="0.25">
      <c r="D514">
        <f>+D513+1</f>
        <v>295</v>
      </c>
      <c r="E514" t="s">
        <v>519</v>
      </c>
      <c r="F514" t="s">
        <v>1297</v>
      </c>
      <c r="G514" s="3">
        <v>13.13</v>
      </c>
    </row>
    <row r="515" spans="1:31" x14ac:dyDescent="0.25">
      <c r="D515">
        <f>+D514+1</f>
        <v>296</v>
      </c>
      <c r="E515" s="1" t="s">
        <v>522</v>
      </c>
      <c r="F515" s="1" t="s">
        <v>523</v>
      </c>
      <c r="G515" s="3">
        <v>7.08</v>
      </c>
    </row>
    <row r="516" spans="1:31" x14ac:dyDescent="0.25">
      <c r="D516">
        <f>+D276+1</f>
        <v>300</v>
      </c>
      <c r="E516" t="s">
        <v>526</v>
      </c>
      <c r="F516" t="s">
        <v>527</v>
      </c>
      <c r="G516" s="3">
        <v>0.38</v>
      </c>
    </row>
    <row r="517" spans="1:31" x14ac:dyDescent="0.25">
      <c r="D517">
        <f>+D516+1</f>
        <v>301</v>
      </c>
      <c r="E517" t="s">
        <v>528</v>
      </c>
      <c r="F517" t="s">
        <v>529</v>
      </c>
      <c r="G517" s="3">
        <v>4.24</v>
      </c>
    </row>
    <row r="518" spans="1:31" x14ac:dyDescent="0.25">
      <c r="A518" s="1" t="s">
        <v>333</v>
      </c>
      <c r="D518">
        <f>+D517+1</f>
        <v>302</v>
      </c>
      <c r="E518" t="s">
        <v>530</v>
      </c>
      <c r="F518" t="s">
        <v>531</v>
      </c>
      <c r="G518" s="3">
        <v>13.74</v>
      </c>
    </row>
    <row r="519" spans="1:31" x14ac:dyDescent="0.25">
      <c r="D519">
        <f>+D518+1</f>
        <v>303</v>
      </c>
      <c r="E519" t="s">
        <v>532</v>
      </c>
      <c r="F519" t="s">
        <v>533</v>
      </c>
      <c r="G519" s="3">
        <v>4.3600000000000003</v>
      </c>
    </row>
    <row r="520" spans="1:31" x14ac:dyDescent="0.25">
      <c r="D520">
        <f>+D519+1</f>
        <v>304</v>
      </c>
      <c r="E520" t="s">
        <v>534</v>
      </c>
      <c r="F520" t="s">
        <v>535</v>
      </c>
      <c r="G520" s="3">
        <v>7.06</v>
      </c>
    </row>
    <row r="521" spans="1:31" x14ac:dyDescent="0.25">
      <c r="A521" t="s">
        <v>333</v>
      </c>
      <c r="B521"/>
      <c r="C521"/>
      <c r="D521">
        <f>+D231+1</f>
        <v>230</v>
      </c>
      <c r="E521" s="5" t="s">
        <v>1165</v>
      </c>
      <c r="F521" t="s">
        <v>1166</v>
      </c>
      <c r="G521" s="3">
        <v>9.34</v>
      </c>
      <c r="H521" s="6">
        <f>+G521*L521</f>
        <v>289.28000241999996</v>
      </c>
      <c r="I521" s="6">
        <f>+[187]Main!$J$5-[187]Main!$J$6</f>
        <v>220.43200000000002</v>
      </c>
      <c r="J521" s="6">
        <f>+H521-I521</f>
        <v>68.848002419999943</v>
      </c>
      <c r="K521" s="3" t="s">
        <v>1070</v>
      </c>
      <c r="L521" s="6">
        <f>+[187]Main!$J$3</f>
        <v>30.972162999999998</v>
      </c>
      <c r="M521" s="9">
        <v>45548</v>
      </c>
      <c r="AE521" s="1">
        <v>2018</v>
      </c>
    </row>
    <row r="522" spans="1:31" x14ac:dyDescent="0.25">
      <c r="A522" t="s">
        <v>333</v>
      </c>
      <c r="B522"/>
      <c r="C522"/>
      <c r="D522">
        <f>+D234+1</f>
        <v>234</v>
      </c>
      <c r="E522" t="s">
        <v>308</v>
      </c>
      <c r="F522" t="s">
        <v>309</v>
      </c>
      <c r="G522" s="3">
        <v>3.26</v>
      </c>
      <c r="H522" s="6">
        <v>272</v>
      </c>
    </row>
    <row r="523" spans="1:31" x14ac:dyDescent="0.25">
      <c r="A523" t="s">
        <v>333</v>
      </c>
      <c r="B523"/>
      <c r="C523"/>
      <c r="D523">
        <f>+D321+1</f>
        <v>366</v>
      </c>
      <c r="E523" t="s">
        <v>668</v>
      </c>
      <c r="F523" t="s">
        <v>669</v>
      </c>
    </row>
    <row r="524" spans="1:31" x14ac:dyDescent="0.25">
      <c r="D524">
        <f>+D523+1</f>
        <v>367</v>
      </c>
      <c r="E524" t="s">
        <v>670</v>
      </c>
      <c r="F524" t="s">
        <v>671</v>
      </c>
    </row>
    <row r="525" spans="1:31" x14ac:dyDescent="0.25">
      <c r="A525" s="1" t="s">
        <v>333</v>
      </c>
      <c r="D525">
        <f>+D524+1</f>
        <v>368</v>
      </c>
      <c r="E525" t="s">
        <v>805</v>
      </c>
      <c r="F525" t="s">
        <v>806</v>
      </c>
    </row>
    <row r="526" spans="1:31" x14ac:dyDescent="0.25">
      <c r="D526">
        <f>+D301+1</f>
        <v>344</v>
      </c>
      <c r="E526" s="1" t="s">
        <v>142</v>
      </c>
      <c r="F526" s="1" t="s">
        <v>143</v>
      </c>
      <c r="G526" s="3">
        <v>2.37</v>
      </c>
      <c r="H526" s="6"/>
    </row>
    <row r="527" spans="1:31" x14ac:dyDescent="0.25">
      <c r="A527" s="1" t="s">
        <v>333</v>
      </c>
      <c r="D527">
        <f>+D526+1</f>
        <v>345</v>
      </c>
      <c r="E527" t="s">
        <v>578</v>
      </c>
      <c r="F527" t="s">
        <v>579</v>
      </c>
      <c r="G527" s="3">
        <v>2.94</v>
      </c>
    </row>
    <row r="528" spans="1:31" x14ac:dyDescent="0.25">
      <c r="A528" s="1" t="s">
        <v>333</v>
      </c>
      <c r="D528">
        <f>+D302+1</f>
        <v>347</v>
      </c>
      <c r="E528" t="s">
        <v>582</v>
      </c>
      <c r="F528" t="s">
        <v>583</v>
      </c>
      <c r="G528" s="7">
        <v>3.46</v>
      </c>
    </row>
    <row r="529" spans="1:13" x14ac:dyDescent="0.25">
      <c r="D529">
        <f>+D283+1</f>
        <v>320</v>
      </c>
      <c r="E529" t="s">
        <v>562</v>
      </c>
      <c r="F529" t="s">
        <v>563</v>
      </c>
      <c r="G529" s="3">
        <v>1.86</v>
      </c>
    </row>
    <row r="530" spans="1:13" x14ac:dyDescent="0.25">
      <c r="D530">
        <f>+D529+1</f>
        <v>321</v>
      </c>
      <c r="E530" t="s">
        <v>564</v>
      </c>
      <c r="F530" t="s">
        <v>565</v>
      </c>
      <c r="G530" s="3">
        <v>1.87</v>
      </c>
    </row>
    <row r="531" spans="1:13" ht="13" x14ac:dyDescent="0.3">
      <c r="D531">
        <f>+D530+1</f>
        <v>322</v>
      </c>
      <c r="E531" s="33" t="s">
        <v>566</v>
      </c>
      <c r="F531" s="33" t="s">
        <v>567</v>
      </c>
      <c r="G531"/>
    </row>
    <row r="532" spans="1:13" ht="13" x14ac:dyDescent="0.3">
      <c r="D532">
        <f>+D279+1</f>
        <v>308</v>
      </c>
      <c r="E532" s="33" t="s">
        <v>538</v>
      </c>
      <c r="F532" s="33" t="s">
        <v>539</v>
      </c>
    </row>
    <row r="533" spans="1:13" x14ac:dyDescent="0.25">
      <c r="D533">
        <f>+D532+1</f>
        <v>309</v>
      </c>
      <c r="E533" t="s">
        <v>540</v>
      </c>
      <c r="F533" t="s">
        <v>541</v>
      </c>
      <c r="G533" s="3">
        <v>2.97</v>
      </c>
    </row>
    <row r="534" spans="1:13" x14ac:dyDescent="0.25">
      <c r="D534">
        <f>+D533+1</f>
        <v>310</v>
      </c>
      <c r="E534" t="s">
        <v>542</v>
      </c>
      <c r="F534" t="s">
        <v>543</v>
      </c>
      <c r="G534" s="3">
        <v>3.28</v>
      </c>
    </row>
    <row r="535" spans="1:13" x14ac:dyDescent="0.25">
      <c r="D535">
        <f>+D534+1</f>
        <v>311</v>
      </c>
      <c r="E535" t="s">
        <v>546</v>
      </c>
      <c r="F535" t="s">
        <v>547</v>
      </c>
    </row>
    <row r="536" spans="1:13" x14ac:dyDescent="0.25">
      <c r="D536">
        <f>+D535+1</f>
        <v>312</v>
      </c>
      <c r="E536" t="s">
        <v>548</v>
      </c>
      <c r="F536" t="s">
        <v>549</v>
      </c>
      <c r="G536" s="3">
        <v>18.07</v>
      </c>
    </row>
    <row r="537" spans="1:13" x14ac:dyDescent="0.25">
      <c r="D537">
        <f>+D536+1</f>
        <v>313</v>
      </c>
      <c r="E537" t="s">
        <v>550</v>
      </c>
      <c r="F537" t="s">
        <v>551</v>
      </c>
      <c r="G537" s="3">
        <v>2.68</v>
      </c>
    </row>
    <row r="538" spans="1:13" x14ac:dyDescent="0.25">
      <c r="D538">
        <f>+D282+1</f>
        <v>317</v>
      </c>
      <c r="E538" t="s">
        <v>989</v>
      </c>
      <c r="F538" t="s">
        <v>990</v>
      </c>
    </row>
    <row r="539" spans="1:13" x14ac:dyDescent="0.25">
      <c r="D539">
        <f>+D538+1</f>
        <v>318</v>
      </c>
      <c r="E539" t="s">
        <v>556</v>
      </c>
      <c r="F539" t="s">
        <v>557</v>
      </c>
      <c r="G539" s="3">
        <v>0.61</v>
      </c>
    </row>
    <row r="540" spans="1:13" x14ac:dyDescent="0.25">
      <c r="D540">
        <f>+D289+1</f>
        <v>328</v>
      </c>
      <c r="E540" t="s">
        <v>570</v>
      </c>
      <c r="F540" t="s">
        <v>571</v>
      </c>
      <c r="G540" s="3">
        <v>2.77</v>
      </c>
    </row>
    <row r="541" spans="1:13" x14ac:dyDescent="0.25">
      <c r="D541">
        <f>+D540+1</f>
        <v>329</v>
      </c>
      <c r="E541" t="s">
        <v>347</v>
      </c>
      <c r="F541" t="s">
        <v>348</v>
      </c>
      <c r="G541" s="3">
        <v>2.67</v>
      </c>
    </row>
    <row r="542" spans="1:13" x14ac:dyDescent="0.25">
      <c r="A542" t="s">
        <v>333</v>
      </c>
      <c r="B542"/>
      <c r="C542"/>
      <c r="D542">
        <f>+D293+1</f>
        <v>333</v>
      </c>
      <c r="E542" t="s">
        <v>981</v>
      </c>
      <c r="F542" t="s">
        <v>982</v>
      </c>
    </row>
    <row r="543" spans="1:13" x14ac:dyDescent="0.25">
      <c r="A543"/>
      <c r="B543"/>
      <c r="C543"/>
      <c r="D543">
        <f>+D542+1</f>
        <v>334</v>
      </c>
      <c r="E543" t="s">
        <v>983</v>
      </c>
      <c r="F543" t="s">
        <v>984</v>
      </c>
    </row>
    <row r="544" spans="1:13" x14ac:dyDescent="0.25">
      <c r="D544">
        <f>+D228+1</f>
        <v>224</v>
      </c>
      <c r="E544" s="5" t="s">
        <v>1191</v>
      </c>
      <c r="F544" s="40" t="s">
        <v>1192</v>
      </c>
      <c r="G544" s="7">
        <v>8.39</v>
      </c>
      <c r="H544" s="6">
        <f>+G544*L544</f>
        <v>963.56021369000007</v>
      </c>
      <c r="I544" s="6">
        <f>+[188]Main!$L$5-[188]Main!$L$6</f>
        <v>122.197</v>
      </c>
      <c r="J544" s="6">
        <f>+H544-I544</f>
        <v>841.36321369000007</v>
      </c>
      <c r="K544" s="3" t="s">
        <v>1070</v>
      </c>
      <c r="L544" s="6">
        <f>+[188]Main!$L$3</f>
        <v>114.846271</v>
      </c>
      <c r="M544" s="9">
        <v>45567</v>
      </c>
    </row>
    <row r="545" spans="1:31" x14ac:dyDescent="0.25">
      <c r="A545" t="s">
        <v>333</v>
      </c>
      <c r="B545"/>
      <c r="C545"/>
      <c r="D545">
        <f>+D229+1</f>
        <v>227</v>
      </c>
      <c r="E545" s="5" t="s">
        <v>191</v>
      </c>
      <c r="F545" s="1" t="s">
        <v>192</v>
      </c>
      <c r="G545" s="3">
        <v>7.36</v>
      </c>
      <c r="H545" s="6">
        <f>+G545*L545</f>
        <v>897.18233664000002</v>
      </c>
      <c r="I545" s="6">
        <f>+[189]Main!$J$5-[189]Main!$J$6</f>
        <v>601.58999999999992</v>
      </c>
      <c r="J545" s="6">
        <f>+H545-I545</f>
        <v>295.5923366400001</v>
      </c>
      <c r="K545" s="3" t="s">
        <v>16</v>
      </c>
      <c r="L545" s="6">
        <f>+[189]Main!$J$3</f>
        <v>121.89977399999999</v>
      </c>
      <c r="M545" s="9">
        <v>44827</v>
      </c>
    </row>
    <row r="546" spans="1:31" x14ac:dyDescent="0.25">
      <c r="A546" t="s">
        <v>333</v>
      </c>
      <c r="B546"/>
      <c r="C546"/>
      <c r="D546">
        <f>+D225+1</f>
        <v>215</v>
      </c>
      <c r="E546" s="5" t="s">
        <v>287</v>
      </c>
      <c r="F546" t="s">
        <v>288</v>
      </c>
      <c r="G546" s="7">
        <v>0.61</v>
      </c>
      <c r="H546" s="6">
        <f>+G546*L546</f>
        <v>89.294191199999986</v>
      </c>
      <c r="I546" s="6">
        <f>+[190]Main!$L$5-[190]Main!$L$6</f>
        <v>24.916284999999998</v>
      </c>
      <c r="J546" s="6">
        <f>+H546-I546</f>
        <v>64.377906199999984</v>
      </c>
      <c r="K546" s="3" t="s">
        <v>1276</v>
      </c>
      <c r="L546" s="6">
        <f>+[190]Main!$L$3</f>
        <v>146.38391999999999</v>
      </c>
      <c r="M546" s="9">
        <v>45684</v>
      </c>
    </row>
    <row r="547" spans="1:31" x14ac:dyDescent="0.25">
      <c r="A547" t="s">
        <v>333</v>
      </c>
      <c r="B547"/>
      <c r="C547"/>
      <c r="D547">
        <f>+D546+1</f>
        <v>216</v>
      </c>
      <c r="E547" s="5" t="s">
        <v>223</v>
      </c>
      <c r="F547" s="1" t="s">
        <v>224</v>
      </c>
      <c r="G547" s="3">
        <v>23.75</v>
      </c>
      <c r="H547" s="6">
        <f>+G547*L547</f>
        <v>1355.4004112499999</v>
      </c>
      <c r="I547" s="6">
        <f>+[191]Main!$K$5-[191]Main!$K$6</f>
        <v>449.76100000000002</v>
      </c>
      <c r="J547" s="6">
        <f>+H547-I547</f>
        <v>905.63941124999997</v>
      </c>
      <c r="K547" s="3" t="s">
        <v>418</v>
      </c>
      <c r="L547" s="6">
        <f>+[191]Main!$K$3</f>
        <v>57.069490999999999</v>
      </c>
      <c r="M547" s="9">
        <v>44947</v>
      </c>
      <c r="AE547" s="1">
        <v>2015</v>
      </c>
    </row>
    <row r="548" spans="1:31" x14ac:dyDescent="0.25">
      <c r="A548" t="s">
        <v>333</v>
      </c>
      <c r="B548"/>
      <c r="C548"/>
      <c r="D548">
        <f>+D547+1</f>
        <v>217</v>
      </c>
      <c r="E548" t="s">
        <v>797</v>
      </c>
      <c r="F548" t="s">
        <v>798</v>
      </c>
      <c r="H548" s="6"/>
    </row>
    <row r="549" spans="1:31" x14ac:dyDescent="0.25">
      <c r="D549">
        <f>+D548+1</f>
        <v>218</v>
      </c>
      <c r="E549" t="s">
        <v>1424</v>
      </c>
      <c r="F549" t="s">
        <v>1425</v>
      </c>
      <c r="G549" s="7"/>
    </row>
    <row r="550" spans="1:31" x14ac:dyDescent="0.25">
      <c r="A550" t="s">
        <v>333</v>
      </c>
      <c r="B550"/>
      <c r="C550"/>
      <c r="D550">
        <f>+D549+1</f>
        <v>219</v>
      </c>
      <c r="E550" s="1" t="s">
        <v>105</v>
      </c>
      <c r="F550" s="1" t="s">
        <v>106</v>
      </c>
      <c r="G550" s="3">
        <v>4.72</v>
      </c>
    </row>
    <row r="551" spans="1:31" x14ac:dyDescent="0.25">
      <c r="D551">
        <f>+D550+1</f>
        <v>220</v>
      </c>
      <c r="E551" s="1" t="s">
        <v>195</v>
      </c>
      <c r="F551" s="1" t="s">
        <v>196</v>
      </c>
      <c r="G551" s="3">
        <v>2.42</v>
      </c>
      <c r="H551" s="6">
        <v>823</v>
      </c>
    </row>
    <row r="552" spans="1:31" x14ac:dyDescent="0.25">
      <c r="D552">
        <f>+D260+1</f>
        <v>263</v>
      </c>
      <c r="E552" s="5" t="s">
        <v>239</v>
      </c>
      <c r="F552" s="1" t="s">
        <v>240</v>
      </c>
      <c r="G552" s="7">
        <v>0.7</v>
      </c>
      <c r="H552" s="6">
        <f>G552*[192]Main!$M$3</f>
        <v>128.9392503</v>
      </c>
      <c r="I552" s="6">
        <f>[192]Main!$M$5-[192]Main!$M$6</f>
        <v>-59.50200000000001</v>
      </c>
      <c r="J552" s="8">
        <f>+H552-I552</f>
        <v>188.44125030000001</v>
      </c>
      <c r="K552" s="3" t="s">
        <v>16</v>
      </c>
    </row>
  </sheetData>
  <sortState xmlns:xlrd2="http://schemas.microsoft.com/office/spreadsheetml/2017/richdata2" ref="A168:AE211">
    <sortCondition descending="1" ref="H168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60" r:id="rId18" xr:uid="{14A63DAF-63A6-4B91-A2AF-AE28EA251457}"/>
    <hyperlink ref="E497" r:id="rId19" xr:uid="{4ACA7C7F-E42A-4687-A776-AB8065DB40FF}"/>
    <hyperlink ref="E495" r:id="rId20" xr:uid="{B3421391-7EC0-4253-8F62-5ED45A5BFA02}"/>
    <hyperlink ref="E498" r:id="rId21" xr:uid="{F6A45FC7-B73C-4143-9CAB-B3ADA19B5FD7}"/>
    <hyperlink ref="E257" r:id="rId22" xr:uid="{BBD267CB-7407-4913-9D05-6A6AA380019F}"/>
    <hyperlink ref="E500" r:id="rId23" xr:uid="{85368858-6D0F-4ABE-975C-AE5530342445}"/>
    <hyperlink ref="E255" r:id="rId24" xr:uid="{8B5BC1F5-14D4-45A0-B224-31FAF227EAF3}"/>
    <hyperlink ref="E499" r:id="rId25" xr:uid="{D5FB3BFE-F0A8-4C09-90A1-9F506EF0ADE4}"/>
    <hyperlink ref="E552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6" r:id="rId31" xr:uid="{C3A06396-38CD-486E-9F4F-233A79292B4F}"/>
    <hyperlink ref="E127" r:id="rId32" xr:uid="{B83625D8-44D2-4842-9139-F29C8D5F2D8E}"/>
    <hyperlink ref="E214" r:id="rId33" xr:uid="{5FF32E6A-C6C7-4793-8271-BD230B9C7641}"/>
    <hyperlink ref="E74" r:id="rId34" xr:uid="{E5739E03-9FE4-4D05-90C8-36ABF7D078CB}"/>
    <hyperlink ref="E85" r:id="rId35" xr:uid="{25285F59-771C-40DB-8B78-E1E454C61406}"/>
    <hyperlink ref="E496" r:id="rId36" xr:uid="{C000061C-001D-4088-90A4-B672D181D3C5}"/>
    <hyperlink ref="E104" r:id="rId37" xr:uid="{6A1F812B-EA91-4B3C-B4DC-88F792A7D0DE}"/>
    <hyperlink ref="E64" r:id="rId38" xr:uid="{6930A656-C59A-465F-8634-B30B4FEF47BC}"/>
    <hyperlink ref="E91" r:id="rId39" xr:uid="{559FAD8A-D620-4B93-BE14-CC22630BD57E}"/>
    <hyperlink ref="E256" r:id="rId40" xr:uid="{6A576FDB-A573-4A00-8381-4BECF13B35A1}"/>
    <hyperlink ref="E161" r:id="rId41" xr:uid="{51C9506E-5D60-43F8-BADA-7F72A25DAFF6}"/>
    <hyperlink ref="E119" r:id="rId42" xr:uid="{9E4325F2-98CF-4735-96D0-66A9DC5A8E86}"/>
    <hyperlink ref="E545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1" r:id="rId57" xr:uid="{DE2D1DDB-B5B7-4055-B885-0CD9E7670070}"/>
    <hyperlink ref="E32" r:id="rId58" xr:uid="{9DD12163-063E-4F73-89A5-34D8E8AC0534}"/>
    <hyperlink ref="E88" r:id="rId59" xr:uid="{1D3A6A47-22C9-4CC1-94BD-20DE3BB08016}"/>
    <hyperlink ref="E52" r:id="rId60" xr:uid="{27FB3DB4-8430-405F-9558-F31A0B69ED5F}"/>
    <hyperlink ref="E44" r:id="rId61" xr:uid="{144D13FD-59BD-499B-A0B4-B06985623C68}"/>
    <hyperlink ref="E547" r:id="rId62" xr:uid="{E48CD1EB-CFA1-47B1-BD8B-09F09CDD4FA4}"/>
    <hyperlink ref="E120" r:id="rId63" xr:uid="{6E9AFF81-F520-4A86-9FC2-D5CFE68E7EB7}"/>
    <hyperlink ref="E73" r:id="rId64" xr:uid="{ED527D70-0B51-4151-8378-8C40B68FF19D}"/>
    <hyperlink ref="E47" r:id="rId65" xr:uid="{A902B26E-CA39-4DC5-9F23-4459D8D315E8}"/>
    <hyperlink ref="E100" r:id="rId66" xr:uid="{5F0313F8-3376-4F67-9822-E1412CAA5959}"/>
    <hyperlink ref="E107" r:id="rId67" xr:uid="{AE3A3FD9-E651-4A72-81DB-B29CC61B516B}"/>
    <hyperlink ref="E68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67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7" r:id="rId77" xr:uid="{44DEB74A-F098-4876-A279-D1E6237DF8DB}"/>
    <hyperlink ref="E71" r:id="rId78" xr:uid="{ADF59BEC-B8D8-4144-ADEB-041425B69409}"/>
    <hyperlink ref="E310" r:id="rId79" xr:uid="{69AB4316-2FED-44FC-B108-3CD00D6F57B9}"/>
    <hyperlink ref="E305" r:id="rId80" xr:uid="{172C358D-5501-4447-9FDE-DA046F6FED55}"/>
    <hyperlink ref="E116" r:id="rId81" xr:uid="{D181F941-FF02-423B-9F90-890B434046DD}"/>
    <hyperlink ref="E164" r:id="rId82" xr:uid="{1924D31B-B6B9-4CB2-936E-0F68E40FA2F5}"/>
    <hyperlink ref="E165" r:id="rId83" xr:uid="{8E97DA51-E6CD-4B11-B6F8-BD0A3CC93541}"/>
    <hyperlink ref="E105" r:id="rId84" xr:uid="{BACD6400-1341-654E-A5B2-576C65F8052B}"/>
    <hyperlink ref="E350" r:id="rId85" xr:uid="{C4CF7488-CAF7-4516-AB24-0FC50F0916A3}"/>
    <hyperlink ref="E123" r:id="rId86" xr:uid="{2B6C4E35-2657-4D1A-8D80-C54F892964F4}"/>
    <hyperlink ref="E11" r:id="rId87" xr:uid="{D4CC8F9A-CC3B-EE41-860B-629E01D90BFD}"/>
    <hyperlink ref="E408" r:id="rId88" xr:uid="{C4EB2FD5-19C2-4B46-A645-6A4B58B3BF48}"/>
    <hyperlink ref="E437" r:id="rId89" xr:uid="{E2D5EE7E-5721-5749-A98C-474C4C00D036}"/>
    <hyperlink ref="E23" r:id="rId90" xr:uid="{AA34EED3-260C-48F6-B18F-9CB2123B2DB8}"/>
    <hyperlink ref="E35" r:id="rId91" xr:uid="{3556B95F-6CC1-4165-90C0-F95B358B441D}"/>
    <hyperlink ref="E463" r:id="rId92" xr:uid="{E9466C79-B428-4906-B5D4-8A65E345C46A}"/>
    <hyperlink ref="E72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2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95" r:id="rId104" xr:uid="{7DEB18EF-0653-42AE-848B-1CD34B6185B1}"/>
    <hyperlink ref="E307" r:id="rId105" xr:uid="{500E1EB4-5BFA-41DA-B498-9CADDCBC3BD8}"/>
    <hyperlink ref="E521" r:id="rId106" xr:uid="{DA843767-B487-45EC-B6B6-4CAF3C575C50}"/>
    <hyperlink ref="E83" r:id="rId107" xr:uid="{5DA9C2AA-A278-4FF3-A2FD-E53617E5E8B8}"/>
    <hyperlink ref="E501" r:id="rId108" xr:uid="{91A036B5-0E03-4930-B738-BF1C076ACF18}"/>
    <hyperlink ref="E110" r:id="rId109" xr:uid="{8068ED1A-3B17-4C79-9022-B1BEE306CC58}"/>
    <hyperlink ref="E99" r:id="rId110" xr:uid="{DEB94AB7-6F89-44AE-9C77-B3E2D1E51B70}"/>
    <hyperlink ref="E308" r:id="rId111" xr:uid="{C5AE6E9D-13C3-40F4-80F9-EB86590BF332}"/>
    <hyperlink ref="E228" r:id="rId112" xr:uid="{47C928EF-242B-4B5F-9296-FA878004232C}"/>
    <hyperlink ref="E360" r:id="rId113" xr:uid="{B0C9190D-D136-462D-B004-BE374B10A4F0}"/>
    <hyperlink ref="E79" r:id="rId114" xr:uid="{1C0EAF20-C59C-4E14-90E0-E67EED291627}"/>
    <hyperlink ref="E306" r:id="rId115" xr:uid="{820E74E5-32AF-43AF-A75C-37305E58D952}"/>
    <hyperlink ref="E102" r:id="rId116" xr:uid="{4A53B476-D8D4-4433-B5B3-B626DD5ECAA5}"/>
    <hyperlink ref="E309" r:id="rId117" xr:uid="{0E69FC1D-F608-42EA-B683-C53C409C70F7}"/>
    <hyperlink ref="E168" r:id="rId118" xr:uid="{058DC54B-6F58-47B5-B00D-CB85499F0661}"/>
    <hyperlink ref="E169" r:id="rId119" xr:uid="{E3F91124-A68C-481A-9F88-5F0B403E12FC}"/>
    <hyperlink ref="E232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2" r:id="rId125" xr:uid="{B8FF6BDF-ECF2-42BA-996C-B33320BF3BB8}"/>
    <hyperlink ref="E125" r:id="rId126" xr:uid="{3C9F7D37-C376-486A-BD65-0A06F1A1BA4E}"/>
    <hyperlink ref="E76" r:id="rId127" xr:uid="{A739B306-7AF4-4BC1-B603-405E1AD42DA9}"/>
    <hyperlink ref="E70" r:id="rId128" xr:uid="{D16D1630-A1AE-4CF8-B35B-01F574ECC4EC}"/>
    <hyperlink ref="E84" r:id="rId129" xr:uid="{A96FF32D-8546-4297-AE3C-E279BBEB2988}"/>
    <hyperlink ref="E75" r:id="rId130" xr:uid="{B2C89E35-9AED-4A34-8767-FB6CD96F1DF7}"/>
    <hyperlink ref="E115" r:id="rId131" xr:uid="{7A0C9405-40F2-4CD9-999B-9032EC028C8E}"/>
    <hyperlink ref="E304" r:id="rId132" xr:uid="{F79A5FA4-445D-4428-8347-8E6CA8EBA325}"/>
    <hyperlink ref="E456" r:id="rId133" xr:uid="{C5162717-DEF1-45A6-BAF5-F5909C72945C}"/>
    <hyperlink ref="E544" r:id="rId134" xr:uid="{DCA25E80-5EA2-4E2F-B5AD-7E00734C912A}"/>
    <hyperlink ref="E303" r:id="rId135" xr:uid="{6E543356-A92B-4C40-A4D8-0039FD9CF30E}"/>
    <hyperlink ref="E231" r:id="rId136" xr:uid="{18B5F0EF-CE16-458F-B2EC-C055E9592268}"/>
    <hyperlink ref="E229" r:id="rId137" xr:uid="{8452EEB1-E3C6-4709-93A8-E45683AE4BD4}"/>
    <hyperlink ref="E77" r:id="rId138" xr:uid="{8515586A-C9D5-4B3A-AB81-567CAF8711D8}"/>
    <hyperlink ref="E92" r:id="rId139" xr:uid="{05112419-511E-40D9-B365-E7FC8328F3E3}"/>
    <hyperlink ref="E479" r:id="rId140" xr:uid="{42ED5909-2E52-452C-9738-284A43C46BA0}"/>
    <hyperlink ref="E114" r:id="rId141" xr:uid="{7B9292BF-8007-4C13-92AA-E4F48B407B78}"/>
    <hyperlink ref="E93" r:id="rId142" xr:uid="{4455E1D2-0A06-49CD-B578-A39396AB2276}"/>
    <hyperlink ref="E96" r:id="rId143" xr:uid="{9DBA9CB6-4FFE-4633-8913-39BE132E7E63}"/>
    <hyperlink ref="E16" r:id="rId144" xr:uid="{60368EA6-8CB5-4BF4-AD11-2511F2B2CC10}"/>
    <hyperlink ref="E261" r:id="rId145" xr:uid="{909F79D0-EDBD-44C4-8C45-548124C5C81A}"/>
    <hyperlink ref="E163" r:id="rId146" xr:uid="{0A7AB162-5181-4ECD-BE39-067356A9A255}"/>
    <hyperlink ref="E98" r:id="rId147" xr:uid="{A780315D-7EE1-43B1-808B-CA1A9B40DACC}"/>
    <hyperlink ref="E433" r:id="rId148" xr:uid="{6EE007AF-F0B0-4EED-9CDD-3FC2319822A5}"/>
    <hyperlink ref="E262" r:id="rId149" xr:uid="{ED761473-51F4-41BF-8401-76685055518C}"/>
    <hyperlink ref="E78" r:id="rId150" xr:uid="{7F559409-F96D-4010-8F92-37C722C2B828}"/>
    <hyperlink ref="E90" r:id="rId151" xr:uid="{C48A4FCA-0630-EF43-9EEC-B6CAB37EFE4F}"/>
    <hyperlink ref="E80" r:id="rId152" xr:uid="{96899701-8AB6-4B30-9017-19357666F340}"/>
    <hyperlink ref="E87" r:id="rId153" xr:uid="{CFB41F62-0690-4C3D-B6CD-811E3E94C4EE}"/>
    <hyperlink ref="E131" r:id="rId154" xr:uid="{82A44C16-0029-4130-9750-D08BCC5182B4}"/>
    <hyperlink ref="E58" r:id="rId155" xr:uid="{C35461B3-E679-4CC0-9362-2A53FE04533B}"/>
    <hyperlink ref="E103" r:id="rId156" xr:uid="{31B2FC14-DD5D-4E0C-A012-B1FDA85DBE36}"/>
    <hyperlink ref="E69" r:id="rId157" xr:uid="{96AAF9F5-B005-400B-B62E-90DC1A7E8852}"/>
    <hyperlink ref="E251" r:id="rId158" xr:uid="{5BE55498-D8ED-41C4-A33E-57BE28B07449}"/>
    <hyperlink ref="E409" r:id="rId159" xr:uid="{2B1AAFD9-D8D6-4616-841E-10108CC8192B}"/>
    <hyperlink ref="E412" r:id="rId160" xr:uid="{D4B5A9D9-65BB-430A-A731-1152EA8D5DED}"/>
    <hyperlink ref="E97" r:id="rId161" xr:uid="{67670CCE-8D41-4404-8F2B-F79243E31585}"/>
    <hyperlink ref="E118" r:id="rId162" xr:uid="{C904B992-93FD-497A-93CC-2FE800E3CDD4}"/>
    <hyperlink ref="E462" r:id="rId163" xr:uid="{B24388CE-B704-4189-8171-2A7C078385AA}"/>
    <hyperlink ref="E457" r:id="rId164" xr:uid="{107ACC16-1AF2-463F-97B2-B3329D313681}"/>
    <hyperlink ref="E407" r:id="rId165" xr:uid="{C40615BB-48F8-4AB1-92A6-E4710DC43430}"/>
    <hyperlink ref="E348" r:id="rId166" xr:uid="{0695F03B-1E3F-0E41-B1ED-4F68787EFC35}"/>
    <hyperlink ref="E464" r:id="rId167" xr:uid="{0152517F-3480-4755-804B-768910043082}"/>
    <hyperlink ref="E113" r:id="rId168" xr:uid="{F0EE4F6E-0A2F-4906-8143-739E8257E38C}"/>
    <hyperlink ref="E405" r:id="rId169" xr:uid="{0F9B63DB-3B35-4E51-BD36-EC943559BF1E}"/>
    <hyperlink ref="E458" r:id="rId170" xr:uid="{7592EF22-0CF5-48F3-8744-24868E314045}"/>
    <hyperlink ref="E455" r:id="rId171" xr:uid="{66F30E61-4E4B-47C8-8D49-028CC77AA4C6}"/>
    <hyperlink ref="E410" r:id="rId172" xr:uid="{778D749F-0610-418A-A963-ADCD5A226677}"/>
    <hyperlink ref="E449" r:id="rId173" xr:uid="{8E820BFC-E26B-4A27-A962-89FF7A10589B}"/>
    <hyperlink ref="E404" r:id="rId174" xr:uid="{3DD5CDF4-E650-429E-97DF-ABC116C3584D}"/>
    <hyperlink ref="E338" r:id="rId175" xr:uid="{1292FD9E-BA4F-4B20-AD44-4B752114EEEF}"/>
    <hyperlink ref="E406" r:id="rId176" xr:uid="{35FB9AE4-5A31-48BA-9D76-BF10058F42EC}"/>
    <hyperlink ref="E363" r:id="rId177" xr:uid="{4C62C768-C471-4E03-BD75-AF60DDF17283}"/>
    <hyperlink ref="E86" r:id="rId178" xr:uid="{FCC7525B-426F-4D18-B356-CF6486A50A0F}"/>
    <hyperlink ref="E364" r:id="rId179" xr:uid="{3714C986-B632-4E2F-8857-1DCA6DFD79FD}"/>
    <hyperlink ref="E258" r:id="rId180" xr:uid="{CE44BEA4-012D-4699-8F08-C58713DDB2BE}"/>
    <hyperlink ref="E213" r:id="rId181" xr:uid="{0E4C0ACB-35E3-43D4-B0E1-F865F7ED59B8}"/>
    <hyperlink ref="E361" r:id="rId182" xr:uid="{5127CACD-341C-4DCA-B244-83466075BEBF}"/>
    <hyperlink ref="E254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9" r:id="rId190" xr:uid="{51D052A4-1B75-48F3-93AF-E8B1B96076CE}"/>
    <hyperlink ref="E460" r:id="rId191" xr:uid="{FD546B4F-FF4A-4365-A9F1-25C43D119A98}"/>
    <hyperlink ref="E461" r:id="rId192" xr:uid="{FA2E0702-7573-4035-93EA-A0CE71143105}"/>
    <hyperlink ref="E101" r:id="rId193" xr:uid="{19D04C6A-EB12-4779-9BF1-8615419B9493}"/>
    <hyperlink ref="E284" r:id="rId194" xr:uid="{F54AFBD3-3040-4478-815C-CC270DBC110E}"/>
    <hyperlink ref="E166" r:id="rId195" xr:uid="{5741E758-F26D-41A7-976D-943D0B4BBA8C}"/>
    <hyperlink ref="E233" r:id="rId196" xr:uid="{46E08616-E182-4770-A0EC-E67C429D363A}"/>
    <hyperlink ref="E403" r:id="rId197" xr:uid="{25A8908D-5EB4-416E-B88A-983D1FDD66C7}"/>
    <hyperlink ref="E419" r:id="rId198" xr:uid="{63936724-7806-4858-BC51-BF317429A4D3}"/>
    <hyperlink ref="E428" r:id="rId199" xr:uid="{F7B60A92-FEBA-4956-8C32-3DAD1956FCBE}"/>
    <hyperlink ref="E259" r:id="rId200" xr:uid="{BB2D6CB0-9710-43BE-9C9C-96D4CB00CC27}"/>
    <hyperlink ref="E371" r:id="rId201" xr:uid="{7EF10422-26D7-4738-A7D3-E7994A8DAA2B}"/>
    <hyperlink ref="E162" r:id="rId202" xr:uid="{F19BA876-8355-426C-9961-985F5221658A}"/>
    <hyperlink ref="E427" r:id="rId203" xr:uid="{C5D06361-EB49-48E0-A1D9-AF4AC610A623}"/>
    <hyperlink ref="E252" r:id="rId204" xr:uid="{3EBF05D2-CB49-4743-B497-44F343FEF925}"/>
    <hyperlink ref="E253" r:id="rId205" xr:uid="{9F744E11-79B1-41BF-84C3-9DB6AA9D6A0A}"/>
    <hyperlink ref="E230" r:id="rId206" xr:uid="{89A3EC98-D13D-4CF4-A6D0-7CE019243966}"/>
    <hyperlink ref="E89" r:id="rId207" xr:uid="{64B386A5-32AA-479A-BF21-CAB85694C43C}"/>
    <hyperlink ref="E379" r:id="rId208" xr:uid="{C7EC599F-1BEA-45A7-9110-61C63AADB6EA}"/>
    <hyperlink ref="E432" r:id="rId209" xr:uid="{F4947070-5DBC-4DB5-89C2-5BF3AAF42097}"/>
    <hyperlink ref="E425" r:id="rId210" xr:uid="{2B90B6AE-5270-499A-ACC5-93CF43195988}"/>
    <hyperlink ref="E372" r:id="rId211" xr:uid="{6C1AFFD3-C72A-4EC5-9C96-6ED79496D763}"/>
    <hyperlink ref="E109" r:id="rId212" xr:uid="{9F4AE380-FC68-48E0-95DA-205160A3646B}"/>
    <hyperlink ref="E171" r:id="rId213" xr:uid="{60CEAB5A-AEFD-4A1A-AE36-6388775884A6}"/>
    <hyperlink ref="E201" r:id="rId214" xr:uid="{D2FE86B3-4852-4B36-A676-E4C0EAECF9DF}"/>
    <hyperlink ref="E311" r:id="rId215" xr:uid="{27C76475-566F-4D32-9C1A-13CA8106D463}"/>
    <hyperlink ref="E285" r:id="rId216" xr:uid="{8FE86324-F4E0-40F3-A28B-942FDEC7D6E4}"/>
    <hyperlink ref="E212" r:id="rId217" xr:uid="{B0DE8762-012E-4A0E-8BF3-E6C9446E18BD}"/>
  </hyperlinks>
  <pageMargins left="0.7" right="0.7" top="0.75" bottom="0.75" header="0.3" footer="0.3"/>
  <pageSetup paperSize="9" orientation="portrait" r:id="rId218"/>
  <legacyDrawing r:id="rId2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2"/>
  <sheetViews>
    <sheetView zoomScale="205" zoomScaleNormal="205" workbookViewId="0">
      <pane xSplit="2" ySplit="2" topLeftCell="C109" activePane="bottomRight" state="frozen"/>
      <selection pane="topRight" activeCell="C1" sqref="C1"/>
      <selection pane="bottomLeft" activeCell="A3" sqref="A3"/>
      <selection pane="bottomRight" activeCell="B123" sqref="B123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([193]Main!$J$5-[193]Main!$J$6)/HKD</f>
        <v>991.71512820512828</v>
      </c>
      <c r="G76" s="6">
        <f>+E76-F76</f>
        <v>23523.572694544873</v>
      </c>
      <c r="H76" s="3" t="s">
        <v>300</v>
      </c>
      <c r="I76" s="6">
        <f>+[193]Main!$J$3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+[194]Main!$L$5-[194]Main!$L$6</f>
        <v>1024.6570000000002</v>
      </c>
      <c r="G120" s="35">
        <f>+E120-F120</f>
        <v>12817.710175</v>
      </c>
      <c r="H120" s="59" t="s">
        <v>1070</v>
      </c>
      <c r="I120" s="35">
        <f>+[194]Main!$L$3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B121" s="95" t="s">
        <v>949</v>
      </c>
      <c r="C121" s="94" t="s">
        <v>950</v>
      </c>
      <c r="D121" s="96">
        <v>33.89</v>
      </c>
      <c r="E121" s="97">
        <f>+D121*I121</f>
        <v>1318.30476669</v>
      </c>
      <c r="F121" s="97">
        <f>+[195]Main!$K$5-[195]Main!$K$6</f>
        <v>304.87299999999999</v>
      </c>
      <c r="G121" s="97">
        <f>+E121-F121</f>
        <v>1013.4317666899999</v>
      </c>
      <c r="H121" s="96" t="s">
        <v>1070</v>
      </c>
      <c r="I121" s="97">
        <f>+[195]Main!$K$3</f>
        <v>38.899521</v>
      </c>
      <c r="J121" s="98">
        <v>45558</v>
      </c>
      <c r="K121" s="96"/>
      <c r="L121" s="96"/>
      <c r="M121" s="96"/>
      <c r="N121" s="96"/>
      <c r="O121" s="96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</row>
    <row r="122" spans="2:30" x14ac:dyDescent="0.25">
      <c r="B122" t="s">
        <v>1977</v>
      </c>
      <c r="C122" t="s">
        <v>102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B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2025-07-07T23:03:03Z</dcterms:modified>
</cp:coreProperties>
</file>