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05BFB77E-C1B0-4AAD-8EB0-B0ABFB90FAE5}" xr6:coauthVersionLast="47" xr6:coauthVersionMax="47" xr10:uidLastSave="{00000000-0000-0000-0000-000000000000}"/>
  <bookViews>
    <workbookView xWindow="22130" yWindow="1220" windowWidth="16450" windowHeight="18170" activeTab="1" xr2:uid="{00000000-000D-0000-FFFF-FFFF00000000}"/>
  </bookViews>
  <sheets>
    <sheet name="Main" sheetId="1" r:id="rId1"/>
    <sheet name="Model" sheetId="2" r:id="rId2"/>
    <sheet name="Idelv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6" i="2" l="1"/>
  <c r="AI56" i="2"/>
  <c r="AI53" i="2"/>
  <c r="AI54" i="2" s="1"/>
  <c r="AG53" i="2"/>
  <c r="AG54" i="2" s="1"/>
  <c r="AE46" i="2"/>
  <c r="AE48" i="2" s="1"/>
  <c r="BE46" i="2"/>
  <c r="BE48" i="2" s="1"/>
  <c r="J8" i="1"/>
  <c r="AE64" i="2"/>
  <c r="AG64" i="2"/>
  <c r="AE55" i="2"/>
  <c r="BE55" i="2"/>
  <c r="BE53" i="2"/>
  <c r="AE53" i="2"/>
  <c r="J6" i="1"/>
  <c r="J5" i="1"/>
  <c r="BP46" i="2"/>
  <c r="BO46" i="2"/>
  <c r="BN46" i="2"/>
  <c r="BM46" i="2"/>
  <c r="BL46" i="2"/>
  <c r="BK46" i="2"/>
  <c r="BJ46" i="2"/>
  <c r="BI46" i="2"/>
  <c r="BH46" i="2"/>
  <c r="BG46" i="2"/>
  <c r="BF46" i="2"/>
  <c r="BD46" i="2"/>
  <c r="BB66" i="2"/>
  <c r="BA66" i="2"/>
  <c r="AZ66" i="2"/>
  <c r="BC66" i="2"/>
  <c r="AZ64" i="2"/>
  <c r="AY64" i="2"/>
  <c r="AY55" i="2"/>
  <c r="AY53" i="2"/>
  <c r="AY48" i="2"/>
  <c r="AZ55" i="2"/>
  <c r="AZ53" i="2"/>
  <c r="AZ48" i="2"/>
  <c r="BC43" i="2"/>
  <c r="BC10" i="2"/>
  <c r="BA64" i="2"/>
  <c r="BB64" i="2"/>
  <c r="BC64" i="2"/>
  <c r="BC55" i="2"/>
  <c r="BC53" i="2"/>
  <c r="BC48" i="2"/>
  <c r="BA48" i="2"/>
  <c r="BB48" i="2"/>
  <c r="BA53" i="2"/>
  <c r="BB53" i="2"/>
  <c r="BA55" i="2"/>
  <c r="BB55" i="2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D13" i="2"/>
  <c r="D12" i="2"/>
  <c r="D11" i="2"/>
  <c r="D10" i="2"/>
  <c r="D57" i="2"/>
  <c r="D51" i="2"/>
  <c r="D50" i="2"/>
  <c r="D49" i="2"/>
  <c r="AP52" i="2"/>
  <c r="D47" i="2"/>
  <c r="AP48" i="2"/>
  <c r="D46" i="2"/>
  <c r="C52" i="2"/>
  <c r="C53" i="2" s="1"/>
  <c r="C48" i="2"/>
  <c r="E52" i="2"/>
  <c r="E53" i="2" s="1"/>
  <c r="E48" i="2"/>
  <c r="J4" i="1"/>
  <c r="AE54" i="2" l="1"/>
  <c r="AE56" i="2" s="1"/>
  <c r="AE58" i="2" s="1"/>
  <c r="BE54" i="2"/>
  <c r="BE56" i="2" s="1"/>
  <c r="BE58" i="2" s="1"/>
  <c r="J7" i="1"/>
  <c r="AY54" i="2"/>
  <c r="AY56" i="2" s="1"/>
  <c r="AY58" i="2" s="1"/>
  <c r="AY59" i="2" s="1"/>
  <c r="AZ54" i="2"/>
  <c r="AZ56" i="2" s="1"/>
  <c r="AZ58" i="2" s="1"/>
  <c r="AZ59" i="2" s="1"/>
  <c r="E54" i="2"/>
  <c r="E58" i="2" s="1"/>
  <c r="E59" i="2" s="1"/>
  <c r="BA54" i="2"/>
  <c r="BA56" i="2" s="1"/>
  <c r="BA58" i="2" s="1"/>
  <c r="BA59" i="2" s="1"/>
  <c r="C54" i="2"/>
  <c r="C58" i="2" s="1"/>
  <c r="C59" i="2" s="1"/>
  <c r="BC54" i="2"/>
  <c r="BC56" i="2" s="1"/>
  <c r="BC58" i="2" s="1"/>
  <c r="BC59" i="2" s="1"/>
  <c r="D52" i="2"/>
  <c r="D53" i="2" s="1"/>
  <c r="BB54" i="2"/>
  <c r="BB56" i="2" s="1"/>
  <c r="BB58" i="2" s="1"/>
  <c r="BB59" i="2" s="1"/>
  <c r="D48" i="2"/>
  <c r="AP53" i="2"/>
  <c r="AP54" i="2" s="1"/>
  <c r="AP58" i="2" s="1"/>
  <c r="AP59" i="2" s="1"/>
  <c r="D54" i="2" l="1"/>
  <c r="D58" i="2" s="1"/>
  <c r="D59" i="2" s="1"/>
</calcChain>
</file>

<file path=xl/sharedStrings.xml><?xml version="1.0" encoding="utf-8"?>
<sst xmlns="http://schemas.openxmlformats.org/spreadsheetml/2006/main" count="222" uniqueCount="186">
  <si>
    <t>Shares</t>
  </si>
  <si>
    <t>Price AUD</t>
  </si>
  <si>
    <t>MC AUD</t>
  </si>
  <si>
    <t>Name</t>
  </si>
  <si>
    <t>Carimune</t>
  </si>
  <si>
    <t>Indication</t>
  </si>
  <si>
    <t>Mechanism</t>
  </si>
  <si>
    <t>IVIG</t>
  </si>
  <si>
    <t>Gamunex</t>
  </si>
  <si>
    <t>CIPD</t>
  </si>
  <si>
    <t>Gardasil</t>
  </si>
  <si>
    <t>HPV</t>
  </si>
  <si>
    <t>Vaccine</t>
  </si>
  <si>
    <t>MRK</t>
  </si>
  <si>
    <t>Rights</t>
  </si>
  <si>
    <t>Main</t>
  </si>
  <si>
    <t>Revenue</t>
  </si>
  <si>
    <t>1H09</t>
  </si>
  <si>
    <t>2H09</t>
  </si>
  <si>
    <t>1H10</t>
  </si>
  <si>
    <t>2H10</t>
  </si>
  <si>
    <t>COGS</t>
  </si>
  <si>
    <t>Gross Profit</t>
  </si>
  <si>
    <t>R&amp;D</t>
  </si>
  <si>
    <t>S&amp;M</t>
  </si>
  <si>
    <t>G&amp;A</t>
  </si>
  <si>
    <t>Other Income</t>
  </si>
  <si>
    <t>Operating Expenses</t>
  </si>
  <si>
    <t>Operating Income</t>
  </si>
  <si>
    <t>Taxes</t>
  </si>
  <si>
    <t>Net Income</t>
  </si>
  <si>
    <t>EPS</t>
  </si>
  <si>
    <t>pdCoag</t>
  </si>
  <si>
    <t>rFVIII</t>
  </si>
  <si>
    <t>Immunoglobulins</t>
  </si>
  <si>
    <t>Albumin</t>
  </si>
  <si>
    <t>Beriate P</t>
  </si>
  <si>
    <t>Monoclate-P</t>
  </si>
  <si>
    <t>Humate-P</t>
  </si>
  <si>
    <t>Haemate P</t>
  </si>
  <si>
    <t>Biostate</t>
  </si>
  <si>
    <t>Helixate FS</t>
  </si>
  <si>
    <t>Helixate NexGen</t>
  </si>
  <si>
    <t>Fluvax</t>
  </si>
  <si>
    <t>Australia</t>
  </si>
  <si>
    <t>Cash USD</t>
  </si>
  <si>
    <t>Debt USD</t>
  </si>
  <si>
    <t>Hizentra</t>
  </si>
  <si>
    <t>Haegarda</t>
  </si>
  <si>
    <t>Privigen</t>
  </si>
  <si>
    <t>garadacimab</t>
  </si>
  <si>
    <t>CSL324</t>
  </si>
  <si>
    <t>Hidradenitis Suppurativa</t>
  </si>
  <si>
    <t>Idelvion</t>
  </si>
  <si>
    <t>Haemophilia B</t>
  </si>
  <si>
    <t>Afstyla</t>
  </si>
  <si>
    <t>Haemophilia A</t>
  </si>
  <si>
    <t>C1 Esterase</t>
  </si>
  <si>
    <t>HAE</t>
  </si>
  <si>
    <t>G-CSFR mab</t>
  </si>
  <si>
    <t>CSL730</t>
  </si>
  <si>
    <t>CSL964</t>
  </si>
  <si>
    <t>GvHD</t>
  </si>
  <si>
    <t>alpha1-antitrypsin</t>
  </si>
  <si>
    <t>clazakizumab</t>
  </si>
  <si>
    <t>IL-6</t>
  </si>
  <si>
    <t>antibody-mediated rejection</t>
  </si>
  <si>
    <t>Fc multimer</t>
  </si>
  <si>
    <t>1H11</t>
  </si>
  <si>
    <t>2H11</t>
  </si>
  <si>
    <t>1H12</t>
  </si>
  <si>
    <t>2H12</t>
  </si>
  <si>
    <t>1H13</t>
  </si>
  <si>
    <t>2H13</t>
  </si>
  <si>
    <t>1H14</t>
  </si>
  <si>
    <t>2H14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</si>
  <si>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</si>
  <si>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</si>
  <si>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</si>
  <si>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</si>
  <si>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</si>
  <si>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</si>
  <si>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</si>
  <si>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</si>
  <si>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</si>
  <si>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</si>
  <si>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</si>
  <si>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</si>
  <si>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</si>
  <si>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</si>
  <si>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</si>
  <si>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</si>
  <si>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Interest Income</t>
  </si>
  <si>
    <t>Pretax Income</t>
  </si>
  <si>
    <t>CFFO</t>
  </si>
  <si>
    <t>CX</t>
  </si>
  <si>
    <t>1H23</t>
  </si>
  <si>
    <t>2H23</t>
  </si>
  <si>
    <t>CEO: Paul Perreault</t>
  </si>
  <si>
    <t>rFIX</t>
  </si>
  <si>
    <t>Brand</t>
  </si>
  <si>
    <t>Dosing</t>
  </si>
  <si>
    <t>7- and 14-day</t>
  </si>
  <si>
    <t>Hemophilia B prophylaxis, on-demand treatment</t>
  </si>
  <si>
    <t>SCIG</t>
  </si>
  <si>
    <t>Peri-operative</t>
  </si>
  <si>
    <t>Other Specialty</t>
  </si>
  <si>
    <t>Other Behring</t>
  </si>
  <si>
    <t>Other Seqirus</t>
  </si>
  <si>
    <t>Egg-based Vaccine</t>
  </si>
  <si>
    <t>Cell Culture Vaccine</t>
  </si>
  <si>
    <t>Adjuvanted Egg Vaccine</t>
  </si>
  <si>
    <t>Pandemic</t>
  </si>
  <si>
    <t>Fluad</t>
  </si>
  <si>
    <t>Influenza</t>
  </si>
  <si>
    <t>Hemophilia A</t>
  </si>
  <si>
    <t>FCF</t>
  </si>
  <si>
    <t>Revenue y/y</t>
  </si>
  <si>
    <t>Vifor acquisition</t>
  </si>
  <si>
    <t>$000s</t>
  </si>
  <si>
    <t>EV AUD</t>
  </si>
  <si>
    <t>EV USD</t>
  </si>
  <si>
    <t>Admin</t>
  </si>
  <si>
    <t>subcutaneous</t>
  </si>
  <si>
    <t>IV</t>
  </si>
  <si>
    <t>10% IG</t>
  </si>
  <si>
    <t>20% IG</t>
  </si>
  <si>
    <t>FXIIa</t>
  </si>
  <si>
    <t>ILD, HAE</t>
  </si>
  <si>
    <t>Approved</t>
  </si>
  <si>
    <t>Phase</t>
  </si>
  <si>
    <t>Etranacogene dezaparvovec</t>
  </si>
  <si>
    <t>Hemophilia B</t>
  </si>
  <si>
    <t>rFIX gene therapy</t>
  </si>
  <si>
    <t>Kcentra</t>
  </si>
  <si>
    <t>prothrombin</t>
  </si>
  <si>
    <t>Trauma</t>
  </si>
  <si>
    <t>CSL889 (hemopexin)</t>
  </si>
  <si>
    <t>Sickle Cell Disease</t>
  </si>
  <si>
    <t>Zemaira/Respreeza</t>
  </si>
  <si>
    <t>AAT</t>
  </si>
  <si>
    <t>trabikibart</t>
  </si>
  <si>
    <t>Asthma</t>
  </si>
  <si>
    <t>anti-beta common mab</t>
  </si>
  <si>
    <t>CSL787</t>
  </si>
  <si>
    <t>Non-CF Bronchiectasis</t>
  </si>
  <si>
    <t>nebulized IG</t>
  </si>
  <si>
    <t>CSL112</t>
  </si>
  <si>
    <t>Apolipoprotein A-I</t>
  </si>
  <si>
    <t>ACS</t>
  </si>
  <si>
    <t>CSL346</t>
  </si>
  <si>
    <t>DKD</t>
  </si>
  <si>
    <t>VEGFB mab</t>
  </si>
  <si>
    <t>Audenz</t>
  </si>
  <si>
    <t>H5N1 Influenza</t>
  </si>
  <si>
    <t>Flucelvax</t>
  </si>
  <si>
    <t>Foclivia/Focetria</t>
  </si>
  <si>
    <t>aQIVc</t>
  </si>
  <si>
    <t>quadrivalent</t>
  </si>
  <si>
    <t>eblasakimab</t>
  </si>
  <si>
    <t>mavrilimumab</t>
  </si>
  <si>
    <t>GM-CSF</t>
  </si>
  <si>
    <t>GCA, RA</t>
  </si>
  <si>
    <t>IL-13R mab</t>
  </si>
  <si>
    <t>Atopic Dermatitis</t>
  </si>
  <si>
    <t>Q224</t>
  </si>
  <si>
    <t>1H24</t>
  </si>
  <si>
    <t>2H24</t>
  </si>
  <si>
    <t>Iron</t>
  </si>
  <si>
    <t>Dialysis</t>
  </si>
  <si>
    <t>Non-Dialysis</t>
  </si>
  <si>
    <t>Other</t>
  </si>
  <si>
    <t>1H25</t>
  </si>
  <si>
    <t>Afluria</t>
  </si>
  <si>
    <t>Pandemic Research Fees</t>
  </si>
  <si>
    <t>Ferinject/Injectafer</t>
  </si>
  <si>
    <t>Mircera</t>
  </si>
  <si>
    <t>Venofer</t>
  </si>
  <si>
    <t>Veltassa</t>
  </si>
  <si>
    <t>Velphoro</t>
  </si>
  <si>
    <t>Tavneos</t>
  </si>
  <si>
    <t>Maltofer</t>
  </si>
  <si>
    <t>Berinert</t>
  </si>
  <si>
    <t>Haemocomplettan</t>
  </si>
  <si>
    <t>Humate</t>
  </si>
  <si>
    <t>Haemate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</si>
</sst>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0" xfId="1" applyAlignment="1" applyProtection="1"/>
    <xf numFmtId="3" fontId="0" fillId="0" borderId="0" xfId="0" applyNumberFormat="1"/>
    <xf numFmtId="3" fontId="3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17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1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0" fillId="0" borderId="0" xfId="0" applyNumberFormat="1"/>
    <xf numFmtId="0" fontId="0" fillId="0" borderId="4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/>
    <xf numFmtId="0" fontId="2" fillId="0" borderId="4" xfId="1" applyFill="1" applyBorder="1" applyAlignment="1" applyProtection="1"/>
    <xf numFmtId="0" fontId="3" fillId="0" borderId="8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E01F711A-1862-48EB-9392-444721FF5E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29818</xdr:colOff>
      <xdr:row>0</xdr:row>
      <xdr:rowOff>0</xdr:rowOff>
    </xdr:from>
    <xdr:to>
      <xdr:col>55</xdr:col>
      <xdr:colOff>29818</xdr:colOff>
      <xdr:row>87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B567F7-9D19-BBA4-8C3D-0A01DDCA3517}"/>
            </a:ext>
          </a:extLst>
        </xdr:cNvPr>
        <xdr:cNvCxnSpPr/>
      </xdr:nvCxnSpPr>
      <xdr:spPr>
        <a:xfrm>
          <a:off x="30377296" y="0"/>
          <a:ext cx="0" cy="99391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0</xdr:row>
      <xdr:rowOff>47625</xdr:rowOff>
    </xdr:from>
    <xdr:to>
      <xdr:col>29</xdr:col>
      <xdr:colOff>57150</xdr:colOff>
      <xdr:row>93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E236B1F-AC05-78D8-F21B-348DFE666F05}"/>
            </a:ext>
          </a:extLst>
        </xdr:cNvPr>
        <xdr:cNvCxnSpPr/>
      </xdr:nvCxnSpPr>
      <xdr:spPr>
        <a:xfrm>
          <a:off x="18059400" y="47625"/>
          <a:ext cx="0" cy="897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0"/>
  <sheetViews>
    <sheetView topLeftCell="H1" zoomScale="145" zoomScaleNormal="145" workbookViewId="0">
      <selection activeCell="J8" sqref="J8"/>
    </sheetView>
  </sheetViews>
  <sheetFormatPr defaultRowHeight="12.5" x14ac:dyDescent="0.25"/>
  <cols>
    <col min="1" max="1" width="4.1796875" customWidth="1"/>
    <col min="2" max="2" width="25" customWidth="1"/>
    <col min="3" max="3" width="27.26953125" customWidth="1"/>
    <col min="4" max="4" width="12.1796875" customWidth="1"/>
    <col min="6" max="6" width="12.453125" customWidth="1"/>
    <col min="9" max="9" width="11" customWidth="1"/>
    <col min="10" max="10" width="8.81640625" customWidth="1"/>
    <col min="11" max="11" width="8.1796875" customWidth="1"/>
  </cols>
  <sheetData>
    <row r="2" spans="2:11" x14ac:dyDescent="0.25">
      <c r="B2" s="16" t="s">
        <v>3</v>
      </c>
      <c r="C2" s="17" t="s">
        <v>5</v>
      </c>
      <c r="D2" s="17" t="s">
        <v>6</v>
      </c>
      <c r="E2" s="18" t="s">
        <v>14</v>
      </c>
      <c r="F2" s="18" t="s">
        <v>122</v>
      </c>
      <c r="G2" s="33" t="s">
        <v>129</v>
      </c>
      <c r="I2" t="s">
        <v>1</v>
      </c>
      <c r="J2" s="19">
        <v>307</v>
      </c>
    </row>
    <row r="3" spans="2:11" x14ac:dyDescent="0.25">
      <c r="B3" s="20" t="s">
        <v>4</v>
      </c>
      <c r="C3" s="21" t="s">
        <v>9</v>
      </c>
      <c r="D3" s="22" t="s">
        <v>7</v>
      </c>
      <c r="E3" s="22"/>
      <c r="F3" s="22"/>
      <c r="G3" s="23"/>
      <c r="I3" t="s">
        <v>0</v>
      </c>
      <c r="J3" s="4">
        <v>485.19930699999998</v>
      </c>
      <c r="K3" s="2" t="s">
        <v>165</v>
      </c>
    </row>
    <row r="4" spans="2:11" x14ac:dyDescent="0.25">
      <c r="B4" s="20" t="s">
        <v>8</v>
      </c>
      <c r="C4" s="22" t="s">
        <v>9</v>
      </c>
      <c r="D4" s="22" t="s">
        <v>7</v>
      </c>
      <c r="E4" s="22"/>
      <c r="F4" s="22"/>
      <c r="G4" s="23"/>
      <c r="I4" t="s">
        <v>2</v>
      </c>
      <c r="J4" s="4">
        <f>J3*J2</f>
        <v>148956.18724899998</v>
      </c>
    </row>
    <row r="5" spans="2:11" x14ac:dyDescent="0.25">
      <c r="B5" s="24" t="s">
        <v>10</v>
      </c>
      <c r="C5" s="21" t="s">
        <v>11</v>
      </c>
      <c r="D5" s="21" t="s">
        <v>12</v>
      </c>
      <c r="E5" s="21" t="s">
        <v>13</v>
      </c>
      <c r="F5" s="22"/>
      <c r="G5" s="23"/>
      <c r="I5" s="15" t="s">
        <v>45</v>
      </c>
      <c r="J5" s="4">
        <f>163+1657</f>
        <v>1820</v>
      </c>
      <c r="K5" s="2" t="s">
        <v>165</v>
      </c>
    </row>
    <row r="6" spans="2:11" x14ac:dyDescent="0.25">
      <c r="B6" s="24" t="s">
        <v>47</v>
      </c>
      <c r="C6" s="21" t="s">
        <v>9</v>
      </c>
      <c r="D6" s="21" t="s">
        <v>126</v>
      </c>
      <c r="E6" s="21"/>
      <c r="F6" s="21" t="s">
        <v>123</v>
      </c>
      <c r="G6" s="23"/>
      <c r="I6" s="15" t="s">
        <v>46</v>
      </c>
      <c r="J6" s="4">
        <f>11239+944</f>
        <v>12183</v>
      </c>
      <c r="K6" s="2" t="s">
        <v>165</v>
      </c>
    </row>
    <row r="7" spans="2:11" x14ac:dyDescent="0.25">
      <c r="B7" s="24" t="s">
        <v>41</v>
      </c>
      <c r="C7" s="22" t="s">
        <v>115</v>
      </c>
      <c r="D7" s="21" t="s">
        <v>33</v>
      </c>
      <c r="E7" s="22"/>
      <c r="F7" s="22"/>
      <c r="G7" s="23"/>
      <c r="I7" s="15" t="s">
        <v>120</v>
      </c>
      <c r="J7" s="4">
        <f>J4-J5+J6</f>
        <v>159319.18724899998</v>
      </c>
    </row>
    <row r="8" spans="2:11" x14ac:dyDescent="0.25">
      <c r="B8" s="24" t="s">
        <v>42</v>
      </c>
      <c r="C8" s="22" t="s">
        <v>115</v>
      </c>
      <c r="D8" s="21" t="s">
        <v>33</v>
      </c>
      <c r="E8" s="22"/>
      <c r="F8" s="22"/>
      <c r="G8" s="23"/>
      <c r="I8" s="15" t="s">
        <v>121</v>
      </c>
      <c r="J8" s="4">
        <f>J7/1.5</f>
        <v>106212.79149933333</v>
      </c>
    </row>
    <row r="9" spans="2:11" x14ac:dyDescent="0.25">
      <c r="B9" s="24" t="s">
        <v>43</v>
      </c>
      <c r="C9" s="22" t="s">
        <v>114</v>
      </c>
      <c r="D9" s="21" t="s">
        <v>12</v>
      </c>
      <c r="E9" s="21" t="s">
        <v>44</v>
      </c>
      <c r="F9" s="22"/>
      <c r="G9" s="23"/>
      <c r="J9" s="4"/>
    </row>
    <row r="10" spans="2:11" x14ac:dyDescent="0.25">
      <c r="B10" s="24" t="s">
        <v>113</v>
      </c>
      <c r="C10" s="22" t="s">
        <v>114</v>
      </c>
      <c r="D10" s="21" t="s">
        <v>12</v>
      </c>
      <c r="E10" s="21"/>
      <c r="F10" s="22"/>
      <c r="G10" s="23"/>
      <c r="J10" s="4"/>
    </row>
    <row r="11" spans="2:11" x14ac:dyDescent="0.25">
      <c r="B11" s="24" t="s">
        <v>155</v>
      </c>
      <c r="C11" s="21" t="s">
        <v>114</v>
      </c>
      <c r="D11" s="21" t="s">
        <v>12</v>
      </c>
      <c r="E11" s="21"/>
      <c r="F11" s="22"/>
      <c r="G11" s="23"/>
      <c r="J11" s="4"/>
    </row>
    <row r="12" spans="2:11" x14ac:dyDescent="0.25">
      <c r="B12" s="24" t="s">
        <v>156</v>
      </c>
      <c r="C12" s="21" t="s">
        <v>154</v>
      </c>
      <c r="D12" s="21" t="s">
        <v>12</v>
      </c>
      <c r="E12" s="21"/>
      <c r="F12" s="22"/>
      <c r="G12" s="23"/>
      <c r="J12" s="4"/>
    </row>
    <row r="13" spans="2:11" x14ac:dyDescent="0.25">
      <c r="B13" s="24" t="s">
        <v>153</v>
      </c>
      <c r="C13" s="21" t="s">
        <v>154</v>
      </c>
      <c r="D13" s="21" t="s">
        <v>12</v>
      </c>
      <c r="E13" s="21"/>
      <c r="F13" s="22"/>
      <c r="G13" s="23"/>
      <c r="J13" s="4"/>
    </row>
    <row r="14" spans="2:11" x14ac:dyDescent="0.25">
      <c r="B14" s="24" t="s">
        <v>48</v>
      </c>
      <c r="C14" s="21" t="s">
        <v>58</v>
      </c>
      <c r="D14" s="21" t="s">
        <v>57</v>
      </c>
      <c r="E14" s="21"/>
      <c r="F14" s="21" t="s">
        <v>123</v>
      </c>
      <c r="G14" s="23"/>
      <c r="J14" s="4"/>
    </row>
    <row r="15" spans="2:11" x14ac:dyDescent="0.25">
      <c r="B15" s="24" t="s">
        <v>49</v>
      </c>
      <c r="C15" s="21" t="s">
        <v>9</v>
      </c>
      <c r="D15" s="21" t="s">
        <v>125</v>
      </c>
      <c r="E15" s="21"/>
      <c r="F15" s="21" t="s">
        <v>124</v>
      </c>
      <c r="G15" s="23"/>
      <c r="J15" s="4"/>
    </row>
    <row r="16" spans="2:11" x14ac:dyDescent="0.25">
      <c r="B16" s="24" t="s">
        <v>32</v>
      </c>
      <c r="C16" s="22"/>
      <c r="D16" s="22"/>
      <c r="E16" s="22"/>
      <c r="F16" s="22"/>
      <c r="G16" s="23"/>
      <c r="I16" t="s">
        <v>98</v>
      </c>
      <c r="J16" s="4"/>
    </row>
    <row r="17" spans="2:10" x14ac:dyDescent="0.25">
      <c r="B17" s="24" t="s">
        <v>38</v>
      </c>
      <c r="C17" s="22"/>
      <c r="D17" s="21"/>
      <c r="E17" s="22"/>
      <c r="F17" s="22"/>
      <c r="G17" s="23"/>
      <c r="I17" s="15" t="s">
        <v>118</v>
      </c>
      <c r="J17" s="4"/>
    </row>
    <row r="18" spans="2:10" x14ac:dyDescent="0.25">
      <c r="B18" s="24" t="s">
        <v>39</v>
      </c>
      <c r="C18" s="22"/>
      <c r="D18" s="21"/>
      <c r="E18" s="22"/>
      <c r="F18" s="22"/>
      <c r="G18" s="23"/>
    </row>
    <row r="19" spans="2:10" x14ac:dyDescent="0.25">
      <c r="B19" s="24" t="s">
        <v>40</v>
      </c>
      <c r="C19" s="22"/>
      <c r="D19" s="22"/>
      <c r="E19" s="22"/>
      <c r="F19" s="22"/>
      <c r="G19" s="23"/>
    </row>
    <row r="20" spans="2:10" x14ac:dyDescent="0.25">
      <c r="B20" s="24" t="s">
        <v>55</v>
      </c>
      <c r="C20" s="21" t="s">
        <v>56</v>
      </c>
      <c r="D20" s="21" t="s">
        <v>33</v>
      </c>
      <c r="E20" s="22"/>
      <c r="F20" s="22"/>
      <c r="G20" s="23"/>
    </row>
    <row r="21" spans="2:10" x14ac:dyDescent="0.25">
      <c r="B21" s="24" t="s">
        <v>139</v>
      </c>
      <c r="C21" s="21" t="s">
        <v>140</v>
      </c>
      <c r="D21" s="21" t="s">
        <v>63</v>
      </c>
      <c r="E21" s="22"/>
      <c r="F21" s="22"/>
      <c r="G21" s="23"/>
    </row>
    <row r="22" spans="2:10" x14ac:dyDescent="0.25">
      <c r="B22" s="24" t="s">
        <v>37</v>
      </c>
      <c r="C22" s="22"/>
      <c r="D22" s="22"/>
      <c r="E22" s="22"/>
      <c r="F22" s="22"/>
      <c r="G22" s="23"/>
    </row>
    <row r="23" spans="2:10" x14ac:dyDescent="0.25">
      <c r="B23" s="25" t="s">
        <v>53</v>
      </c>
      <c r="C23" s="21" t="s">
        <v>54</v>
      </c>
      <c r="D23" s="22" t="s">
        <v>99</v>
      </c>
      <c r="E23" s="22"/>
      <c r="F23" s="22"/>
      <c r="G23" s="23"/>
    </row>
    <row r="24" spans="2:10" x14ac:dyDescent="0.25">
      <c r="B24" s="26" t="s">
        <v>36</v>
      </c>
      <c r="C24" s="27"/>
      <c r="D24" s="27"/>
      <c r="E24" s="27"/>
      <c r="F24" s="27"/>
      <c r="G24" s="28"/>
    </row>
    <row r="25" spans="2:10" x14ac:dyDescent="0.25">
      <c r="B25" s="16"/>
      <c r="C25" s="29"/>
      <c r="D25" s="29"/>
      <c r="E25" s="29"/>
      <c r="F25" s="29"/>
      <c r="G25" s="33" t="s">
        <v>130</v>
      </c>
    </row>
    <row r="26" spans="2:10" x14ac:dyDescent="0.25">
      <c r="B26" s="24" t="s">
        <v>50</v>
      </c>
      <c r="C26" s="21" t="s">
        <v>128</v>
      </c>
      <c r="D26" s="15" t="s">
        <v>127</v>
      </c>
      <c r="G26" s="30"/>
    </row>
    <row r="27" spans="2:10" x14ac:dyDescent="0.25">
      <c r="B27" s="24" t="s">
        <v>51</v>
      </c>
      <c r="C27" s="21" t="s">
        <v>52</v>
      </c>
      <c r="D27" s="15" t="s">
        <v>59</v>
      </c>
      <c r="G27" s="30"/>
    </row>
    <row r="28" spans="2:10" x14ac:dyDescent="0.25">
      <c r="B28" s="24" t="s">
        <v>60</v>
      </c>
      <c r="C28" s="22"/>
      <c r="D28" s="15" t="s">
        <v>67</v>
      </c>
      <c r="G28" s="30"/>
    </row>
    <row r="29" spans="2:10" x14ac:dyDescent="0.25">
      <c r="B29" s="24" t="s">
        <v>61</v>
      </c>
      <c r="C29" s="21" t="s">
        <v>62</v>
      </c>
      <c r="D29" s="15" t="s">
        <v>63</v>
      </c>
      <c r="G29" s="30"/>
    </row>
    <row r="30" spans="2:10" x14ac:dyDescent="0.25">
      <c r="B30" s="24" t="s">
        <v>64</v>
      </c>
      <c r="C30" s="21" t="s">
        <v>66</v>
      </c>
      <c r="D30" s="15" t="s">
        <v>65</v>
      </c>
      <c r="G30" s="30"/>
    </row>
    <row r="31" spans="2:10" x14ac:dyDescent="0.25">
      <c r="B31" s="24" t="s">
        <v>131</v>
      </c>
      <c r="C31" s="21" t="s">
        <v>132</v>
      </c>
      <c r="D31" s="15" t="s">
        <v>133</v>
      </c>
      <c r="G31" s="30"/>
    </row>
    <row r="32" spans="2:10" x14ac:dyDescent="0.25">
      <c r="B32" s="24" t="s">
        <v>134</v>
      </c>
      <c r="C32" s="21" t="s">
        <v>136</v>
      </c>
      <c r="D32" s="21" t="s">
        <v>135</v>
      </c>
      <c r="G32" s="30"/>
    </row>
    <row r="33" spans="2:7" x14ac:dyDescent="0.25">
      <c r="B33" s="24" t="s">
        <v>137</v>
      </c>
      <c r="C33" s="21" t="s">
        <v>138</v>
      </c>
      <c r="G33" s="30"/>
    </row>
    <row r="34" spans="2:7" x14ac:dyDescent="0.25">
      <c r="B34" s="24" t="s">
        <v>141</v>
      </c>
      <c r="C34" s="21" t="s">
        <v>142</v>
      </c>
      <c r="D34" t="s">
        <v>143</v>
      </c>
      <c r="G34" s="30"/>
    </row>
    <row r="35" spans="2:7" x14ac:dyDescent="0.25">
      <c r="B35" s="24" t="s">
        <v>144</v>
      </c>
      <c r="C35" s="21" t="s">
        <v>145</v>
      </c>
      <c r="D35" t="s">
        <v>146</v>
      </c>
      <c r="G35" s="30"/>
    </row>
    <row r="36" spans="2:7" x14ac:dyDescent="0.25">
      <c r="B36" s="24" t="s">
        <v>147</v>
      </c>
      <c r="C36" s="21" t="s">
        <v>148</v>
      </c>
      <c r="D36" t="s">
        <v>149</v>
      </c>
      <c r="G36" s="30"/>
    </row>
    <row r="37" spans="2:7" x14ac:dyDescent="0.25">
      <c r="B37" s="24" t="s">
        <v>150</v>
      </c>
      <c r="C37" s="21" t="s">
        <v>151</v>
      </c>
      <c r="D37" t="s">
        <v>152</v>
      </c>
      <c r="G37" s="30"/>
    </row>
    <row r="38" spans="2:7" x14ac:dyDescent="0.25">
      <c r="B38" s="24" t="s">
        <v>159</v>
      </c>
      <c r="C38" s="21" t="s">
        <v>164</v>
      </c>
      <c r="D38" t="s">
        <v>163</v>
      </c>
      <c r="G38" s="30"/>
    </row>
    <row r="39" spans="2:7" x14ac:dyDescent="0.25">
      <c r="B39" s="24" t="s">
        <v>160</v>
      </c>
      <c r="C39" s="21" t="s">
        <v>162</v>
      </c>
      <c r="D39" t="s">
        <v>161</v>
      </c>
      <c r="G39" s="30"/>
    </row>
    <row r="40" spans="2:7" x14ac:dyDescent="0.25">
      <c r="B40" s="26" t="s">
        <v>157</v>
      </c>
      <c r="C40" s="35" t="s">
        <v>114</v>
      </c>
      <c r="D40" s="34" t="s">
        <v>158</v>
      </c>
      <c r="E40" s="31"/>
      <c r="F40" s="31"/>
      <c r="G40" s="32"/>
    </row>
  </sheetData>
  <phoneticPr fontId="1" type="noConversion"/>
  <hyperlinks>
    <hyperlink ref="B23" location="Idelvion!A1" display="Idelvion" xr:uid="{9C6169F3-8E8B-48ED-8210-B49DC4D7C59C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66"/>
  <sheetViews>
    <sheetView tabSelected="1" zoomScale="160" zoomScaleNormal="160" workbookViewId="0">
      <pane xSplit="2" ySplit="2" topLeftCell="AF40" activePane="bottomRight" state="frozen"/>
      <selection pane="topRight" activeCell="C1" sqref="C1"/>
      <selection pane="bottomLeft" activeCell="A3" sqref="A3"/>
      <selection pane="bottomRight" activeCell="AG56" sqref="AG56"/>
    </sheetView>
  </sheetViews>
  <sheetFormatPr defaultRowHeight="12.5" x14ac:dyDescent="0.25"/>
  <cols>
    <col min="1" max="1" width="5" bestFit="1" customWidth="1"/>
    <col min="2" max="2" width="23.1796875" customWidth="1"/>
    <col min="3" max="29" width="9.1796875" style="1"/>
    <col min="51" max="58" width="9.26953125" customWidth="1"/>
  </cols>
  <sheetData>
    <row r="1" spans="1:68" x14ac:dyDescent="0.25">
      <c r="A1" s="3" t="s">
        <v>15</v>
      </c>
      <c r="C1" s="11">
        <v>39813</v>
      </c>
      <c r="D1" s="11">
        <v>39994</v>
      </c>
      <c r="E1" s="11">
        <v>40178</v>
      </c>
      <c r="F1" s="11">
        <v>40359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Y1" s="13">
        <v>43281</v>
      </c>
      <c r="AZ1" s="13">
        <v>43646</v>
      </c>
      <c r="BA1" s="13">
        <v>44012</v>
      </c>
      <c r="BB1" s="13">
        <v>44377</v>
      </c>
      <c r="BC1" s="13">
        <v>44742</v>
      </c>
    </row>
    <row r="2" spans="1:68" x14ac:dyDescent="0.25">
      <c r="B2" s="15" t="s">
        <v>119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68</v>
      </c>
      <c r="H2" s="2" t="s">
        <v>69</v>
      </c>
      <c r="I2" s="2" t="s">
        <v>70</v>
      </c>
      <c r="J2" s="2" t="s">
        <v>71</v>
      </c>
      <c r="K2" s="2" t="s">
        <v>72</v>
      </c>
      <c r="L2" s="2" t="s">
        <v>73</v>
      </c>
      <c r="M2" s="2" t="s">
        <v>74</v>
      </c>
      <c r="N2" s="2" t="s">
        <v>75</v>
      </c>
      <c r="O2" s="2" t="s">
        <v>76</v>
      </c>
      <c r="P2" s="2" t="s">
        <v>77</v>
      </c>
      <c r="Q2" s="2" t="s">
        <v>78</v>
      </c>
      <c r="R2" s="2" t="s">
        <v>79</v>
      </c>
      <c r="S2" s="2" t="s">
        <v>80</v>
      </c>
      <c r="T2" s="2" t="s">
        <v>81</v>
      </c>
      <c r="U2" s="2" t="s">
        <v>82</v>
      </c>
      <c r="V2" s="2" t="s">
        <v>83</v>
      </c>
      <c r="W2" s="2" t="s">
        <v>84</v>
      </c>
      <c r="X2" s="2" t="s">
        <v>85</v>
      </c>
      <c r="Y2" s="2" t="s">
        <v>86</v>
      </c>
      <c r="Z2" s="2" t="s">
        <v>87</v>
      </c>
      <c r="AA2" s="2" t="s">
        <v>88</v>
      </c>
      <c r="AB2" s="2" t="s">
        <v>89</v>
      </c>
      <c r="AC2" s="2" t="s">
        <v>90</v>
      </c>
      <c r="AD2" s="2" t="s">
        <v>91</v>
      </c>
      <c r="AE2" s="2" t="s">
        <v>96</v>
      </c>
      <c r="AF2" s="2" t="s">
        <v>97</v>
      </c>
      <c r="AG2" s="2" t="s">
        <v>166</v>
      </c>
      <c r="AH2" s="2" t="s">
        <v>167</v>
      </c>
      <c r="AI2" s="2" t="s">
        <v>172</v>
      </c>
      <c r="AJ2" s="2"/>
      <c r="AK2" s="2"/>
      <c r="AL2" s="2"/>
      <c r="AO2">
        <v>2008</v>
      </c>
      <c r="AP2">
        <v>2009</v>
      </c>
      <c r="AQ2">
        <v>2010</v>
      </c>
      <c r="AR2">
        <v>2011</v>
      </c>
      <c r="AS2">
        <f>AR2+1</f>
        <v>2012</v>
      </c>
      <c r="AT2">
        <f t="shared" ref="AT2:BG2" si="0">AS2+1</f>
        <v>2013</v>
      </c>
      <c r="AU2">
        <f t="shared" si="0"/>
        <v>2014</v>
      </c>
      <c r="AV2">
        <f t="shared" si="0"/>
        <v>2015</v>
      </c>
      <c r="AW2">
        <f t="shared" si="0"/>
        <v>2016</v>
      </c>
      <c r="AX2">
        <f t="shared" si="0"/>
        <v>2017</v>
      </c>
      <c r="AY2">
        <f t="shared" si="0"/>
        <v>2018</v>
      </c>
      <c r="AZ2">
        <f t="shared" si="0"/>
        <v>2019</v>
      </c>
      <c r="BA2">
        <f t="shared" si="0"/>
        <v>2020</v>
      </c>
      <c r="BB2">
        <f t="shared" si="0"/>
        <v>2021</v>
      </c>
      <c r="BC2">
        <f t="shared" si="0"/>
        <v>2022</v>
      </c>
      <c r="BD2">
        <f t="shared" si="0"/>
        <v>2023</v>
      </c>
      <c r="BE2">
        <f t="shared" si="0"/>
        <v>2024</v>
      </c>
      <c r="BF2">
        <f t="shared" si="0"/>
        <v>2025</v>
      </c>
      <c r="BG2">
        <f t="shared" si="0"/>
        <v>2026</v>
      </c>
      <c r="BH2">
        <f t="shared" ref="BH2" si="1">BG2+1</f>
        <v>2027</v>
      </c>
      <c r="BI2">
        <f t="shared" ref="BI2" si="2">BH2+1</f>
        <v>2028</v>
      </c>
      <c r="BJ2">
        <f t="shared" ref="BJ2" si="3">BI2+1</f>
        <v>2029</v>
      </c>
      <c r="BK2">
        <f t="shared" ref="BK2" si="4">BJ2+1</f>
        <v>2030</v>
      </c>
      <c r="BL2">
        <f t="shared" ref="BL2" si="5">BK2+1</f>
        <v>2031</v>
      </c>
      <c r="BM2">
        <f t="shared" ref="BM2" si="6">BL2+1</f>
        <v>2032</v>
      </c>
      <c r="BN2">
        <f t="shared" ref="BN2" si="7">BM2+1</f>
        <v>2033</v>
      </c>
      <c r="BO2">
        <f t="shared" ref="BO2" si="8">BN2+1</f>
        <v>2034</v>
      </c>
      <c r="BP2">
        <f t="shared" ref="BP2" si="9">BO2+1</f>
        <v>2035</v>
      </c>
    </row>
    <row r="3" spans="1:68" s="4" customFormat="1" x14ac:dyDescent="0.25">
      <c r="B3" s="5" t="s">
        <v>168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>
        <v>1009</v>
      </c>
      <c r="AF3" s="12"/>
      <c r="AG3" s="12">
        <v>1018</v>
      </c>
      <c r="AH3" s="12"/>
      <c r="AI3" s="12"/>
      <c r="AJ3" s="12"/>
      <c r="AK3" s="12"/>
      <c r="AL3" s="12"/>
    </row>
    <row r="4" spans="1:68" s="4" customFormat="1" x14ac:dyDescent="0.25">
      <c r="B4" s="5" t="s">
        <v>169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>
        <v>771</v>
      </c>
      <c r="AF4" s="12"/>
      <c r="AG4" s="12">
        <v>786</v>
      </c>
      <c r="AH4" s="12"/>
      <c r="AI4" s="12"/>
      <c r="AJ4" s="12"/>
      <c r="AK4" s="12"/>
      <c r="AL4" s="12"/>
    </row>
    <row r="5" spans="1:68" s="4" customFormat="1" x14ac:dyDescent="0.25">
      <c r="B5" s="5" t="s">
        <v>170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>
        <v>136</v>
      </c>
      <c r="AF5" s="12"/>
      <c r="AG5" s="12">
        <v>200</v>
      </c>
      <c r="AH5" s="12"/>
      <c r="AI5" s="12"/>
      <c r="AJ5" s="12"/>
      <c r="AK5" s="12"/>
      <c r="AL5" s="12"/>
    </row>
    <row r="6" spans="1:68" s="4" customFormat="1" x14ac:dyDescent="0.25">
      <c r="B6" s="5" t="s">
        <v>171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>
        <v>68</v>
      </c>
      <c r="AF6" s="12"/>
      <c r="AG6" s="12">
        <v>49</v>
      </c>
      <c r="AH6" s="12"/>
      <c r="AI6" s="12"/>
      <c r="AJ6" s="12"/>
      <c r="AK6" s="12"/>
      <c r="AL6" s="12"/>
    </row>
    <row r="7" spans="1:68" s="4" customFormat="1" x14ac:dyDescent="0.25">
      <c r="B7" s="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68" s="4" customFormat="1" x14ac:dyDescent="0.25">
      <c r="B8" s="4" t="s">
        <v>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BC8" s="4">
        <v>2511</v>
      </c>
    </row>
    <row r="9" spans="1:68" s="4" customFormat="1" x14ac:dyDescent="0.25">
      <c r="B9" s="4" t="s">
        <v>104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BC9" s="4">
        <v>1513</v>
      </c>
    </row>
    <row r="10" spans="1:68" s="4" customFormat="1" x14ac:dyDescent="0.25">
      <c r="B10" s="5" t="s">
        <v>34</v>
      </c>
      <c r="C10" s="12">
        <v>451</v>
      </c>
      <c r="D10" s="12">
        <f>+AP10-C10</f>
        <v>461</v>
      </c>
      <c r="E10" s="12">
        <v>494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E10" s="4">
        <v>4675</v>
      </c>
      <c r="AG10" s="4">
        <v>5666</v>
      </c>
      <c r="AO10" s="4">
        <v>731</v>
      </c>
      <c r="AP10" s="4">
        <v>912</v>
      </c>
      <c r="BC10" s="4">
        <f>+BC9+BC8</f>
        <v>4024</v>
      </c>
    </row>
    <row r="11" spans="1:68" s="4" customFormat="1" x14ac:dyDescent="0.25">
      <c r="B11" s="5" t="s">
        <v>32</v>
      </c>
      <c r="C11" s="12">
        <v>260</v>
      </c>
      <c r="D11" s="12">
        <f>+AP11-C11</f>
        <v>257</v>
      </c>
      <c r="E11" s="12">
        <v>283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O11" s="4">
        <v>525</v>
      </c>
      <c r="AP11" s="4">
        <v>517</v>
      </c>
      <c r="BC11" s="4">
        <v>407</v>
      </c>
    </row>
    <row r="12" spans="1:68" s="4" customFormat="1" x14ac:dyDescent="0.25">
      <c r="B12" s="5" t="s">
        <v>33</v>
      </c>
      <c r="C12" s="12">
        <v>220</v>
      </c>
      <c r="D12" s="12">
        <f>+AP12-C12</f>
        <v>214</v>
      </c>
      <c r="E12" s="12">
        <v>247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E12" s="4">
        <v>1193</v>
      </c>
      <c r="AG12" s="4">
        <v>1313</v>
      </c>
      <c r="AO12" s="4">
        <v>407</v>
      </c>
      <c r="AP12" s="4">
        <v>434</v>
      </c>
      <c r="BC12" s="4">
        <v>759</v>
      </c>
    </row>
    <row r="13" spans="1:68" s="4" customFormat="1" x14ac:dyDescent="0.25">
      <c r="B13" s="5" t="s">
        <v>35</v>
      </c>
      <c r="C13" s="12">
        <v>133</v>
      </c>
      <c r="D13" s="12">
        <f>+AP13-C13</f>
        <v>134</v>
      </c>
      <c r="E13" s="12">
        <v>147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E13" s="4">
        <v>1109</v>
      </c>
      <c r="AG13" s="4">
        <v>1209</v>
      </c>
      <c r="AO13" s="4">
        <v>229</v>
      </c>
      <c r="AP13" s="4">
        <v>267</v>
      </c>
      <c r="BC13" s="4">
        <v>1072</v>
      </c>
    </row>
    <row r="14" spans="1:68" s="4" customFormat="1" x14ac:dyDescent="0.25">
      <c r="B14" s="5" t="s">
        <v>105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BC14" s="4">
        <v>924</v>
      </c>
    </row>
    <row r="15" spans="1:68" s="4" customFormat="1" x14ac:dyDescent="0.25">
      <c r="B15" s="5" t="s">
        <v>106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E15" s="4">
        <v>1831</v>
      </c>
      <c r="AG15" s="4">
        <v>1940</v>
      </c>
      <c r="BC15" s="4">
        <v>868</v>
      </c>
    </row>
    <row r="16" spans="1:68" s="4" customFormat="1" x14ac:dyDescent="0.25">
      <c r="B16" s="5" t="s">
        <v>107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E16" s="4">
        <v>375</v>
      </c>
      <c r="AG16" s="4">
        <v>441</v>
      </c>
      <c r="BC16" s="4">
        <v>544</v>
      </c>
    </row>
    <row r="17" spans="2:35" s="4" customFormat="1" x14ac:dyDescent="0.25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2:35" s="4" customFormat="1" x14ac:dyDescent="0.25">
      <c r="B18" s="5" t="s">
        <v>49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I18" s="4">
        <v>2024</v>
      </c>
    </row>
    <row r="19" spans="2:35" s="4" customFormat="1" x14ac:dyDescent="0.25">
      <c r="B19" s="5" t="s">
        <v>47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I19" s="4">
        <v>1100</v>
      </c>
    </row>
    <row r="20" spans="2:35" s="4" customFormat="1" x14ac:dyDescent="0.25">
      <c r="B20" s="5" t="s">
        <v>35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I20" s="4">
        <v>672</v>
      </c>
    </row>
    <row r="21" spans="2:35" s="4" customFormat="1" x14ac:dyDescent="0.25">
      <c r="B21" s="5" t="s">
        <v>53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I21" s="4">
        <v>413</v>
      </c>
    </row>
    <row r="22" spans="2:35" s="4" customFormat="1" x14ac:dyDescent="0.25">
      <c r="B22" s="5" t="s">
        <v>134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I22" s="4">
        <v>293</v>
      </c>
    </row>
    <row r="23" spans="2:35" s="4" customFormat="1" x14ac:dyDescent="0.25">
      <c r="B23" s="5" t="s">
        <v>48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I23" s="4">
        <v>247</v>
      </c>
    </row>
    <row r="24" spans="2:35" s="4" customFormat="1" x14ac:dyDescent="0.25">
      <c r="B24" s="5" t="s">
        <v>182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I24" s="4">
        <v>127</v>
      </c>
    </row>
    <row r="25" spans="2:35" s="4" customFormat="1" x14ac:dyDescent="0.25">
      <c r="B25" s="5" t="s">
        <v>183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I25" s="4">
        <v>119</v>
      </c>
    </row>
    <row r="26" spans="2:35" s="4" customFormat="1" x14ac:dyDescent="0.25">
      <c r="B26" s="5" t="s">
        <v>184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I26" s="4">
        <v>99</v>
      </c>
    </row>
    <row r="27" spans="2:35" s="4" customFormat="1" x14ac:dyDescent="0.25">
      <c r="B27" s="5" t="s">
        <v>185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I27" s="4">
        <v>66</v>
      </c>
    </row>
    <row r="28" spans="2:35" s="4" customFormat="1" x14ac:dyDescent="0.25">
      <c r="B28" s="5" t="s">
        <v>113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I28" s="4">
        <v>829</v>
      </c>
    </row>
    <row r="29" spans="2:35" s="4" customFormat="1" x14ac:dyDescent="0.25">
      <c r="B29" s="5" t="s">
        <v>155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I29" s="4">
        <v>468</v>
      </c>
    </row>
    <row r="30" spans="2:35" s="4" customFormat="1" x14ac:dyDescent="0.25">
      <c r="B30" s="5" t="s">
        <v>173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I30" s="4">
        <v>104</v>
      </c>
    </row>
    <row r="31" spans="2:35" s="4" customFormat="1" x14ac:dyDescent="0.25">
      <c r="B31" s="5" t="s">
        <v>174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I31" s="4">
        <v>89</v>
      </c>
    </row>
    <row r="32" spans="2:35" s="4" customFormat="1" x14ac:dyDescent="0.25">
      <c r="B32" s="5" t="s">
        <v>175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I32" s="4">
        <v>397</v>
      </c>
    </row>
    <row r="33" spans="2:68" s="4" customFormat="1" x14ac:dyDescent="0.25">
      <c r="B33" s="5" t="s">
        <v>176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I33" s="4">
        <v>287</v>
      </c>
    </row>
    <row r="34" spans="2:68" s="4" customFormat="1" x14ac:dyDescent="0.25">
      <c r="B34" s="5" t="s">
        <v>177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I34" s="4">
        <v>82</v>
      </c>
    </row>
    <row r="35" spans="2:68" s="4" customFormat="1" x14ac:dyDescent="0.25">
      <c r="B35" s="5" t="s">
        <v>179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I35" s="4">
        <v>78</v>
      </c>
    </row>
    <row r="36" spans="2:68" s="4" customFormat="1" x14ac:dyDescent="0.25">
      <c r="B36" s="5" t="s">
        <v>178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I36" s="4">
        <v>76</v>
      </c>
    </row>
    <row r="37" spans="2:68" s="4" customFormat="1" x14ac:dyDescent="0.25">
      <c r="B37" s="5" t="s">
        <v>180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I37" s="4">
        <v>49</v>
      </c>
    </row>
    <row r="38" spans="2:68" s="4" customFormat="1" x14ac:dyDescent="0.25">
      <c r="B38" s="5" t="s">
        <v>181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I38" s="4">
        <v>45</v>
      </c>
    </row>
    <row r="39" spans="2:68" s="4" customFormat="1" x14ac:dyDescent="0.25">
      <c r="B39" s="5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2:68" s="4" customFormat="1" x14ac:dyDescent="0.25">
      <c r="B40" s="5" t="s">
        <v>109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E40" s="4">
        <v>148</v>
      </c>
      <c r="BC40" s="4">
        <v>228</v>
      </c>
      <c r="BE40" s="4">
        <v>140</v>
      </c>
    </row>
    <row r="41" spans="2:68" s="4" customFormat="1" x14ac:dyDescent="0.25">
      <c r="B41" s="5" t="s">
        <v>110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E41" s="4">
        <v>599</v>
      </c>
      <c r="BC41" s="4">
        <v>486</v>
      </c>
      <c r="BE41" s="4">
        <v>535</v>
      </c>
    </row>
    <row r="42" spans="2:68" s="4" customFormat="1" x14ac:dyDescent="0.25">
      <c r="B42" s="5" t="s">
        <v>111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E42" s="4">
        <v>893</v>
      </c>
      <c r="BC42" s="4">
        <v>885</v>
      </c>
      <c r="BE42" s="4">
        <v>1040</v>
      </c>
    </row>
    <row r="43" spans="2:68" s="4" customFormat="1" x14ac:dyDescent="0.25">
      <c r="B43" s="5" t="s">
        <v>108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E43" s="4">
        <v>211</v>
      </c>
      <c r="BC43" s="4">
        <f>178+25</f>
        <v>203</v>
      </c>
      <c r="BE43" s="4">
        <v>181</v>
      </c>
    </row>
    <row r="44" spans="2:68" s="4" customFormat="1" x14ac:dyDescent="0.25">
      <c r="B44" s="5" t="s">
        <v>112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E44" s="4">
        <v>156</v>
      </c>
      <c r="BC44" s="4">
        <v>162</v>
      </c>
      <c r="BE44" s="4">
        <v>172</v>
      </c>
    </row>
    <row r="45" spans="2:68" x14ac:dyDescent="0.25">
      <c r="B45" s="5" t="s">
        <v>171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4">
        <v>136</v>
      </c>
      <c r="BE45" s="4">
        <v>110</v>
      </c>
    </row>
    <row r="46" spans="2:68" s="7" customFormat="1" ht="13" x14ac:dyDescent="0.3">
      <c r="B46" s="7" t="s">
        <v>16</v>
      </c>
      <c r="C46" s="8">
        <v>2206.6550000000002</v>
      </c>
      <c r="D46" s="8">
        <f>AP46-C46</f>
        <v>2415.7319999999995</v>
      </c>
      <c r="E46" s="8">
        <v>2317.3919999999998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E46" s="7">
        <f>SUM(AE3:AE45)</f>
        <v>13310</v>
      </c>
      <c r="AG46" s="7">
        <v>8053</v>
      </c>
      <c r="AI46" s="7">
        <v>8483</v>
      </c>
      <c r="AO46" s="7">
        <v>3556.6619999999998</v>
      </c>
      <c r="AP46" s="7">
        <v>4622.3869999999997</v>
      </c>
      <c r="AY46" s="7">
        <v>7915.3</v>
      </c>
      <c r="AZ46" s="7">
        <v>8538.6</v>
      </c>
      <c r="BA46" s="7">
        <v>9150.7999999999993</v>
      </c>
      <c r="BB46" s="7">
        <v>10310</v>
      </c>
      <c r="BC46" s="7">
        <v>10561.9</v>
      </c>
      <c r="BD46" s="7">
        <f>SUM(BD10:BD44)</f>
        <v>0</v>
      </c>
      <c r="BE46" s="7">
        <f>SUM(AG3:AG45)</f>
        <v>12622</v>
      </c>
      <c r="BF46" s="7">
        <f t="shared" ref="BE46:BP46" si="10">SUM(BF10:BF44)</f>
        <v>0</v>
      </c>
      <c r="BG46" s="7">
        <f t="shared" si="10"/>
        <v>0</v>
      </c>
      <c r="BH46" s="7">
        <f t="shared" si="10"/>
        <v>0</v>
      </c>
      <c r="BI46" s="7">
        <f t="shared" si="10"/>
        <v>0</v>
      </c>
      <c r="BJ46" s="7">
        <f t="shared" si="10"/>
        <v>0</v>
      </c>
      <c r="BK46" s="7">
        <f t="shared" si="10"/>
        <v>0</v>
      </c>
      <c r="BL46" s="7">
        <f t="shared" si="10"/>
        <v>0</v>
      </c>
      <c r="BM46" s="7">
        <f t="shared" si="10"/>
        <v>0</v>
      </c>
      <c r="BN46" s="7">
        <f t="shared" si="10"/>
        <v>0</v>
      </c>
      <c r="BO46" s="7">
        <f t="shared" si="10"/>
        <v>0</v>
      </c>
      <c r="BP46" s="7">
        <f t="shared" si="10"/>
        <v>0</v>
      </c>
    </row>
    <row r="47" spans="2:68" s="4" customFormat="1" x14ac:dyDescent="0.25">
      <c r="B47" s="5" t="s">
        <v>21</v>
      </c>
      <c r="C47" s="6">
        <v>1192.431</v>
      </c>
      <c r="D47" s="12">
        <f>AP47-C47</f>
        <v>1207.2889999999998</v>
      </c>
      <c r="E47" s="6">
        <v>1097.529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E47" s="4">
        <v>6485</v>
      </c>
      <c r="AP47" s="4">
        <v>2399.7199999999998</v>
      </c>
      <c r="AY47" s="4">
        <v>3531.6</v>
      </c>
      <c r="AZ47" s="4">
        <v>3761.2</v>
      </c>
      <c r="BA47" s="4">
        <v>3924.4</v>
      </c>
      <c r="BB47" s="4">
        <v>4466.7</v>
      </c>
      <c r="BC47" s="4">
        <v>4829.6000000000004</v>
      </c>
      <c r="BE47" s="4">
        <v>7129</v>
      </c>
    </row>
    <row r="48" spans="2:68" s="4" customFormat="1" x14ac:dyDescent="0.25">
      <c r="B48" s="5" t="s">
        <v>22</v>
      </c>
      <c r="C48" s="6">
        <f>+C46-C47</f>
        <v>1014.2240000000002</v>
      </c>
      <c r="D48" s="6">
        <f>+D46-D47</f>
        <v>1208.4429999999998</v>
      </c>
      <c r="E48" s="6">
        <f>+E46-E47</f>
        <v>1219.8629999999998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E48" s="4">
        <f>+AE46-AE47</f>
        <v>6825</v>
      </c>
      <c r="AG48" s="4">
        <v>4704</v>
      </c>
      <c r="AI48" s="4">
        <v>4494</v>
      </c>
      <c r="AP48" s="4">
        <f>+AP46-AP47</f>
        <v>2222.6669999999999</v>
      </c>
      <c r="AY48" s="4">
        <f t="shared" ref="AY48" si="11">+AY46-AY47</f>
        <v>4383.7000000000007</v>
      </c>
      <c r="AZ48" s="4">
        <f>+AZ46-AZ47</f>
        <v>4777.4000000000005</v>
      </c>
      <c r="BA48" s="4">
        <f>BA46-BA47</f>
        <v>5226.3999999999996</v>
      </c>
      <c r="BB48" s="4">
        <f>BB46-BB47</f>
        <v>5843.3</v>
      </c>
      <c r="BC48" s="4">
        <f>BC46-BC47</f>
        <v>5732.2999999999993</v>
      </c>
      <c r="BE48" s="4">
        <f>+BE46-BE47</f>
        <v>5493</v>
      </c>
    </row>
    <row r="49" spans="2:57" s="4" customFormat="1" x14ac:dyDescent="0.25">
      <c r="B49" s="5" t="s">
        <v>23</v>
      </c>
      <c r="C49" s="6">
        <v>153.03399999999999</v>
      </c>
      <c r="D49" s="12">
        <f>AP49-C49</f>
        <v>158.58100000000002</v>
      </c>
      <c r="E49" s="6">
        <v>146.92400000000001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E49" s="4">
        <v>1269</v>
      </c>
      <c r="AG49" s="4">
        <v>669</v>
      </c>
      <c r="AI49" s="4">
        <v>646</v>
      </c>
      <c r="AP49" s="4">
        <v>311.61500000000001</v>
      </c>
      <c r="AY49" s="4">
        <v>702.4</v>
      </c>
      <c r="AZ49" s="4">
        <v>831.8</v>
      </c>
      <c r="BA49" s="4">
        <v>921.8</v>
      </c>
      <c r="BB49" s="4">
        <v>1001.4</v>
      </c>
      <c r="BC49" s="4">
        <v>1156.2</v>
      </c>
      <c r="BE49" s="4">
        <v>1430</v>
      </c>
    </row>
    <row r="50" spans="2:57" s="4" customFormat="1" x14ac:dyDescent="0.25">
      <c r="B50" s="5" t="s">
        <v>24</v>
      </c>
      <c r="C50" s="6">
        <v>227.47800000000001</v>
      </c>
      <c r="D50" s="12">
        <f>AP50-C50</f>
        <v>261.67199999999997</v>
      </c>
      <c r="E50" s="6">
        <v>226.17099999999999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E50" s="4">
        <v>1481</v>
      </c>
      <c r="AG50" s="4">
        <v>707</v>
      </c>
      <c r="AI50" s="4">
        <v>754</v>
      </c>
      <c r="AP50" s="4">
        <v>489.15</v>
      </c>
      <c r="AY50" s="4">
        <v>786.2</v>
      </c>
      <c r="AZ50" s="4">
        <v>866.8</v>
      </c>
      <c r="BA50" s="4">
        <v>896.2</v>
      </c>
      <c r="BB50" s="4">
        <v>980.2</v>
      </c>
      <c r="BC50" s="4">
        <v>960.7</v>
      </c>
      <c r="BE50" s="4">
        <v>1573</v>
      </c>
    </row>
    <row r="51" spans="2:57" s="4" customFormat="1" x14ac:dyDescent="0.25">
      <c r="B51" s="5" t="s">
        <v>25</v>
      </c>
      <c r="C51" s="6">
        <v>121.86199999999999</v>
      </c>
      <c r="D51" s="12">
        <f>AP51-C51</f>
        <v>285.40200000000004</v>
      </c>
      <c r="E51" s="6">
        <v>123.15900000000001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E51" s="4">
        <v>1006</v>
      </c>
      <c r="AG51" s="4">
        <v>323</v>
      </c>
      <c r="AI51" s="4">
        <v>426</v>
      </c>
      <c r="AP51" s="4">
        <v>407.26400000000001</v>
      </c>
      <c r="AY51" s="4">
        <v>514.79999999999995</v>
      </c>
      <c r="AZ51" s="4">
        <v>574.79999999999995</v>
      </c>
      <c r="BA51" s="4">
        <v>691.9</v>
      </c>
      <c r="BB51" s="4">
        <v>731.7</v>
      </c>
      <c r="BC51" s="4">
        <v>688</v>
      </c>
      <c r="BE51" s="4">
        <v>856</v>
      </c>
    </row>
    <row r="52" spans="2:57" s="4" customFormat="1" x14ac:dyDescent="0.25">
      <c r="B52" s="5" t="s">
        <v>26</v>
      </c>
      <c r="C52" s="6">
        <f>158.216-30.22</f>
        <v>127.99600000000001</v>
      </c>
      <c r="D52" s="12">
        <f>AP52-C52</f>
        <v>-20.552999999999997</v>
      </c>
      <c r="E52" s="6">
        <f>97.581-9.846</f>
        <v>87.734999999999999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P52" s="4">
        <f>169.352-61.909</f>
        <v>107.44300000000001</v>
      </c>
    </row>
    <row r="53" spans="2:57" s="4" customFormat="1" x14ac:dyDescent="0.25">
      <c r="B53" s="5" t="s">
        <v>27</v>
      </c>
      <c r="C53" s="6">
        <f>C49+C50+C51-C52</f>
        <v>374.37800000000004</v>
      </c>
      <c r="D53" s="6">
        <f>D49+D50+D51-D52</f>
        <v>726.20799999999997</v>
      </c>
      <c r="E53" s="6">
        <f>E49+E50+E51-E52</f>
        <v>408.51900000000001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E53" s="4">
        <f>+AE51+AE50+AE49</f>
        <v>3756</v>
      </c>
      <c r="AG53" s="4">
        <f>+AG51+AG50+AG49</f>
        <v>1699</v>
      </c>
      <c r="AI53" s="4">
        <f>+AI51+AI50+AI49</f>
        <v>1826</v>
      </c>
      <c r="AP53" s="6">
        <f>AP49+AP50+AP51-AP52</f>
        <v>1100.586</v>
      </c>
      <c r="AY53" s="4">
        <f t="shared" ref="AY53" si="12">SUM(AY49:AY51)</f>
        <v>2003.3999999999999</v>
      </c>
      <c r="AZ53" s="4">
        <f>SUM(AZ49:AZ51)</f>
        <v>2273.3999999999996</v>
      </c>
      <c r="BA53" s="4">
        <f>SUM(BA49:BA51)</f>
        <v>2509.9</v>
      </c>
      <c r="BB53" s="4">
        <f>SUM(BB49:BB51)</f>
        <v>2713.3</v>
      </c>
      <c r="BC53" s="4">
        <f>SUM(BC49:BC51)</f>
        <v>2804.9</v>
      </c>
      <c r="BE53" s="4">
        <f>+BE51+BE50+BE49</f>
        <v>3859</v>
      </c>
    </row>
    <row r="54" spans="2:57" s="4" customFormat="1" x14ac:dyDescent="0.25">
      <c r="B54" s="5" t="s">
        <v>28</v>
      </c>
      <c r="C54" s="6">
        <f>C48-C53</f>
        <v>639.84600000000012</v>
      </c>
      <c r="D54" s="6">
        <f>D48-D53</f>
        <v>482.23499999999979</v>
      </c>
      <c r="E54" s="6">
        <f>E48-E53</f>
        <v>811.34399999999982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E54" s="4">
        <f>+AE48-AE53</f>
        <v>3069</v>
      </c>
      <c r="AG54" s="4">
        <f>+AG48-AG53</f>
        <v>3005</v>
      </c>
      <c r="AI54" s="4">
        <f>+AI48-AI53</f>
        <v>2668</v>
      </c>
      <c r="AP54" s="6">
        <f>AP48-AP53</f>
        <v>1122.0809999999999</v>
      </c>
      <c r="AY54" s="4">
        <f t="shared" ref="AY54" si="13">AY48-AY53</f>
        <v>2380.3000000000011</v>
      </c>
      <c r="AZ54" s="4">
        <f>AZ48-AZ53</f>
        <v>2504.0000000000009</v>
      </c>
      <c r="BA54" s="4">
        <f>BA48-BA53</f>
        <v>2716.4999999999995</v>
      </c>
      <c r="BB54" s="4">
        <f>BB48-BB53</f>
        <v>3130</v>
      </c>
      <c r="BC54" s="4">
        <f>BC48-BC53</f>
        <v>2927.3999999999992</v>
      </c>
      <c r="BE54" s="4">
        <f>+BE48-BE53</f>
        <v>1634</v>
      </c>
    </row>
    <row r="55" spans="2:57" s="4" customFormat="1" x14ac:dyDescent="0.25">
      <c r="B55" s="5" t="s">
        <v>92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E55" s="4">
        <f>-444+38</f>
        <v>-406</v>
      </c>
      <c r="AG55" s="4">
        <v>-234</v>
      </c>
      <c r="AI55" s="4">
        <v>-222</v>
      </c>
      <c r="AP55" s="6"/>
      <c r="AY55" s="4">
        <f>-108.4+9.3</f>
        <v>-99.100000000000009</v>
      </c>
      <c r="AZ55" s="4">
        <f>-176.7+13.8</f>
        <v>-162.89999999999998</v>
      </c>
      <c r="BA55" s="4">
        <f>-150.8+7</f>
        <v>-143.80000000000001</v>
      </c>
      <c r="BB55" s="4">
        <f>-170.8+3.9</f>
        <v>-166.9</v>
      </c>
      <c r="BC55" s="4">
        <f>-165.2+17.4</f>
        <v>-147.79999999999998</v>
      </c>
      <c r="BE55" s="4">
        <f>-476+39</f>
        <v>-437</v>
      </c>
    </row>
    <row r="56" spans="2:57" s="4" customFormat="1" x14ac:dyDescent="0.25">
      <c r="B56" s="5" t="s">
        <v>93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E56" s="4">
        <f>+AE54+AE55</f>
        <v>2663</v>
      </c>
      <c r="AG56" s="4">
        <f>+AG54+AG55</f>
        <v>2771</v>
      </c>
      <c r="AI56" s="4">
        <f>+AI54+AI55</f>
        <v>2446</v>
      </c>
      <c r="AP56" s="6"/>
      <c r="AY56" s="4">
        <f t="shared" ref="AY56" si="14">AY54+AY55</f>
        <v>2281.2000000000012</v>
      </c>
      <c r="AZ56" s="4">
        <f>AZ54+AZ55</f>
        <v>2341.1000000000008</v>
      </c>
      <c r="BA56" s="4">
        <f>BA54+BA55</f>
        <v>2572.6999999999994</v>
      </c>
      <c r="BB56" s="4">
        <f>BB54+BB55</f>
        <v>2963.1</v>
      </c>
      <c r="BC56" s="4">
        <f>BC54+BC55</f>
        <v>2779.599999999999</v>
      </c>
      <c r="BE56" s="4">
        <f>+BE54+BE55</f>
        <v>1197</v>
      </c>
    </row>
    <row r="57" spans="2:57" s="4" customFormat="1" x14ac:dyDescent="0.25">
      <c r="B57" s="5" t="s">
        <v>29</v>
      </c>
      <c r="C57" s="6">
        <v>137.989</v>
      </c>
      <c r="D57" s="12">
        <f>AP57-C57</f>
        <v>85.825999999999993</v>
      </c>
      <c r="E57" s="6">
        <v>193.95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E57" s="4">
        <v>419</v>
      </c>
      <c r="AP57" s="4">
        <v>223.815</v>
      </c>
      <c r="AY57" s="4">
        <v>552.29999999999995</v>
      </c>
      <c r="AZ57" s="4">
        <v>422.4</v>
      </c>
      <c r="BA57" s="4">
        <v>470.2</v>
      </c>
      <c r="BB57" s="4">
        <v>588.1</v>
      </c>
      <c r="BC57" s="4">
        <v>524.9</v>
      </c>
      <c r="BE57" s="4">
        <v>661</v>
      </c>
    </row>
    <row r="58" spans="2:57" s="4" customFormat="1" x14ac:dyDescent="0.25">
      <c r="B58" s="5" t="s">
        <v>30</v>
      </c>
      <c r="C58" s="6">
        <f>+C54-C57</f>
        <v>501.85700000000008</v>
      </c>
      <c r="D58" s="6">
        <f>+D54-D57</f>
        <v>396.40899999999976</v>
      </c>
      <c r="E58" s="6">
        <f>+E54-E57</f>
        <v>617.39399999999978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E58" s="4">
        <f>+AE56-AE57</f>
        <v>2244</v>
      </c>
      <c r="AP58" s="6">
        <f>+AP54-AP57</f>
        <v>898.26599999999985</v>
      </c>
      <c r="AY58" s="4">
        <f t="shared" ref="AY58" si="15">AY56-AY57</f>
        <v>1728.9000000000012</v>
      </c>
      <c r="AZ58" s="4">
        <f>AZ56-AZ57</f>
        <v>1918.7000000000007</v>
      </c>
      <c r="BA58" s="4">
        <f>BA56-BA57</f>
        <v>2102.4999999999995</v>
      </c>
      <c r="BB58" s="4">
        <f>BB56-BB57</f>
        <v>2375</v>
      </c>
      <c r="BC58" s="4">
        <f>BC56-BC57</f>
        <v>2254.6999999999989</v>
      </c>
      <c r="BE58" s="4">
        <f>+BE56-BE57</f>
        <v>536</v>
      </c>
    </row>
    <row r="59" spans="2:57" s="9" customFormat="1" ht="13" x14ac:dyDescent="0.3">
      <c r="B59" s="9" t="s">
        <v>31</v>
      </c>
      <c r="C59" s="10">
        <f>+C58/C60</f>
        <v>0.85046300408995923</v>
      </c>
      <c r="D59" s="10">
        <f>+D58/D60</f>
        <v>0.66327492681548916</v>
      </c>
      <c r="E59" s="10">
        <f>+E58/E60</f>
        <v>1.0600336125949255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P59" s="10">
        <f>+AP58/AP60</f>
        <v>1.5029863484704999</v>
      </c>
      <c r="AY59" s="9">
        <f t="shared" ref="AY59" si="16">AY58/AY60</f>
        <v>3.8091850306462058</v>
      </c>
      <c r="AZ59" s="9">
        <f>AZ58/AZ60</f>
        <v>4.2259526094930306</v>
      </c>
      <c r="BA59" s="9">
        <f>BA58/BA60</f>
        <v>4.6147429326995315</v>
      </c>
      <c r="BB59" s="9">
        <f>BB58/BB60</f>
        <v>5.2060065794760595</v>
      </c>
      <c r="BC59" s="9">
        <f>BC58/BC60</f>
        <v>4.7960382167520299</v>
      </c>
    </row>
    <row r="60" spans="2:57" s="4" customFormat="1" x14ac:dyDescent="0.25">
      <c r="B60" s="5" t="s">
        <v>0</v>
      </c>
      <c r="C60" s="6">
        <v>590.098567</v>
      </c>
      <c r="D60" s="6">
        <v>597.65413100000001</v>
      </c>
      <c r="E60" s="6">
        <v>582.42870100000005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P60" s="4">
        <v>597.65413100000001</v>
      </c>
      <c r="AY60" s="4">
        <v>453.87661300000002</v>
      </c>
      <c r="AZ60" s="4">
        <v>454.02780799999999</v>
      </c>
      <c r="BA60" s="4">
        <v>455.60500999999999</v>
      </c>
      <c r="BB60" s="4">
        <v>456.20380299999999</v>
      </c>
      <c r="BC60" s="4">
        <v>470.117188</v>
      </c>
    </row>
    <row r="62" spans="2:57" s="4" customFormat="1" x14ac:dyDescent="0.25">
      <c r="B62" s="5" t="s">
        <v>94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E62" s="4">
        <v>2601</v>
      </c>
      <c r="AG62" s="4">
        <v>2764</v>
      </c>
      <c r="AY62" s="4">
        <v>1902.1</v>
      </c>
      <c r="AZ62" s="4">
        <v>1644.4</v>
      </c>
      <c r="BA62" s="4">
        <v>2488.3000000000002</v>
      </c>
      <c r="BB62" s="4">
        <v>3621.9</v>
      </c>
      <c r="BC62" s="4">
        <v>2628.7</v>
      </c>
    </row>
    <row r="63" spans="2:57" x14ac:dyDescent="0.25">
      <c r="B63" s="5" t="s">
        <v>95</v>
      </c>
      <c r="AE63" s="4">
        <v>1228</v>
      </c>
      <c r="AG63">
        <v>849</v>
      </c>
      <c r="AY63" s="4">
        <v>778.8</v>
      </c>
      <c r="AZ63" s="4">
        <v>1117.5999999999999</v>
      </c>
      <c r="BA63" s="4">
        <v>1206.8</v>
      </c>
      <c r="BB63" s="4">
        <v>1196.3</v>
      </c>
      <c r="BC63" s="4">
        <v>1078.8</v>
      </c>
    </row>
    <row r="64" spans="2:57" x14ac:dyDescent="0.25">
      <c r="B64" s="5" t="s">
        <v>116</v>
      </c>
      <c r="AE64" s="4">
        <f>+AE62-AE63</f>
        <v>1373</v>
      </c>
      <c r="AG64" s="4">
        <f>+AG62-AG63</f>
        <v>1915</v>
      </c>
      <c r="AY64" s="4">
        <f t="shared" ref="AY64:AZ64" si="17">+AY62-AY63</f>
        <v>1123.3</v>
      </c>
      <c r="AZ64" s="4">
        <f t="shared" si="17"/>
        <v>526.80000000000018</v>
      </c>
      <c r="BA64" s="4">
        <f>+BA62-BA63</f>
        <v>1281.5000000000002</v>
      </c>
      <c r="BB64" s="4">
        <f>+BB62-BB63</f>
        <v>2425.6000000000004</v>
      </c>
      <c r="BC64" s="4">
        <f>+BC62-BC63</f>
        <v>1549.8999999999999</v>
      </c>
    </row>
    <row r="66" spans="2:55" x14ac:dyDescent="0.25">
      <c r="B66" s="5" t="s">
        <v>117</v>
      </c>
      <c r="AZ66" s="14">
        <f t="shared" ref="AZ66:BB66" si="18">AZ46/AY46-1</f>
        <v>7.874622566421996E-2</v>
      </c>
      <c r="BA66" s="14">
        <f t="shared" si="18"/>
        <v>7.1697936429859555E-2</v>
      </c>
      <c r="BB66" s="14">
        <f t="shared" si="18"/>
        <v>0.1266774489662108</v>
      </c>
      <c r="BC66" s="14">
        <f>BC46/BB46-1</f>
        <v>2.4432589718719644E-2</v>
      </c>
    </row>
  </sheetData>
  <hyperlinks>
    <hyperlink ref="A1" location="Main!A1" display="Main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4BA6-4B65-4711-929C-B9391A48EA8B}">
  <dimension ref="A1:C4"/>
  <sheetViews>
    <sheetView zoomScale="145" zoomScaleNormal="145" workbookViewId="0"/>
  </sheetViews>
  <sheetFormatPr defaultRowHeight="12.5" x14ac:dyDescent="0.25"/>
  <cols>
    <col min="1" max="1" width="5" bestFit="1" customWidth="1"/>
    <col min="2" max="2" width="8.81640625" bestFit="1" customWidth="1"/>
  </cols>
  <sheetData>
    <row r="1" spans="1:3" x14ac:dyDescent="0.25">
      <c r="A1" s="3" t="s">
        <v>15</v>
      </c>
    </row>
    <row r="2" spans="1:3" x14ac:dyDescent="0.25">
      <c r="B2" t="s">
        <v>100</v>
      </c>
      <c r="C2" t="s">
        <v>53</v>
      </c>
    </row>
    <row r="3" spans="1:3" x14ac:dyDescent="0.25">
      <c r="B3" t="s">
        <v>101</v>
      </c>
      <c r="C3" t="s">
        <v>102</v>
      </c>
    </row>
    <row r="4" spans="1:3" x14ac:dyDescent="0.25">
      <c r="B4" t="s">
        <v>5</v>
      </c>
      <c r="C4" t="s">
        <v>103</v>
      </c>
    </row>
  </sheetData>
  <hyperlinks>
    <hyperlink ref="A1" location="Main!A1" display="Main" xr:uid="{D14CF6E3-8A3D-4C60-8538-41848DB7E5F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0DC62-5BCD-429F-A10A-38246373C0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2CB4BB-6234-4E6B-8AF1-174BA70561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7DD1E9-4570-4C5D-AEC3-37D82CF05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Idelvion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Martin Shkreli</cp:lastModifiedBy>
  <dcterms:created xsi:type="dcterms:W3CDTF">2008-03-16T22:32:49Z</dcterms:created>
  <dcterms:modified xsi:type="dcterms:W3CDTF">2025-06-15T00:43:04Z</dcterms:modified>
</cp:coreProperties>
</file>