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F995BFAA-E7FA-4DE1-8E4D-EEAE3662DE32}" xr6:coauthVersionLast="47" xr6:coauthVersionMax="47" xr10:uidLastSave="{00000000-0000-0000-0000-000000000000}"/>
  <bookViews>
    <workbookView xWindow="-25350" yWindow="1605" windowWidth="22515" windowHeight="17025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5" i="2" l="1"/>
  <c r="AA16" i="2" s="1"/>
  <c r="W25" i="2"/>
  <c r="AA38" i="2"/>
  <c r="Z38" i="2"/>
  <c r="U38" i="2"/>
  <c r="T38" i="2"/>
  <c r="Y38" i="2"/>
  <c r="X38" i="2"/>
  <c r="W38" i="2"/>
  <c r="V38" i="2"/>
  <c r="W37" i="2"/>
  <c r="V37" i="2"/>
  <c r="U37" i="2"/>
  <c r="T37" i="2"/>
  <c r="Z37" i="2"/>
  <c r="Y37" i="2"/>
  <c r="X37" i="2"/>
  <c r="AA37" i="2"/>
  <c r="AV12" i="2"/>
  <c r="AV11" i="2"/>
  <c r="AV10" i="2"/>
  <c r="AU100" i="2"/>
  <c r="AU101" i="2" s="1"/>
  <c r="AT100" i="2"/>
  <c r="AT101" i="2" s="1"/>
  <c r="AS100" i="2"/>
  <c r="AS94" i="2"/>
  <c r="AS92" i="2"/>
  <c r="AS90" i="2"/>
  <c r="AS89" i="2"/>
  <c r="AS88" i="2"/>
  <c r="AS85" i="2"/>
  <c r="AS84" i="2"/>
  <c r="AS82" i="2"/>
  <c r="AS77" i="2"/>
  <c r="AS76" i="2"/>
  <c r="AS75" i="2"/>
  <c r="AS74" i="2"/>
  <c r="AS73" i="2"/>
  <c r="AS72" i="2"/>
  <c r="AS71" i="2"/>
  <c r="AS67" i="2"/>
  <c r="AS66" i="2"/>
  <c r="AS65" i="2"/>
  <c r="AS64" i="2"/>
  <c r="AS61" i="2"/>
  <c r="AS60" i="2"/>
  <c r="AS59" i="2"/>
  <c r="AS58" i="2"/>
  <c r="AS55" i="2"/>
  <c r="AS53" i="2"/>
  <c r="AS52" i="2"/>
  <c r="AS51" i="2"/>
  <c r="AS50" i="2"/>
  <c r="AS49" i="2"/>
  <c r="AS48" i="2"/>
  <c r="AS47" i="2"/>
  <c r="AT90" i="2"/>
  <c r="AT71" i="2"/>
  <c r="AT67" i="2"/>
  <c r="AT66" i="2"/>
  <c r="AT65" i="2"/>
  <c r="AT61" i="2"/>
  <c r="AT60" i="2"/>
  <c r="AT59" i="2"/>
  <c r="AT58" i="2"/>
  <c r="AT68" i="2" s="1"/>
  <c r="AT55" i="2"/>
  <c r="AT54" i="2"/>
  <c r="AT53" i="2"/>
  <c r="AT52" i="2"/>
  <c r="AT51" i="2"/>
  <c r="AT50" i="2"/>
  <c r="AT49" i="2"/>
  <c r="AT48" i="2"/>
  <c r="AT47" i="2"/>
  <c r="AC25" i="2"/>
  <c r="AB25" i="2"/>
  <c r="AD22" i="2"/>
  <c r="AC22" i="2"/>
  <c r="AB22" i="2"/>
  <c r="AV22" i="2"/>
  <c r="AD21" i="2"/>
  <c r="AC21" i="2"/>
  <c r="AB21" i="2"/>
  <c r="AV21" i="2"/>
  <c r="AD20" i="2"/>
  <c r="AD23" i="2" s="1"/>
  <c r="AC20" i="2"/>
  <c r="AC23" i="2" s="1"/>
  <c r="AB20" i="2"/>
  <c r="AB23" i="2" s="1"/>
  <c r="AA20" i="2"/>
  <c r="AA23" i="2" s="1"/>
  <c r="AB30" i="2"/>
  <c r="AC30" i="2" s="1"/>
  <c r="AD30" i="2" s="1"/>
  <c r="AD13" i="2"/>
  <c r="AD35" i="2" s="1"/>
  <c r="AC13" i="2"/>
  <c r="AC35" i="2" s="1"/>
  <c r="AB13" i="2"/>
  <c r="AB35" i="2" s="1"/>
  <c r="AA35" i="2"/>
  <c r="AD14" i="2"/>
  <c r="AD34" i="2" s="1"/>
  <c r="AC14" i="2"/>
  <c r="AC34" i="2" s="1"/>
  <c r="AB14" i="2"/>
  <c r="AB34" i="2" s="1"/>
  <c r="AA34" i="2"/>
  <c r="AD39" i="2"/>
  <c r="AC39" i="2"/>
  <c r="AA39" i="2"/>
  <c r="Z15" i="2"/>
  <c r="AD12" i="2"/>
  <c r="AC12" i="2"/>
  <c r="AB12" i="2"/>
  <c r="AD11" i="2"/>
  <c r="AC11" i="2"/>
  <c r="AB11" i="2"/>
  <c r="AD10" i="2"/>
  <c r="AC10" i="2"/>
  <c r="AB10" i="2"/>
  <c r="AB39" i="2" s="1"/>
  <c r="AD9" i="2"/>
  <c r="AC9" i="2"/>
  <c r="AB9" i="2"/>
  <c r="AV9" i="2" s="1"/>
  <c r="AU73" i="2"/>
  <c r="AU67" i="2"/>
  <c r="AU66" i="2"/>
  <c r="AU65" i="2"/>
  <c r="AU64" i="2"/>
  <c r="AU63" i="2"/>
  <c r="AU62" i="2"/>
  <c r="AU61" i="2"/>
  <c r="AU60" i="2"/>
  <c r="AU59" i="2"/>
  <c r="AU58" i="2"/>
  <c r="AU55" i="2"/>
  <c r="AU54" i="2"/>
  <c r="AU53" i="2"/>
  <c r="AU52" i="2"/>
  <c r="AU51" i="2"/>
  <c r="AU50" i="2"/>
  <c r="AU49" i="2"/>
  <c r="AU48" i="2"/>
  <c r="AU47" i="2"/>
  <c r="V25" i="2"/>
  <c r="Z25" i="2"/>
  <c r="AU25" i="2" s="1"/>
  <c r="Z46" i="2"/>
  <c r="AU46" i="2" s="1"/>
  <c r="Z101" i="2"/>
  <c r="Y101" i="2"/>
  <c r="AU8" i="2"/>
  <c r="X94" i="2"/>
  <c r="Y94" i="2" s="1"/>
  <c r="Z94" i="2" s="1"/>
  <c r="X90" i="2"/>
  <c r="Y90" i="2" s="1"/>
  <c r="Z90" i="2" s="1"/>
  <c r="X89" i="2"/>
  <c r="Y89" i="2" s="1"/>
  <c r="Z89" i="2" s="1"/>
  <c r="X88" i="2"/>
  <c r="Y88" i="2" s="1"/>
  <c r="Z88" i="2" s="1"/>
  <c r="X92" i="2"/>
  <c r="Y92" i="2" s="1"/>
  <c r="Z92" i="2" s="1"/>
  <c r="X85" i="2"/>
  <c r="Y85" i="2" s="1"/>
  <c r="Z85" i="2" s="1"/>
  <c r="X84" i="2"/>
  <c r="Y84" i="2" s="1"/>
  <c r="Z84" i="2" s="1"/>
  <c r="X82" i="2"/>
  <c r="Y82" i="2" s="1"/>
  <c r="W91" i="2"/>
  <c r="W93" i="2" s="1"/>
  <c r="W83" i="2"/>
  <c r="W86" i="2" s="1"/>
  <c r="W78" i="2"/>
  <c r="X78" i="2" s="1"/>
  <c r="Y78" i="2" s="1"/>
  <c r="X77" i="2"/>
  <c r="X76" i="2"/>
  <c r="X75" i="2"/>
  <c r="X74" i="2"/>
  <c r="X72" i="2"/>
  <c r="Y72" i="2" s="1"/>
  <c r="Z72" i="2" s="1"/>
  <c r="X71" i="2"/>
  <c r="Y71" i="2" s="1"/>
  <c r="Z71" i="2" s="1"/>
  <c r="Y77" i="2"/>
  <c r="Z77" i="2" s="1"/>
  <c r="Y76" i="2"/>
  <c r="Z76" i="2" s="1"/>
  <c r="Y75" i="2"/>
  <c r="Z75" i="2" s="1"/>
  <c r="Y74" i="2"/>
  <c r="Z74" i="2" s="1"/>
  <c r="Y62" i="2"/>
  <c r="Y63" i="2"/>
  <c r="Y46" i="2"/>
  <c r="Y56" i="2" s="1"/>
  <c r="Y45" i="2"/>
  <c r="Z68" i="2"/>
  <c r="AU11" i="2"/>
  <c r="Y39" i="2"/>
  <c r="AK43" i="2"/>
  <c r="AT30" i="2"/>
  <c r="AU14" i="2"/>
  <c r="AU13" i="2"/>
  <c r="AU12" i="2"/>
  <c r="AU10" i="2"/>
  <c r="AU9" i="2"/>
  <c r="AT8" i="2"/>
  <c r="AT14" i="2"/>
  <c r="AT13" i="2"/>
  <c r="AT12" i="2"/>
  <c r="AT11" i="2"/>
  <c r="AT10" i="2"/>
  <c r="AT9" i="2"/>
  <c r="AS9" i="2"/>
  <c r="X101" i="2"/>
  <c r="Z39" i="2"/>
  <c r="Z35" i="2"/>
  <c r="Y35" i="2"/>
  <c r="Z34" i="2"/>
  <c r="Y34" i="2"/>
  <c r="AU22" i="2"/>
  <c r="AU21" i="2"/>
  <c r="Z23" i="2"/>
  <c r="X39" i="2"/>
  <c r="X35" i="2"/>
  <c r="X34" i="2"/>
  <c r="W63" i="2"/>
  <c r="W62" i="2"/>
  <c r="W68" i="2" s="1"/>
  <c r="X62" i="2"/>
  <c r="X63" i="2"/>
  <c r="X68" i="2" s="1"/>
  <c r="X46" i="2"/>
  <c r="X45" i="2" s="1"/>
  <c r="W39" i="2"/>
  <c r="W35" i="2"/>
  <c r="W34" i="2"/>
  <c r="W46" i="2"/>
  <c r="W45" i="2" s="1"/>
  <c r="W101" i="2"/>
  <c r="Z16" i="2"/>
  <c r="Z19" i="2" s="1"/>
  <c r="X15" i="2"/>
  <c r="X16" i="2" s="1"/>
  <c r="W15" i="2"/>
  <c r="W16" i="2" s="1"/>
  <c r="W19" i="2" s="1"/>
  <c r="W40" i="2" s="1"/>
  <c r="Y23" i="2"/>
  <c r="X23" i="2"/>
  <c r="W23" i="2"/>
  <c r="V91" i="2"/>
  <c r="V93" i="2" s="1"/>
  <c r="V83" i="2"/>
  <c r="V86" i="2" s="1"/>
  <c r="V78" i="2"/>
  <c r="V79" i="2" s="1"/>
  <c r="V97" i="2" s="1"/>
  <c r="V62" i="2"/>
  <c r="AT62" i="2" s="1"/>
  <c r="V63" i="2"/>
  <c r="AT63" i="2" s="1"/>
  <c r="V64" i="2"/>
  <c r="AT64" i="2" s="1"/>
  <c r="V46" i="2"/>
  <c r="V56" i="2" s="1"/>
  <c r="V101" i="2"/>
  <c r="U91" i="2"/>
  <c r="U93" i="2" s="1"/>
  <c r="U83" i="2"/>
  <c r="U86" i="2" s="1"/>
  <c r="U78" i="2"/>
  <c r="U79" i="2" s="1"/>
  <c r="U97" i="2" s="1"/>
  <c r="U62" i="2"/>
  <c r="U63" i="2"/>
  <c r="U54" i="2"/>
  <c r="U46" i="2"/>
  <c r="U56" i="2" s="1"/>
  <c r="U101" i="2"/>
  <c r="T94" i="2"/>
  <c r="AT94" i="2" s="1"/>
  <c r="T92" i="2"/>
  <c r="AT92" i="2" s="1"/>
  <c r="T89" i="2"/>
  <c r="AT89" i="2" s="1"/>
  <c r="T88" i="2"/>
  <c r="AT88" i="2" s="1"/>
  <c r="T85" i="2"/>
  <c r="AT85" i="2" s="1"/>
  <c r="T84" i="2"/>
  <c r="AT84" i="2" s="1"/>
  <c r="T77" i="2"/>
  <c r="AT77" i="2" s="1"/>
  <c r="T76" i="2"/>
  <c r="AT76" i="2" s="1"/>
  <c r="T75" i="2"/>
  <c r="AT75" i="2" s="1"/>
  <c r="T74" i="2"/>
  <c r="AT74" i="2" s="1"/>
  <c r="T73" i="2"/>
  <c r="AT73" i="2" s="1"/>
  <c r="T72" i="2"/>
  <c r="AT72" i="2" s="1"/>
  <c r="S91" i="2"/>
  <c r="T91" i="2" s="1"/>
  <c r="S83" i="2"/>
  <c r="S86" i="2" s="1"/>
  <c r="S78" i="2"/>
  <c r="S79" i="2" s="1"/>
  <c r="S97" i="2" s="1"/>
  <c r="S63" i="2"/>
  <c r="S62" i="2"/>
  <c r="S46" i="2"/>
  <c r="S45" i="2" s="1"/>
  <c r="S54" i="2"/>
  <c r="S56" i="2" s="1"/>
  <c r="T82" i="2"/>
  <c r="AT82" i="2" s="1"/>
  <c r="T23" i="2"/>
  <c r="T63" i="2"/>
  <c r="T62" i="2"/>
  <c r="T46" i="2"/>
  <c r="T45" i="2" s="1"/>
  <c r="T54" i="2"/>
  <c r="T101" i="2"/>
  <c r="L4" i="1"/>
  <c r="L7" i="1" s="1"/>
  <c r="S101" i="2"/>
  <c r="P91" i="2"/>
  <c r="P93" i="2" s="1"/>
  <c r="P83" i="2"/>
  <c r="P86" i="2" s="1"/>
  <c r="AV14" i="2" l="1"/>
  <c r="AV34" i="2" s="1"/>
  <c r="Z56" i="2"/>
  <c r="AU84" i="2"/>
  <c r="AU85" i="2"/>
  <c r="AU94" i="2"/>
  <c r="Z45" i="2"/>
  <c r="AU90" i="2"/>
  <c r="AV13" i="2"/>
  <c r="AU30" i="2"/>
  <c r="AU88" i="2"/>
  <c r="AU89" i="2"/>
  <c r="AU92" i="2"/>
  <c r="AV20" i="2"/>
  <c r="AB15" i="2"/>
  <c r="AB16" i="2" s="1"/>
  <c r="AB32" i="2" s="1"/>
  <c r="AC15" i="2"/>
  <c r="AC16" i="2" s="1"/>
  <c r="AC43" i="2" s="1"/>
  <c r="AU68" i="2"/>
  <c r="AU74" i="2"/>
  <c r="AU76" i="2"/>
  <c r="AU77" i="2"/>
  <c r="AD25" i="2"/>
  <c r="AV25" i="2" s="1"/>
  <c r="AU45" i="2"/>
  <c r="AU56" i="2"/>
  <c r="AU71" i="2"/>
  <c r="AU75" i="2"/>
  <c r="AU72" i="2"/>
  <c r="AT46" i="2"/>
  <c r="AT91" i="2"/>
  <c r="AT93" i="2" s="1"/>
  <c r="AD15" i="2"/>
  <c r="AD36" i="2" s="1"/>
  <c r="AB36" i="2"/>
  <c r="AA36" i="2"/>
  <c r="Z102" i="2"/>
  <c r="Z40" i="2"/>
  <c r="Y68" i="2"/>
  <c r="X91" i="2"/>
  <c r="W42" i="2"/>
  <c r="Z82" i="2"/>
  <c r="AU82" i="2" s="1"/>
  <c r="W102" i="2"/>
  <c r="AU20" i="2"/>
  <c r="W43" i="2"/>
  <c r="W79" i="2"/>
  <c r="W97" i="2" s="1"/>
  <c r="X93" i="2"/>
  <c r="X43" i="2"/>
  <c r="X42" i="2"/>
  <c r="X19" i="2"/>
  <c r="X40" i="2" s="1"/>
  <c r="X102" i="2"/>
  <c r="X83" i="2"/>
  <c r="Y83" i="2" s="1"/>
  <c r="Z83" i="2" s="1"/>
  <c r="X79" i="2"/>
  <c r="X97" i="2" s="1"/>
  <c r="Y79" i="2"/>
  <c r="Y97" i="2" s="1"/>
  <c r="Z78" i="2"/>
  <c r="Z79" i="2" s="1"/>
  <c r="Z43" i="2"/>
  <c r="Z42" i="2"/>
  <c r="Y15" i="2"/>
  <c r="V68" i="2"/>
  <c r="W56" i="2"/>
  <c r="X56" i="2"/>
  <c r="Z24" i="2"/>
  <c r="Z26" i="2" s="1"/>
  <c r="W24" i="2"/>
  <c r="W26" i="2" s="1"/>
  <c r="V95" i="2"/>
  <c r="V45" i="2"/>
  <c r="S68" i="2"/>
  <c r="U45" i="2"/>
  <c r="U68" i="2"/>
  <c r="U95" i="2"/>
  <c r="T68" i="2"/>
  <c r="S93" i="2"/>
  <c r="S95" i="2" s="1"/>
  <c r="T78" i="2"/>
  <c r="T83" i="2"/>
  <c r="T93" i="2"/>
  <c r="T56" i="2"/>
  <c r="P78" i="2"/>
  <c r="P79" i="2" s="1"/>
  <c r="V39" i="2"/>
  <c r="U39" i="2"/>
  <c r="V35" i="2"/>
  <c r="U35" i="2"/>
  <c r="V34" i="2"/>
  <c r="U34" i="2"/>
  <c r="S15" i="2"/>
  <c r="S35" i="2"/>
  <c r="V23" i="2"/>
  <c r="T39" i="2"/>
  <c r="S39" i="2"/>
  <c r="T35" i="2"/>
  <c r="T34" i="2"/>
  <c r="S34" i="2"/>
  <c r="K43" i="2"/>
  <c r="AS17" i="2"/>
  <c r="AS14" i="2"/>
  <c r="AS13" i="2"/>
  <c r="AS12" i="2"/>
  <c r="AS11" i="2"/>
  <c r="AS15" i="2" s="1"/>
  <c r="AS10" i="2"/>
  <c r="AS8" i="2"/>
  <c r="AS109" i="2"/>
  <c r="AS106" i="2"/>
  <c r="AP23" i="2"/>
  <c r="AO23" i="2"/>
  <c r="AN23" i="2"/>
  <c r="AM23" i="2"/>
  <c r="AM19" i="2"/>
  <c r="AM40" i="2" s="1"/>
  <c r="AL23" i="2"/>
  <c r="AL19" i="2"/>
  <c r="AL40" i="2" s="1"/>
  <c r="AK23" i="2"/>
  <c r="AK19" i="2"/>
  <c r="AK40" i="2" s="1"/>
  <c r="AM32" i="2"/>
  <c r="AL32" i="2"/>
  <c r="AK32" i="2"/>
  <c r="AJ32" i="2"/>
  <c r="R91" i="2"/>
  <c r="R93" i="2" s="1"/>
  <c r="R83" i="2"/>
  <c r="R86" i="2" s="1"/>
  <c r="R78" i="2"/>
  <c r="R79" i="2" s="1"/>
  <c r="R97" i="2" s="1"/>
  <c r="R39" i="2"/>
  <c r="R35" i="2"/>
  <c r="R34" i="2"/>
  <c r="R23" i="2"/>
  <c r="AB43" i="2" l="1"/>
  <c r="AC36" i="2"/>
  <c r="AV15" i="2"/>
  <c r="AC19" i="2"/>
  <c r="AC40" i="2" s="1"/>
  <c r="AC42" i="2"/>
  <c r="AB19" i="2"/>
  <c r="AB40" i="2" s="1"/>
  <c r="AC17" i="2"/>
  <c r="AB42" i="2"/>
  <c r="X24" i="2"/>
  <c r="X26" i="2" s="1"/>
  <c r="X28" i="2" s="1"/>
  <c r="X29" i="2" s="1"/>
  <c r="AB24" i="2"/>
  <c r="AB26" i="2" s="1"/>
  <c r="T79" i="2"/>
  <c r="T97" i="2" s="1"/>
  <c r="AT78" i="2"/>
  <c r="AT79" i="2" s="1"/>
  <c r="W95" i="2"/>
  <c r="AT45" i="2"/>
  <c r="AT56" i="2"/>
  <c r="T86" i="2"/>
  <c r="T95" i="2" s="1"/>
  <c r="AT83" i="2"/>
  <c r="AT86" i="2" s="1"/>
  <c r="AT95" i="2" s="1"/>
  <c r="AB17" i="2"/>
  <c r="AC24" i="2"/>
  <c r="AC26" i="2" s="1"/>
  <c r="Z97" i="2"/>
  <c r="Z98" i="2" s="1"/>
  <c r="X98" i="2"/>
  <c r="Y86" i="2"/>
  <c r="Y91" i="2"/>
  <c r="AU83" i="2"/>
  <c r="AU86" i="2" s="1"/>
  <c r="X86" i="2"/>
  <c r="X95" i="2" s="1"/>
  <c r="AU78" i="2"/>
  <c r="AU79" i="2" s="1"/>
  <c r="AD16" i="2"/>
  <c r="Y98" i="2"/>
  <c r="Z86" i="2"/>
  <c r="W36" i="2"/>
  <c r="Y16" i="2"/>
  <c r="Y42" i="2" s="1"/>
  <c r="AU15" i="2"/>
  <c r="AU16" i="2" s="1"/>
  <c r="AU102" i="2" s="1"/>
  <c r="Z41" i="2"/>
  <c r="W28" i="2"/>
  <c r="W41" i="2"/>
  <c r="U23" i="2"/>
  <c r="P97" i="2"/>
  <c r="P95" i="2"/>
  <c r="AS16" i="2"/>
  <c r="S23" i="2"/>
  <c r="AM24" i="2"/>
  <c r="AM26" i="2" s="1"/>
  <c r="AM28" i="2" s="1"/>
  <c r="AK24" i="2"/>
  <c r="AK26" i="2" s="1"/>
  <c r="AL24" i="2"/>
  <c r="AL26" i="2" s="1"/>
  <c r="R95" i="2"/>
  <c r="Y43" i="2" l="1"/>
  <c r="AS43" i="2"/>
  <c r="AS102" i="2"/>
  <c r="X41" i="2"/>
  <c r="AA32" i="2"/>
  <c r="AA19" i="2"/>
  <c r="AA17" i="2" s="1"/>
  <c r="AA43" i="2"/>
  <c r="AA42" i="2"/>
  <c r="AT97" i="2"/>
  <c r="AU97" i="2"/>
  <c r="AU80" i="2"/>
  <c r="AD32" i="2"/>
  <c r="AD42" i="2"/>
  <c r="AD19" i="2"/>
  <c r="AD43" i="2"/>
  <c r="AD17" i="2"/>
  <c r="Z91" i="2"/>
  <c r="Y93" i="2"/>
  <c r="Y95" i="2" s="1"/>
  <c r="X70" i="2"/>
  <c r="AB27" i="2"/>
  <c r="AB41" i="2" s="1"/>
  <c r="AC27" i="2"/>
  <c r="AC41" i="2" s="1"/>
  <c r="Y19" i="2"/>
  <c r="AU19" i="2" s="1"/>
  <c r="Y102" i="2"/>
  <c r="AC32" i="2"/>
  <c r="V98" i="2"/>
  <c r="W98" i="2"/>
  <c r="U98" i="2"/>
  <c r="Y40" i="2"/>
  <c r="Z28" i="2"/>
  <c r="W29" i="2"/>
  <c r="W70" i="2"/>
  <c r="AM41" i="2"/>
  <c r="AK28" i="2"/>
  <c r="AK41" i="2"/>
  <c r="AL41" i="2"/>
  <c r="AL28" i="2"/>
  <c r="AB28" i="2" l="1"/>
  <c r="AB29" i="2" s="1"/>
  <c r="AA40" i="2"/>
  <c r="AV19" i="2"/>
  <c r="AA24" i="2"/>
  <c r="AA26" i="2" s="1"/>
  <c r="Y24" i="2"/>
  <c r="Y26" i="2" s="1"/>
  <c r="Z93" i="2"/>
  <c r="Z95" i="2" s="1"/>
  <c r="AU91" i="2"/>
  <c r="AU93" i="2" s="1"/>
  <c r="AU95" i="2" s="1"/>
  <c r="AC28" i="2"/>
  <c r="AC29" i="2" s="1"/>
  <c r="AD40" i="2"/>
  <c r="AD24" i="2"/>
  <c r="AD26" i="2" s="1"/>
  <c r="Z29" i="2"/>
  <c r="Z70" i="2"/>
  <c r="R63" i="2"/>
  <c r="AS63" i="2" s="1"/>
  <c r="R62" i="2"/>
  <c r="AS62" i="2" s="1"/>
  <c r="AS68" i="2" s="1"/>
  <c r="R54" i="2"/>
  <c r="AS54" i="2" s="1"/>
  <c r="R46" i="2"/>
  <c r="AS46" i="2" s="1"/>
  <c r="K102" i="2"/>
  <c r="R101" i="2"/>
  <c r="Q34" i="2"/>
  <c r="P34" i="2"/>
  <c r="O34" i="2"/>
  <c r="Q101" i="2"/>
  <c r="P101" i="2"/>
  <c r="O101" i="2"/>
  <c r="O91" i="2"/>
  <c r="O83" i="2"/>
  <c r="O78" i="2"/>
  <c r="AS78" i="2" s="1"/>
  <c r="AS79" i="2" s="1"/>
  <c r="K78" i="2"/>
  <c r="K79" i="2" s="1"/>
  <c r="K97" i="2" s="1"/>
  <c r="O79" i="2"/>
  <c r="O97" i="2" s="1"/>
  <c r="N79" i="2"/>
  <c r="N97" i="2" s="1"/>
  <c r="O63" i="2"/>
  <c r="O62" i="2"/>
  <c r="O68" i="2" s="1"/>
  <c r="O54" i="2"/>
  <c r="O46" i="2"/>
  <c r="O45" i="2" s="1"/>
  <c r="N63" i="2"/>
  <c r="N62" i="2"/>
  <c r="N54" i="2"/>
  <c r="N46" i="2"/>
  <c r="N45" i="2" s="1"/>
  <c r="R15" i="2"/>
  <c r="Q78" i="2"/>
  <c r="Q79" i="2" s="1"/>
  <c r="Q97" i="2" s="1"/>
  <c r="M97" i="2"/>
  <c r="Q63" i="2"/>
  <c r="Q62" i="2"/>
  <c r="Q54" i="2"/>
  <c r="Q46" i="2"/>
  <c r="Q45" i="2" s="1"/>
  <c r="G63" i="2"/>
  <c r="G62" i="2"/>
  <c r="G46" i="2"/>
  <c r="G45" i="2" s="1"/>
  <c r="G54" i="2"/>
  <c r="C91" i="2"/>
  <c r="C93" i="2" s="1"/>
  <c r="C83" i="2"/>
  <c r="C86" i="2" s="1"/>
  <c r="C78" i="2"/>
  <c r="C79" i="2" s="1"/>
  <c r="G91" i="2"/>
  <c r="G93" i="2" s="1"/>
  <c r="G83" i="2"/>
  <c r="G86" i="2" s="1"/>
  <c r="G78" i="2"/>
  <c r="G79" i="2" s="1"/>
  <c r="C23" i="2"/>
  <c r="K39" i="2"/>
  <c r="K35" i="2"/>
  <c r="K34" i="2"/>
  <c r="AP39" i="2"/>
  <c r="AO39" i="2"/>
  <c r="AP34" i="2"/>
  <c r="AO34" i="2"/>
  <c r="AP15" i="2"/>
  <c r="AP16" i="2" s="1"/>
  <c r="AP43" i="2" s="1"/>
  <c r="AO15" i="2"/>
  <c r="AO16" i="2" s="1"/>
  <c r="AO43" i="2" s="1"/>
  <c r="AN15" i="2"/>
  <c r="AN16" i="2" s="1"/>
  <c r="AN43" i="2" s="1"/>
  <c r="AQ14" i="2"/>
  <c r="AQ13" i="2"/>
  <c r="AQ35" i="2" s="1"/>
  <c r="AQ12" i="2"/>
  <c r="AQ11" i="2"/>
  <c r="AQ10" i="2"/>
  <c r="AQ39" i="2" s="1"/>
  <c r="AQ9" i="2"/>
  <c r="AQ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R8" i="2"/>
  <c r="AR14" i="2"/>
  <c r="AR11" i="2"/>
  <c r="AR10" i="2"/>
  <c r="AR9" i="2"/>
  <c r="AR12" i="2"/>
  <c r="AP35" i="2"/>
  <c r="AO35" i="2"/>
  <c r="AR13" i="2"/>
  <c r="AS25" i="2"/>
  <c r="AS30" i="2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Q35" i="2"/>
  <c r="P63" i="2"/>
  <c r="P62" i="2"/>
  <c r="P54" i="2"/>
  <c r="P46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9" i="2"/>
  <c r="P23" i="2"/>
  <c r="L39" i="2"/>
  <c r="H15" i="2"/>
  <c r="H16" i="2" s="1"/>
  <c r="L15" i="2"/>
  <c r="L16" i="2" s="1"/>
  <c r="M39" i="2"/>
  <c r="I23" i="2"/>
  <c r="H23" i="2"/>
  <c r="G23" i="2"/>
  <c r="I15" i="2"/>
  <c r="I16" i="2" s="1"/>
  <c r="M15" i="2"/>
  <c r="M16" i="2" s="1"/>
  <c r="AR23" i="2"/>
  <c r="AQ23" i="2"/>
  <c r="AS2" i="2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K42" i="2"/>
  <c r="J97" i="2"/>
  <c r="N39" i="2"/>
  <c r="J23" i="2"/>
  <c r="K19" i="2"/>
  <c r="J15" i="2"/>
  <c r="J16" i="2" s="1"/>
  <c r="J43" i="2" s="1"/>
  <c r="O39" i="2"/>
  <c r="O23" i="2"/>
  <c r="N23" i="2"/>
  <c r="M23" i="2"/>
  <c r="L23" i="2"/>
  <c r="K23" i="2"/>
  <c r="AA28" i="2" l="1"/>
  <c r="AS97" i="2"/>
  <c r="AT80" i="2"/>
  <c r="AA41" i="2"/>
  <c r="O93" i="2"/>
  <c r="AS91" i="2"/>
  <c r="AS93" i="2" s="1"/>
  <c r="AS45" i="2"/>
  <c r="AS56" i="2"/>
  <c r="AD27" i="2"/>
  <c r="AD41" i="2" s="1"/>
  <c r="AA45" i="2"/>
  <c r="AB45" i="2" s="1"/>
  <c r="AC45" i="2" s="1"/>
  <c r="AA29" i="2"/>
  <c r="O86" i="2"/>
  <c r="AS83" i="2"/>
  <c r="AS86" i="2" s="1"/>
  <c r="P98" i="2"/>
  <c r="O98" i="2"/>
  <c r="N98" i="2"/>
  <c r="R98" i="2"/>
  <c r="T98" i="2"/>
  <c r="S98" i="2"/>
  <c r="AQ34" i="2"/>
  <c r="Q98" i="2"/>
  <c r="Q68" i="2"/>
  <c r="Y41" i="2"/>
  <c r="AU27" i="2"/>
  <c r="Y28" i="2"/>
  <c r="Y70" i="2" s="1"/>
  <c r="AU70" i="2" s="1"/>
  <c r="O102" i="2"/>
  <c r="O43" i="2"/>
  <c r="G42" i="2"/>
  <c r="G43" i="2"/>
  <c r="M102" i="2"/>
  <c r="M43" i="2"/>
  <c r="I42" i="2"/>
  <c r="I43" i="2"/>
  <c r="H19" i="2"/>
  <c r="H40" i="2" s="1"/>
  <c r="H43" i="2"/>
  <c r="P102" i="2"/>
  <c r="P43" i="2"/>
  <c r="L102" i="2"/>
  <c r="L43" i="2"/>
  <c r="R56" i="2"/>
  <c r="R45" i="2"/>
  <c r="AO32" i="2"/>
  <c r="AO19" i="2"/>
  <c r="AN32" i="2"/>
  <c r="AN19" i="2"/>
  <c r="AP19" i="2"/>
  <c r="AP32" i="2"/>
  <c r="T15" i="2"/>
  <c r="O56" i="2"/>
  <c r="N68" i="2"/>
  <c r="Q56" i="2"/>
  <c r="G102" i="2"/>
  <c r="U15" i="2"/>
  <c r="Y36" i="2" s="1"/>
  <c r="O95" i="2"/>
  <c r="R16" i="2"/>
  <c r="R36" i="2"/>
  <c r="G68" i="2"/>
  <c r="N56" i="2"/>
  <c r="R68" i="2"/>
  <c r="V15" i="2"/>
  <c r="G56" i="2"/>
  <c r="G95" i="2"/>
  <c r="C95" i="2"/>
  <c r="AQ15" i="2"/>
  <c r="AQ16" i="2" s="1"/>
  <c r="AQ32" i="2" s="1"/>
  <c r="AR39" i="2"/>
  <c r="G19" i="2"/>
  <c r="G40" i="2" s="1"/>
  <c r="K32" i="2"/>
  <c r="AW12" i="2"/>
  <c r="AX12" i="2" s="1"/>
  <c r="AY12" i="2" s="1"/>
  <c r="AZ12" i="2" s="1"/>
  <c r="BA12" i="2" s="1"/>
  <c r="BB12" i="2" s="1"/>
  <c r="BC12" i="2" s="1"/>
  <c r="BD12" i="2" s="1"/>
  <c r="BE12" i="2" s="1"/>
  <c r="BF12" i="2" s="1"/>
  <c r="AR35" i="2"/>
  <c r="AR34" i="2"/>
  <c r="K36" i="2"/>
  <c r="AO36" i="2"/>
  <c r="AP36" i="2"/>
  <c r="AR15" i="2"/>
  <c r="AR16" i="2" s="1"/>
  <c r="AR43" i="2" s="1"/>
  <c r="C24" i="2"/>
  <c r="C26" i="2" s="1"/>
  <c r="C28" i="2" s="1"/>
  <c r="AS34" i="2"/>
  <c r="P56" i="2"/>
  <c r="AS22" i="2"/>
  <c r="AT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Q23" i="2"/>
  <c r="AS21" i="2"/>
  <c r="AT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P45" i="2"/>
  <c r="AS20" i="2"/>
  <c r="Q15" i="2"/>
  <c r="Q36" i="2" s="1"/>
  <c r="Q39" i="2"/>
  <c r="P68" i="2"/>
  <c r="M32" i="2"/>
  <c r="O36" i="2"/>
  <c r="O32" i="2"/>
  <c r="O42" i="2"/>
  <c r="P42" i="2"/>
  <c r="P19" i="2"/>
  <c r="P24" i="2" s="1"/>
  <c r="P26" i="2" s="1"/>
  <c r="P32" i="2"/>
  <c r="L32" i="2"/>
  <c r="M36" i="2"/>
  <c r="N36" i="2"/>
  <c r="N16" i="2"/>
  <c r="N43" i="2" s="1"/>
  <c r="J19" i="2"/>
  <c r="J40" i="2" s="1"/>
  <c r="J42" i="2"/>
  <c r="P36" i="2"/>
  <c r="L36" i="2"/>
  <c r="H42" i="2"/>
  <c r="I19" i="2"/>
  <c r="I40" i="2" s="1"/>
  <c r="L42" i="2"/>
  <c r="L19" i="2"/>
  <c r="L40" i="2" s="1"/>
  <c r="M19" i="2"/>
  <c r="M40" i="2" s="1"/>
  <c r="M42" i="2"/>
  <c r="O19" i="2"/>
  <c r="AV27" i="2" l="1"/>
  <c r="AS95" i="2"/>
  <c r="AD28" i="2"/>
  <c r="AD29" i="2" s="1"/>
  <c r="AQ43" i="2"/>
  <c r="V36" i="2"/>
  <c r="Z36" i="2"/>
  <c r="X36" i="2"/>
  <c r="AT15" i="2"/>
  <c r="Y29" i="2"/>
  <c r="H24" i="2"/>
  <c r="H26" i="2" s="1"/>
  <c r="H28" i="2" s="1"/>
  <c r="R42" i="2"/>
  <c r="R43" i="2"/>
  <c r="AR32" i="2"/>
  <c r="V16" i="2"/>
  <c r="U16" i="2"/>
  <c r="Y32" i="2" s="1"/>
  <c r="U36" i="2"/>
  <c r="T16" i="2"/>
  <c r="X32" i="2" s="1"/>
  <c r="T36" i="2"/>
  <c r="S16" i="2"/>
  <c r="W32" i="2" s="1"/>
  <c r="S36" i="2"/>
  <c r="AP40" i="2"/>
  <c r="AP24" i="2"/>
  <c r="AP26" i="2" s="1"/>
  <c r="AN40" i="2"/>
  <c r="AN24" i="2"/>
  <c r="AN26" i="2" s="1"/>
  <c r="AO40" i="2"/>
  <c r="AO24" i="2"/>
  <c r="AO26" i="2" s="1"/>
  <c r="N42" i="2"/>
  <c r="N102" i="2"/>
  <c r="R32" i="2"/>
  <c r="R19" i="2"/>
  <c r="R40" i="2" s="1"/>
  <c r="R102" i="2"/>
  <c r="C29" i="2"/>
  <c r="C70" i="2"/>
  <c r="AQ42" i="2"/>
  <c r="AQ19" i="2"/>
  <c r="AQ40" i="2" s="1"/>
  <c r="AR36" i="2"/>
  <c r="AQ36" i="2"/>
  <c r="Q16" i="2"/>
  <c r="Q43" i="2" s="1"/>
  <c r="G24" i="2"/>
  <c r="G26" i="2" s="1"/>
  <c r="AR19" i="2"/>
  <c r="AR40" i="2" s="1"/>
  <c r="AR42" i="2"/>
  <c r="G28" i="2"/>
  <c r="G41" i="2"/>
  <c r="AS35" i="2"/>
  <c r="AS36" i="2"/>
  <c r="AT39" i="2"/>
  <c r="AS39" i="2"/>
  <c r="AT35" i="2"/>
  <c r="AS23" i="2"/>
  <c r="AT20" i="2"/>
  <c r="P28" i="2"/>
  <c r="P41" i="2"/>
  <c r="N19" i="2"/>
  <c r="N40" i="2" s="1"/>
  <c r="N32" i="2"/>
  <c r="M24" i="2"/>
  <c r="M26" i="2" s="1"/>
  <c r="I24" i="2"/>
  <c r="I26" i="2" s="1"/>
  <c r="P40" i="2"/>
  <c r="J24" i="2"/>
  <c r="J26" i="2" s="1"/>
  <c r="L24" i="2"/>
  <c r="L26" i="2" s="1"/>
  <c r="K40" i="2"/>
  <c r="K24" i="2"/>
  <c r="K26" i="2" s="1"/>
  <c r="O40" i="2"/>
  <c r="O24" i="2"/>
  <c r="O26" i="2" s="1"/>
  <c r="AD45" i="2" l="1"/>
  <c r="V102" i="2"/>
  <c r="Z32" i="2"/>
  <c r="U102" i="2"/>
  <c r="U19" i="2"/>
  <c r="U32" i="2"/>
  <c r="H41" i="2"/>
  <c r="S32" i="2"/>
  <c r="S102" i="2"/>
  <c r="S19" i="2"/>
  <c r="S40" i="2" s="1"/>
  <c r="T19" i="2"/>
  <c r="T24" i="2" s="1"/>
  <c r="T102" i="2"/>
  <c r="S42" i="2"/>
  <c r="S43" i="2"/>
  <c r="S24" i="2"/>
  <c r="S26" i="2" s="1"/>
  <c r="V32" i="2"/>
  <c r="V43" i="2"/>
  <c r="V42" i="2"/>
  <c r="V19" i="2"/>
  <c r="U43" i="2"/>
  <c r="U42" i="2"/>
  <c r="T32" i="2"/>
  <c r="T42" i="2"/>
  <c r="T43" i="2"/>
  <c r="AW9" i="2"/>
  <c r="AP28" i="2"/>
  <c r="AP41" i="2"/>
  <c r="AO28" i="2"/>
  <c r="AO41" i="2"/>
  <c r="AN28" i="2"/>
  <c r="AN41" i="2"/>
  <c r="Q32" i="2"/>
  <c r="Q102" i="2"/>
  <c r="Q19" i="2"/>
  <c r="Q24" i="2" s="1"/>
  <c r="Q26" i="2" s="1"/>
  <c r="H29" i="2"/>
  <c r="H70" i="2"/>
  <c r="P29" i="2"/>
  <c r="P70" i="2"/>
  <c r="Q42" i="2"/>
  <c r="AS32" i="2"/>
  <c r="AR24" i="2"/>
  <c r="AR26" i="2" s="1"/>
  <c r="AR28" i="2" s="1"/>
  <c r="AR29" i="2" s="1"/>
  <c r="AQ24" i="2"/>
  <c r="AQ26" i="2" s="1"/>
  <c r="AQ41" i="2" s="1"/>
  <c r="G29" i="2"/>
  <c r="G70" i="2"/>
  <c r="AW11" i="2"/>
  <c r="AT23" i="2"/>
  <c r="AU34" i="2"/>
  <c r="M28" i="2"/>
  <c r="M41" i="2"/>
  <c r="O28" i="2"/>
  <c r="O41" i="2"/>
  <c r="K28" i="2"/>
  <c r="K41" i="2"/>
  <c r="L28" i="2"/>
  <c r="L41" i="2"/>
  <c r="J28" i="2"/>
  <c r="J41" i="2"/>
  <c r="I28" i="2"/>
  <c r="I41" i="2"/>
  <c r="AT34" i="2"/>
  <c r="N24" i="2"/>
  <c r="N26" i="2" s="1"/>
  <c r="Q40" i="2"/>
  <c r="R24" i="2"/>
  <c r="R26" i="2" s="1"/>
  <c r="R41" i="2" s="1"/>
  <c r="AU35" i="2" l="1"/>
  <c r="V40" i="2"/>
  <c r="V24" i="2"/>
  <c r="V26" i="2" s="1"/>
  <c r="U40" i="2"/>
  <c r="U24" i="2"/>
  <c r="U26" i="2" s="1"/>
  <c r="T40" i="2"/>
  <c r="T26" i="2"/>
  <c r="S41" i="2"/>
  <c r="AW10" i="2"/>
  <c r="AS42" i="2"/>
  <c r="AX9" i="2"/>
  <c r="AS19" i="2"/>
  <c r="AS40" i="2" s="1"/>
  <c r="AR41" i="2"/>
  <c r="J29" i="2"/>
  <c r="J70" i="2"/>
  <c r="L29" i="2"/>
  <c r="L70" i="2"/>
  <c r="M29" i="2"/>
  <c r="M70" i="2"/>
  <c r="I29" i="2"/>
  <c r="I70" i="2"/>
  <c r="K29" i="2"/>
  <c r="K70" i="2"/>
  <c r="O29" i="2"/>
  <c r="O70" i="2"/>
  <c r="AU39" i="2"/>
  <c r="AU36" i="2"/>
  <c r="AQ28" i="2"/>
  <c r="AQ29" i="2" s="1"/>
  <c r="AV36" i="2"/>
  <c r="AW14" i="2"/>
  <c r="AU23" i="2"/>
  <c r="AW13" i="2"/>
  <c r="AV35" i="2"/>
  <c r="AX11" i="2"/>
  <c r="AT16" i="2"/>
  <c r="AT102" i="2" s="1"/>
  <c r="AT36" i="2"/>
  <c r="N28" i="2"/>
  <c r="N41" i="2"/>
  <c r="Q28" i="2"/>
  <c r="Q70" i="2" s="1"/>
  <c r="AT19" i="2" l="1"/>
  <c r="AT43" i="2"/>
  <c r="AU40" i="2"/>
  <c r="AU17" i="2"/>
  <c r="AU43" i="2"/>
  <c r="AV39" i="2"/>
  <c r="V41" i="2"/>
  <c r="U41" i="2"/>
  <c r="U28" i="2"/>
  <c r="T41" i="2"/>
  <c r="T28" i="2"/>
  <c r="S28" i="2"/>
  <c r="AS24" i="2"/>
  <c r="AS26" i="2" s="1"/>
  <c r="AV16" i="2"/>
  <c r="AV42" i="2" s="1"/>
  <c r="AU42" i="2"/>
  <c r="AY9" i="2"/>
  <c r="AU32" i="2"/>
  <c r="N29" i="2"/>
  <c r="N70" i="2"/>
  <c r="AW15" i="2"/>
  <c r="AU24" i="2"/>
  <c r="AY11" i="2"/>
  <c r="AW34" i="2"/>
  <c r="AX14" i="2"/>
  <c r="AY14" i="2" s="1"/>
  <c r="AZ14" i="2" s="1"/>
  <c r="BA14" i="2" s="1"/>
  <c r="BB14" i="2" s="1"/>
  <c r="AX10" i="2"/>
  <c r="AY10" i="2" s="1"/>
  <c r="AZ10" i="2" s="1"/>
  <c r="BA10" i="2" s="1"/>
  <c r="BB10" i="2" s="1"/>
  <c r="AW39" i="2"/>
  <c r="AW35" i="2"/>
  <c r="AX13" i="2"/>
  <c r="Q29" i="2"/>
  <c r="AW20" i="2"/>
  <c r="AV23" i="2"/>
  <c r="AS27" i="2"/>
  <c r="Q41" i="2"/>
  <c r="AT32" i="2"/>
  <c r="AT17" i="2"/>
  <c r="AT42" i="2"/>
  <c r="R28" i="2"/>
  <c r="BC10" i="2" l="1"/>
  <c r="BB39" i="2"/>
  <c r="BC14" i="2"/>
  <c r="BB34" i="2"/>
  <c r="AV40" i="2"/>
  <c r="AV43" i="2"/>
  <c r="V28" i="2"/>
  <c r="U29" i="2"/>
  <c r="U70" i="2"/>
  <c r="S29" i="2"/>
  <c r="S70" i="2"/>
  <c r="T29" i="2"/>
  <c r="T70" i="2"/>
  <c r="AS41" i="2"/>
  <c r="AW16" i="2"/>
  <c r="AZ9" i="2"/>
  <c r="R29" i="2"/>
  <c r="R70" i="2"/>
  <c r="AS70" i="2" s="1"/>
  <c r="AW36" i="2"/>
  <c r="AV32" i="2"/>
  <c r="AT25" i="2"/>
  <c r="AX20" i="2"/>
  <c r="AW23" i="2"/>
  <c r="AS28" i="2"/>
  <c r="AS29" i="2" s="1"/>
  <c r="AX35" i="2"/>
  <c r="AY13" i="2"/>
  <c r="AX34" i="2"/>
  <c r="AX15" i="2"/>
  <c r="AX16" i="2" s="1"/>
  <c r="AX39" i="2"/>
  <c r="AZ11" i="2"/>
  <c r="AT24" i="2"/>
  <c r="AT40" i="2"/>
  <c r="BD14" i="2" l="1"/>
  <c r="BC34" i="2"/>
  <c r="BD10" i="2"/>
  <c r="BC39" i="2"/>
  <c r="AW19" i="2"/>
  <c r="AW40" i="2" s="1"/>
  <c r="AW43" i="2"/>
  <c r="AX19" i="2"/>
  <c r="AX43" i="2"/>
  <c r="V29" i="2"/>
  <c r="V70" i="2"/>
  <c r="AT70" i="2" s="1"/>
  <c r="AY15" i="2"/>
  <c r="AY16" i="2" s="1"/>
  <c r="AW32" i="2"/>
  <c r="AW42" i="2"/>
  <c r="BA9" i="2"/>
  <c r="BB9" i="2" s="1"/>
  <c r="BC9" i="2" s="1"/>
  <c r="BD9" i="2" s="1"/>
  <c r="BE9" i="2" s="1"/>
  <c r="BF9" i="2" s="1"/>
  <c r="AV24" i="2"/>
  <c r="AV17" i="2"/>
  <c r="AT26" i="2"/>
  <c r="AT27" i="2" s="1"/>
  <c r="AT41" i="2" s="1"/>
  <c r="AW17" i="2"/>
  <c r="AY39" i="2"/>
  <c r="AY36" i="2"/>
  <c r="BA11" i="2"/>
  <c r="BB11" i="2" s="1"/>
  <c r="AX36" i="2"/>
  <c r="AZ13" i="2"/>
  <c r="AY35" i="2"/>
  <c r="AY20" i="2"/>
  <c r="AZ20" i="2" s="1"/>
  <c r="BA20" i="2" s="1"/>
  <c r="BB20" i="2" s="1"/>
  <c r="AX23" i="2"/>
  <c r="AY34" i="2"/>
  <c r="AW24" i="2"/>
  <c r="BC11" i="2" l="1"/>
  <c r="BC20" i="2"/>
  <c r="BB23" i="2"/>
  <c r="BE10" i="2"/>
  <c r="BD39" i="2"/>
  <c r="BE14" i="2"/>
  <c r="BD34" i="2"/>
  <c r="AY19" i="2"/>
  <c r="AY43" i="2"/>
  <c r="AZ34" i="2"/>
  <c r="BA34" i="2"/>
  <c r="AX40" i="2"/>
  <c r="AX32" i="2"/>
  <c r="AX42" i="2"/>
  <c r="AX24" i="2"/>
  <c r="AY23" i="2"/>
  <c r="BA13" i="2"/>
  <c r="AZ35" i="2"/>
  <c r="AZ15" i="2"/>
  <c r="AZ16" i="2" s="1"/>
  <c r="AY40" i="2"/>
  <c r="AY32" i="2"/>
  <c r="AY42" i="2"/>
  <c r="BA39" i="2"/>
  <c r="AZ39" i="2"/>
  <c r="AT28" i="2"/>
  <c r="BA35" i="2" l="1"/>
  <c r="BB13" i="2"/>
  <c r="BF10" i="2"/>
  <c r="BF39" i="2" s="1"/>
  <c r="BE39" i="2"/>
  <c r="BF14" i="2"/>
  <c r="BE34" i="2"/>
  <c r="BD20" i="2"/>
  <c r="BC23" i="2"/>
  <c r="BD11" i="2"/>
  <c r="AZ19" i="2"/>
  <c r="AZ43" i="2"/>
  <c r="AX17" i="2"/>
  <c r="AY17" i="2"/>
  <c r="BA15" i="2"/>
  <c r="BA16" i="2" s="1"/>
  <c r="AZ36" i="2"/>
  <c r="BA23" i="2"/>
  <c r="AZ23" i="2"/>
  <c r="AY24" i="2"/>
  <c r="AT29" i="2"/>
  <c r="BA36" i="2" l="1"/>
  <c r="BE11" i="2"/>
  <c r="BE20" i="2"/>
  <c r="BD23" i="2"/>
  <c r="BF34" i="2"/>
  <c r="BC13" i="2"/>
  <c r="BB35" i="2"/>
  <c r="BB15" i="2"/>
  <c r="BA19" i="2"/>
  <c r="BA40" i="2" s="1"/>
  <c r="BA43" i="2"/>
  <c r="BA42" i="2"/>
  <c r="BA32" i="2"/>
  <c r="AZ40" i="2"/>
  <c r="AZ42" i="2"/>
  <c r="AZ32" i="2"/>
  <c r="AU26" i="2"/>
  <c r="BB16" i="2" l="1"/>
  <c r="BB36" i="2"/>
  <c r="BD13" i="2"/>
  <c r="BC35" i="2"/>
  <c r="BC15" i="2"/>
  <c r="BF20" i="2"/>
  <c r="BF23" i="2" s="1"/>
  <c r="BE23" i="2"/>
  <c r="BF11" i="2"/>
  <c r="BA24" i="2"/>
  <c r="AZ24" i="2"/>
  <c r="AZ17" i="2"/>
  <c r="BA17" i="2"/>
  <c r="AU41" i="2"/>
  <c r="BC16" i="2" l="1"/>
  <c r="BC36" i="2"/>
  <c r="BE13" i="2"/>
  <c r="BD35" i="2"/>
  <c r="BD15" i="2"/>
  <c r="BB19" i="2"/>
  <c r="BB32" i="2"/>
  <c r="BB42" i="2"/>
  <c r="BB43" i="2"/>
  <c r="AU28" i="2"/>
  <c r="AU29" i="2" s="1"/>
  <c r="BF13" i="2" l="1"/>
  <c r="BE35" i="2"/>
  <c r="BE15" i="2"/>
  <c r="BB40" i="2"/>
  <c r="BB24" i="2"/>
  <c r="BB17" i="2"/>
  <c r="BD16" i="2"/>
  <c r="BD36" i="2"/>
  <c r="BC32" i="2"/>
  <c r="BC19" i="2"/>
  <c r="BC42" i="2"/>
  <c r="BC43" i="2"/>
  <c r="AV26" i="2"/>
  <c r="BC40" i="2" l="1"/>
  <c r="BC24" i="2"/>
  <c r="BC17" i="2"/>
  <c r="BE16" i="2"/>
  <c r="BE36" i="2"/>
  <c r="BD32" i="2"/>
  <c r="BD19" i="2"/>
  <c r="BD42" i="2"/>
  <c r="BD43" i="2"/>
  <c r="BF35" i="2"/>
  <c r="BF15" i="2"/>
  <c r="AV41" i="2"/>
  <c r="BD40" i="2" l="1"/>
  <c r="BD24" i="2"/>
  <c r="BF16" i="2"/>
  <c r="BF36" i="2"/>
  <c r="BD17" i="2"/>
  <c r="BE19" i="2"/>
  <c r="BE32" i="2"/>
  <c r="BE42" i="2"/>
  <c r="BE43" i="2"/>
  <c r="AV28" i="2"/>
  <c r="AV29" i="2" l="1"/>
  <c r="AV45" i="2"/>
  <c r="AW25" i="2" s="1"/>
  <c r="AW26" i="2" s="1"/>
  <c r="BE40" i="2"/>
  <c r="BE24" i="2"/>
  <c r="BE17" i="2"/>
  <c r="BF32" i="2"/>
  <c r="BF19" i="2"/>
  <c r="BF42" i="2"/>
  <c r="BF43" i="2"/>
  <c r="BF40" i="2" l="1"/>
  <c r="BF24" i="2"/>
  <c r="BF17" i="2"/>
  <c r="AW27" i="2"/>
  <c r="AW41" i="2" s="1"/>
  <c r="AW28" i="2" l="1"/>
  <c r="AW45" i="2" s="1"/>
  <c r="AW29" i="2" l="1"/>
  <c r="AX25" i="2"/>
  <c r="AX26" i="2" s="1"/>
  <c r="AX27" i="2" l="1"/>
  <c r="AX41" i="2" s="1"/>
  <c r="AX28" i="2" l="1"/>
  <c r="AX29" i="2" s="1"/>
  <c r="AX45" i="2" l="1"/>
  <c r="AY25" i="2" s="1"/>
  <c r="AY26" i="2" s="1"/>
  <c r="AY27" i="2" l="1"/>
  <c r="AY41" i="2" s="1"/>
  <c r="AY28" i="2" l="1"/>
  <c r="AY29" i="2" s="1"/>
  <c r="AY45" i="2" l="1"/>
  <c r="AZ25" i="2" s="1"/>
  <c r="AZ26" i="2" s="1"/>
  <c r="AZ27" i="2" l="1"/>
  <c r="AZ41" i="2" s="1"/>
  <c r="AZ28" i="2" l="1"/>
  <c r="AZ29" i="2" s="1"/>
  <c r="AZ45" i="2" l="1"/>
  <c r="BA25" i="2" s="1"/>
  <c r="BA26" i="2" s="1"/>
  <c r="BA27" i="2" l="1"/>
  <c r="BA41" i="2" s="1"/>
  <c r="BA28" i="2" l="1"/>
  <c r="BA45" i="2" l="1"/>
  <c r="BB25" i="2" s="1"/>
  <c r="BB26" i="2" s="1"/>
  <c r="BA29" i="2"/>
  <c r="BB27" i="2" l="1"/>
  <c r="BB41" i="2" s="1"/>
  <c r="BB28" i="2" l="1"/>
  <c r="BB29" i="2" s="1"/>
  <c r="BB45" i="2"/>
  <c r="BC25" i="2" l="1"/>
  <c r="BC26" i="2" s="1"/>
  <c r="BC27" i="2" s="1"/>
  <c r="BC28" i="2" l="1"/>
  <c r="BC29" i="2" s="1"/>
  <c r="BC41" i="2"/>
  <c r="BC45" i="2" l="1"/>
  <c r="BD25" i="2" s="1"/>
  <c r="BD26" i="2" s="1"/>
  <c r="BD27" i="2" s="1"/>
  <c r="BD28" i="2" l="1"/>
  <c r="BD29" i="2" s="1"/>
  <c r="BD41" i="2"/>
  <c r="BD45" i="2" l="1"/>
  <c r="BE25" i="2"/>
  <c r="BE26" i="2" s="1"/>
  <c r="BE27" i="2" s="1"/>
  <c r="BE28" i="2" l="1"/>
  <c r="BE29" i="2" s="1"/>
  <c r="BE41" i="2"/>
  <c r="BE45" i="2" l="1"/>
  <c r="BF25" i="2" s="1"/>
  <c r="BF26" i="2" s="1"/>
  <c r="BF27" i="2" l="1"/>
  <c r="BF41" i="2" s="1"/>
  <c r="BF28" i="2" l="1"/>
  <c r="BF29" i="2" s="1"/>
  <c r="BF45" i="2" l="1"/>
  <c r="BG28" i="2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BI39" i="2" s="1"/>
  <c r="BI40" i="2" s="1"/>
  <c r="BI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tc={5142EDA3-8698-452C-9A8D-4CD833122C3B}</author>
    <author>tc={7CA9CE49-89FA-4E15-98D4-CE6DD96F43DD}</author>
    <author>tc={E4EBD6E6-A9EB-4DE8-827A-6C71C7B0185D}</author>
    <author>tc={CD258551-BBC6-4BF5-BF08-F7CBE491F646}</author>
    <author>tc={73F90EF2-D9C6-41B7-8FA7-855052591BEB}</author>
    <author>tc={BB174E77-B992-4434-B813-37050944779B}</author>
    <author>tc={C9A375BD-2F32-49DD-A460-C252666E5957}</author>
    <author>tc={98C85431-240B-43D6-9320-F54389B2CF7C}</author>
    <author>tc={7C8D1D3B-4771-4143-BB65-4092E4163BCF}</author>
    <author>tc={7B7B344C-1B40-43A1-8992-C1140C2C51FA}</author>
  </authors>
  <commentList>
    <comment ref="Z10" authorId="0" shapeId="0" xr:uid="{5142EDA3-8698-452C-9A8D-4CD833122C3B}">
      <text>
        <t>[Threaded comment]
Your version of Excel allows you to read this threaded comment; however, any edits to it will get removed if the file is opened in a newer version of Excel. Learn more: https://go.microsoft.com/fwlink/?linkid=870924
Comment:
    GCP had more demand than capacity</t>
      </text>
    </comment>
    <comment ref="R11" authorId="1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T11" authorId="2" shapeId="0" xr:uid="{E4EBD6E6-A9EB-4DE8-827A-6C71C7B0185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youtube subscription prices</t>
      </text>
    </comment>
    <comment ref="B12" authorId="3" shapeId="0" xr:uid="{CD258551-BBC6-4BF5-BF08-F7CBE491F646}">
      <text>
        <t>[Threaded comment]
Your version of Excel allows you to read this threaded comment; however, any edits to it will get removed if the file is opened in a newer version of Excel. Learn more: https://go.microsoft.com/fwlink/?linkid=870924
Comment:
    Much higher TAC rate than search</t>
      </text>
    </comment>
    <comment ref="Z13" authorId="4" shapeId="0" xr:uid="{73F90EF2-D9C6-41B7-8FA7-855052591BEB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Election spending</t>
      </text>
    </comment>
    <comment ref="R14" authorId="5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Z14" authorId="6" shapeId="0" xr:uid="{C9A375BD-2F32-49DD-A460-C252666E5957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Strong financial services, followed by retail</t>
      </text>
    </comment>
    <comment ref="S16" authorId="7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6" authorId="8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  <comment ref="T17" authorId="9" shapeId="0" xr:uid="{7B7B344C-1B40-43A1-8992-C1140C2C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Pixel, content acquisition</t>
      </text>
    </comment>
  </commentList>
</comments>
</file>

<file path=xl/sharedStrings.xml><?xml version="1.0" encoding="utf-8"?>
<sst xmlns="http://schemas.openxmlformats.org/spreadsheetml/2006/main" count="297" uniqueCount="266">
  <si>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</si>
  <si>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</si>
  <si>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</si>
  <si>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</si>
  <si>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</si>
  <si>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</si>
  <si>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</si>
  <si>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</si>
  <si>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</si>
  <si>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</si>
  <si>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</si>
  <si>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</si>
  <si>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</si>
  <si>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</si>
  <si>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</si>
  <si>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</si>
  <si>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</si>
  <si>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</si>
  <si>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</si>
  <si>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</si>
  <si>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</si>
  <si>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</si>
  <si>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</si>
  <si>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</si>
  <si>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</si>
  <si>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</si>
  <si>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</si>
  <si>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</si>
  <si>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</si>
  <si>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</si>
  <si>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</si>
  <si>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</si>
  <si>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</si>
  <si>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</si>
  <si>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</si>
  <si>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</si>
  <si>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</si>
  <si>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</si>
  <si>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</si>
  <si>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</si>
  <si>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</si>
  <si>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</si>
  <si>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</si>
  <si>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</si>
  <si>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</si>
  <si>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</si>
  <si>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</si>
  <si>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</si>
  <si>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</si>
  <si>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</si>
  <si>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</si>
  <si>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</si>
  <si>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</si>
  <si>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</si>
  <si>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</si>
  <si>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</si>
  <si>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</si>
  <si>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</si>
  <si>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</si>
  <si>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</si>
  <si>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</si>
  <si>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</si>
  <si>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</si>
  <si>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</si>
  <si>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</si>
  <si>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</si>
  <si>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</si>
  <si>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</si>
  <si>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</si>
  <si>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</si>
  <si>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</si>
  <si>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</si>
  <si>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</si>
  <si>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</si>
  <si>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</si>
  <si>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</si>
  <si>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</si>
  <si>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</si>
  <si>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</si>
  <si>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</si>
  <si>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</si>
  <si>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</si>
  <si>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</si>
  <si>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</si>
  <si>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</si>
  <si>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</si>
  <si>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</si>
  <si>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</si>
  <si>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</si>
  <si>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</si>
  <si>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</si>
  <si>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</si>
  <si>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</si>
  <si>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</si>
  <si>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</si>
  <si>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</si>
  <si>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</si>
  <si>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</si>
  <si>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</si>
  <si>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</si>
  <si>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</si>
  <si>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</si>
  <si>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</si>
  <si>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</si>
  <si>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</si>
  <si>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</si>
  <si>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</si>
  <si>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</si>
  <si>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</si>
  <si>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</si>
  <si>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</si>
  <si>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</si>
  <si>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</si>
  <si>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</si>
  <si>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</si>
  <si>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</si>
  <si>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</si>
  <si>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</si>
  <si>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</si>
  <si>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</si>
  <si>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</si>
  <si>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</si>
  <si>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</si>
  <si>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</si>
  <si>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</si>
  <si>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</si>
  <si>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</si>
  <si>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</si>
  <si>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</si>
  <si>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</si>
  <si>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</si>
  <si>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</si>
  <si>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</si>
  <si>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</si>
  <si>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</si>
  <si>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</si>
  <si>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</si>
  <si>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</si>
  <si>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</si>
  <si>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</si>
  <si>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</si>
  <si>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</si>
  <si>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</si>
  <si>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</si>
  <si>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</si>
  <si>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</si>
  <si>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</si>
  <si>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</si>
  <si>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</si>
  <si>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</si>
  <si>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</si>
  <si>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</si>
  <si>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</si>
  <si>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</si>
  <si>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</si>
  <si>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</si>
  <si>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</si>
  <si>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</si>
  <si>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</si>
  <si>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</si>
  <si>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</si>
  <si>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</si>
  <si>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</si>
  <si>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</si>
  <si>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</si>
  <si>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</si>
  <si>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</si>
  <si>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</si>
  <si>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</si>
  <si>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</si>
  <si>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</si>
  <si>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</si>
  <si>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</si>
  <si>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</si>
  <si>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</si>
  <si>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</si>
  <si>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</si>
  <si>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</si>
  <si>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</si>
  <si>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</si>
  <si>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</si>
  <si>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</si>
  <si>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</si>
  <si>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</si>
  <si>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</si>
  <si>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</si>
  <si>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</si>
  <si>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</si>
  <si>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</si>
  <si>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</si>
  <si>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</si>
  <si>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</si>
  <si>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</si>
  <si>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</si>
  <si>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</si>
  <si>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</si>
  <si>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</si>
  <si>
    <t>US</t>
  </si>
  <si>
    <t>EMEA</t>
  </si>
  <si>
    <t>APAC</t>
  </si>
  <si>
    <t>LatAm</t>
  </si>
  <si>
    <t>Q124</t>
  </si>
  <si>
    <t>Q224</t>
  </si>
  <si>
    <t>Q324</t>
  </si>
  <si>
    <t>Q424</t>
  </si>
  <si>
    <t>TTM FCF</t>
  </si>
  <si>
    <t>RIP</t>
  </si>
  <si>
    <t>1999-2023</t>
  </si>
  <si>
    <t>Search</t>
  </si>
  <si>
    <t>SWOT</t>
  </si>
  <si>
    <t>Opportunities</t>
  </si>
  <si>
    <t>Threats:</t>
  </si>
  <si>
    <t>LLM Search</t>
  </si>
  <si>
    <t>Weaknesses</t>
  </si>
  <si>
    <t>Slow product rollout, conservative</t>
  </si>
  <si>
    <t>AI overviews, Character acquisition</t>
  </si>
  <si>
    <t>Strengths</t>
  </si>
  <si>
    <t>Ubiquity</t>
  </si>
  <si>
    <t>AI</t>
  </si>
  <si>
    <t>Gemini</t>
  </si>
  <si>
    <t>"1.5m users"</t>
  </si>
  <si>
    <t>Gmail</t>
  </si>
  <si>
    <t>Google Photos</t>
  </si>
  <si>
    <t>Astra</t>
  </si>
  <si>
    <t>TPUS</t>
  </si>
  <si>
    <t>Trillium - 6th-gen</t>
  </si>
  <si>
    <t>Waymo</t>
  </si>
  <si>
    <t>Character</t>
  </si>
  <si>
    <t>Vertex</t>
  </si>
  <si>
    <t>Current</t>
  </si>
  <si>
    <t>Return</t>
  </si>
  <si>
    <t>Khan Academy</t>
  </si>
  <si>
    <t>IT</t>
  </si>
  <si>
    <t>Dividend</t>
  </si>
  <si>
    <t>Q125</t>
  </si>
  <si>
    <t>Q225</t>
  </si>
  <si>
    <t>Q325</t>
  </si>
  <si>
    <t>Q425</t>
  </si>
  <si>
    <t>"Circle to Search", AI overviews</t>
  </si>
  <si>
    <t>-</t>
  </si>
  <si>
    <t>Nasdaq Index Price</t>
  </si>
  <si>
    <t>12/31 Stock Price</t>
  </si>
  <si>
    <t>Mariner</t>
  </si>
  <si>
    <t>reason on browser screen</t>
  </si>
  <si>
    <t>Veo 2</t>
  </si>
  <si>
    <t>video generation</t>
  </si>
  <si>
    <t>Imagen 3</t>
  </si>
  <si>
    <t>text-to-image</t>
  </si>
  <si>
    <t>Deep Research</t>
  </si>
  <si>
    <t>first to launch this</t>
  </si>
  <si>
    <t>Agentspace</t>
  </si>
  <si>
    <t>Tokyo, Miami, Austin, Atlanta, SF</t>
  </si>
  <si>
    <t>Shopping</t>
  </si>
  <si>
    <t>150k trips/week: Q424</t>
  </si>
  <si>
    <t>Shorts</t>
  </si>
  <si>
    <t>Pixel</t>
  </si>
  <si>
    <t>Subscriptions, Platforms, Devices</t>
  </si>
  <si>
    <t>Google One</t>
  </si>
  <si>
    <t>YouTube TV</t>
  </si>
  <si>
    <t>YouTube Music Premium</t>
  </si>
  <si>
    <t>Google Play</t>
  </si>
  <si>
    <t>GCP</t>
  </si>
  <si>
    <t>Workspace</t>
  </si>
  <si>
    <t>Anat Ashkenazi replaced Ruth Porat</t>
  </si>
  <si>
    <t>Network Growth</t>
  </si>
  <si>
    <t>Subscriptons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</si>
</sst>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%"/>
    <numFmt numFmtId="165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5" fontId="1" fillId="0" borderId="0" xfId="0" applyNumberFormat="1" applyFont="1"/>
    <xf numFmtId="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7133</xdr:colOff>
      <xdr:row>0</xdr:row>
      <xdr:rowOff>0</xdr:rowOff>
    </xdr:from>
    <xdr:to>
      <xdr:col>26</xdr:col>
      <xdr:colOff>7133</xdr:colOff>
      <xdr:row>118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6801788" y="0"/>
          <a:ext cx="0" cy="18259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32230</xdr:colOff>
      <xdr:row>0</xdr:row>
      <xdr:rowOff>8759</xdr:rowOff>
    </xdr:from>
    <xdr:to>
      <xdr:col>47</xdr:col>
      <xdr:colOff>32230</xdr:colOff>
      <xdr:row>118</xdr:row>
      <xdr:rowOff>84959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26728506" y="8759"/>
          <a:ext cx="0" cy="18259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10" dT="2025-02-28T19:14:54.43" personId="{93A3133D-971F-4E59-B338-0D905228406B}" id="{5142EDA3-8698-452C-9A8D-4CD833122C3B}">
    <text>GCP had more demand than capacity</text>
  </threadedComment>
  <threadedComment ref="R11" dT="2023-02-06T14:18:22.15" personId="{93A3133D-971F-4E59-B338-0D905228406B}" id="{7CA9CE49-89FA-4E15-98D4-CE6DD96F43DD}">
    <text>YouTube subscription</text>
  </threadedComment>
  <threadedComment ref="T11" dT="2023-09-29T16:34:20.04" personId="{93A3133D-971F-4E59-B338-0D905228406B}" id="{E4EBD6E6-A9EB-4DE8-827A-6C71C7B0185D}">
    <text>Increased youtube subscription prices</text>
  </threadedComment>
  <threadedComment ref="B12" dT="2025-02-28T17:26:25.94" personId="{93A3133D-971F-4E59-B338-0D905228406B}" id="{CD258551-BBC6-4BF5-BF08-F7CBE491F646}">
    <text>Much higher TAC rate than search</text>
  </threadedComment>
  <threadedComment ref="Z13" dT="2025-02-28T16:40:32.86" personId="{93A3133D-971F-4E59-B338-0D905228406B}" id="{73F90EF2-D9C6-41B7-8FA7-855052591BEB}">
    <text>Election spending</text>
  </threadedComment>
  <threadedComment ref="R14" dT="2023-02-06T14:18:41.55" personId="{93A3133D-971F-4E59-B338-0D905228406B}" id="{BB174E77-B992-4434-B813-37050944779B}">
    <text>Grew ex-FX, finance decline, travel growth</text>
  </threadedComment>
  <threadedComment ref="Z14" dT="2025-02-28T16:39:58.52" personId="{93A3133D-971F-4E59-B338-0D905228406B}" id="{C9A375BD-2F32-49DD-A460-C252666E5957}">
    <text>Strong financial services, followed by retail</text>
  </threadedComment>
  <threadedComment ref="S16" dT="2023-04-25T19:37:22.78" personId="{93A3133D-971F-4E59-B338-0D905228406B}" id="{98C85431-240B-43D6-9320-F54389B2CF7C}">
    <text>4/25/23 Consensus 68.88B</text>
  </threadedComment>
  <threadedComment ref="T16" dT="2023-04-25T19:37:35.90" personId="{93A3133D-971F-4E59-B338-0D905228406B}" id="{7C8D1D3B-4771-4143-BB65-4092E4163BCF}">
    <text>4/25/23 consensus 72.28B</text>
  </threadedComment>
  <threadedComment ref="T17" dT="2023-09-29T16:29:01.58" personId="{93A3133D-971F-4E59-B338-0D905228406B}" id="{7B7B344C-1B40-43A1-8992-C1140C2C51FA}">
    <text>Pixel, content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B1:N65"/>
  <sheetViews>
    <sheetView tabSelected="1" zoomScale="130" zoomScaleNormal="130" workbookViewId="0">
      <selection activeCell="M2" sqref="M2"/>
    </sheetView>
  </sheetViews>
  <sheetFormatPr defaultColWidth="8.81640625" defaultRowHeight="12.5" x14ac:dyDescent="0.25"/>
  <cols>
    <col min="3" max="3" width="13.26953125" customWidth="1"/>
    <col min="7" max="7" width="7.7265625" customWidth="1"/>
    <col min="8" max="8" width="5.26953125" customWidth="1"/>
    <col min="9" max="9" width="7.7265625" customWidth="1"/>
    <col min="11" max="11" width="21.7265625" customWidth="1"/>
    <col min="12" max="12" width="13.453125" customWidth="1"/>
    <col min="13" max="13" width="9.453125" customWidth="1"/>
  </cols>
  <sheetData>
    <row r="1" spans="2:13" ht="13" x14ac:dyDescent="0.3">
      <c r="K1" s="7"/>
    </row>
    <row r="2" spans="2:13" x14ac:dyDescent="0.25">
      <c r="B2" t="s">
        <v>208</v>
      </c>
      <c r="K2" t="s">
        <v>0</v>
      </c>
      <c r="L2" s="1">
        <v>172.84</v>
      </c>
    </row>
    <row r="3" spans="2:13" x14ac:dyDescent="0.25">
      <c r="C3" t="s">
        <v>209</v>
      </c>
      <c r="H3" s="4"/>
      <c r="I3" s="3"/>
      <c r="K3" t="s">
        <v>1</v>
      </c>
      <c r="L3" s="3">
        <v>12348</v>
      </c>
      <c r="M3" s="2" t="s">
        <v>204</v>
      </c>
    </row>
    <row r="4" spans="2:13" x14ac:dyDescent="0.25">
      <c r="C4" t="s">
        <v>216</v>
      </c>
      <c r="D4" t="s">
        <v>217</v>
      </c>
      <c r="H4" s="4"/>
      <c r="K4" t="s">
        <v>2</v>
      </c>
      <c r="L4" s="3">
        <f>L2*L3</f>
        <v>2134228.3199999998</v>
      </c>
    </row>
    <row r="5" spans="2:13" x14ac:dyDescent="0.25">
      <c r="C5" t="s">
        <v>213</v>
      </c>
      <c r="D5" t="s">
        <v>214</v>
      </c>
      <c r="H5" s="6"/>
      <c r="K5" t="s">
        <v>3</v>
      </c>
      <c r="L5" s="3">
        <v>133639</v>
      </c>
      <c r="M5" s="2" t="s">
        <v>204</v>
      </c>
    </row>
    <row r="6" spans="2:13" x14ac:dyDescent="0.25">
      <c r="C6" t="s">
        <v>210</v>
      </c>
      <c r="D6" t="s">
        <v>215</v>
      </c>
      <c r="K6" t="s">
        <v>4</v>
      </c>
      <c r="L6" s="3">
        <v>10883</v>
      </c>
      <c r="M6" s="2" t="s">
        <v>204</v>
      </c>
    </row>
    <row r="7" spans="2:13" x14ac:dyDescent="0.25">
      <c r="C7" t="s">
        <v>211</v>
      </c>
      <c r="K7" t="s">
        <v>5</v>
      </c>
      <c r="L7" s="3">
        <f>L4-L5+L6</f>
        <v>2011472.3199999998</v>
      </c>
    </row>
    <row r="8" spans="2:13" ht="13" x14ac:dyDescent="0.3">
      <c r="D8" t="s">
        <v>212</v>
      </c>
      <c r="K8" s="7"/>
    </row>
    <row r="9" spans="2:13" ht="13" x14ac:dyDescent="0.3">
      <c r="C9" t="s">
        <v>238</v>
      </c>
      <c r="K9" s="7" t="s">
        <v>25</v>
      </c>
      <c r="L9" s="13">
        <v>1998</v>
      </c>
    </row>
    <row r="10" spans="2:13" x14ac:dyDescent="0.25">
      <c r="B10" t="s">
        <v>218</v>
      </c>
      <c r="L10" s="3"/>
    </row>
    <row r="11" spans="2:13" ht="13" x14ac:dyDescent="0.3">
      <c r="C11" t="s">
        <v>219</v>
      </c>
      <c r="D11" t="s">
        <v>220</v>
      </c>
      <c r="K11" s="8"/>
    </row>
    <row r="12" spans="2:13" x14ac:dyDescent="0.25">
      <c r="C12" t="s">
        <v>223</v>
      </c>
      <c r="K12" t="s">
        <v>101</v>
      </c>
      <c r="L12" s="19" t="s">
        <v>102</v>
      </c>
    </row>
    <row r="13" spans="2:13" x14ac:dyDescent="0.25">
      <c r="C13" t="s">
        <v>224</v>
      </c>
      <c r="D13" t="s">
        <v>225</v>
      </c>
      <c r="K13" t="s">
        <v>103</v>
      </c>
      <c r="L13" s="19" t="s">
        <v>263</v>
      </c>
    </row>
    <row r="14" spans="2:13" x14ac:dyDescent="0.25">
      <c r="C14" t="s">
        <v>228</v>
      </c>
      <c r="D14" t="s">
        <v>243</v>
      </c>
      <c r="K14" s="3" t="s">
        <v>105</v>
      </c>
      <c r="L14" s="20" t="s">
        <v>106</v>
      </c>
      <c r="M14" s="3"/>
    </row>
    <row r="15" spans="2:13" x14ac:dyDescent="0.25">
      <c r="C15" t="s">
        <v>242</v>
      </c>
      <c r="K15" t="s">
        <v>107</v>
      </c>
      <c r="L15" s="19" t="s">
        <v>108</v>
      </c>
    </row>
    <row r="16" spans="2:13" x14ac:dyDescent="0.25">
      <c r="C16" t="s">
        <v>244</v>
      </c>
      <c r="D16" t="s">
        <v>245</v>
      </c>
      <c r="K16" t="s">
        <v>39</v>
      </c>
      <c r="L16" s="19" t="s">
        <v>109</v>
      </c>
    </row>
    <row r="17" spans="2:14" x14ac:dyDescent="0.25">
      <c r="C17" t="s">
        <v>246</v>
      </c>
      <c r="D17" t="s">
        <v>247</v>
      </c>
      <c r="K17" t="s">
        <v>110</v>
      </c>
      <c r="L17" s="19" t="s">
        <v>111</v>
      </c>
    </row>
    <row r="18" spans="2:14" x14ac:dyDescent="0.25">
      <c r="C18" t="s">
        <v>248</v>
      </c>
      <c r="D18" t="s">
        <v>249</v>
      </c>
      <c r="K18" t="s">
        <v>112</v>
      </c>
      <c r="L18" s="19" t="s">
        <v>113</v>
      </c>
    </row>
    <row r="19" spans="2:14" x14ac:dyDescent="0.25">
      <c r="C19" t="s">
        <v>250</v>
      </c>
      <c r="K19" t="s">
        <v>114</v>
      </c>
      <c r="L19" s="19" t="s">
        <v>115</v>
      </c>
    </row>
    <row r="20" spans="2:14" x14ac:dyDescent="0.25">
      <c r="K20" t="s">
        <v>116</v>
      </c>
      <c r="L20" s="19" t="s">
        <v>117</v>
      </c>
    </row>
    <row r="21" spans="2:14" x14ac:dyDescent="0.25">
      <c r="B21" t="s">
        <v>44</v>
      </c>
      <c r="K21" t="s">
        <v>118</v>
      </c>
      <c r="L21" s="19" t="s">
        <v>119</v>
      </c>
    </row>
    <row r="22" spans="2:14" x14ac:dyDescent="0.25">
      <c r="C22" t="s">
        <v>254</v>
      </c>
      <c r="K22" t="s">
        <v>120</v>
      </c>
      <c r="L22" s="19"/>
    </row>
    <row r="23" spans="2:14" x14ac:dyDescent="0.25">
      <c r="C23" t="s">
        <v>258</v>
      </c>
    </row>
    <row r="24" spans="2:14" x14ac:dyDescent="0.25">
      <c r="C24" t="s">
        <v>259</v>
      </c>
    </row>
    <row r="25" spans="2:14" x14ac:dyDescent="0.25">
      <c r="B25" t="s">
        <v>221</v>
      </c>
      <c r="K25" t="s">
        <v>175</v>
      </c>
      <c r="L25" t="s">
        <v>173</v>
      </c>
      <c r="M25" t="s">
        <v>174</v>
      </c>
      <c r="N25" t="s">
        <v>231</v>
      </c>
    </row>
    <row r="26" spans="2:14" x14ac:dyDescent="0.25">
      <c r="B26" t="s">
        <v>222</v>
      </c>
      <c r="K26" t="s">
        <v>171</v>
      </c>
      <c r="L26" t="s">
        <v>170</v>
      </c>
      <c r="M26" t="s">
        <v>172</v>
      </c>
    </row>
    <row r="27" spans="2:14" x14ac:dyDescent="0.25">
      <c r="B27" t="s">
        <v>227</v>
      </c>
      <c r="K27" t="s">
        <v>167</v>
      </c>
      <c r="L27" t="s">
        <v>168</v>
      </c>
      <c r="M27" t="s">
        <v>169</v>
      </c>
    </row>
    <row r="28" spans="2:14" x14ac:dyDescent="0.25">
      <c r="B28" t="s">
        <v>39</v>
      </c>
      <c r="K28" t="s">
        <v>165</v>
      </c>
      <c r="L28" t="s">
        <v>166</v>
      </c>
      <c r="M28" t="s">
        <v>153</v>
      </c>
    </row>
    <row r="29" spans="2:14" x14ac:dyDescent="0.25">
      <c r="C29" t="s">
        <v>261</v>
      </c>
      <c r="K29" t="s">
        <v>162</v>
      </c>
      <c r="L29" t="s">
        <v>163</v>
      </c>
      <c r="M29" t="s">
        <v>164</v>
      </c>
    </row>
    <row r="30" spans="2:14" x14ac:dyDescent="0.25">
      <c r="C30" t="s">
        <v>262</v>
      </c>
      <c r="K30" t="s">
        <v>115</v>
      </c>
      <c r="L30" t="s">
        <v>161</v>
      </c>
      <c r="M30" t="s">
        <v>145</v>
      </c>
    </row>
    <row r="31" spans="2:14" x14ac:dyDescent="0.25">
      <c r="B31" t="s">
        <v>226</v>
      </c>
      <c r="C31" t="s">
        <v>251</v>
      </c>
      <c r="K31" t="s">
        <v>159</v>
      </c>
      <c r="L31" t="s">
        <v>160</v>
      </c>
      <c r="M31" t="s">
        <v>137</v>
      </c>
    </row>
    <row r="32" spans="2:14" x14ac:dyDescent="0.25">
      <c r="C32" t="s">
        <v>253</v>
      </c>
      <c r="K32" t="s">
        <v>157</v>
      </c>
      <c r="L32" t="s">
        <v>158</v>
      </c>
      <c r="M32" t="s">
        <v>145</v>
      </c>
    </row>
    <row r="33" spans="2:14" x14ac:dyDescent="0.25">
      <c r="B33" t="s">
        <v>252</v>
      </c>
      <c r="K33" t="s">
        <v>154</v>
      </c>
      <c r="L33" t="s">
        <v>155</v>
      </c>
      <c r="M33" t="s">
        <v>156</v>
      </c>
    </row>
    <row r="34" spans="2:14" x14ac:dyDescent="0.25">
      <c r="B34" t="s">
        <v>255</v>
      </c>
      <c r="K34" t="s">
        <v>152</v>
      </c>
      <c r="L34" t="s">
        <v>151</v>
      </c>
      <c r="M34" t="s">
        <v>153</v>
      </c>
    </row>
    <row r="35" spans="2:14" x14ac:dyDescent="0.25">
      <c r="B35" t="s">
        <v>257</v>
      </c>
      <c r="K35" t="s">
        <v>148</v>
      </c>
      <c r="L35" t="s">
        <v>149</v>
      </c>
      <c r="M35" t="s">
        <v>150</v>
      </c>
    </row>
    <row r="36" spans="2:14" x14ac:dyDescent="0.25">
      <c r="B36" t="s">
        <v>260</v>
      </c>
      <c r="K36" t="s">
        <v>146</v>
      </c>
      <c r="L36" t="s">
        <v>147</v>
      </c>
      <c r="M36" t="s">
        <v>137</v>
      </c>
    </row>
    <row r="37" spans="2:14" x14ac:dyDescent="0.25">
      <c r="K37" t="s">
        <v>143</v>
      </c>
      <c r="L37" t="s">
        <v>144</v>
      </c>
      <c r="M37" t="s">
        <v>145</v>
      </c>
    </row>
    <row r="38" spans="2:14" ht="13" x14ac:dyDescent="0.3">
      <c r="K38" s="7" t="s">
        <v>125</v>
      </c>
      <c r="L38" t="s">
        <v>126</v>
      </c>
      <c r="M38" t="s">
        <v>207</v>
      </c>
      <c r="N38" t="s">
        <v>206</v>
      </c>
    </row>
    <row r="39" spans="2:14" x14ac:dyDescent="0.25">
      <c r="K39" t="s">
        <v>140</v>
      </c>
      <c r="L39" t="s">
        <v>141</v>
      </c>
      <c r="M39" t="s">
        <v>142</v>
      </c>
    </row>
    <row r="40" spans="2:14" x14ac:dyDescent="0.25">
      <c r="K40" t="s">
        <v>138</v>
      </c>
      <c r="L40" t="s">
        <v>139</v>
      </c>
      <c r="M40" t="s">
        <v>137</v>
      </c>
    </row>
    <row r="41" spans="2:14" x14ac:dyDescent="0.25">
      <c r="K41" t="s">
        <v>134</v>
      </c>
      <c r="L41" t="s">
        <v>135</v>
      </c>
      <c r="M41" t="s">
        <v>137</v>
      </c>
      <c r="N41" t="s">
        <v>136</v>
      </c>
    </row>
    <row r="42" spans="2:14" x14ac:dyDescent="0.25">
      <c r="K42" t="s">
        <v>130</v>
      </c>
      <c r="L42" t="s">
        <v>131</v>
      </c>
      <c r="M42" t="s">
        <v>133</v>
      </c>
      <c r="N42" t="s">
        <v>132</v>
      </c>
    </row>
    <row r="43" spans="2:14" ht="13" x14ac:dyDescent="0.3">
      <c r="K43" s="7" t="s">
        <v>127</v>
      </c>
      <c r="L43" t="s">
        <v>124</v>
      </c>
      <c r="M43" t="s">
        <v>129</v>
      </c>
    </row>
    <row r="44" spans="2:14" ht="13" x14ac:dyDescent="0.3">
      <c r="K44" s="7" t="s">
        <v>123</v>
      </c>
      <c r="L44" t="s">
        <v>122</v>
      </c>
      <c r="N44" t="s">
        <v>232</v>
      </c>
    </row>
    <row r="45" spans="2:14" ht="13" x14ac:dyDescent="0.3">
      <c r="K45" s="7" t="s">
        <v>121</v>
      </c>
      <c r="L45" t="s">
        <v>128</v>
      </c>
    </row>
    <row r="46" spans="2:14" x14ac:dyDescent="0.25">
      <c r="K46" t="s">
        <v>176</v>
      </c>
    </row>
    <row r="47" spans="2:14" ht="13" x14ac:dyDescent="0.3">
      <c r="K47" s="7" t="s">
        <v>177</v>
      </c>
    </row>
    <row r="48" spans="2:14" x14ac:dyDescent="0.25">
      <c r="K48" t="s">
        <v>178</v>
      </c>
      <c r="L48" t="s">
        <v>179</v>
      </c>
    </row>
    <row r="49" spans="11:11" x14ac:dyDescent="0.25">
      <c r="K49" t="s">
        <v>180</v>
      </c>
    </row>
    <row r="50" spans="11:11" x14ac:dyDescent="0.25">
      <c r="K50" t="s">
        <v>181</v>
      </c>
    </row>
    <row r="51" spans="11:11" x14ac:dyDescent="0.25">
      <c r="K51" t="s">
        <v>182</v>
      </c>
    </row>
    <row r="52" spans="11:11" ht="13" x14ac:dyDescent="0.3">
      <c r="K52" s="7" t="s">
        <v>183</v>
      </c>
    </row>
    <row r="53" spans="11:11" x14ac:dyDescent="0.25">
      <c r="K53" t="s">
        <v>184</v>
      </c>
    </row>
    <row r="54" spans="11:11" x14ac:dyDescent="0.25">
      <c r="K54" t="s">
        <v>185</v>
      </c>
    </row>
    <row r="55" spans="11:11" x14ac:dyDescent="0.25">
      <c r="K55" t="s">
        <v>186</v>
      </c>
    </row>
    <row r="56" spans="11:11" x14ac:dyDescent="0.25">
      <c r="K56" t="s">
        <v>187</v>
      </c>
    </row>
    <row r="57" spans="11:11" ht="13" x14ac:dyDescent="0.3">
      <c r="K57" s="7" t="s">
        <v>188</v>
      </c>
    </row>
    <row r="58" spans="11:11" x14ac:dyDescent="0.25">
      <c r="K58" t="s">
        <v>189</v>
      </c>
    </row>
    <row r="59" spans="11:11" x14ac:dyDescent="0.25">
      <c r="K59" t="s">
        <v>190</v>
      </c>
    </row>
    <row r="60" spans="11:11" x14ac:dyDescent="0.25">
      <c r="K60" t="s">
        <v>191</v>
      </c>
    </row>
    <row r="61" spans="11:11" x14ac:dyDescent="0.25">
      <c r="K61" t="s">
        <v>192</v>
      </c>
    </row>
    <row r="62" spans="11:11" x14ac:dyDescent="0.25">
      <c r="K62" t="s">
        <v>193</v>
      </c>
    </row>
    <row r="63" spans="11:11" x14ac:dyDescent="0.25">
      <c r="K63" t="s">
        <v>194</v>
      </c>
    </row>
    <row r="64" spans="11:11" x14ac:dyDescent="0.25">
      <c r="K64" t="s">
        <v>195</v>
      </c>
    </row>
    <row r="65" spans="11:11" x14ac:dyDescent="0.25">
      <c r="K65" t="s">
        <v>196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DF109"/>
  <sheetViews>
    <sheetView zoomScale="145" zoomScaleNormal="145" workbookViewId="0">
      <pane xSplit="2" ySplit="2" topLeftCell="S6" activePane="bottomRight" state="frozen"/>
      <selection pane="topRight" activeCell="C1" sqref="C1"/>
      <selection pane="bottomLeft" activeCell="A4" sqref="A4"/>
      <selection pane="bottomRight" activeCell="AA31" sqref="AA31"/>
    </sheetView>
  </sheetViews>
  <sheetFormatPr defaultColWidth="8.81640625" defaultRowHeight="12.5" x14ac:dyDescent="0.25"/>
  <cols>
    <col min="1" max="1" width="5" bestFit="1" customWidth="1"/>
    <col min="2" max="2" width="16.1796875" customWidth="1"/>
    <col min="3" max="17" width="9.1796875" style="2"/>
    <col min="18" max="18" width="8.7265625" style="2" customWidth="1"/>
    <col min="19" max="26" width="9.1796875" style="2"/>
    <col min="27" max="31" width="8.81640625" style="2"/>
    <col min="45" max="45" width="9.1796875" customWidth="1"/>
    <col min="52" max="53" width="9.26953125" customWidth="1"/>
    <col min="54" max="58" width="9.453125" customWidth="1"/>
    <col min="61" max="61" width="10.54296875" customWidth="1"/>
  </cols>
  <sheetData>
    <row r="1" spans="1:58" x14ac:dyDescent="0.25">
      <c r="A1" s="12" t="s">
        <v>7</v>
      </c>
    </row>
    <row r="2" spans="1:58" x14ac:dyDescent="0.25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201</v>
      </c>
      <c r="X2" s="2" t="s">
        <v>202</v>
      </c>
      <c r="Y2" s="2" t="s">
        <v>203</v>
      </c>
      <c r="Z2" s="2" t="s">
        <v>204</v>
      </c>
      <c r="AA2" s="2" t="s">
        <v>234</v>
      </c>
      <c r="AB2" s="2" t="s">
        <v>235</v>
      </c>
      <c r="AC2" s="2" t="s">
        <v>236</v>
      </c>
      <c r="AD2" s="2" t="s">
        <v>237</v>
      </c>
      <c r="AG2">
        <v>2010</v>
      </c>
      <c r="AH2">
        <v>2011</v>
      </c>
      <c r="AI2">
        <v>2012</v>
      </c>
      <c r="AJ2">
        <v>2013</v>
      </c>
      <c r="AK2">
        <v>2014</v>
      </c>
      <c r="AL2">
        <v>2015</v>
      </c>
      <c r="AM2">
        <v>2016</v>
      </c>
      <c r="AN2">
        <v>2017</v>
      </c>
      <c r="AO2">
        <v>2018</v>
      </c>
      <c r="AP2">
        <v>2019</v>
      </c>
      <c r="AQ2">
        <v>2020</v>
      </c>
      <c r="AR2">
        <v>2021</v>
      </c>
      <c r="AS2">
        <f>AR2+1</f>
        <v>2022</v>
      </c>
      <c r="AT2">
        <f t="shared" ref="AT2:BF2" si="0">AS2+1</f>
        <v>2023</v>
      </c>
      <c r="AU2">
        <f t="shared" si="0"/>
        <v>2024</v>
      </c>
      <c r="AV2">
        <f t="shared" si="0"/>
        <v>2025</v>
      </c>
      <c r="AW2">
        <f t="shared" si="0"/>
        <v>2026</v>
      </c>
      <c r="AX2">
        <f t="shared" si="0"/>
        <v>2027</v>
      </c>
      <c r="AY2">
        <f t="shared" si="0"/>
        <v>2028</v>
      </c>
      <c r="AZ2">
        <f t="shared" si="0"/>
        <v>2029</v>
      </c>
      <c r="BA2">
        <f t="shared" si="0"/>
        <v>2030</v>
      </c>
      <c r="BB2">
        <f t="shared" si="0"/>
        <v>2031</v>
      </c>
      <c r="BC2">
        <f t="shared" si="0"/>
        <v>2032</v>
      </c>
      <c r="BD2">
        <f t="shared" si="0"/>
        <v>2033</v>
      </c>
      <c r="BE2">
        <f t="shared" si="0"/>
        <v>2034</v>
      </c>
      <c r="BF2">
        <f t="shared" si="0"/>
        <v>2035</v>
      </c>
    </row>
    <row r="3" spans="1:58" x14ac:dyDescent="0.25">
      <c r="B3" t="s">
        <v>197</v>
      </c>
      <c r="P3" s="11">
        <v>32727</v>
      </c>
      <c r="Q3" s="11">
        <v>33372</v>
      </c>
      <c r="R3" s="11">
        <v>36982</v>
      </c>
      <c r="S3" s="11">
        <v>32864</v>
      </c>
      <c r="T3" s="11">
        <v>35073</v>
      </c>
      <c r="U3" s="11">
        <v>36354</v>
      </c>
      <c r="V3" s="11">
        <v>41995</v>
      </c>
      <c r="W3" s="11">
        <v>38737</v>
      </c>
      <c r="X3" s="11">
        <v>41196</v>
      </c>
      <c r="Y3" s="11">
        <v>43139</v>
      </c>
      <c r="Z3" s="11">
        <v>47375</v>
      </c>
      <c r="AA3" s="11"/>
      <c r="AB3" s="11"/>
      <c r="AC3" s="11"/>
      <c r="AD3" s="11"/>
      <c r="AE3" s="11"/>
    </row>
    <row r="4" spans="1:58" x14ac:dyDescent="0.25">
      <c r="B4" t="s">
        <v>198</v>
      </c>
      <c r="P4" s="11">
        <v>20533</v>
      </c>
      <c r="Q4" s="11">
        <v>19450</v>
      </c>
      <c r="R4" s="11">
        <v>21762</v>
      </c>
      <c r="S4" s="11">
        <v>21078</v>
      </c>
      <c r="T4" s="11">
        <v>22289</v>
      </c>
      <c r="U4" s="11">
        <v>22661</v>
      </c>
      <c r="V4" s="11">
        <v>25010</v>
      </c>
      <c r="W4" s="11">
        <v>23788</v>
      </c>
      <c r="X4" s="11">
        <v>24683</v>
      </c>
      <c r="Y4" s="11">
        <v>25472</v>
      </c>
      <c r="Z4" s="11">
        <v>28184</v>
      </c>
      <c r="AA4" s="11"/>
      <c r="AB4" s="11"/>
      <c r="AC4" s="11"/>
      <c r="AD4" s="11"/>
      <c r="AE4" s="11"/>
    </row>
    <row r="5" spans="1:58" x14ac:dyDescent="0.25">
      <c r="B5" t="s">
        <v>199</v>
      </c>
      <c r="P5" s="11">
        <v>11710</v>
      </c>
      <c r="Q5" s="11">
        <v>11494</v>
      </c>
      <c r="R5" s="11">
        <v>11979</v>
      </c>
      <c r="S5" s="11">
        <v>11681</v>
      </c>
      <c r="T5" s="11">
        <v>12728</v>
      </c>
      <c r="U5" s="11">
        <v>13126</v>
      </c>
      <c r="V5" s="11">
        <v>13979</v>
      </c>
      <c r="W5" s="11">
        <v>13289</v>
      </c>
      <c r="X5" s="11">
        <v>13823</v>
      </c>
      <c r="Y5" s="11">
        <v>14547</v>
      </c>
      <c r="Z5" s="11">
        <v>15156</v>
      </c>
      <c r="AA5" s="11"/>
      <c r="AB5" s="11"/>
      <c r="AC5" s="11"/>
      <c r="AD5" s="11"/>
      <c r="AE5" s="11"/>
    </row>
    <row r="6" spans="1:58" x14ac:dyDescent="0.25">
      <c r="B6" t="s">
        <v>200</v>
      </c>
      <c r="P6" s="11">
        <v>4340</v>
      </c>
      <c r="Q6" s="11">
        <v>4138</v>
      </c>
      <c r="R6" s="11">
        <v>4656</v>
      </c>
      <c r="S6" s="11">
        <v>4080</v>
      </c>
      <c r="T6" s="11">
        <v>4511</v>
      </c>
      <c r="U6" s="11">
        <v>4553</v>
      </c>
      <c r="V6" s="11">
        <v>5176</v>
      </c>
      <c r="W6" s="11">
        <v>4653</v>
      </c>
      <c r="X6" s="11">
        <v>4938</v>
      </c>
      <c r="Y6" s="11">
        <v>5093</v>
      </c>
      <c r="Z6" s="11">
        <v>5734</v>
      </c>
      <c r="AA6" s="11"/>
      <c r="AB6" s="11"/>
      <c r="AC6" s="11"/>
      <c r="AD6" s="11"/>
      <c r="AE6" s="11"/>
    </row>
    <row r="8" spans="1:58" s="3" customFormat="1" x14ac:dyDescent="0.25">
      <c r="B8" s="3" t="s">
        <v>41</v>
      </c>
      <c r="C8" s="11">
        <v>137</v>
      </c>
      <c r="D8" s="11"/>
      <c r="E8" s="11"/>
      <c r="F8" s="11"/>
      <c r="G8" s="11">
        <v>49</v>
      </c>
      <c r="H8" s="11">
        <v>151</v>
      </c>
      <c r="I8" s="11">
        <v>-22</v>
      </c>
      <c r="J8" s="11">
        <v>-2</v>
      </c>
      <c r="K8" s="11">
        <v>-109</v>
      </c>
      <c r="L8" s="11">
        <v>-7</v>
      </c>
      <c r="M8" s="11">
        <v>62</v>
      </c>
      <c r="N8" s="11">
        <v>203</v>
      </c>
      <c r="O8" s="11">
        <v>278</v>
      </c>
      <c r="P8" s="11">
        <v>375</v>
      </c>
      <c r="Q8" s="11">
        <v>638</v>
      </c>
      <c r="R8" s="11">
        <v>669</v>
      </c>
      <c r="S8" s="11">
        <v>84</v>
      </c>
      <c r="T8" s="11">
        <v>3</v>
      </c>
      <c r="U8" s="11">
        <v>-1</v>
      </c>
      <c r="V8" s="11">
        <v>150</v>
      </c>
      <c r="W8" s="11">
        <v>72</v>
      </c>
      <c r="X8" s="11">
        <v>102</v>
      </c>
      <c r="Y8" s="11">
        <v>17</v>
      </c>
      <c r="Z8" s="11">
        <v>20</v>
      </c>
      <c r="AA8" s="11">
        <v>60</v>
      </c>
      <c r="AB8" s="11"/>
      <c r="AC8" s="11"/>
      <c r="AD8" s="11"/>
      <c r="AE8" s="11"/>
      <c r="AN8" s="3">
        <v>-169</v>
      </c>
      <c r="AO8" s="3">
        <v>-138</v>
      </c>
      <c r="AP8" s="3">
        <v>455</v>
      </c>
      <c r="AQ8" s="3">
        <f t="shared" ref="AQ8:AQ14" si="1">SUM(G8:J8)</f>
        <v>176</v>
      </c>
      <c r="AR8" s="3">
        <f t="shared" ref="AR8:AR11" si="2">SUM(K8:N8)</f>
        <v>149</v>
      </c>
      <c r="AS8" s="3">
        <f t="shared" ref="AS8:AS14" si="3">SUM(O8:R8)</f>
        <v>1960</v>
      </c>
      <c r="AT8" s="3">
        <f t="shared" ref="AT8:AT15" si="4">SUM(S8:V8)</f>
        <v>236</v>
      </c>
      <c r="AU8" s="3">
        <f t="shared" ref="AU8:AU15" si="5">SUM(W8:Z8)</f>
        <v>211</v>
      </c>
    </row>
    <row r="9" spans="1:58" s="3" customFormat="1" x14ac:dyDescent="0.25">
      <c r="B9" s="3" t="s">
        <v>40</v>
      </c>
      <c r="C9" s="11">
        <v>170</v>
      </c>
      <c r="D9" s="11"/>
      <c r="E9" s="11"/>
      <c r="F9" s="11"/>
      <c r="G9" s="11">
        <v>135</v>
      </c>
      <c r="H9" s="11">
        <v>148</v>
      </c>
      <c r="I9" s="11">
        <v>178</v>
      </c>
      <c r="J9" s="11">
        <v>196</v>
      </c>
      <c r="K9" s="11">
        <v>198</v>
      </c>
      <c r="L9" s="11">
        <v>192</v>
      </c>
      <c r="M9" s="11">
        <v>182</v>
      </c>
      <c r="N9" s="11">
        <v>181</v>
      </c>
      <c r="O9" s="11">
        <v>440</v>
      </c>
      <c r="P9" s="11">
        <v>193</v>
      </c>
      <c r="Q9" s="11">
        <v>209</v>
      </c>
      <c r="R9" s="11">
        <v>226</v>
      </c>
      <c r="S9" s="11">
        <v>288</v>
      </c>
      <c r="T9" s="11">
        <v>285</v>
      </c>
      <c r="U9" s="11">
        <v>297</v>
      </c>
      <c r="V9" s="11">
        <v>657</v>
      </c>
      <c r="W9" s="11">
        <v>495</v>
      </c>
      <c r="X9" s="11">
        <v>365</v>
      </c>
      <c r="Y9" s="11">
        <v>388</v>
      </c>
      <c r="Z9" s="11">
        <v>400</v>
      </c>
      <c r="AA9" s="11">
        <v>450</v>
      </c>
      <c r="AB9" s="11">
        <f>+X9</f>
        <v>365</v>
      </c>
      <c r="AC9" s="11">
        <f>+Y9</f>
        <v>388</v>
      </c>
      <c r="AD9" s="11">
        <f>+Z9</f>
        <v>400</v>
      </c>
      <c r="AE9" s="11"/>
      <c r="AN9" s="3">
        <v>477</v>
      </c>
      <c r="AO9" s="3">
        <v>595</v>
      </c>
      <c r="AP9" s="3">
        <v>659</v>
      </c>
      <c r="AQ9" s="3">
        <f t="shared" si="1"/>
        <v>657</v>
      </c>
      <c r="AR9" s="3">
        <f t="shared" si="2"/>
        <v>753</v>
      </c>
      <c r="AS9" s="3">
        <f>SUM(O9:R9)</f>
        <v>1068</v>
      </c>
      <c r="AT9" s="3">
        <f t="shared" si="4"/>
        <v>1527</v>
      </c>
      <c r="AU9" s="3">
        <f t="shared" si="5"/>
        <v>1648</v>
      </c>
      <c r="AV9" s="3">
        <f>SUM(AA9:AD9)</f>
        <v>1603</v>
      </c>
      <c r="AW9" s="3">
        <f t="shared" ref="AW9:BA9" si="6">+AV9*1.01</f>
        <v>1619.03</v>
      </c>
      <c r="AX9" s="3">
        <f t="shared" si="6"/>
        <v>1635.2203</v>
      </c>
      <c r="AY9" s="3">
        <f t="shared" si="6"/>
        <v>1651.5725029999999</v>
      </c>
      <c r="AZ9" s="3">
        <f t="shared" si="6"/>
        <v>1668.08822803</v>
      </c>
      <c r="BA9" s="3">
        <f t="shared" si="6"/>
        <v>1684.7691103103</v>
      </c>
      <c r="BB9" s="3">
        <f t="shared" ref="BB9" si="7">+BA9*1.01</f>
        <v>1701.616801413403</v>
      </c>
      <c r="BC9" s="3">
        <f t="shared" ref="BC9" si="8">+BB9*1.01</f>
        <v>1718.6329694275371</v>
      </c>
      <c r="BD9" s="3">
        <f t="shared" ref="BD9" si="9">+BC9*1.01</f>
        <v>1735.8192991218125</v>
      </c>
      <c r="BE9" s="3">
        <f t="shared" ref="BE9" si="10">+BD9*1.01</f>
        <v>1753.1774921130307</v>
      </c>
      <c r="BF9" s="3">
        <f t="shared" ref="BF9" si="11">+BE9*1.01</f>
        <v>1770.709267034161</v>
      </c>
    </row>
    <row r="10" spans="1:58" s="3" customFormat="1" x14ac:dyDescent="0.25">
      <c r="B10" s="3" t="s">
        <v>39</v>
      </c>
      <c r="C10" s="11">
        <v>1825</v>
      </c>
      <c r="D10" s="11"/>
      <c r="E10" s="11"/>
      <c r="F10" s="11"/>
      <c r="G10" s="11">
        <v>2777</v>
      </c>
      <c r="H10" s="11">
        <v>3007</v>
      </c>
      <c r="I10" s="11">
        <v>3444</v>
      </c>
      <c r="J10" s="11">
        <v>3831</v>
      </c>
      <c r="K10" s="11">
        <v>4047</v>
      </c>
      <c r="L10" s="11">
        <v>4628</v>
      </c>
      <c r="M10" s="11">
        <v>4990</v>
      </c>
      <c r="N10" s="11">
        <v>5541</v>
      </c>
      <c r="O10" s="11">
        <v>5821</v>
      </c>
      <c r="P10" s="11">
        <v>6276</v>
      </c>
      <c r="Q10" s="11">
        <v>6868</v>
      </c>
      <c r="R10" s="11">
        <v>7315</v>
      </c>
      <c r="S10" s="11">
        <v>7454</v>
      </c>
      <c r="T10" s="11">
        <v>8031</v>
      </c>
      <c r="U10" s="11">
        <v>8411</v>
      </c>
      <c r="V10" s="11">
        <v>9192</v>
      </c>
      <c r="W10" s="11">
        <v>9574</v>
      </c>
      <c r="X10" s="11">
        <v>10347</v>
      </c>
      <c r="Y10" s="11">
        <v>11353</v>
      </c>
      <c r="Z10" s="11">
        <v>11955</v>
      </c>
      <c r="AA10" s="11">
        <v>12260</v>
      </c>
      <c r="AB10" s="11">
        <f>+X10*1.3</f>
        <v>13451.1</v>
      </c>
      <c r="AC10" s="11">
        <f>+Y10*1.3</f>
        <v>14758.9</v>
      </c>
      <c r="AD10" s="11">
        <f>+Z10*1.3</f>
        <v>15541.5</v>
      </c>
      <c r="AE10" s="11"/>
      <c r="AN10" s="3">
        <v>4056</v>
      </c>
      <c r="AO10" s="3">
        <v>5838</v>
      </c>
      <c r="AP10" s="3">
        <v>8918</v>
      </c>
      <c r="AQ10" s="3">
        <f t="shared" si="1"/>
        <v>13059</v>
      </c>
      <c r="AR10" s="3">
        <f t="shared" si="2"/>
        <v>19206</v>
      </c>
      <c r="AS10" s="3">
        <f t="shared" si="3"/>
        <v>26280</v>
      </c>
      <c r="AT10" s="3">
        <f t="shared" si="4"/>
        <v>33088</v>
      </c>
      <c r="AU10" s="3">
        <f t="shared" si="5"/>
        <v>43229</v>
      </c>
      <c r="AV10" s="3">
        <f t="shared" ref="AV10:AV15" si="12">SUM(AA10:AD10)</f>
        <v>56011.5</v>
      </c>
      <c r="AW10" s="3">
        <f>+AV10*1.3</f>
        <v>72814.95</v>
      </c>
      <c r="AX10" s="3">
        <f>+AW10*1.3</f>
        <v>94659.434999999998</v>
      </c>
      <c r="AY10" s="3">
        <f>+AX10*1.1</f>
        <v>104125.37850000001</v>
      </c>
      <c r="AZ10" s="3">
        <f>+AY10*1.1</f>
        <v>114537.91635000001</v>
      </c>
      <c r="BA10" s="3">
        <f>+AZ10*1.1</f>
        <v>125991.70798500003</v>
      </c>
      <c r="BB10" s="3">
        <f t="shared" ref="BB10:BF10" si="13">+BA10*1.1</f>
        <v>138590.87878350005</v>
      </c>
      <c r="BC10" s="3">
        <f t="shared" si="13"/>
        <v>152449.96666185008</v>
      </c>
      <c r="BD10" s="3">
        <f t="shared" si="13"/>
        <v>167694.96332803511</v>
      </c>
      <c r="BE10" s="3">
        <f t="shared" si="13"/>
        <v>184464.45966083865</v>
      </c>
      <c r="BF10" s="3">
        <f t="shared" si="13"/>
        <v>202910.90562692253</v>
      </c>
    </row>
    <row r="11" spans="1:58" s="3" customFormat="1" x14ac:dyDescent="0.25">
      <c r="B11" s="3" t="s">
        <v>256</v>
      </c>
      <c r="C11" s="11">
        <v>3620</v>
      </c>
      <c r="D11" s="11"/>
      <c r="E11" s="11"/>
      <c r="F11" s="11"/>
      <c r="G11" s="11">
        <v>4435</v>
      </c>
      <c r="H11" s="11">
        <v>5124</v>
      </c>
      <c r="I11" s="11">
        <v>5478</v>
      </c>
      <c r="J11" s="11">
        <v>6674</v>
      </c>
      <c r="K11" s="11">
        <v>6494</v>
      </c>
      <c r="L11" s="11">
        <v>6623</v>
      </c>
      <c r="M11" s="11">
        <v>6754</v>
      </c>
      <c r="N11" s="11">
        <v>8161</v>
      </c>
      <c r="O11" s="11">
        <v>6811</v>
      </c>
      <c r="P11" s="11">
        <v>6553</v>
      </c>
      <c r="Q11" s="11">
        <v>6895</v>
      </c>
      <c r="R11" s="11">
        <v>8796</v>
      </c>
      <c r="S11" s="11">
        <v>7413</v>
      </c>
      <c r="T11" s="11">
        <v>8142</v>
      </c>
      <c r="U11" s="11">
        <v>8339</v>
      </c>
      <c r="V11" s="11">
        <v>10794</v>
      </c>
      <c r="W11" s="11">
        <v>8739</v>
      </c>
      <c r="X11" s="11">
        <v>9312</v>
      </c>
      <c r="Y11" s="11">
        <v>10656</v>
      </c>
      <c r="Z11" s="11">
        <v>11633</v>
      </c>
      <c r="AA11" s="11">
        <v>10379</v>
      </c>
      <c r="AB11" s="11">
        <f>+X11*1.1</f>
        <v>10243.200000000001</v>
      </c>
      <c r="AC11" s="11">
        <f>+Y11*1.1</f>
        <v>11721.6</v>
      </c>
      <c r="AD11" s="11">
        <f>+Z11*1.1</f>
        <v>12796.300000000001</v>
      </c>
      <c r="AE11" s="11"/>
      <c r="AN11" s="3">
        <v>10914</v>
      </c>
      <c r="AO11" s="3">
        <v>14063</v>
      </c>
      <c r="AP11" s="3">
        <v>17014</v>
      </c>
      <c r="AQ11" s="3">
        <f t="shared" si="1"/>
        <v>21711</v>
      </c>
      <c r="AR11" s="3">
        <f t="shared" si="2"/>
        <v>28032</v>
      </c>
      <c r="AS11" s="3">
        <f t="shared" si="3"/>
        <v>29055</v>
      </c>
      <c r="AT11" s="3">
        <f t="shared" si="4"/>
        <v>34688</v>
      </c>
      <c r="AU11" s="3">
        <f t="shared" si="5"/>
        <v>40340</v>
      </c>
      <c r="AV11" s="3">
        <f t="shared" si="12"/>
        <v>45140.100000000006</v>
      </c>
      <c r="AW11" s="3">
        <f t="shared" ref="AW11:BA11" si="14">+AV11*1.03</f>
        <v>46494.303000000007</v>
      </c>
      <c r="AX11" s="3">
        <f t="shared" si="14"/>
        <v>47889.132090000006</v>
      </c>
      <c r="AY11" s="3">
        <f t="shared" si="14"/>
        <v>49325.806052700005</v>
      </c>
      <c r="AZ11" s="3">
        <f t="shared" si="14"/>
        <v>50805.580234281006</v>
      </c>
      <c r="BA11" s="3">
        <f t="shared" si="14"/>
        <v>52329.747641309434</v>
      </c>
      <c r="BB11" s="3">
        <f t="shared" ref="BB11:BB12" si="15">+BA11*1.03</f>
        <v>53899.640070548718</v>
      </c>
      <c r="BC11" s="3">
        <f t="shared" ref="BC11:BC12" si="16">+BB11*1.03</f>
        <v>55516.629272665181</v>
      </c>
      <c r="BD11" s="3">
        <f t="shared" ref="BD11:BD12" si="17">+BC11*1.03</f>
        <v>57182.128150845136</v>
      </c>
      <c r="BE11" s="3">
        <f t="shared" ref="BE11:BE12" si="18">+BD11*1.03</f>
        <v>58897.591995370494</v>
      </c>
      <c r="BF11" s="3">
        <f t="shared" ref="BF11:BF12" si="19">+BE11*1.03</f>
        <v>60664.519755231609</v>
      </c>
    </row>
    <row r="12" spans="1:58" s="3" customFormat="1" x14ac:dyDescent="0.25">
      <c r="B12" s="3" t="s">
        <v>45</v>
      </c>
      <c r="C12" s="11">
        <v>5015</v>
      </c>
      <c r="D12" s="11"/>
      <c r="E12" s="11"/>
      <c r="F12" s="11"/>
      <c r="G12" s="11">
        <v>5223</v>
      </c>
      <c r="H12" s="11">
        <v>4736</v>
      </c>
      <c r="I12" s="11">
        <v>5720</v>
      </c>
      <c r="J12" s="11">
        <v>7411</v>
      </c>
      <c r="K12" s="11">
        <v>6800</v>
      </c>
      <c r="L12" s="11">
        <v>7597</v>
      </c>
      <c r="M12" s="11">
        <v>7999</v>
      </c>
      <c r="N12" s="11">
        <v>9305</v>
      </c>
      <c r="O12" s="11">
        <v>8174</v>
      </c>
      <c r="P12" s="11">
        <v>8259</v>
      </c>
      <c r="Q12" s="11">
        <v>7872</v>
      </c>
      <c r="R12" s="11">
        <v>8475</v>
      </c>
      <c r="S12" s="11">
        <v>7496</v>
      </c>
      <c r="T12" s="11">
        <v>7850</v>
      </c>
      <c r="U12" s="11">
        <v>7669</v>
      </c>
      <c r="V12" s="11">
        <v>8297</v>
      </c>
      <c r="W12" s="11">
        <v>7413</v>
      </c>
      <c r="X12" s="11">
        <v>7444</v>
      </c>
      <c r="Y12" s="11">
        <v>7548</v>
      </c>
      <c r="Z12" s="11">
        <v>7954</v>
      </c>
      <c r="AA12" s="11">
        <v>7256</v>
      </c>
      <c r="AB12" s="11">
        <f>+X12*1.01</f>
        <v>7518.4400000000005</v>
      </c>
      <c r="AC12" s="11">
        <f>+Y12*1.01</f>
        <v>7623.4800000000005</v>
      </c>
      <c r="AD12" s="11">
        <f>+Z12*1.01</f>
        <v>8033.54</v>
      </c>
      <c r="AE12" s="11"/>
      <c r="AN12" s="3">
        <v>17616</v>
      </c>
      <c r="AO12" s="3">
        <v>20010</v>
      </c>
      <c r="AP12" s="3">
        <v>21547</v>
      </c>
      <c r="AQ12" s="3">
        <f t="shared" si="1"/>
        <v>23090</v>
      </c>
      <c r="AR12" s="3">
        <f>SUM(K12:N12)</f>
        <v>31701</v>
      </c>
      <c r="AS12" s="3">
        <f t="shared" si="3"/>
        <v>32780</v>
      </c>
      <c r="AT12" s="3">
        <f t="shared" si="4"/>
        <v>31312</v>
      </c>
      <c r="AU12" s="3">
        <f t="shared" si="5"/>
        <v>30359</v>
      </c>
      <c r="AV12" s="3">
        <f t="shared" si="12"/>
        <v>30431.460000000003</v>
      </c>
      <c r="AW12" s="3">
        <f t="shared" ref="AW12:BA12" si="20">+AV12*1.03</f>
        <v>31344.403800000004</v>
      </c>
      <c r="AX12" s="3">
        <f t="shared" si="20"/>
        <v>32284.735914000004</v>
      </c>
      <c r="AY12" s="3">
        <f t="shared" si="20"/>
        <v>33253.277991420007</v>
      </c>
      <c r="AZ12" s="3">
        <f t="shared" si="20"/>
        <v>34250.87633116261</v>
      </c>
      <c r="BA12" s="3">
        <f t="shared" si="20"/>
        <v>35278.402621097492</v>
      </c>
      <c r="BB12" s="3">
        <f t="shared" si="15"/>
        <v>36336.754699730416</v>
      </c>
      <c r="BC12" s="3">
        <f t="shared" si="16"/>
        <v>37426.85734072233</v>
      </c>
      <c r="BD12" s="3">
        <f t="shared" si="17"/>
        <v>38549.663060944004</v>
      </c>
      <c r="BE12" s="3">
        <f t="shared" si="18"/>
        <v>39706.152952772325</v>
      </c>
      <c r="BF12" s="3">
        <f t="shared" si="19"/>
        <v>40897.337541355497</v>
      </c>
    </row>
    <row r="13" spans="1:58" s="3" customFormat="1" x14ac:dyDescent="0.25">
      <c r="B13" s="3" t="s">
        <v>44</v>
      </c>
      <c r="C13" s="11">
        <v>3025</v>
      </c>
      <c r="D13" s="11"/>
      <c r="E13" s="11"/>
      <c r="F13" s="11"/>
      <c r="G13" s="11">
        <v>4038</v>
      </c>
      <c r="H13" s="11">
        <v>3812</v>
      </c>
      <c r="I13" s="11">
        <v>5037</v>
      </c>
      <c r="J13" s="11">
        <v>6885</v>
      </c>
      <c r="K13" s="11">
        <v>6005</v>
      </c>
      <c r="L13" s="11">
        <v>7002</v>
      </c>
      <c r="M13" s="11">
        <v>7205</v>
      </c>
      <c r="N13" s="11">
        <v>8633</v>
      </c>
      <c r="O13" s="11">
        <v>6869</v>
      </c>
      <c r="P13" s="11">
        <v>7340</v>
      </c>
      <c r="Q13" s="11">
        <v>7071</v>
      </c>
      <c r="R13" s="11">
        <v>7963</v>
      </c>
      <c r="S13" s="11">
        <v>6693</v>
      </c>
      <c r="T13" s="11">
        <v>7665</v>
      </c>
      <c r="U13" s="11">
        <v>7952</v>
      </c>
      <c r="V13" s="11">
        <v>9200</v>
      </c>
      <c r="W13" s="11">
        <v>8090</v>
      </c>
      <c r="X13" s="11">
        <v>8663</v>
      </c>
      <c r="Y13" s="11">
        <v>8921</v>
      </c>
      <c r="Z13" s="11">
        <v>10473</v>
      </c>
      <c r="AA13" s="11">
        <v>8927</v>
      </c>
      <c r="AB13" s="11">
        <f>+X13*1.12</f>
        <v>9702.5600000000013</v>
      </c>
      <c r="AC13" s="11">
        <f>+Y13*1.12</f>
        <v>9991.52</v>
      </c>
      <c r="AD13" s="11">
        <f>+Z13*1.12</f>
        <v>11729.76</v>
      </c>
      <c r="AE13" s="11"/>
      <c r="AN13" s="3">
        <v>8150</v>
      </c>
      <c r="AO13" s="3">
        <v>11155</v>
      </c>
      <c r="AP13" s="3">
        <v>15149</v>
      </c>
      <c r="AQ13" s="3">
        <f t="shared" si="1"/>
        <v>19772</v>
      </c>
      <c r="AR13" s="3">
        <f>SUM(K13:N13)</f>
        <v>28845</v>
      </c>
      <c r="AS13" s="3">
        <f t="shared" si="3"/>
        <v>29243</v>
      </c>
      <c r="AT13" s="3">
        <f t="shared" si="4"/>
        <v>31510</v>
      </c>
      <c r="AU13" s="3">
        <f t="shared" si="5"/>
        <v>36147</v>
      </c>
      <c r="AV13" s="3">
        <f t="shared" si="12"/>
        <v>40350.840000000004</v>
      </c>
      <c r="AW13" s="3">
        <f t="shared" ref="AW13:BA13" si="21">+AV13*1.05</f>
        <v>42368.382000000005</v>
      </c>
      <c r="AX13" s="3">
        <f t="shared" si="21"/>
        <v>44486.801100000004</v>
      </c>
      <c r="AY13" s="3">
        <f t="shared" si="21"/>
        <v>46711.141155000005</v>
      </c>
      <c r="AZ13" s="3">
        <f t="shared" si="21"/>
        <v>49046.698212750009</v>
      </c>
      <c r="BA13" s="3">
        <f t="shared" si="21"/>
        <v>51499.033123387511</v>
      </c>
      <c r="BB13" s="3">
        <f t="shared" ref="BB13:BB14" si="22">+BA13*1.05</f>
        <v>54073.984779556886</v>
      </c>
      <c r="BC13" s="3">
        <f t="shared" ref="BC13:BC14" si="23">+BB13*1.05</f>
        <v>56777.684018534732</v>
      </c>
      <c r="BD13" s="3">
        <f t="shared" ref="BD13:BD14" si="24">+BC13*1.05</f>
        <v>59616.568219461471</v>
      </c>
      <c r="BE13" s="3">
        <f t="shared" ref="BE13:BE14" si="25">+BD13*1.05</f>
        <v>62597.396630434545</v>
      </c>
      <c r="BF13" s="3">
        <f t="shared" ref="BF13:BF14" si="26">+BE13*1.05</f>
        <v>65727.266461956271</v>
      </c>
    </row>
    <row r="14" spans="1:58" s="3" customFormat="1" x14ac:dyDescent="0.25">
      <c r="B14" s="3" t="s">
        <v>46</v>
      </c>
      <c r="C14" s="11">
        <v>22547</v>
      </c>
      <c r="D14" s="11"/>
      <c r="E14" s="11"/>
      <c r="F14" s="11"/>
      <c r="G14" s="11">
        <v>24502</v>
      </c>
      <c r="H14" s="11">
        <v>21319</v>
      </c>
      <c r="I14" s="11">
        <v>26338</v>
      </c>
      <c r="J14" s="11">
        <v>31903</v>
      </c>
      <c r="K14" s="11">
        <v>31879</v>
      </c>
      <c r="L14" s="11">
        <v>35845</v>
      </c>
      <c r="M14" s="11">
        <v>37926</v>
      </c>
      <c r="N14" s="11">
        <v>43301</v>
      </c>
      <c r="O14" s="11">
        <v>39618</v>
      </c>
      <c r="P14" s="11">
        <v>40689</v>
      </c>
      <c r="Q14" s="11">
        <v>39539</v>
      </c>
      <c r="R14" s="11">
        <v>42604</v>
      </c>
      <c r="S14" s="11">
        <v>40359</v>
      </c>
      <c r="T14" s="11">
        <v>42628</v>
      </c>
      <c r="U14" s="11">
        <v>44026</v>
      </c>
      <c r="V14" s="11">
        <v>48020</v>
      </c>
      <c r="W14" s="11">
        <v>46156</v>
      </c>
      <c r="X14" s="11">
        <v>48509</v>
      </c>
      <c r="Y14" s="11">
        <v>49385</v>
      </c>
      <c r="Z14" s="11">
        <v>54034</v>
      </c>
      <c r="AA14" s="11">
        <v>50702</v>
      </c>
      <c r="AB14" s="11">
        <f t="shared" ref="AB14:AD14" si="27">+X14*1.11</f>
        <v>53844.990000000005</v>
      </c>
      <c r="AC14" s="11">
        <f t="shared" si="27"/>
        <v>54817.350000000006</v>
      </c>
      <c r="AD14" s="11">
        <f t="shared" si="27"/>
        <v>59977.740000000005</v>
      </c>
      <c r="AE14" s="11"/>
      <c r="AN14" s="3">
        <v>69811</v>
      </c>
      <c r="AO14" s="3">
        <v>85296</v>
      </c>
      <c r="AP14" s="3">
        <v>98115</v>
      </c>
      <c r="AQ14" s="3">
        <f t="shared" si="1"/>
        <v>104062</v>
      </c>
      <c r="AR14" s="3">
        <f>SUM(K14:N14)</f>
        <v>148951</v>
      </c>
      <c r="AS14" s="3">
        <f t="shared" si="3"/>
        <v>162450</v>
      </c>
      <c r="AT14" s="3">
        <f t="shared" si="4"/>
        <v>175033</v>
      </c>
      <c r="AU14" s="3">
        <f t="shared" si="5"/>
        <v>198084</v>
      </c>
      <c r="AV14" s="3">
        <f t="shared" si="12"/>
        <v>219342.08000000002</v>
      </c>
      <c r="AW14" s="3">
        <f t="shared" ref="AW14:AX14" si="28">+AV14*1.1</f>
        <v>241276.28800000003</v>
      </c>
      <c r="AX14" s="3">
        <f t="shared" si="28"/>
        <v>265403.91680000006</v>
      </c>
      <c r="AY14" s="3">
        <f>+AX14*1.07</f>
        <v>283982.1909760001</v>
      </c>
      <c r="AZ14" s="3">
        <f>+AY14*1.07</f>
        <v>303860.9443443201</v>
      </c>
      <c r="BA14" s="3">
        <f>+AZ14*1.05</f>
        <v>319053.9915615361</v>
      </c>
      <c r="BB14" s="3">
        <f t="shared" si="22"/>
        <v>335006.69113961293</v>
      </c>
      <c r="BC14" s="3">
        <f t="shared" si="23"/>
        <v>351757.02569659357</v>
      </c>
      <c r="BD14" s="3">
        <f t="shared" si="24"/>
        <v>369344.87698142324</v>
      </c>
      <c r="BE14" s="3">
        <f t="shared" si="25"/>
        <v>387812.12083049439</v>
      </c>
      <c r="BF14" s="3">
        <f t="shared" si="26"/>
        <v>407202.72687201912</v>
      </c>
    </row>
    <row r="15" spans="1:58" s="3" customFormat="1" x14ac:dyDescent="0.25">
      <c r="B15" s="3" t="s">
        <v>38</v>
      </c>
      <c r="C15" s="11">
        <f t="shared" ref="C15:G15" si="29">SUM(C11:C14)</f>
        <v>34207</v>
      </c>
      <c r="D15" s="11">
        <f t="shared" si="29"/>
        <v>0</v>
      </c>
      <c r="E15" s="11">
        <f t="shared" si="29"/>
        <v>0</v>
      </c>
      <c r="F15" s="11">
        <f t="shared" si="29"/>
        <v>0</v>
      </c>
      <c r="G15" s="11">
        <f t="shared" si="29"/>
        <v>38198</v>
      </c>
      <c r="H15" s="11">
        <f t="shared" ref="H15" si="30">SUM(H11:H14)</f>
        <v>34991</v>
      </c>
      <c r="I15" s="11">
        <f>SUM(I11:I14)</f>
        <v>42573</v>
      </c>
      <c r="J15" s="11">
        <f>SUM(J11:J14)</f>
        <v>52873</v>
      </c>
      <c r="K15" s="11">
        <v>51178</v>
      </c>
      <c r="L15" s="11">
        <f t="shared" ref="L15" si="31">SUM(L11:L14)</f>
        <v>57067</v>
      </c>
      <c r="M15" s="11">
        <f t="shared" ref="M15:Q15" si="32">SUM(M11:M14)</f>
        <v>59884</v>
      </c>
      <c r="N15" s="11">
        <f t="shared" si="32"/>
        <v>69400</v>
      </c>
      <c r="O15" s="11">
        <f t="shared" si="32"/>
        <v>61472</v>
      </c>
      <c r="P15" s="11">
        <f t="shared" si="32"/>
        <v>62841</v>
      </c>
      <c r="Q15" s="11">
        <f t="shared" si="32"/>
        <v>61377</v>
      </c>
      <c r="R15" s="11">
        <f t="shared" ref="R15:Y15" si="33">SUM(R11:R14)</f>
        <v>67838</v>
      </c>
      <c r="S15" s="11">
        <f t="shared" si="33"/>
        <v>61961</v>
      </c>
      <c r="T15" s="11">
        <f t="shared" si="33"/>
        <v>66285</v>
      </c>
      <c r="U15" s="11">
        <f t="shared" si="33"/>
        <v>67986</v>
      </c>
      <c r="V15" s="11">
        <f t="shared" si="33"/>
        <v>76311</v>
      </c>
      <c r="W15" s="11">
        <f t="shared" si="33"/>
        <v>70398</v>
      </c>
      <c r="X15" s="11">
        <f t="shared" si="33"/>
        <v>73928</v>
      </c>
      <c r="Y15" s="11">
        <f t="shared" si="33"/>
        <v>76510</v>
      </c>
      <c r="Z15" s="11">
        <f>SUM(Z11:Z14)</f>
        <v>84094</v>
      </c>
      <c r="AA15" s="11">
        <f>SUM(AA11:AA14)</f>
        <v>77264</v>
      </c>
      <c r="AB15" s="11">
        <f>SUM(AB11:AB14)</f>
        <v>81309.19</v>
      </c>
      <c r="AC15" s="11">
        <f>SUM(AC11:AC14)</f>
        <v>84153.950000000012</v>
      </c>
      <c r="AD15" s="11">
        <f>SUM(AD11:AD14)</f>
        <v>92537.34</v>
      </c>
      <c r="AE15" s="11"/>
      <c r="AN15" s="11">
        <f t="shared" ref="AN15:AQ15" si="34">SUM(AN11:AN14)</f>
        <v>106491</v>
      </c>
      <c r="AO15" s="11">
        <f t="shared" si="34"/>
        <v>130524</v>
      </c>
      <c r="AP15" s="11">
        <f t="shared" si="34"/>
        <v>151825</v>
      </c>
      <c r="AQ15" s="11">
        <f t="shared" si="34"/>
        <v>168635</v>
      </c>
      <c r="AR15" s="11">
        <f>SUM(AR11:AR14)</f>
        <v>237529</v>
      </c>
      <c r="AS15" s="11">
        <f>SUM(AS11:AS14)</f>
        <v>253528</v>
      </c>
      <c r="AT15" s="3">
        <f t="shared" si="4"/>
        <v>272543</v>
      </c>
      <c r="AU15" s="3">
        <f t="shared" si="5"/>
        <v>304930</v>
      </c>
      <c r="AV15" s="3">
        <f t="shared" si="12"/>
        <v>335264.48</v>
      </c>
      <c r="AW15" s="11">
        <f t="shared" ref="AW15:BA15" si="35">SUM(AW11:AW14)</f>
        <v>361483.37680000009</v>
      </c>
      <c r="AX15" s="11">
        <f t="shared" si="35"/>
        <v>390064.58590400009</v>
      </c>
      <c r="AY15" s="11">
        <f t="shared" si="35"/>
        <v>413272.4161751201</v>
      </c>
      <c r="AZ15" s="11">
        <f t="shared" si="35"/>
        <v>437964.09912251373</v>
      </c>
      <c r="BA15" s="11">
        <f t="shared" si="35"/>
        <v>458161.1749473305</v>
      </c>
      <c r="BB15" s="11">
        <f t="shared" ref="BB15:BF15" si="36">SUM(BB11:BB14)</f>
        <v>479317.07068944897</v>
      </c>
      <c r="BC15" s="11">
        <f t="shared" si="36"/>
        <v>501478.19632851577</v>
      </c>
      <c r="BD15" s="11">
        <f t="shared" si="36"/>
        <v>524693.23641267384</v>
      </c>
      <c r="BE15" s="11">
        <f t="shared" si="36"/>
        <v>549013.26240907179</v>
      </c>
      <c r="BF15" s="11">
        <f t="shared" si="36"/>
        <v>574491.85063056252</v>
      </c>
    </row>
    <row r="16" spans="1:58" s="9" customFormat="1" ht="13" x14ac:dyDescent="0.3">
      <c r="B16" s="9" t="s">
        <v>8</v>
      </c>
      <c r="C16" s="10">
        <f t="shared" ref="C16:G16" si="37">C15+C10+C9+C8</f>
        <v>36339</v>
      </c>
      <c r="D16" s="10">
        <f t="shared" si="37"/>
        <v>0</v>
      </c>
      <c r="E16" s="10">
        <f t="shared" si="37"/>
        <v>0</v>
      </c>
      <c r="F16" s="10">
        <f t="shared" si="37"/>
        <v>0</v>
      </c>
      <c r="G16" s="10">
        <f t="shared" si="37"/>
        <v>41159</v>
      </c>
      <c r="H16" s="10">
        <f t="shared" ref="H16" si="38">H15+H10+H9+H8</f>
        <v>38297</v>
      </c>
      <c r="I16" s="10">
        <f>I15+I10+I9+I8</f>
        <v>46173</v>
      </c>
      <c r="J16" s="10">
        <f>J15+J10+J9+J8</f>
        <v>56898</v>
      </c>
      <c r="K16" s="10">
        <v>55314</v>
      </c>
      <c r="L16" s="10">
        <f t="shared" ref="L16" si="39">L15+L10+L9+L8</f>
        <v>61880</v>
      </c>
      <c r="M16" s="10">
        <f>M15+M10+M9+M8</f>
        <v>65118</v>
      </c>
      <c r="N16" s="10">
        <f>N15+N10+N9+N8</f>
        <v>75325</v>
      </c>
      <c r="O16" s="10">
        <f>O15+O10+O9+O8</f>
        <v>68011</v>
      </c>
      <c r="P16" s="10">
        <f>P15+P10+P9+P8</f>
        <v>69685</v>
      </c>
      <c r="Q16" s="10">
        <f t="shared" ref="Q16:AD16" si="40">Q15+Q10+Q9+Q8</f>
        <v>69092</v>
      </c>
      <c r="R16" s="10">
        <f>R15+R10+R9+R8</f>
        <v>76048</v>
      </c>
      <c r="S16" s="10">
        <f t="shared" si="40"/>
        <v>69787</v>
      </c>
      <c r="T16" s="10">
        <f t="shared" si="40"/>
        <v>74604</v>
      </c>
      <c r="U16" s="10">
        <f t="shared" si="40"/>
        <v>76693</v>
      </c>
      <c r="V16" s="10">
        <f t="shared" si="40"/>
        <v>86310</v>
      </c>
      <c r="W16" s="10">
        <f t="shared" si="40"/>
        <v>80539</v>
      </c>
      <c r="X16" s="10">
        <f t="shared" si="40"/>
        <v>84742</v>
      </c>
      <c r="Y16" s="10">
        <f t="shared" si="40"/>
        <v>88268</v>
      </c>
      <c r="Z16" s="10">
        <f t="shared" si="40"/>
        <v>96469</v>
      </c>
      <c r="AA16" s="10">
        <f>AA15+AA10+AA9+AA8</f>
        <v>90034</v>
      </c>
      <c r="AB16" s="10">
        <f t="shared" si="40"/>
        <v>95125.290000000008</v>
      </c>
      <c r="AC16" s="10">
        <f t="shared" si="40"/>
        <v>99300.85</v>
      </c>
      <c r="AD16" s="10">
        <f t="shared" si="40"/>
        <v>108478.84</v>
      </c>
      <c r="AE16" s="10"/>
      <c r="AF16" s="10"/>
      <c r="AG16" s="10"/>
      <c r="AH16" s="10"/>
      <c r="AI16" s="10">
        <v>46039</v>
      </c>
      <c r="AJ16" s="10">
        <v>55519</v>
      </c>
      <c r="AK16" s="10">
        <v>66001</v>
      </c>
      <c r="AL16" s="10">
        <v>74989</v>
      </c>
      <c r="AM16" s="10">
        <v>90272</v>
      </c>
      <c r="AN16" s="10">
        <f t="shared" ref="AN16:AQ16" si="41">AN15+AN10+AN9+AN8</f>
        <v>110855</v>
      </c>
      <c r="AO16" s="10">
        <f t="shared" si="41"/>
        <v>136819</v>
      </c>
      <c r="AP16" s="10">
        <f t="shared" si="41"/>
        <v>161857</v>
      </c>
      <c r="AQ16" s="10">
        <f t="shared" si="41"/>
        <v>182527</v>
      </c>
      <c r="AR16" s="10">
        <f>AR15+AR10+AR9+AR8</f>
        <v>257637</v>
      </c>
      <c r="AS16" s="10">
        <f>AS15+AS10+AS9+AS8</f>
        <v>282836</v>
      </c>
      <c r="AT16" s="10">
        <f t="shared" ref="AT16" si="42">AT15+AT10+AT9+AT8</f>
        <v>307394</v>
      </c>
      <c r="AU16" s="10">
        <f>AU15+AU10+AU9+AU8</f>
        <v>350018</v>
      </c>
      <c r="AV16" s="10">
        <f t="shared" ref="AV16" si="43">AV15+AV10+AV9+AV8</f>
        <v>392878.98</v>
      </c>
      <c r="AW16" s="10">
        <f t="shared" ref="AW16" si="44">AW15+AW10+AW9+AW8</f>
        <v>435917.35680000013</v>
      </c>
      <c r="AX16" s="10">
        <f t="shared" ref="AX16" si="45">AX15+AX10+AX9+AX8</f>
        <v>486359.24120400008</v>
      </c>
      <c r="AY16" s="10">
        <f t="shared" ref="AY16" si="46">AY15+AY10+AY9+AY8</f>
        <v>519049.36717812007</v>
      </c>
      <c r="AZ16" s="10">
        <f t="shared" ref="AZ16" si="47">AZ15+AZ10+AZ9+AZ8</f>
        <v>554170.10370054375</v>
      </c>
      <c r="BA16" s="10">
        <f t="shared" ref="BA16:BF16" si="48">BA15+BA10+BA9+BA8</f>
        <v>585837.65204264084</v>
      </c>
      <c r="BB16" s="10">
        <f t="shared" si="48"/>
        <v>619609.56627436238</v>
      </c>
      <c r="BC16" s="10">
        <f t="shared" si="48"/>
        <v>655646.79595979338</v>
      </c>
      <c r="BD16" s="10">
        <f t="shared" si="48"/>
        <v>694124.01903983078</v>
      </c>
      <c r="BE16" s="10">
        <f t="shared" si="48"/>
        <v>735230.89956202358</v>
      </c>
      <c r="BF16" s="10">
        <f t="shared" si="48"/>
        <v>779173.46552451921</v>
      </c>
    </row>
    <row r="17" spans="2:110" s="3" customFormat="1" x14ac:dyDescent="0.25">
      <c r="B17" s="3" t="s">
        <v>20</v>
      </c>
      <c r="C17" s="11">
        <v>16012</v>
      </c>
      <c r="D17" s="11"/>
      <c r="E17" s="11"/>
      <c r="F17" s="11"/>
      <c r="G17" s="11">
        <v>18982</v>
      </c>
      <c r="H17" s="11">
        <v>18553</v>
      </c>
      <c r="I17" s="11">
        <v>21117</v>
      </c>
      <c r="J17" s="11">
        <v>26080</v>
      </c>
      <c r="K17" s="11">
        <v>24103</v>
      </c>
      <c r="L17" s="11">
        <v>26227</v>
      </c>
      <c r="M17" s="11">
        <v>27621</v>
      </c>
      <c r="N17" s="11">
        <v>32988</v>
      </c>
      <c r="O17" s="11">
        <v>29599</v>
      </c>
      <c r="P17" s="11">
        <v>30104</v>
      </c>
      <c r="Q17" s="11">
        <v>31158</v>
      </c>
      <c r="R17" s="11">
        <v>35342</v>
      </c>
      <c r="S17" s="11">
        <v>30612</v>
      </c>
      <c r="T17" s="11">
        <v>31916</v>
      </c>
      <c r="U17" s="11">
        <v>33229</v>
      </c>
      <c r="V17" s="11">
        <v>37575</v>
      </c>
      <c r="W17" s="11">
        <v>33712</v>
      </c>
      <c r="X17" s="11">
        <v>35507</v>
      </c>
      <c r="Y17" s="11">
        <v>36474</v>
      </c>
      <c r="Z17" s="11">
        <v>40613</v>
      </c>
      <c r="AA17" s="11">
        <f>+AA16-AA19</f>
        <v>37814.280000000006</v>
      </c>
      <c r="AB17" s="11">
        <f>+AB16-AB19</f>
        <v>39952.621800000008</v>
      </c>
      <c r="AC17" s="11">
        <f>+AC16-AC19</f>
        <v>41706.357000000004</v>
      </c>
      <c r="AD17" s="11">
        <f>+AD16-AD19</f>
        <v>45561.112800000003</v>
      </c>
      <c r="AE17" s="11"/>
      <c r="AK17" s="3">
        <v>25691</v>
      </c>
      <c r="AL17" s="3">
        <v>28164</v>
      </c>
      <c r="AM17" s="3">
        <v>35138</v>
      </c>
      <c r="AN17" s="3">
        <v>45583</v>
      </c>
      <c r="AO17" s="3">
        <v>59549</v>
      </c>
      <c r="AP17" s="3">
        <v>71896</v>
      </c>
      <c r="AQ17" s="3">
        <v>84732</v>
      </c>
      <c r="AR17" s="3">
        <v>110939</v>
      </c>
      <c r="AS17" s="3">
        <f>SUM(O17:R17)</f>
        <v>126203</v>
      </c>
      <c r="AT17" s="3">
        <f>+AT16-AT19</f>
        <v>135253.35999999999</v>
      </c>
      <c r="AU17" s="3">
        <f>+AU16-AU19</f>
        <v>146306</v>
      </c>
      <c r="AV17" s="3">
        <f t="shared" ref="AV17:BA17" si="49">+AV16-AV19</f>
        <v>164974.37159999998</v>
      </c>
      <c r="AW17" s="3">
        <f t="shared" si="49"/>
        <v>191803.63699200004</v>
      </c>
      <c r="AX17" s="3">
        <f t="shared" si="49"/>
        <v>213998.06612976</v>
      </c>
      <c r="AY17" s="3">
        <f t="shared" si="49"/>
        <v>228381.72155837278</v>
      </c>
      <c r="AZ17" s="3">
        <f t="shared" si="49"/>
        <v>243834.84562823921</v>
      </c>
      <c r="BA17" s="3">
        <f t="shared" si="49"/>
        <v>257768.56689876196</v>
      </c>
      <c r="BB17" s="3">
        <f t="shared" ref="BB17:BF17" si="50">+BB16-BB19</f>
        <v>272628.20916071942</v>
      </c>
      <c r="BC17" s="3">
        <f t="shared" si="50"/>
        <v>288484.59022230905</v>
      </c>
      <c r="BD17" s="3">
        <f t="shared" si="50"/>
        <v>305414.56837752549</v>
      </c>
      <c r="BE17" s="3">
        <f t="shared" si="50"/>
        <v>323501.59580729034</v>
      </c>
      <c r="BF17" s="3">
        <f t="shared" si="50"/>
        <v>342836.32483078842</v>
      </c>
    </row>
    <row r="18" spans="2:110" s="3" customFormat="1" x14ac:dyDescent="0.25">
      <c r="B18" s="3" t="s">
        <v>51</v>
      </c>
      <c r="C18" s="11">
        <v>6860</v>
      </c>
      <c r="D18" s="11"/>
      <c r="E18" s="11"/>
      <c r="F18" s="11"/>
      <c r="G18" s="11">
        <v>7452</v>
      </c>
      <c r="H18" s="11"/>
      <c r="I18" s="11"/>
      <c r="J18" s="11"/>
      <c r="K18" s="11"/>
      <c r="L18" s="11">
        <v>10929</v>
      </c>
      <c r="M18" s="11"/>
      <c r="N18" s="11">
        <v>13427</v>
      </c>
      <c r="O18" s="11"/>
      <c r="P18" s="11">
        <v>12214</v>
      </c>
      <c r="Q18" s="11">
        <v>11826</v>
      </c>
      <c r="R18" s="11">
        <v>12925</v>
      </c>
      <c r="S18" s="11">
        <v>11721</v>
      </c>
      <c r="T18" s="11">
        <v>12537</v>
      </c>
      <c r="U18" s="11">
        <v>12642</v>
      </c>
      <c r="V18" s="11">
        <v>13986</v>
      </c>
      <c r="W18" s="11">
        <v>12946</v>
      </c>
      <c r="X18" s="11">
        <v>13387</v>
      </c>
      <c r="Y18" s="11">
        <v>13719</v>
      </c>
      <c r="Z18" s="11">
        <v>14848</v>
      </c>
      <c r="AA18" s="11" t="s">
        <v>239</v>
      </c>
      <c r="AB18" s="11" t="s">
        <v>239</v>
      </c>
      <c r="AC18" s="11" t="s">
        <v>239</v>
      </c>
      <c r="AD18" s="11" t="s">
        <v>239</v>
      </c>
      <c r="AE18" s="11"/>
    </row>
    <row r="19" spans="2:110" s="3" customFormat="1" x14ac:dyDescent="0.25">
      <c r="B19" s="3" t="s">
        <v>21</v>
      </c>
      <c r="C19" s="11">
        <f>C16-C17</f>
        <v>20327</v>
      </c>
      <c r="D19" s="11"/>
      <c r="E19" s="11"/>
      <c r="F19" s="11"/>
      <c r="G19" s="11">
        <f>G16-G17</f>
        <v>22177</v>
      </c>
      <c r="H19" s="11">
        <f t="shared" ref="H19" si="51">H16-H17</f>
        <v>19744</v>
      </c>
      <c r="I19" s="11">
        <f t="shared" ref="I19" si="52">I16-I17</f>
        <v>25056</v>
      </c>
      <c r="J19" s="11">
        <f t="shared" ref="J19:N19" si="53">J16-J17</f>
        <v>30818</v>
      </c>
      <c r="K19" s="11">
        <f t="shared" si="53"/>
        <v>31211</v>
      </c>
      <c r="L19" s="11">
        <f t="shared" si="53"/>
        <v>35653</v>
      </c>
      <c r="M19" s="11">
        <f t="shared" si="53"/>
        <v>37497</v>
      </c>
      <c r="N19" s="11">
        <f t="shared" si="53"/>
        <v>42337</v>
      </c>
      <c r="O19" s="11">
        <f>O16-O17</f>
        <v>38412</v>
      </c>
      <c r="P19" s="11">
        <f t="shared" ref="P19:Q19" si="54">P16-P17</f>
        <v>39581</v>
      </c>
      <c r="Q19" s="11">
        <f t="shared" si="54"/>
        <v>37934</v>
      </c>
      <c r="R19" s="11">
        <f>+R16-R17</f>
        <v>40706</v>
      </c>
      <c r="S19" s="11">
        <f>S16-S17</f>
        <v>39175</v>
      </c>
      <c r="T19" s="11">
        <f>T16-T17</f>
        <v>42688</v>
      </c>
      <c r="U19" s="11">
        <f>U16-U17</f>
        <v>43464</v>
      </c>
      <c r="V19" s="11">
        <f t="shared" ref="V19:X19" si="55">V16-V17</f>
        <v>48735</v>
      </c>
      <c r="W19" s="11">
        <f t="shared" si="55"/>
        <v>46827</v>
      </c>
      <c r="X19" s="11">
        <f t="shared" si="55"/>
        <v>49235</v>
      </c>
      <c r="Y19" s="11">
        <f>+Y16-Y17</f>
        <v>51794</v>
      </c>
      <c r="Z19" s="11">
        <f>+Z16-Z17</f>
        <v>55856</v>
      </c>
      <c r="AA19" s="11">
        <f>+AA16*0.58</f>
        <v>52219.719999999994</v>
      </c>
      <c r="AB19" s="11">
        <f>+AB16*0.58</f>
        <v>55172.6682</v>
      </c>
      <c r="AC19" s="11">
        <f>+AC16*0.58</f>
        <v>57594.493000000002</v>
      </c>
      <c r="AD19" s="11">
        <f>+AD16*0.58</f>
        <v>62917.727199999994</v>
      </c>
      <c r="AE19" s="11"/>
      <c r="AK19" s="3">
        <f t="shared" ref="AK19:AP19" si="56">+AK16-AK17</f>
        <v>40310</v>
      </c>
      <c r="AL19" s="3">
        <f t="shared" si="56"/>
        <v>46825</v>
      </c>
      <c r="AM19" s="3">
        <f t="shared" si="56"/>
        <v>55134</v>
      </c>
      <c r="AN19" s="3">
        <f t="shared" si="56"/>
        <v>65272</v>
      </c>
      <c r="AO19" s="3">
        <f t="shared" si="56"/>
        <v>77270</v>
      </c>
      <c r="AP19" s="3">
        <f t="shared" si="56"/>
        <v>89961</v>
      </c>
      <c r="AQ19" s="3">
        <f>AQ16-AQ17</f>
        <v>97795</v>
      </c>
      <c r="AR19" s="3">
        <f t="shared" ref="AR19" si="57">AR16-AR17</f>
        <v>146698</v>
      </c>
      <c r="AS19" s="3">
        <f>+AS16-AS17</f>
        <v>156633</v>
      </c>
      <c r="AT19" s="3">
        <f>+AT16*0.56</f>
        <v>172140.64</v>
      </c>
      <c r="AU19" s="3">
        <f>SUM(W19:Z19)</f>
        <v>203712</v>
      </c>
      <c r="AV19" s="3">
        <f>SUM(AA19:AD19)</f>
        <v>227904.6084</v>
      </c>
      <c r="AW19" s="3">
        <f t="shared" ref="AW19:BF19" si="58">+AW16*0.56</f>
        <v>244113.71980800008</v>
      </c>
      <c r="AX19" s="3">
        <f t="shared" si="58"/>
        <v>272361.17507424008</v>
      </c>
      <c r="AY19" s="3">
        <f t="shared" si="58"/>
        <v>290667.64561974729</v>
      </c>
      <c r="AZ19" s="3">
        <f t="shared" si="58"/>
        <v>310335.25807230454</v>
      </c>
      <c r="BA19" s="3">
        <f t="shared" si="58"/>
        <v>328069.08514387888</v>
      </c>
      <c r="BB19" s="3">
        <f t="shared" si="58"/>
        <v>346981.35711364297</v>
      </c>
      <c r="BC19" s="3">
        <f t="shared" si="58"/>
        <v>367162.20573748433</v>
      </c>
      <c r="BD19" s="3">
        <f t="shared" si="58"/>
        <v>388709.45066230529</v>
      </c>
      <c r="BE19" s="3">
        <f t="shared" si="58"/>
        <v>411729.30375473324</v>
      </c>
      <c r="BF19" s="3">
        <f t="shared" si="58"/>
        <v>436337.14069373079</v>
      </c>
    </row>
    <row r="20" spans="2:110" s="3" customFormat="1" x14ac:dyDescent="0.25">
      <c r="B20" s="3" t="s">
        <v>22</v>
      </c>
      <c r="C20" s="11">
        <v>6029</v>
      </c>
      <c r="D20" s="11"/>
      <c r="E20" s="11"/>
      <c r="F20" s="11"/>
      <c r="G20" s="11">
        <v>6820</v>
      </c>
      <c r="H20" s="11">
        <v>6875</v>
      </c>
      <c r="I20" s="11">
        <v>6856</v>
      </c>
      <c r="J20" s="11">
        <v>7022</v>
      </c>
      <c r="K20" s="11">
        <v>7485</v>
      </c>
      <c r="L20" s="11">
        <v>7675</v>
      </c>
      <c r="M20" s="11">
        <v>7694</v>
      </c>
      <c r="N20" s="11">
        <v>8708</v>
      </c>
      <c r="O20" s="11">
        <v>9119</v>
      </c>
      <c r="P20" s="11">
        <v>9841</v>
      </c>
      <c r="Q20" s="11">
        <v>10273</v>
      </c>
      <c r="R20" s="11">
        <v>10267</v>
      </c>
      <c r="S20" s="11">
        <v>11468</v>
      </c>
      <c r="T20" s="11">
        <v>10588</v>
      </c>
      <c r="U20" s="11">
        <v>11258</v>
      </c>
      <c r="V20" s="11">
        <v>12113</v>
      </c>
      <c r="W20" s="11">
        <v>11903</v>
      </c>
      <c r="X20" s="11">
        <v>11860</v>
      </c>
      <c r="Y20" s="11">
        <v>12447</v>
      </c>
      <c r="Z20" s="11">
        <v>13116</v>
      </c>
      <c r="AA20" s="11">
        <f>+W20*1.05</f>
        <v>12498.15</v>
      </c>
      <c r="AB20" s="11">
        <f t="shared" ref="AB20:AB22" si="59">+X20*1.05</f>
        <v>12453</v>
      </c>
      <c r="AC20" s="11">
        <f t="shared" ref="AC20:AC22" si="60">+Y20*1.05</f>
        <v>13069.35</v>
      </c>
      <c r="AD20" s="11">
        <f t="shared" ref="AD20:AD22" si="61">+Z20*1.05</f>
        <v>13771.800000000001</v>
      </c>
      <c r="AE20" s="11"/>
      <c r="AK20" s="3">
        <v>9832</v>
      </c>
      <c r="AL20" s="3">
        <v>12282</v>
      </c>
      <c r="AM20" s="3">
        <v>13948</v>
      </c>
      <c r="AN20" s="3">
        <v>16625</v>
      </c>
      <c r="AO20" s="3">
        <v>21419</v>
      </c>
      <c r="AP20" s="3">
        <v>26018</v>
      </c>
      <c r="AQ20" s="3">
        <v>27573</v>
      </c>
      <c r="AR20" s="3">
        <v>31562</v>
      </c>
      <c r="AS20" s="3">
        <f t="shared" ref="AS20:AS22" si="62">SUM(O20:R20)</f>
        <v>39500</v>
      </c>
      <c r="AT20" s="3">
        <f>+AS20*1.05</f>
        <v>41475</v>
      </c>
      <c r="AU20" s="3">
        <f>SUM(W20:Z20)</f>
        <v>49326</v>
      </c>
      <c r="AV20" s="3">
        <f t="shared" ref="AV20:AV22" si="63">SUM(AA20:AD20)</f>
        <v>51792.3</v>
      </c>
      <c r="AW20" s="3">
        <f t="shared" ref="AW20:AY20" si="64">+AV20*1.05</f>
        <v>54381.915000000008</v>
      </c>
      <c r="AX20" s="3">
        <f t="shared" si="64"/>
        <v>57101.010750000009</v>
      </c>
      <c r="AY20" s="3">
        <f t="shared" si="64"/>
        <v>59956.061287500008</v>
      </c>
      <c r="AZ20" s="3">
        <f>+AY20*1.03</f>
        <v>61754.743126125009</v>
      </c>
      <c r="BA20" s="3">
        <f t="shared" ref="BA20:BF20" si="65">+AZ20*1.03</f>
        <v>63607.385419908758</v>
      </c>
      <c r="BB20" s="3">
        <f t="shared" si="65"/>
        <v>65515.606982506026</v>
      </c>
      <c r="BC20" s="3">
        <f t="shared" si="65"/>
        <v>67481.075191981203</v>
      </c>
      <c r="BD20" s="3">
        <f t="shared" si="65"/>
        <v>69505.507447740645</v>
      </c>
      <c r="BE20" s="3">
        <f t="shared" si="65"/>
        <v>71590.67267117287</v>
      </c>
      <c r="BF20" s="3">
        <f t="shared" si="65"/>
        <v>73738.392851308061</v>
      </c>
    </row>
    <row r="21" spans="2:110" s="3" customFormat="1" x14ac:dyDescent="0.25">
      <c r="B21" s="3" t="s">
        <v>23</v>
      </c>
      <c r="C21" s="11">
        <v>3905</v>
      </c>
      <c r="D21" s="11"/>
      <c r="E21" s="11"/>
      <c r="F21" s="11"/>
      <c r="G21" s="11">
        <v>4500</v>
      </c>
      <c r="H21" s="11">
        <v>3901</v>
      </c>
      <c r="I21" s="11">
        <v>4231</v>
      </c>
      <c r="J21" s="11">
        <v>5314</v>
      </c>
      <c r="K21" s="11">
        <v>4516</v>
      </c>
      <c r="L21" s="11">
        <v>5276</v>
      </c>
      <c r="M21" s="11">
        <v>5516</v>
      </c>
      <c r="N21" s="11">
        <v>7604</v>
      </c>
      <c r="O21" s="11">
        <v>5825</v>
      </c>
      <c r="P21" s="11">
        <v>6630</v>
      </c>
      <c r="Q21" s="11">
        <v>6929</v>
      </c>
      <c r="R21" s="11">
        <v>7183</v>
      </c>
      <c r="S21" s="11">
        <v>6533</v>
      </c>
      <c r="T21" s="11">
        <v>6781</v>
      </c>
      <c r="U21" s="11">
        <v>6884</v>
      </c>
      <c r="V21" s="11">
        <v>7719</v>
      </c>
      <c r="W21" s="11">
        <v>6426</v>
      </c>
      <c r="X21" s="11">
        <v>6792</v>
      </c>
      <c r="Y21" s="11">
        <v>7227</v>
      </c>
      <c r="Z21" s="11">
        <v>7363</v>
      </c>
      <c r="AA21" s="11">
        <v>6172</v>
      </c>
      <c r="AB21" s="11">
        <f t="shared" si="59"/>
        <v>7131.6</v>
      </c>
      <c r="AC21" s="11">
        <f t="shared" si="60"/>
        <v>7588.35</v>
      </c>
      <c r="AD21" s="11">
        <f t="shared" si="61"/>
        <v>7731.1500000000005</v>
      </c>
      <c r="AE21" s="11"/>
      <c r="AK21" s="3">
        <v>8131</v>
      </c>
      <c r="AL21" s="3">
        <v>9047</v>
      </c>
      <c r="AM21" s="3">
        <v>10485</v>
      </c>
      <c r="AN21" s="3">
        <v>12893</v>
      </c>
      <c r="AO21" s="3">
        <v>16333</v>
      </c>
      <c r="AP21" s="3">
        <v>18464</v>
      </c>
      <c r="AQ21" s="3">
        <v>17946</v>
      </c>
      <c r="AR21" s="3">
        <v>22912</v>
      </c>
      <c r="AS21" s="3">
        <f t="shared" si="62"/>
        <v>26567</v>
      </c>
      <c r="AT21" s="3">
        <f>+AS21*1.05</f>
        <v>27895.350000000002</v>
      </c>
      <c r="AU21" s="3">
        <f>SUM(W21:Z21)</f>
        <v>27808</v>
      </c>
      <c r="AV21" s="3">
        <f t="shared" si="63"/>
        <v>28623.100000000002</v>
      </c>
      <c r="AW21" s="3">
        <f t="shared" ref="AW21:AY21" si="66">+AV21*1.05</f>
        <v>30054.255000000005</v>
      </c>
      <c r="AX21" s="3">
        <f t="shared" si="66"/>
        <v>31556.967750000007</v>
      </c>
      <c r="AY21" s="3">
        <f t="shared" si="66"/>
        <v>33134.816137500005</v>
      </c>
      <c r="AZ21" s="3">
        <f t="shared" ref="AZ21:BF22" si="67">+AY21*1.03</f>
        <v>34128.860621625005</v>
      </c>
      <c r="BA21" s="3">
        <f t="shared" si="67"/>
        <v>35152.726440273756</v>
      </c>
      <c r="BB21" s="3">
        <f t="shared" si="67"/>
        <v>36207.30823348197</v>
      </c>
      <c r="BC21" s="3">
        <f t="shared" si="67"/>
        <v>37293.527480486431</v>
      </c>
      <c r="BD21" s="3">
        <f t="shared" si="67"/>
        <v>38412.333304901025</v>
      </c>
      <c r="BE21" s="3">
        <f t="shared" si="67"/>
        <v>39564.70330404806</v>
      </c>
      <c r="BF21" s="3">
        <f t="shared" si="67"/>
        <v>40751.644403169506</v>
      </c>
    </row>
    <row r="22" spans="2:110" s="3" customFormat="1" x14ac:dyDescent="0.25">
      <c r="B22" s="3" t="s">
        <v>24</v>
      </c>
      <c r="C22" s="11">
        <v>2088</v>
      </c>
      <c r="D22" s="11"/>
      <c r="E22" s="11"/>
      <c r="F22" s="11"/>
      <c r="G22" s="11">
        <v>2880</v>
      </c>
      <c r="H22" s="11">
        <v>2585</v>
      </c>
      <c r="I22" s="11">
        <v>2756</v>
      </c>
      <c r="J22" s="11">
        <v>2831</v>
      </c>
      <c r="K22" s="11">
        <v>2773</v>
      </c>
      <c r="L22" s="11">
        <v>3341</v>
      </c>
      <c r="M22" s="11">
        <v>3256</v>
      </c>
      <c r="N22" s="11">
        <v>4140</v>
      </c>
      <c r="O22" s="11">
        <v>3374</v>
      </c>
      <c r="P22" s="11">
        <v>3657</v>
      </c>
      <c r="Q22" s="11">
        <v>3597</v>
      </c>
      <c r="R22" s="11">
        <v>5096</v>
      </c>
      <c r="S22" s="11">
        <v>3759</v>
      </c>
      <c r="T22" s="11">
        <v>3481</v>
      </c>
      <c r="U22" s="11">
        <v>3979</v>
      </c>
      <c r="V22" s="11">
        <v>5206</v>
      </c>
      <c r="W22" s="11">
        <v>3026</v>
      </c>
      <c r="X22" s="11">
        <v>3158</v>
      </c>
      <c r="Y22" s="11">
        <v>3599</v>
      </c>
      <c r="Z22" s="11">
        <v>4405</v>
      </c>
      <c r="AA22" s="11">
        <v>3539</v>
      </c>
      <c r="AB22" s="11">
        <f t="shared" si="59"/>
        <v>3315.9</v>
      </c>
      <c r="AC22" s="11">
        <f t="shared" si="60"/>
        <v>3778.9500000000003</v>
      </c>
      <c r="AD22" s="11">
        <f t="shared" si="61"/>
        <v>4625.25</v>
      </c>
      <c r="AE22" s="11"/>
      <c r="AK22" s="3">
        <v>5851</v>
      </c>
      <c r="AL22" s="3">
        <v>6136</v>
      </c>
      <c r="AM22" s="3">
        <v>6985</v>
      </c>
      <c r="AN22" s="3">
        <v>6872</v>
      </c>
      <c r="AO22" s="3">
        <v>8126</v>
      </c>
      <c r="AP22" s="3">
        <v>9551</v>
      </c>
      <c r="AQ22" s="3">
        <v>11052</v>
      </c>
      <c r="AR22" s="3">
        <v>13510</v>
      </c>
      <c r="AS22" s="3">
        <f t="shared" si="62"/>
        <v>15724</v>
      </c>
      <c r="AT22" s="3">
        <f>+AS22*1.05</f>
        <v>16510.2</v>
      </c>
      <c r="AU22" s="3">
        <f>SUM(W22:Z22)</f>
        <v>14188</v>
      </c>
      <c r="AV22" s="3">
        <f t="shared" si="63"/>
        <v>15259.1</v>
      </c>
      <c r="AW22" s="3">
        <f t="shared" ref="AW22:AY22" si="68">+AV22*1.05</f>
        <v>16022.055</v>
      </c>
      <c r="AX22" s="3">
        <f t="shared" si="68"/>
        <v>16823.157750000002</v>
      </c>
      <c r="AY22" s="3">
        <f t="shared" si="68"/>
        <v>17664.315637500004</v>
      </c>
      <c r="AZ22" s="3">
        <f t="shared" si="67"/>
        <v>18194.245106625003</v>
      </c>
      <c r="BA22" s="3">
        <f t="shared" si="67"/>
        <v>18740.072459823754</v>
      </c>
      <c r="BB22" s="3">
        <f t="shared" si="67"/>
        <v>19302.274633618468</v>
      </c>
      <c r="BC22" s="3">
        <f t="shared" si="67"/>
        <v>19881.342872627021</v>
      </c>
      <c r="BD22" s="3">
        <f t="shared" si="67"/>
        <v>20477.783158805832</v>
      </c>
      <c r="BE22" s="3">
        <f t="shared" si="67"/>
        <v>21092.116653570007</v>
      </c>
      <c r="BF22" s="3">
        <f t="shared" si="67"/>
        <v>21724.880153177106</v>
      </c>
    </row>
    <row r="23" spans="2:110" s="3" customFormat="1" x14ac:dyDescent="0.25">
      <c r="B23" s="3" t="s">
        <v>26</v>
      </c>
      <c r="C23" s="11">
        <f t="shared" ref="C23" si="69">SUM(C20:C22)</f>
        <v>12022</v>
      </c>
      <c r="D23" s="11"/>
      <c r="E23" s="11"/>
      <c r="F23" s="11"/>
      <c r="G23" s="11">
        <f t="shared" ref="G23" si="70">SUM(G20:G22)</f>
        <v>14200</v>
      </c>
      <c r="H23" s="11">
        <f t="shared" ref="H23" si="71">SUM(H20:H22)</f>
        <v>13361</v>
      </c>
      <c r="I23" s="11">
        <f t="shared" ref="I23" si="72">SUM(I20:I22)</f>
        <v>13843</v>
      </c>
      <c r="J23" s="11">
        <f t="shared" ref="J23" si="73">SUM(J20:J22)</f>
        <v>15167</v>
      </c>
      <c r="K23" s="11">
        <f>SUM(K20:K22)</f>
        <v>14774</v>
      </c>
      <c r="L23" s="11">
        <f t="shared" ref="L23:O23" si="74">SUM(L20:L22)</f>
        <v>16292</v>
      </c>
      <c r="M23" s="11">
        <f t="shared" si="74"/>
        <v>16466</v>
      </c>
      <c r="N23" s="11">
        <f t="shared" si="74"/>
        <v>20452</v>
      </c>
      <c r="O23" s="11">
        <f t="shared" si="74"/>
        <v>18318</v>
      </c>
      <c r="P23" s="11">
        <f t="shared" ref="P23:Q23" si="75">SUM(P20:P22)</f>
        <v>20128</v>
      </c>
      <c r="Q23" s="11">
        <f t="shared" si="75"/>
        <v>20799</v>
      </c>
      <c r="R23" s="11">
        <f>SUM(R20:R22)</f>
        <v>22546</v>
      </c>
      <c r="S23" s="11">
        <f t="shared" ref="S23:W23" si="76">SUM(S20:S22)</f>
        <v>21760</v>
      </c>
      <c r="T23" s="11">
        <f>SUM(T20:T22)</f>
        <v>20850</v>
      </c>
      <c r="U23" s="11">
        <f t="shared" si="76"/>
        <v>22121</v>
      </c>
      <c r="V23" s="11">
        <f t="shared" si="76"/>
        <v>25038</v>
      </c>
      <c r="W23" s="11">
        <f t="shared" si="76"/>
        <v>21355</v>
      </c>
      <c r="X23" s="11">
        <f t="shared" ref="X23:Z23" si="77">SUM(X20:X22)</f>
        <v>21810</v>
      </c>
      <c r="Y23" s="11">
        <f t="shared" si="77"/>
        <v>23273</v>
      </c>
      <c r="Z23" s="11">
        <f t="shared" si="77"/>
        <v>24884</v>
      </c>
      <c r="AA23" s="11">
        <f t="shared" ref="AA23:AD23" si="78">SUM(AA20:AA22)</f>
        <v>22209.15</v>
      </c>
      <c r="AB23" s="11">
        <f t="shared" si="78"/>
        <v>22900.5</v>
      </c>
      <c r="AC23" s="11">
        <f t="shared" si="78"/>
        <v>24436.65</v>
      </c>
      <c r="AD23" s="11">
        <f t="shared" si="78"/>
        <v>26128.2</v>
      </c>
      <c r="AE23" s="11"/>
      <c r="AK23" s="3">
        <f>SUM(AK20:AK22)</f>
        <v>23814</v>
      </c>
      <c r="AL23" s="3">
        <f t="shared" ref="AL23:AP23" si="79">SUM(AL20:AL22)</f>
        <v>27465</v>
      </c>
      <c r="AM23" s="3">
        <f t="shared" si="79"/>
        <v>31418</v>
      </c>
      <c r="AN23" s="3">
        <f t="shared" si="79"/>
        <v>36390</v>
      </c>
      <c r="AO23" s="3">
        <f t="shared" si="79"/>
        <v>45878</v>
      </c>
      <c r="AP23" s="3">
        <f t="shared" si="79"/>
        <v>54033</v>
      </c>
      <c r="AQ23" s="3">
        <f>SUM(AQ20:AQ22)</f>
        <v>56571</v>
      </c>
      <c r="AR23" s="3">
        <f t="shared" ref="AR23:AT23" si="80">SUM(AR20:AR22)</f>
        <v>67984</v>
      </c>
      <c r="AS23" s="3">
        <f t="shared" si="80"/>
        <v>81791</v>
      </c>
      <c r="AT23" s="3">
        <f t="shared" si="80"/>
        <v>85880.55</v>
      </c>
      <c r="AU23" s="3">
        <f t="shared" ref="AU23:BA23" si="81">SUM(AU20:AU22)</f>
        <v>91322</v>
      </c>
      <c r="AV23" s="3">
        <f t="shared" si="81"/>
        <v>95674.500000000015</v>
      </c>
      <c r="AW23" s="3">
        <f t="shared" si="81"/>
        <v>100458.22500000001</v>
      </c>
      <c r="AX23" s="3">
        <f t="shared" si="81"/>
        <v>105481.13625000001</v>
      </c>
      <c r="AY23" s="3">
        <f t="shared" si="81"/>
        <v>110755.19306250001</v>
      </c>
      <c r="AZ23" s="3">
        <f t="shared" si="81"/>
        <v>114077.84885437503</v>
      </c>
      <c r="BA23" s="3">
        <f t="shared" si="81"/>
        <v>117500.18432000627</v>
      </c>
      <c r="BB23" s="3">
        <f t="shared" ref="BB23:BF23" si="82">SUM(BB20:BB22)</f>
        <v>121025.18984960647</v>
      </c>
      <c r="BC23" s="3">
        <f t="shared" si="82"/>
        <v>124655.94554509466</v>
      </c>
      <c r="BD23" s="3">
        <f t="shared" si="82"/>
        <v>128395.6239114475</v>
      </c>
      <c r="BE23" s="3">
        <f t="shared" si="82"/>
        <v>132247.49262879093</v>
      </c>
      <c r="BF23" s="3">
        <f t="shared" si="82"/>
        <v>136214.91740765466</v>
      </c>
    </row>
    <row r="24" spans="2:110" s="3" customFormat="1" x14ac:dyDescent="0.25">
      <c r="B24" s="3" t="s">
        <v>27</v>
      </c>
      <c r="C24" s="11">
        <f t="shared" ref="C24" si="83">C19-C23</f>
        <v>8305</v>
      </c>
      <c r="D24" s="11"/>
      <c r="E24" s="11"/>
      <c r="F24" s="11"/>
      <c r="G24" s="11">
        <f t="shared" ref="G24" si="84">G19-G23</f>
        <v>7977</v>
      </c>
      <c r="H24" s="11">
        <f t="shared" ref="H24" si="85">H19-H23</f>
        <v>6383</v>
      </c>
      <c r="I24" s="11">
        <f t="shared" ref="I24" si="86">I19-I23</f>
        <v>11213</v>
      </c>
      <c r="J24" s="11">
        <f t="shared" ref="J24" si="87">J19-J23</f>
        <v>15651</v>
      </c>
      <c r="K24" s="11">
        <f t="shared" ref="K24:N24" si="88">K19-K23</f>
        <v>16437</v>
      </c>
      <c r="L24" s="11">
        <f t="shared" si="88"/>
        <v>19361</v>
      </c>
      <c r="M24" s="11">
        <f t="shared" si="88"/>
        <v>21031</v>
      </c>
      <c r="N24" s="11">
        <f t="shared" si="88"/>
        <v>21885</v>
      </c>
      <c r="O24" s="11">
        <f>O19-O23</f>
        <v>20094</v>
      </c>
      <c r="P24" s="11">
        <f t="shared" ref="P24:R24" si="89">P19-P23</f>
        <v>19453</v>
      </c>
      <c r="Q24" s="11">
        <f t="shared" si="89"/>
        <v>17135</v>
      </c>
      <c r="R24" s="11">
        <f t="shared" si="89"/>
        <v>18160</v>
      </c>
      <c r="S24" s="11">
        <f t="shared" ref="S24:W24" si="90">S19-S23</f>
        <v>17415</v>
      </c>
      <c r="T24" s="11">
        <f>T19-T23</f>
        <v>21838</v>
      </c>
      <c r="U24" s="11">
        <f t="shared" si="90"/>
        <v>21343</v>
      </c>
      <c r="V24" s="11">
        <f t="shared" si="90"/>
        <v>23697</v>
      </c>
      <c r="W24" s="11">
        <f t="shared" si="90"/>
        <v>25472</v>
      </c>
      <c r="X24" s="11">
        <f t="shared" ref="X24:Z24" si="91">X19-X23</f>
        <v>27425</v>
      </c>
      <c r="Y24" s="11">
        <f t="shared" si="91"/>
        <v>28521</v>
      </c>
      <c r="Z24" s="11">
        <f t="shared" si="91"/>
        <v>30972</v>
      </c>
      <c r="AA24" s="11">
        <f t="shared" ref="AA24:AD24" si="92">AA19-AA23</f>
        <v>30010.569999999992</v>
      </c>
      <c r="AB24" s="11">
        <f t="shared" si="92"/>
        <v>32272.1682</v>
      </c>
      <c r="AC24" s="11">
        <f t="shared" si="92"/>
        <v>33157.843000000001</v>
      </c>
      <c r="AD24" s="11">
        <f t="shared" si="92"/>
        <v>36789.527199999997</v>
      </c>
      <c r="AE24" s="11"/>
      <c r="AK24" s="3">
        <f>AK19-AK23</f>
        <v>16496</v>
      </c>
      <c r="AL24" s="3">
        <f t="shared" ref="AL24:AP24" si="93">AL19-AL23</f>
        <v>19360</v>
      </c>
      <c r="AM24" s="3">
        <f t="shared" si="93"/>
        <v>23716</v>
      </c>
      <c r="AN24" s="3">
        <f t="shared" si="93"/>
        <v>28882</v>
      </c>
      <c r="AO24" s="3">
        <f t="shared" si="93"/>
        <v>31392</v>
      </c>
      <c r="AP24" s="3">
        <f t="shared" si="93"/>
        <v>35928</v>
      </c>
      <c r="AQ24" s="3">
        <f>AQ19-AQ23</f>
        <v>41224</v>
      </c>
      <c r="AR24" s="3">
        <f t="shared" ref="AR24:AT24" si="94">AR19-AR23</f>
        <v>78714</v>
      </c>
      <c r="AS24" s="3">
        <f t="shared" si="94"/>
        <v>74842</v>
      </c>
      <c r="AT24" s="3">
        <f t="shared" si="94"/>
        <v>86260.090000000011</v>
      </c>
      <c r="AU24" s="3">
        <f t="shared" ref="AU24:BA24" si="95">AU19-AU23</f>
        <v>112390</v>
      </c>
      <c r="AV24" s="3">
        <f t="shared" si="95"/>
        <v>132230.10839999997</v>
      </c>
      <c r="AW24" s="3">
        <f t="shared" si="95"/>
        <v>143655.49480800008</v>
      </c>
      <c r="AX24" s="3">
        <f t="shared" si="95"/>
        <v>166880.03882424007</v>
      </c>
      <c r="AY24" s="3">
        <f t="shared" si="95"/>
        <v>179912.45255724728</v>
      </c>
      <c r="AZ24" s="3">
        <f t="shared" si="95"/>
        <v>196257.40921792953</v>
      </c>
      <c r="BA24" s="3">
        <f t="shared" si="95"/>
        <v>210568.90082387259</v>
      </c>
      <c r="BB24" s="3">
        <f t="shared" ref="BB24:BF24" si="96">BB19-BB23</f>
        <v>225956.16726403648</v>
      </c>
      <c r="BC24" s="3">
        <f t="shared" si="96"/>
        <v>242506.26019238966</v>
      </c>
      <c r="BD24" s="3">
        <f t="shared" si="96"/>
        <v>260313.82675085778</v>
      </c>
      <c r="BE24" s="3">
        <f t="shared" si="96"/>
        <v>279481.81112594227</v>
      </c>
      <c r="BF24" s="3">
        <f t="shared" si="96"/>
        <v>300122.2232860761</v>
      </c>
    </row>
    <row r="25" spans="2:110" s="3" customFormat="1" x14ac:dyDescent="0.25">
      <c r="B25" s="3" t="s">
        <v>28</v>
      </c>
      <c r="C25" s="11">
        <v>1538</v>
      </c>
      <c r="D25" s="11"/>
      <c r="E25" s="11"/>
      <c r="F25" s="11"/>
      <c r="G25" s="11">
        <v>-220</v>
      </c>
      <c r="H25" s="11">
        <v>1894</v>
      </c>
      <c r="I25" s="11">
        <v>2146</v>
      </c>
      <c r="J25" s="11">
        <v>3038</v>
      </c>
      <c r="K25" s="11">
        <v>4846</v>
      </c>
      <c r="L25" s="11">
        <v>2264</v>
      </c>
      <c r="M25" s="11">
        <v>2033</v>
      </c>
      <c r="N25" s="11">
        <v>2517</v>
      </c>
      <c r="O25" s="11">
        <v>-1160</v>
      </c>
      <c r="P25" s="11">
        <v>-439</v>
      </c>
      <c r="Q25" s="11">
        <v>-902</v>
      </c>
      <c r="R25" s="11">
        <v>-1013</v>
      </c>
      <c r="S25" s="11">
        <v>790</v>
      </c>
      <c r="T25" s="11">
        <v>65</v>
      </c>
      <c r="U25" s="11">
        <v>-146</v>
      </c>
      <c r="V25" s="11">
        <f>715-586+115</f>
        <v>244</v>
      </c>
      <c r="W25" s="11">
        <f>2843-2243</f>
        <v>600</v>
      </c>
      <c r="X25" s="11">
        <v>126</v>
      </c>
      <c r="Y25" s="11">
        <v>0</v>
      </c>
      <c r="Z25" s="11">
        <f>1271-364+431</f>
        <v>1338</v>
      </c>
      <c r="AA25" s="11">
        <v>0</v>
      </c>
      <c r="AB25" s="11">
        <f>+X25</f>
        <v>126</v>
      </c>
      <c r="AC25" s="11">
        <f>+Y25</f>
        <v>0</v>
      </c>
      <c r="AD25" s="11">
        <f>+Z25</f>
        <v>1338</v>
      </c>
      <c r="AE25" s="11"/>
      <c r="AK25" s="3">
        <v>763</v>
      </c>
      <c r="AL25" s="3">
        <v>291</v>
      </c>
      <c r="AM25" s="3">
        <v>434</v>
      </c>
      <c r="AN25" s="3">
        <v>1047</v>
      </c>
      <c r="AO25" s="3">
        <v>8592</v>
      </c>
      <c r="AP25" s="3">
        <v>5394</v>
      </c>
      <c r="AQ25" s="3">
        <v>6858</v>
      </c>
      <c r="AR25" s="3">
        <v>12020</v>
      </c>
      <c r="AS25" s="3">
        <f t="shared" ref="AS25:AS27" si="97">SUM(O25:R25)</f>
        <v>-3514</v>
      </c>
      <c r="AT25" s="3">
        <f>+AS45*$BI$36</f>
        <v>3886.5899999999997</v>
      </c>
      <c r="AU25" s="3">
        <f>SUM(W25:Z25)</f>
        <v>2064</v>
      </c>
      <c r="AV25" s="3">
        <f t="shared" ref="AV25:AV27" si="98">SUM(AA25:AD25)</f>
        <v>1464</v>
      </c>
      <c r="AW25" s="3">
        <f t="shared" ref="AW25:BF25" si="99">+AV45*$BI$36</f>
        <v>6916.1421446399991</v>
      </c>
      <c r="AX25" s="3">
        <f t="shared" si="99"/>
        <v>10620.204413674946</v>
      </c>
      <c r="AY25" s="3">
        <f t="shared" si="99"/>
        <v>14986.710397327655</v>
      </c>
      <c r="AZ25" s="3">
        <f t="shared" si="99"/>
        <v>19781.2298060102</v>
      </c>
      <c r="BA25" s="3">
        <f t="shared" si="99"/>
        <v>25095.78032599912</v>
      </c>
      <c r="BB25" s="3">
        <f t="shared" si="99"/>
        <v>30893.131482285964</v>
      </c>
      <c r="BC25" s="3">
        <f t="shared" si="99"/>
        <v>37211.624231445501</v>
      </c>
      <c r="BD25" s="3">
        <f t="shared" si="99"/>
        <v>44092.684188271844</v>
      </c>
      <c r="BE25" s="3">
        <f t="shared" si="99"/>
        <v>51581.084357374428</v>
      </c>
      <c r="BF25" s="3">
        <f t="shared" si="99"/>
        <v>59725.231586264017</v>
      </c>
    </row>
    <row r="26" spans="2:110" s="3" customFormat="1" x14ac:dyDescent="0.25">
      <c r="B26" s="3" t="s">
        <v>29</v>
      </c>
      <c r="C26" s="11">
        <f t="shared" ref="C26" si="100">C24+C25</f>
        <v>9843</v>
      </c>
      <c r="D26" s="11"/>
      <c r="E26" s="11"/>
      <c r="F26" s="11"/>
      <c r="G26" s="11">
        <f t="shared" ref="G26" si="101">G24+G25</f>
        <v>7757</v>
      </c>
      <c r="H26" s="11">
        <f t="shared" ref="H26" si="102">H24+H25</f>
        <v>8277</v>
      </c>
      <c r="I26" s="11">
        <f t="shared" ref="I26" si="103">I24+I25</f>
        <v>13359</v>
      </c>
      <c r="J26" s="11">
        <f t="shared" ref="J26" si="104">J24+J25</f>
        <v>18689</v>
      </c>
      <c r="K26" s="11">
        <f>K24+K25</f>
        <v>21283</v>
      </c>
      <c r="L26" s="11">
        <f t="shared" ref="L26:O26" si="105">L24+L25</f>
        <v>21625</v>
      </c>
      <c r="M26" s="11">
        <f t="shared" si="105"/>
        <v>23064</v>
      </c>
      <c r="N26" s="11">
        <f t="shared" si="105"/>
        <v>24402</v>
      </c>
      <c r="O26" s="11">
        <f t="shared" si="105"/>
        <v>18934</v>
      </c>
      <c r="P26" s="11">
        <f t="shared" ref="P26:AD26" si="106">P24+P25</f>
        <v>19014</v>
      </c>
      <c r="Q26" s="11">
        <f t="shared" si="106"/>
        <v>16233</v>
      </c>
      <c r="R26" s="11">
        <f t="shared" si="106"/>
        <v>17147</v>
      </c>
      <c r="S26" s="11">
        <f t="shared" si="106"/>
        <v>18205</v>
      </c>
      <c r="T26" s="11">
        <f t="shared" si="106"/>
        <v>21903</v>
      </c>
      <c r="U26" s="11">
        <f t="shared" si="106"/>
        <v>21197</v>
      </c>
      <c r="V26" s="11">
        <f t="shared" si="106"/>
        <v>23941</v>
      </c>
      <c r="W26" s="11">
        <f t="shared" si="106"/>
        <v>26072</v>
      </c>
      <c r="X26" s="11">
        <f t="shared" si="106"/>
        <v>27551</v>
      </c>
      <c r="Y26" s="11">
        <f t="shared" si="106"/>
        <v>28521</v>
      </c>
      <c r="Z26" s="11">
        <f t="shared" si="106"/>
        <v>32310</v>
      </c>
      <c r="AA26" s="11">
        <f t="shared" si="106"/>
        <v>30010.569999999992</v>
      </c>
      <c r="AB26" s="11">
        <f t="shared" si="106"/>
        <v>32398.1682</v>
      </c>
      <c r="AC26" s="11">
        <f t="shared" si="106"/>
        <v>33157.843000000001</v>
      </c>
      <c r="AD26" s="11">
        <f t="shared" si="106"/>
        <v>38127.527199999997</v>
      </c>
      <c r="AE26" s="11"/>
      <c r="AK26" s="3">
        <f t="shared" ref="AK26:AP26" si="107">+AK24+AK25</f>
        <v>17259</v>
      </c>
      <c r="AL26" s="3">
        <f t="shared" si="107"/>
        <v>19651</v>
      </c>
      <c r="AM26" s="3">
        <f t="shared" si="107"/>
        <v>24150</v>
      </c>
      <c r="AN26" s="3">
        <f t="shared" si="107"/>
        <v>29929</v>
      </c>
      <c r="AO26" s="3">
        <f t="shared" si="107"/>
        <v>39984</v>
      </c>
      <c r="AP26" s="3">
        <f t="shared" si="107"/>
        <v>41322</v>
      </c>
      <c r="AQ26" s="3">
        <f>AQ24+AQ25</f>
        <v>48082</v>
      </c>
      <c r="AR26" s="3">
        <f t="shared" ref="AR26:AT26" si="108">AR24+AR25</f>
        <v>90734</v>
      </c>
      <c r="AS26" s="3">
        <f t="shared" si="108"/>
        <v>71328</v>
      </c>
      <c r="AT26" s="3">
        <f t="shared" si="108"/>
        <v>90146.680000000008</v>
      </c>
      <c r="AU26" s="3">
        <f t="shared" ref="AU26:BF26" si="109">AU24+AU25</f>
        <v>114454</v>
      </c>
      <c r="AV26" s="3">
        <f t="shared" si="109"/>
        <v>133694.10839999997</v>
      </c>
      <c r="AW26" s="3">
        <f t="shared" si="109"/>
        <v>150571.63695264008</v>
      </c>
      <c r="AX26" s="3">
        <f t="shared" si="109"/>
        <v>177500.24323791501</v>
      </c>
      <c r="AY26" s="3">
        <f t="shared" si="109"/>
        <v>194899.16295457495</v>
      </c>
      <c r="AZ26" s="3">
        <f t="shared" si="109"/>
        <v>216038.63902393973</v>
      </c>
      <c r="BA26" s="3">
        <f t="shared" si="109"/>
        <v>235664.68114987173</v>
      </c>
      <c r="BB26" s="3">
        <f t="shared" si="109"/>
        <v>256849.29874632246</v>
      </c>
      <c r="BC26" s="3">
        <f t="shared" si="109"/>
        <v>279717.88442383514</v>
      </c>
      <c r="BD26" s="3">
        <f t="shared" si="109"/>
        <v>304406.51093912963</v>
      </c>
      <c r="BE26" s="3">
        <f t="shared" si="109"/>
        <v>331062.89548331668</v>
      </c>
      <c r="BF26" s="3">
        <f t="shared" si="109"/>
        <v>359847.45487234014</v>
      </c>
    </row>
    <row r="27" spans="2:110" s="3" customFormat="1" x14ac:dyDescent="0.25">
      <c r="B27" s="3" t="s">
        <v>30</v>
      </c>
      <c r="C27" s="11">
        <v>1489</v>
      </c>
      <c r="D27" s="11"/>
      <c r="E27" s="11"/>
      <c r="F27" s="11"/>
      <c r="G27" s="11">
        <v>921</v>
      </c>
      <c r="H27" s="11">
        <v>1318</v>
      </c>
      <c r="I27" s="11">
        <v>2112</v>
      </c>
      <c r="J27" s="11">
        <v>3462</v>
      </c>
      <c r="K27" s="11">
        <v>3353</v>
      </c>
      <c r="L27" s="11">
        <v>3460</v>
      </c>
      <c r="M27" s="11">
        <v>4128</v>
      </c>
      <c r="N27" s="11">
        <v>3760</v>
      </c>
      <c r="O27" s="11">
        <v>2498</v>
      </c>
      <c r="P27" s="11">
        <v>3012</v>
      </c>
      <c r="Q27" s="11">
        <v>2323</v>
      </c>
      <c r="R27" s="11">
        <v>3523</v>
      </c>
      <c r="S27" s="11">
        <v>3154</v>
      </c>
      <c r="T27" s="11">
        <v>3535</v>
      </c>
      <c r="U27" s="11">
        <v>1508</v>
      </c>
      <c r="V27" s="11">
        <v>3725</v>
      </c>
      <c r="W27" s="11">
        <v>4653</v>
      </c>
      <c r="X27" s="11">
        <v>3932</v>
      </c>
      <c r="Y27" s="11">
        <v>5405</v>
      </c>
      <c r="Z27" s="11">
        <v>5707</v>
      </c>
      <c r="AA27" s="11">
        <v>7249</v>
      </c>
      <c r="AB27" s="11">
        <f>+AB26*0.18</f>
        <v>5831.6702759999998</v>
      </c>
      <c r="AC27" s="11">
        <f>+AC26*0.18</f>
        <v>5968.4117399999996</v>
      </c>
      <c r="AD27" s="11">
        <f>+AD26*0.18</f>
        <v>6862.9548959999993</v>
      </c>
      <c r="AE27" s="11"/>
      <c r="AK27" s="3">
        <v>3639</v>
      </c>
      <c r="AL27" s="3">
        <v>3303</v>
      </c>
      <c r="AM27" s="3">
        <v>4672</v>
      </c>
      <c r="AN27" s="3">
        <v>14531</v>
      </c>
      <c r="AO27" s="3">
        <v>4177</v>
      </c>
      <c r="AP27" s="3">
        <v>5282</v>
      </c>
      <c r="AQ27" s="3">
        <v>7813</v>
      </c>
      <c r="AR27" s="3">
        <v>14701</v>
      </c>
      <c r="AS27" s="3">
        <f t="shared" si="97"/>
        <v>11356</v>
      </c>
      <c r="AT27" s="3">
        <f>+AT26*0.18</f>
        <v>16226.402400000001</v>
      </c>
      <c r="AU27" s="3">
        <f>SUM(W27:Z27)</f>
        <v>19697</v>
      </c>
      <c r="AV27" s="3">
        <f t="shared" si="98"/>
        <v>25912.036912</v>
      </c>
      <c r="AW27" s="3">
        <f t="shared" ref="AW27:BF27" si="110">+AW26*0.18</f>
        <v>27102.894651475213</v>
      </c>
      <c r="AX27" s="3">
        <f t="shared" si="110"/>
        <v>31950.043782824701</v>
      </c>
      <c r="AY27" s="3">
        <f t="shared" si="110"/>
        <v>35081.849331823491</v>
      </c>
      <c r="AZ27" s="3">
        <f t="shared" si="110"/>
        <v>38886.955024309151</v>
      </c>
      <c r="BA27" s="3">
        <f t="shared" si="110"/>
        <v>42419.642606976908</v>
      </c>
      <c r="BB27" s="3">
        <f t="shared" si="110"/>
        <v>46232.873774338041</v>
      </c>
      <c r="BC27" s="3">
        <f t="shared" si="110"/>
        <v>50349.219196290323</v>
      </c>
      <c r="BD27" s="3">
        <f t="shared" si="110"/>
        <v>54793.171969043331</v>
      </c>
      <c r="BE27" s="3">
        <f t="shared" si="110"/>
        <v>59591.321186996996</v>
      </c>
      <c r="BF27" s="3">
        <f t="shared" si="110"/>
        <v>64772.54187702122</v>
      </c>
    </row>
    <row r="28" spans="2:110" s="3" customFormat="1" x14ac:dyDescent="0.25">
      <c r="B28" s="3" t="s">
        <v>31</v>
      </c>
      <c r="C28" s="11">
        <f t="shared" ref="C28" si="111">C26-C27</f>
        <v>8354</v>
      </c>
      <c r="D28" s="11"/>
      <c r="E28" s="11"/>
      <c r="F28" s="11"/>
      <c r="G28" s="11">
        <f t="shared" ref="G28" si="112">G26-G27</f>
        <v>6836</v>
      </c>
      <c r="H28" s="11">
        <f t="shared" ref="H28" si="113">H26-H27</f>
        <v>6959</v>
      </c>
      <c r="I28" s="11">
        <f t="shared" ref="I28" si="114">I26-I27</f>
        <v>11247</v>
      </c>
      <c r="J28" s="11">
        <f t="shared" ref="J28" si="115">J26-J27</f>
        <v>15227</v>
      </c>
      <c r="K28" s="11">
        <f>K26-K27</f>
        <v>17930</v>
      </c>
      <c r="L28" s="11">
        <f t="shared" ref="L28:O28" si="116">L26-L27</f>
        <v>18165</v>
      </c>
      <c r="M28" s="11">
        <f t="shared" si="116"/>
        <v>18936</v>
      </c>
      <c r="N28" s="11">
        <f t="shared" si="116"/>
        <v>20642</v>
      </c>
      <c r="O28" s="11">
        <f t="shared" si="116"/>
        <v>16436</v>
      </c>
      <c r="P28" s="11">
        <f t="shared" ref="P28:AD28" si="117">P26-P27</f>
        <v>16002</v>
      </c>
      <c r="Q28" s="11">
        <f t="shared" si="117"/>
        <v>13910</v>
      </c>
      <c r="R28" s="11">
        <f t="shared" si="117"/>
        <v>13624</v>
      </c>
      <c r="S28" s="11">
        <f t="shared" si="117"/>
        <v>15051</v>
      </c>
      <c r="T28" s="11">
        <f t="shared" si="117"/>
        <v>18368</v>
      </c>
      <c r="U28" s="11">
        <f t="shared" si="117"/>
        <v>19689</v>
      </c>
      <c r="V28" s="11">
        <f t="shared" si="117"/>
        <v>20216</v>
      </c>
      <c r="W28" s="11">
        <f t="shared" si="117"/>
        <v>21419</v>
      </c>
      <c r="X28" s="11">
        <f t="shared" si="117"/>
        <v>23619</v>
      </c>
      <c r="Y28" s="11">
        <f t="shared" si="117"/>
        <v>23116</v>
      </c>
      <c r="Z28" s="11">
        <f t="shared" si="117"/>
        <v>26603</v>
      </c>
      <c r="AA28" s="11">
        <f t="shared" si="117"/>
        <v>22761.569999999992</v>
      </c>
      <c r="AB28" s="11">
        <f t="shared" si="117"/>
        <v>26566.497923999999</v>
      </c>
      <c r="AC28" s="11">
        <f t="shared" si="117"/>
        <v>27189.431260000001</v>
      </c>
      <c r="AD28" s="11">
        <f t="shared" si="117"/>
        <v>31264.572303999998</v>
      </c>
      <c r="AE28" s="11"/>
      <c r="AK28" s="3">
        <f t="shared" ref="AK28:AP28" si="118">+AK26-AK27</f>
        <v>13620</v>
      </c>
      <c r="AL28" s="3">
        <f t="shared" si="118"/>
        <v>16348</v>
      </c>
      <c r="AM28" s="3">
        <f t="shared" si="118"/>
        <v>19478</v>
      </c>
      <c r="AN28" s="3">
        <f t="shared" si="118"/>
        <v>15398</v>
      </c>
      <c r="AO28" s="3">
        <f t="shared" si="118"/>
        <v>35807</v>
      </c>
      <c r="AP28" s="3">
        <f t="shared" si="118"/>
        <v>36040</v>
      </c>
      <c r="AQ28" s="3">
        <f>AQ26-AQ27</f>
        <v>40269</v>
      </c>
      <c r="AR28" s="3">
        <f t="shared" ref="AR28:AT28" si="119">AR26-AR27</f>
        <v>76033</v>
      </c>
      <c r="AS28" s="3">
        <f t="shared" si="119"/>
        <v>59972</v>
      </c>
      <c r="AT28" s="3">
        <f t="shared" si="119"/>
        <v>73920.277600000001</v>
      </c>
      <c r="AU28" s="3">
        <f t="shared" ref="AU28:BF28" si="120">AU26-AU27</f>
        <v>94757</v>
      </c>
      <c r="AV28" s="3">
        <f t="shared" si="120"/>
        <v>107782.07148799997</v>
      </c>
      <c r="AW28" s="3">
        <f t="shared" si="120"/>
        <v>123468.74230116486</v>
      </c>
      <c r="AX28" s="3">
        <f t="shared" si="120"/>
        <v>145550.1994550903</v>
      </c>
      <c r="AY28" s="3">
        <f t="shared" si="120"/>
        <v>159817.31362275145</v>
      </c>
      <c r="AZ28" s="3">
        <f t="shared" si="120"/>
        <v>177151.68399963056</v>
      </c>
      <c r="BA28" s="3">
        <f t="shared" si="120"/>
        <v>193245.03854289482</v>
      </c>
      <c r="BB28" s="3">
        <f t="shared" si="120"/>
        <v>210616.42497198441</v>
      </c>
      <c r="BC28" s="3">
        <f t="shared" si="120"/>
        <v>229368.66522754481</v>
      </c>
      <c r="BD28" s="3">
        <f t="shared" si="120"/>
        <v>249613.3389700863</v>
      </c>
      <c r="BE28" s="3">
        <f t="shared" si="120"/>
        <v>271471.57429631968</v>
      </c>
      <c r="BF28" s="3">
        <f t="shared" si="120"/>
        <v>295074.91299531894</v>
      </c>
      <c r="BG28" s="3">
        <f t="shared" ref="BG28:CL28" si="121">+BF28*(1+$BI$34)</f>
        <v>300976.41125522531</v>
      </c>
      <c r="BH28" s="3">
        <f t="shared" si="121"/>
        <v>306995.93948032981</v>
      </c>
      <c r="BI28" s="3">
        <f t="shared" si="121"/>
        <v>313135.85826993641</v>
      </c>
      <c r="BJ28" s="3">
        <f t="shared" si="121"/>
        <v>319398.57543533517</v>
      </c>
      <c r="BK28" s="3">
        <f t="shared" si="121"/>
        <v>325786.54694404185</v>
      </c>
      <c r="BL28" s="3">
        <f t="shared" si="121"/>
        <v>332302.27788292267</v>
      </c>
      <c r="BM28" s="3">
        <f t="shared" si="121"/>
        <v>338948.32344058115</v>
      </c>
      <c r="BN28" s="3">
        <f t="shared" si="121"/>
        <v>345727.28990939277</v>
      </c>
      <c r="BO28" s="3">
        <f t="shared" si="121"/>
        <v>352641.83570758061</v>
      </c>
      <c r="BP28" s="3">
        <f t="shared" si="121"/>
        <v>359694.67242173222</v>
      </c>
      <c r="BQ28" s="3">
        <f t="shared" si="121"/>
        <v>366888.56587016687</v>
      </c>
      <c r="BR28" s="3">
        <f t="shared" si="121"/>
        <v>374226.33718757023</v>
      </c>
      <c r="BS28" s="3">
        <f t="shared" si="121"/>
        <v>381710.86393132166</v>
      </c>
      <c r="BT28" s="3">
        <f t="shared" si="121"/>
        <v>389345.08120994811</v>
      </c>
      <c r="BU28" s="3">
        <f t="shared" si="121"/>
        <v>397131.98283414706</v>
      </c>
      <c r="BV28" s="3">
        <f t="shared" si="121"/>
        <v>405074.62249083002</v>
      </c>
      <c r="BW28" s="3">
        <f t="shared" si="121"/>
        <v>413176.11494064663</v>
      </c>
      <c r="BX28" s="3">
        <f t="shared" si="121"/>
        <v>421439.63723945955</v>
      </c>
      <c r="BY28" s="3">
        <f t="shared" si="121"/>
        <v>429868.42998424877</v>
      </c>
      <c r="BZ28" s="3">
        <f t="shared" si="121"/>
        <v>438465.79858393373</v>
      </c>
      <c r="CA28" s="3">
        <f t="shared" si="121"/>
        <v>447235.11455561244</v>
      </c>
      <c r="CB28" s="3">
        <f t="shared" si="121"/>
        <v>456179.81684672472</v>
      </c>
      <c r="CC28" s="3">
        <f t="shared" si="121"/>
        <v>465303.4131836592</v>
      </c>
      <c r="CD28" s="3">
        <f t="shared" si="121"/>
        <v>474609.48144733236</v>
      </c>
      <c r="CE28" s="3">
        <f t="shared" si="121"/>
        <v>484101.67107627902</v>
      </c>
      <c r="CF28" s="3">
        <f t="shared" si="121"/>
        <v>493783.70449780463</v>
      </c>
      <c r="CG28" s="3">
        <f t="shared" si="121"/>
        <v>503659.37858776073</v>
      </c>
      <c r="CH28" s="3">
        <f t="shared" si="121"/>
        <v>513732.56615951593</v>
      </c>
      <c r="CI28" s="3">
        <f t="shared" si="121"/>
        <v>524007.21748270624</v>
      </c>
      <c r="CJ28" s="3">
        <f t="shared" si="121"/>
        <v>534487.36183236039</v>
      </c>
      <c r="CK28" s="3">
        <f t="shared" si="121"/>
        <v>545177.10906900757</v>
      </c>
      <c r="CL28" s="3">
        <f t="shared" si="121"/>
        <v>556080.65125038777</v>
      </c>
      <c r="CM28" s="3">
        <f t="shared" ref="CM28:DF28" si="122">+CL28*(1+$BI$34)</f>
        <v>567202.26427539554</v>
      </c>
      <c r="CN28" s="3">
        <f t="shared" si="122"/>
        <v>578546.30956090346</v>
      </c>
      <c r="CO28" s="3">
        <f t="shared" si="122"/>
        <v>590117.23575212155</v>
      </c>
      <c r="CP28" s="3">
        <f t="shared" si="122"/>
        <v>601919.58046716393</v>
      </c>
      <c r="CQ28" s="3">
        <f t="shared" si="122"/>
        <v>613957.97207650717</v>
      </c>
      <c r="CR28" s="3">
        <f t="shared" si="122"/>
        <v>626237.13151803729</v>
      </c>
      <c r="CS28" s="3">
        <f t="shared" si="122"/>
        <v>638761.87414839806</v>
      </c>
      <c r="CT28" s="3">
        <f t="shared" si="122"/>
        <v>651537.11163136608</v>
      </c>
      <c r="CU28" s="3">
        <f t="shared" si="122"/>
        <v>664567.85386399343</v>
      </c>
      <c r="CV28" s="3">
        <f t="shared" si="122"/>
        <v>677859.21094127325</v>
      </c>
      <c r="CW28" s="3">
        <f t="shared" si="122"/>
        <v>691416.39516009868</v>
      </c>
      <c r="CX28" s="3">
        <f t="shared" si="122"/>
        <v>705244.72306330071</v>
      </c>
      <c r="CY28" s="3">
        <f t="shared" si="122"/>
        <v>719349.61752456671</v>
      </c>
      <c r="CZ28" s="3">
        <f t="shared" si="122"/>
        <v>733736.60987505806</v>
      </c>
      <c r="DA28" s="3">
        <f t="shared" si="122"/>
        <v>748411.34207255929</v>
      </c>
      <c r="DB28" s="3">
        <f t="shared" si="122"/>
        <v>763379.56891401054</v>
      </c>
      <c r="DC28" s="3">
        <f t="shared" si="122"/>
        <v>778647.16029229073</v>
      </c>
      <c r="DD28" s="3">
        <f t="shared" si="122"/>
        <v>794220.10349813651</v>
      </c>
      <c r="DE28" s="3">
        <f t="shared" si="122"/>
        <v>810104.50556809921</v>
      </c>
      <c r="DF28" s="3">
        <f t="shared" si="122"/>
        <v>826306.59567946126</v>
      </c>
    </row>
    <row r="29" spans="2:110" s="7" customFormat="1" ht="13" x14ac:dyDescent="0.3">
      <c r="B29" s="9" t="s">
        <v>32</v>
      </c>
      <c r="C29" s="14">
        <f t="shared" ref="C29" si="123">C28/C30</f>
        <v>11.919318455824756</v>
      </c>
      <c r="D29" s="14"/>
      <c r="E29" s="14"/>
      <c r="F29" s="14"/>
      <c r="G29" s="14">
        <f t="shared" ref="G29" si="124">G28/G30</f>
        <v>9.8748026411774639</v>
      </c>
      <c r="H29" s="14">
        <f t="shared" ref="H29" si="125">H28/H30</f>
        <v>10.129194904399265</v>
      </c>
      <c r="I29" s="14">
        <f t="shared" ref="I29" si="126">I28/I30</f>
        <v>16.398605528022852</v>
      </c>
      <c r="J29" s="14">
        <f t="shared" ref="J29" si="127">J28/J30</f>
        <v>22.295301836540162</v>
      </c>
      <c r="K29" s="14">
        <f t="shared" ref="K29:N29" si="128">K28/K30</f>
        <v>26.287585896482916</v>
      </c>
      <c r="L29" s="14">
        <f t="shared" si="128"/>
        <v>1.3364479105356091</v>
      </c>
      <c r="M29" s="14">
        <f t="shared" si="128"/>
        <v>27.990344690984287</v>
      </c>
      <c r="N29" s="14">
        <f t="shared" si="128"/>
        <v>30.69474329100823</v>
      </c>
      <c r="O29" s="14">
        <f>O28/O30</f>
        <v>24.621339792764896</v>
      </c>
      <c r="P29" s="14">
        <f t="shared" ref="P29:AD29" si="129">P28/P30</f>
        <v>1.2087015635622025</v>
      </c>
      <c r="Q29" s="14">
        <f t="shared" si="129"/>
        <v>1.0620752844162786</v>
      </c>
      <c r="R29" s="14">
        <f t="shared" si="129"/>
        <v>1.0522901058160192</v>
      </c>
      <c r="S29" s="14">
        <f t="shared" si="129"/>
        <v>1.1737502924432659</v>
      </c>
      <c r="T29" s="14">
        <f t="shared" si="129"/>
        <v>1.4544302795154012</v>
      </c>
      <c r="U29" s="14">
        <f t="shared" si="129"/>
        <v>1.5508034026465027</v>
      </c>
      <c r="V29" s="14">
        <f t="shared" si="129"/>
        <v>1.6041898111410886</v>
      </c>
      <c r="W29" s="14">
        <f t="shared" si="129"/>
        <v>1.7098267741677975</v>
      </c>
      <c r="X29" s="14">
        <f t="shared" si="129"/>
        <v>1.8902761104441776</v>
      </c>
      <c r="Y29" s="14">
        <f t="shared" si="129"/>
        <v>1.8613414928738223</v>
      </c>
      <c r="Z29" s="14">
        <f t="shared" si="129"/>
        <v>2.1544379656624555</v>
      </c>
      <c r="AA29" s="14">
        <f t="shared" si="129"/>
        <v>9.9352116979484908</v>
      </c>
      <c r="AB29" s="14">
        <f t="shared" si="129"/>
        <v>11.596027029244871</v>
      </c>
      <c r="AC29" s="14">
        <f t="shared" si="129"/>
        <v>11.867931584460935</v>
      </c>
      <c r="AD29" s="14">
        <f t="shared" si="129"/>
        <v>13.646692406809253</v>
      </c>
      <c r="AE29" s="14"/>
      <c r="AQ29" s="17">
        <f>AQ28/AQ30</f>
        <v>58.613331625494155</v>
      </c>
      <c r="AR29" s="17">
        <f>AR28/AR30</f>
        <v>112.19701508394893</v>
      </c>
      <c r="AS29" s="17">
        <f>AS28/AS30</f>
        <v>4.5799964361174039</v>
      </c>
      <c r="AT29" s="17">
        <f>AT28/AT30</f>
        <v>5.8262287763546796</v>
      </c>
      <c r="AU29" s="17">
        <f t="shared" ref="AU29:BA29" si="130">AU28/AU30</f>
        <v>41.360541248363162</v>
      </c>
      <c r="AV29" s="17">
        <f t="shared" si="130"/>
        <v>47.045862718463539</v>
      </c>
      <c r="AW29" s="17">
        <f t="shared" si="130"/>
        <v>53.892947316091167</v>
      </c>
      <c r="AX29" s="17">
        <f t="shared" si="130"/>
        <v>63.531296139279924</v>
      </c>
      <c r="AY29" s="17">
        <f t="shared" si="130"/>
        <v>69.758757583042978</v>
      </c>
      <c r="AZ29" s="17">
        <f t="shared" si="130"/>
        <v>77.325047577315829</v>
      </c>
      <c r="BA29" s="17">
        <f t="shared" si="130"/>
        <v>84.349645806588754</v>
      </c>
      <c r="BB29" s="17">
        <f t="shared" ref="BB29:BF29" si="131">BB28/BB30</f>
        <v>91.932092960272541</v>
      </c>
      <c r="BC29" s="17">
        <f t="shared" si="131"/>
        <v>100.11726985052152</v>
      </c>
      <c r="BD29" s="17">
        <f t="shared" si="131"/>
        <v>108.9538799520237</v>
      </c>
      <c r="BE29" s="17">
        <f t="shared" si="131"/>
        <v>118.49479454226088</v>
      </c>
      <c r="BF29" s="17">
        <f t="shared" si="131"/>
        <v>128.79743037770359</v>
      </c>
    </row>
    <row r="30" spans="2:110" s="3" customFormat="1" x14ac:dyDescent="0.25">
      <c r="B30" s="3" t="s">
        <v>1</v>
      </c>
      <c r="C30" s="11">
        <v>700.87900000000002</v>
      </c>
      <c r="D30" s="11"/>
      <c r="E30" s="11"/>
      <c r="F30" s="11"/>
      <c r="G30" s="11">
        <v>692.26700000000005</v>
      </c>
      <c r="H30" s="11">
        <v>687.024</v>
      </c>
      <c r="I30" s="11">
        <v>685.851</v>
      </c>
      <c r="J30" s="11">
        <v>682.96900000000005</v>
      </c>
      <c r="K30" s="11">
        <v>682.07100000000003</v>
      </c>
      <c r="L30" s="11">
        <v>13592</v>
      </c>
      <c r="M30" s="11">
        <v>676.51900000000001</v>
      </c>
      <c r="N30" s="11">
        <v>672.49300000000005</v>
      </c>
      <c r="O30" s="11">
        <v>667.55100000000004</v>
      </c>
      <c r="P30" s="11">
        <v>13239</v>
      </c>
      <c r="Q30" s="11">
        <v>13097</v>
      </c>
      <c r="R30" s="11">
        <v>12947</v>
      </c>
      <c r="S30" s="11">
        <v>12823</v>
      </c>
      <c r="T30" s="11">
        <v>12629</v>
      </c>
      <c r="U30" s="11">
        <v>12696</v>
      </c>
      <c r="V30" s="11">
        <v>12602</v>
      </c>
      <c r="W30" s="11">
        <v>12527</v>
      </c>
      <c r="X30" s="11">
        <v>12495</v>
      </c>
      <c r="Y30" s="11">
        <v>12419</v>
      </c>
      <c r="Z30" s="11">
        <v>12348</v>
      </c>
      <c r="AA30" s="11">
        <v>2291</v>
      </c>
      <c r="AB30" s="11">
        <f>+AA30</f>
        <v>2291</v>
      </c>
      <c r="AC30" s="11">
        <f>+AB30</f>
        <v>2291</v>
      </c>
      <c r="AD30" s="11">
        <f>+AC30</f>
        <v>2291</v>
      </c>
      <c r="AE30" s="11"/>
      <c r="AL30" s="3">
        <v>687.34799999999996</v>
      </c>
      <c r="AM30" s="3">
        <v>691.29300000000001</v>
      </c>
      <c r="AQ30" s="3">
        <v>687.02800000000002</v>
      </c>
      <c r="AR30" s="3">
        <v>677.67399999999998</v>
      </c>
      <c r="AS30" s="3">
        <f>AVERAGE(P30:R30)</f>
        <v>13094.333333333334</v>
      </c>
      <c r="AT30" s="3">
        <f>AVERAGE(S30:V30)</f>
        <v>12687.5</v>
      </c>
      <c r="AU30" s="3">
        <f>AVERAGE(AA30:AD30)</f>
        <v>2291</v>
      </c>
      <c r="AV30" s="3">
        <f t="shared" ref="AV30:BA30" si="132">+AU30</f>
        <v>2291</v>
      </c>
      <c r="AW30" s="3">
        <f t="shared" si="132"/>
        <v>2291</v>
      </c>
      <c r="AX30" s="3">
        <f t="shared" si="132"/>
        <v>2291</v>
      </c>
      <c r="AY30" s="3">
        <f t="shared" si="132"/>
        <v>2291</v>
      </c>
      <c r="AZ30" s="3">
        <f t="shared" si="132"/>
        <v>2291</v>
      </c>
      <c r="BA30" s="3">
        <f t="shared" si="132"/>
        <v>2291</v>
      </c>
      <c r="BB30" s="3">
        <f t="shared" ref="BB30" si="133">+BA30</f>
        <v>2291</v>
      </c>
      <c r="BC30" s="3">
        <f t="shared" ref="BC30" si="134">+BB30</f>
        <v>2291</v>
      </c>
      <c r="BD30" s="3">
        <f t="shared" ref="BD30" si="135">+BC30</f>
        <v>2291</v>
      </c>
      <c r="BE30" s="3">
        <f t="shared" ref="BE30" si="136">+BD30</f>
        <v>2291</v>
      </c>
      <c r="BF30" s="3">
        <f t="shared" ref="BF30" si="137">+BE30</f>
        <v>2291</v>
      </c>
    </row>
    <row r="32" spans="2:110" s="18" customFormat="1" ht="13" x14ac:dyDescent="0.3">
      <c r="B32" s="18" t="s">
        <v>34</v>
      </c>
      <c r="C32" s="16"/>
      <c r="D32" s="16"/>
      <c r="E32" s="16"/>
      <c r="F32" s="16"/>
      <c r="G32" s="16"/>
      <c r="H32" s="16"/>
      <c r="I32" s="16"/>
      <c r="J32" s="16"/>
      <c r="K32" s="16">
        <f t="shared" ref="K32:L32" si="138">K16/G16-1</f>
        <v>0.34391020189994892</v>
      </c>
      <c r="L32" s="16">
        <f t="shared" si="138"/>
        <v>0.61579235971486024</v>
      </c>
      <c r="M32" s="16">
        <f t="shared" ref="M32" si="139">M16/I16-1</f>
        <v>0.41030472353973102</v>
      </c>
      <c r="N32" s="16">
        <f t="shared" ref="N32" si="140">N16/J16-1</f>
        <v>0.32386024113325607</v>
      </c>
      <c r="O32" s="16">
        <f>O16/K16-1</f>
        <v>0.22954405756228069</v>
      </c>
      <c r="P32" s="16">
        <f t="shared" ref="P32:T32" si="141">P16/L16-1</f>
        <v>0.12613122171945701</v>
      </c>
      <c r="Q32" s="16">
        <f t="shared" si="141"/>
        <v>6.1027672840074931E-2</v>
      </c>
      <c r="R32" s="16">
        <f>R16/N16-1</f>
        <v>9.5984069034185104E-3</v>
      </c>
      <c r="S32" s="16">
        <f>S16/O16-1</f>
        <v>2.6113422828660138E-2</v>
      </c>
      <c r="T32" s="16">
        <f t="shared" si="141"/>
        <v>7.0589079428858392E-2</v>
      </c>
      <c r="U32" s="16">
        <f t="shared" ref="U32:Z32" si="142">U16/Q16-1</f>
        <v>0.11001273664100042</v>
      </c>
      <c r="V32" s="16">
        <f t="shared" si="142"/>
        <v>0.13494108983799702</v>
      </c>
      <c r="W32" s="16">
        <f t="shared" si="142"/>
        <v>0.15406880937710454</v>
      </c>
      <c r="X32" s="16">
        <f t="shared" si="142"/>
        <v>0.13589083695244231</v>
      </c>
      <c r="Y32" s="16">
        <f t="shared" si="142"/>
        <v>0.15092642092498654</v>
      </c>
      <c r="Z32" s="16">
        <f t="shared" si="142"/>
        <v>0.11770362646275045</v>
      </c>
      <c r="AA32" s="16">
        <f t="shared" ref="AA32" si="143">AA16/W16-1</f>
        <v>0.11789319460137326</v>
      </c>
      <c r="AB32" s="16">
        <f t="shared" ref="AB32" si="144">AB16/X16-1</f>
        <v>0.12252826225484426</v>
      </c>
      <c r="AC32" s="16">
        <f t="shared" ref="AC32" si="145">AC16/Y16-1</f>
        <v>0.12499263606289945</v>
      </c>
      <c r="AD32" s="16">
        <f t="shared" ref="AD32" si="146">AD16/Z16-1</f>
        <v>0.12449429350361263</v>
      </c>
      <c r="AE32" s="16"/>
      <c r="AF32" s="16"/>
      <c r="AJ32" s="18">
        <f t="shared" ref="AJ32:AS32" si="147">AJ16/AI16-1</f>
        <v>0.2059123786355046</v>
      </c>
      <c r="AK32" s="18">
        <f t="shared" si="147"/>
        <v>0.18880023055170292</v>
      </c>
      <c r="AL32" s="18">
        <f t="shared" si="147"/>
        <v>0.13617975485219924</v>
      </c>
      <c r="AM32" s="18">
        <f t="shared" si="147"/>
        <v>0.20380322447292265</v>
      </c>
      <c r="AN32" s="18">
        <f t="shared" si="147"/>
        <v>0.22801090038993266</v>
      </c>
      <c r="AO32" s="18">
        <f t="shared" si="147"/>
        <v>0.23421586757475987</v>
      </c>
      <c r="AP32" s="18">
        <f t="shared" si="147"/>
        <v>0.18300089899794614</v>
      </c>
      <c r="AQ32" s="18">
        <f t="shared" si="147"/>
        <v>0.12770532012826141</v>
      </c>
      <c r="AR32" s="18">
        <f t="shared" si="147"/>
        <v>0.41150076427049154</v>
      </c>
      <c r="AS32" s="18">
        <f t="shared" si="147"/>
        <v>9.7808156437157789E-2</v>
      </c>
      <c r="AT32" s="18">
        <f t="shared" ref="AT32:BA32" si="148">AT16/AS16-1</f>
        <v>8.6827702272695095E-2</v>
      </c>
      <c r="AU32" s="18">
        <f t="shared" si="148"/>
        <v>0.13866243322901561</v>
      </c>
      <c r="AV32" s="18">
        <f t="shared" si="148"/>
        <v>0.12245364524110181</v>
      </c>
      <c r="AW32" s="18">
        <f t="shared" si="148"/>
        <v>0.10954614268241114</v>
      </c>
      <c r="AX32" s="18">
        <f t="shared" si="148"/>
        <v>0.11571432891382383</v>
      </c>
      <c r="AY32" s="18">
        <f t="shared" si="148"/>
        <v>6.7213950521828991E-2</v>
      </c>
      <c r="AZ32" s="18">
        <f t="shared" si="148"/>
        <v>6.766357642118348E-2</v>
      </c>
      <c r="BA32" s="18">
        <f t="shared" si="148"/>
        <v>5.7144093718937361E-2</v>
      </c>
      <c r="BB32" s="18">
        <f t="shared" ref="BB32" si="149">BB16/BA16-1</f>
        <v>5.7647223789677904E-2</v>
      </c>
      <c r="BC32" s="18">
        <f t="shared" ref="BC32" si="150">BC16/BB16-1</f>
        <v>5.8161189960507675E-2</v>
      </c>
      <c r="BD32" s="18">
        <f t="shared" ref="BD32" si="151">BD16/BC16-1</f>
        <v>5.8685901185120626E-2</v>
      </c>
      <c r="BE32" s="18">
        <f t="shared" ref="BE32" si="152">BE16/BD16-1</f>
        <v>5.9221233374196158E-2</v>
      </c>
      <c r="BF32" s="18">
        <f t="shared" ref="BF32" si="153">BF16/BE16-1</f>
        <v>5.9767028274616996E-2</v>
      </c>
    </row>
    <row r="33" spans="2:61" s="18" customFormat="1" ht="13" x14ac:dyDescent="0.3">
      <c r="B33" s="1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0.16</v>
      </c>
      <c r="Q33" s="16"/>
      <c r="R33" s="16">
        <v>7.0000000000000007E-2</v>
      </c>
      <c r="S33" s="16">
        <v>0.06</v>
      </c>
      <c r="T33" s="16">
        <v>0.09</v>
      </c>
      <c r="U33" s="16">
        <v>0.11</v>
      </c>
      <c r="V33" s="16">
        <v>0.13</v>
      </c>
      <c r="W33" s="16">
        <v>0.16</v>
      </c>
      <c r="X33" s="16">
        <v>0.15</v>
      </c>
      <c r="Y33" s="16">
        <v>0.16</v>
      </c>
      <c r="Z33" s="16">
        <v>0.12</v>
      </c>
      <c r="AA33" s="16"/>
      <c r="AB33" s="16"/>
      <c r="AC33" s="16"/>
      <c r="AD33" s="16"/>
      <c r="AE33" s="16"/>
      <c r="AS33" s="18">
        <v>0.14000000000000001</v>
      </c>
      <c r="AU33" s="18">
        <v>0.15</v>
      </c>
    </row>
    <row r="34" spans="2:61" s="5" customFormat="1" ht="13" x14ac:dyDescent="0.3">
      <c r="B34" s="5" t="s">
        <v>49</v>
      </c>
      <c r="C34" s="15"/>
      <c r="D34" s="15"/>
      <c r="E34" s="15"/>
      <c r="F34" s="15"/>
      <c r="G34" s="15"/>
      <c r="H34" s="15"/>
      <c r="I34" s="15"/>
      <c r="J34" s="15"/>
      <c r="K34" s="15">
        <f t="shared" ref="K34" si="154">+K14/G14-1</f>
        <v>0.30107746306423966</v>
      </c>
      <c r="L34" s="15">
        <f t="shared" ref="L34:N34" si="155">+L14/H14-1</f>
        <v>0.68136404146535945</v>
      </c>
      <c r="M34" s="15">
        <f t="shared" si="155"/>
        <v>0.43997266307236682</v>
      </c>
      <c r="N34" s="15">
        <f t="shared" si="155"/>
        <v>0.35727047613077145</v>
      </c>
      <c r="O34" s="15">
        <f>+O14/K14-1</f>
        <v>0.24276169265033398</v>
      </c>
      <c r="P34" s="15">
        <f>+P14/L14-1</f>
        <v>0.13513739712651684</v>
      </c>
      <c r="Q34" s="15">
        <f>+Q14/M14-1</f>
        <v>4.2530190370722032E-2</v>
      </c>
      <c r="R34" s="15">
        <f>+R14/N14-1</f>
        <v>-1.6096625943973542E-2</v>
      </c>
      <c r="S34" s="15">
        <f t="shared" ref="S34:V34" si="156">+S14/O14-1</f>
        <v>1.8703619566863505E-2</v>
      </c>
      <c r="T34" s="15">
        <f t="shared" si="156"/>
        <v>4.7654157143208309E-2</v>
      </c>
      <c r="U34" s="15">
        <f t="shared" si="156"/>
        <v>0.11348289031083225</v>
      </c>
      <c r="V34" s="15">
        <f t="shared" si="156"/>
        <v>0.12712421368885551</v>
      </c>
      <c r="W34" s="15">
        <f t="shared" ref="W34:X34" si="157">+W14/S14-1</f>
        <v>0.14363586808394668</v>
      </c>
      <c r="X34" s="15">
        <f t="shared" si="157"/>
        <v>0.13796096462419061</v>
      </c>
      <c r="Y34" s="15">
        <f t="shared" ref="Y34" si="158">+Y14/U14-1</f>
        <v>0.12172352700676869</v>
      </c>
      <c r="Z34" s="15">
        <f t="shared" ref="Z34" si="159">+Z14/V14-1</f>
        <v>0.12523948354852155</v>
      </c>
      <c r="AA34" s="15">
        <f t="shared" ref="AA34" si="160">+AA14/W14-1</f>
        <v>9.8492070370049367E-2</v>
      </c>
      <c r="AB34" s="15">
        <f t="shared" ref="AB34" si="161">+AB14/X14-1</f>
        <v>0.1100000000000001</v>
      </c>
      <c r="AC34" s="15">
        <f t="shared" ref="AC34" si="162">+AC14/Y14-1</f>
        <v>0.1100000000000001</v>
      </c>
      <c r="AD34" s="15">
        <f t="shared" ref="AD34" si="163">+AD14/Z14-1</f>
        <v>0.1100000000000001</v>
      </c>
      <c r="AE34" s="15"/>
      <c r="AO34" s="5">
        <f t="shared" ref="AO34:AS34" si="164">+AO14/AN14-1</f>
        <v>0.22181318130380601</v>
      </c>
      <c r="AP34" s="5">
        <f t="shared" si="164"/>
        <v>0.15028840742824978</v>
      </c>
      <c r="AQ34" s="5">
        <f t="shared" si="164"/>
        <v>6.0612546501554343E-2</v>
      </c>
      <c r="AR34" s="5">
        <f t="shared" si="164"/>
        <v>0.43136783840402826</v>
      </c>
      <c r="AS34" s="5">
        <f t="shared" si="164"/>
        <v>9.0627118985438182E-2</v>
      </c>
      <c r="AT34" s="5">
        <f>+AT14/AS14-1</f>
        <v>7.7457679285934056E-2</v>
      </c>
      <c r="AU34" s="15">
        <f t="shared" ref="AU34:BA34" si="165">+AU14/AT14-1</f>
        <v>0.13169516605440124</v>
      </c>
      <c r="AV34" s="15">
        <f>+AV14/AU14-1</f>
        <v>0.10731851133862413</v>
      </c>
      <c r="AW34" s="15">
        <f t="shared" si="165"/>
        <v>0.10000000000000009</v>
      </c>
      <c r="AX34" s="15">
        <f t="shared" si="165"/>
        <v>0.10000000000000009</v>
      </c>
      <c r="AY34" s="15">
        <f t="shared" si="165"/>
        <v>7.0000000000000062E-2</v>
      </c>
      <c r="AZ34" s="15">
        <f t="shared" si="165"/>
        <v>7.0000000000000062E-2</v>
      </c>
      <c r="BA34" s="15">
        <f t="shared" si="165"/>
        <v>5.0000000000000044E-2</v>
      </c>
      <c r="BB34" s="15">
        <f t="shared" ref="BB34" si="166">+BB14/BA14-1</f>
        <v>5.0000000000000044E-2</v>
      </c>
      <c r="BC34" s="15">
        <f t="shared" ref="BC34" si="167">+BC14/BB14-1</f>
        <v>5.0000000000000044E-2</v>
      </c>
      <c r="BD34" s="15">
        <f t="shared" ref="BD34" si="168">+BD14/BC14-1</f>
        <v>5.0000000000000044E-2</v>
      </c>
      <c r="BE34" s="15">
        <f t="shared" ref="BE34" si="169">+BE14/BD14-1</f>
        <v>5.0000000000000044E-2</v>
      </c>
      <c r="BF34" s="15">
        <f t="shared" ref="BF34" si="170">+BF14/BE14-1</f>
        <v>5.0000000000000044E-2</v>
      </c>
      <c r="BH34" s="18" t="s">
        <v>72</v>
      </c>
      <c r="BI34" s="18">
        <v>0.02</v>
      </c>
    </row>
    <row r="35" spans="2:61" s="5" customFormat="1" ht="13" x14ac:dyDescent="0.3">
      <c r="B35" s="5" t="s">
        <v>50</v>
      </c>
      <c r="C35" s="15"/>
      <c r="D35" s="15"/>
      <c r="E35" s="15"/>
      <c r="F35" s="15"/>
      <c r="G35" s="15"/>
      <c r="H35" s="15"/>
      <c r="I35" s="15"/>
      <c r="J35" s="15"/>
      <c r="K35" s="15">
        <f t="shared" ref="K35" si="171">+K13/G13-1</f>
        <v>0.48712233779098568</v>
      </c>
      <c r="L35" s="15">
        <f t="shared" ref="L35:Q35" si="172">+L13/H13-1</f>
        <v>0.83683105981112282</v>
      </c>
      <c r="M35" s="15">
        <f t="shared" si="172"/>
        <v>0.4304149295215407</v>
      </c>
      <c r="N35" s="15">
        <f t="shared" si="172"/>
        <v>0.25388525780682647</v>
      </c>
      <c r="O35" s="15">
        <f t="shared" si="172"/>
        <v>0.143880099916736</v>
      </c>
      <c r="P35" s="15">
        <f t="shared" si="172"/>
        <v>4.8271922307911996E-2</v>
      </c>
      <c r="Q35" s="15">
        <f t="shared" si="172"/>
        <v>-1.8598195697432374E-2</v>
      </c>
      <c r="R35" s="15">
        <f>+R13/N13-1</f>
        <v>-7.7609174099386058E-2</v>
      </c>
      <c r="S35" s="15">
        <f t="shared" ref="S35:V35" si="173">+S13/O13-1</f>
        <v>-2.5622361333527466E-2</v>
      </c>
      <c r="T35" s="15">
        <f t="shared" si="173"/>
        <v>4.4277929155313256E-2</v>
      </c>
      <c r="U35" s="15">
        <f t="shared" si="173"/>
        <v>0.12459340970159816</v>
      </c>
      <c r="V35" s="15">
        <f t="shared" si="173"/>
        <v>0.15534346351877426</v>
      </c>
      <c r="W35" s="15">
        <f t="shared" ref="W35:X35" si="174">+W13/S13-1</f>
        <v>0.20872553414014638</v>
      </c>
      <c r="X35" s="15">
        <f t="shared" si="174"/>
        <v>0.13020221787345077</v>
      </c>
      <c r="Y35" s="15">
        <f t="shared" ref="Y35" si="175">+Y13/U13-1</f>
        <v>0.12185613682092544</v>
      </c>
      <c r="Z35" s="15">
        <f t="shared" ref="Z35" si="176">+Z13/V13-1</f>
        <v>0.1383695652173913</v>
      </c>
      <c r="AA35" s="15">
        <f t="shared" ref="AA35" si="177">+AA13/W13-1</f>
        <v>0.10346106304079106</v>
      </c>
      <c r="AB35" s="15">
        <f t="shared" ref="AB35" si="178">+AB13/X13-1</f>
        <v>0.12000000000000011</v>
      </c>
      <c r="AC35" s="15">
        <f t="shared" ref="AC35" si="179">+AC13/Y13-1</f>
        <v>0.12000000000000011</v>
      </c>
      <c r="AD35" s="15">
        <f t="shared" ref="AD35" si="180">+AD13/Z13-1</f>
        <v>0.12000000000000011</v>
      </c>
      <c r="AE35" s="15"/>
      <c r="AO35" s="5">
        <f t="shared" ref="AO35:AR35" si="181">+AO13/AN13-1</f>
        <v>0.36871165644171788</v>
      </c>
      <c r="AP35" s="5">
        <f t="shared" si="181"/>
        <v>0.35804571940833707</v>
      </c>
      <c r="AQ35" s="5">
        <f t="shared" si="181"/>
        <v>0.30516865799722748</v>
      </c>
      <c r="AR35" s="5">
        <f t="shared" si="181"/>
        <v>0.45888124620675708</v>
      </c>
      <c r="AS35" s="5">
        <f>+AS13/AR13-1</f>
        <v>1.3797885248743258E-2</v>
      </c>
      <c r="AT35" s="5">
        <f>+AT13/AS13-1</f>
        <v>7.7522825975447018E-2</v>
      </c>
      <c r="AU35" s="15">
        <f t="shared" ref="AU35:BA35" si="182">+AU13/AT13-1</f>
        <v>0.14715963186290071</v>
      </c>
      <c r="AV35" s="15">
        <f t="shared" si="182"/>
        <v>0.11629844800398392</v>
      </c>
      <c r="AW35" s="15">
        <f t="shared" si="182"/>
        <v>5.0000000000000044E-2</v>
      </c>
      <c r="AX35" s="15">
        <f t="shared" si="182"/>
        <v>5.0000000000000044E-2</v>
      </c>
      <c r="AY35" s="15">
        <f t="shared" si="182"/>
        <v>5.0000000000000044E-2</v>
      </c>
      <c r="AZ35" s="15">
        <f t="shared" si="182"/>
        <v>5.0000000000000044E-2</v>
      </c>
      <c r="BA35" s="15">
        <f t="shared" si="182"/>
        <v>5.0000000000000044E-2</v>
      </c>
      <c r="BB35" s="15">
        <f t="shared" ref="BB35" si="183">+BB13/BA13-1</f>
        <v>5.0000000000000044E-2</v>
      </c>
      <c r="BC35" s="15">
        <f t="shared" ref="BC35" si="184">+BC13/BB13-1</f>
        <v>5.0000000000000044E-2</v>
      </c>
      <c r="BD35" s="15">
        <f t="shared" ref="BD35" si="185">+BD13/BC13-1</f>
        <v>5.0000000000000044E-2</v>
      </c>
      <c r="BE35" s="15">
        <f t="shared" ref="BE35" si="186">+BE13/BD13-1</f>
        <v>5.0000000000000044E-2</v>
      </c>
      <c r="BF35" s="15">
        <f t="shared" ref="BF35" si="187">+BF13/BE13-1</f>
        <v>5.0000000000000044E-2</v>
      </c>
      <c r="BH35" s="18" t="s">
        <v>73</v>
      </c>
      <c r="BI35" s="21">
        <v>0.08</v>
      </c>
    </row>
    <row r="36" spans="2:61" s="5" customFormat="1" x14ac:dyDescent="0.25">
      <c r="B36" s="5" t="s">
        <v>42</v>
      </c>
      <c r="C36" s="15"/>
      <c r="D36" s="15"/>
      <c r="E36" s="15"/>
      <c r="F36" s="15"/>
      <c r="G36" s="15"/>
      <c r="H36" s="15"/>
      <c r="I36" s="15"/>
      <c r="J36" s="15"/>
      <c r="K36" s="15">
        <f t="shared" ref="K36" si="188">K15/G15-1</f>
        <v>0.33980836693020566</v>
      </c>
      <c r="L36" s="15">
        <f t="shared" ref="L36" si="189">L15/H15-1</f>
        <v>0.63090508988025484</v>
      </c>
      <c r="M36" s="15">
        <f t="shared" ref="M36" si="190">M15/I15-1</f>
        <v>0.40661921875367013</v>
      </c>
      <c r="N36" s="15">
        <f t="shared" ref="N36" si="191">N15/J15-1</f>
        <v>0.31257919921320898</v>
      </c>
      <c r="O36" s="15">
        <f>O15/K15-1</f>
        <v>0.20114111532299028</v>
      </c>
      <c r="P36" s="15">
        <f t="shared" ref="P36:Q36" si="192">P15/L15-1</f>
        <v>0.10117931554138115</v>
      </c>
      <c r="Q36" s="15">
        <f t="shared" si="192"/>
        <v>2.4931534299645897E-2</v>
      </c>
      <c r="R36" s="15">
        <f>R15/N15-1</f>
        <v>-2.2507204610951015E-2</v>
      </c>
      <c r="S36" s="15">
        <f t="shared" ref="S36:V36" si="193">S15/O15-1</f>
        <v>7.9548412285268544E-3</v>
      </c>
      <c r="T36" s="15">
        <f t="shared" si="193"/>
        <v>5.4804984007256419E-2</v>
      </c>
      <c r="U36" s="15">
        <f t="shared" si="193"/>
        <v>0.1076787721785033</v>
      </c>
      <c r="V36" s="15">
        <f t="shared" si="193"/>
        <v>0.12490049824582083</v>
      </c>
      <c r="W36" s="15">
        <f t="shared" ref="W36:X36" si="194">W15/S15-1</f>
        <v>0.13616629815529113</v>
      </c>
      <c r="X36" s="15">
        <f t="shared" si="194"/>
        <v>0.11530512182243347</v>
      </c>
      <c r="Y36" s="15">
        <f t="shared" ref="Y36" si="195">Y15/U15-1</f>
        <v>0.12537875444944557</v>
      </c>
      <c r="Z36" s="15">
        <f t="shared" ref="Z36" si="196">Z15/V15-1</f>
        <v>0.10199053871656782</v>
      </c>
      <c r="AA36" s="15">
        <f t="shared" ref="AA36" si="197">AA15/W15-1</f>
        <v>9.7531179863064255E-2</v>
      </c>
      <c r="AB36" s="15">
        <f t="shared" ref="AB36" si="198">AB15/X15-1</f>
        <v>9.9842955307867243E-2</v>
      </c>
      <c r="AC36" s="15">
        <f t="shared" ref="AC36" si="199">AC15/Y15-1</f>
        <v>9.9907855182329364E-2</v>
      </c>
      <c r="AD36" s="15">
        <f t="shared" ref="AD36" si="200">AD15/Z15-1</f>
        <v>0.10040359597593174</v>
      </c>
      <c r="AE36" s="15"/>
      <c r="AO36" s="5">
        <f t="shared" ref="AO36:AS36" si="201">+AO15/AN15-1</f>
        <v>0.22568104346846218</v>
      </c>
      <c r="AP36" s="5">
        <f t="shared" si="201"/>
        <v>0.16319604057491333</v>
      </c>
      <c r="AQ36" s="5">
        <f t="shared" si="201"/>
        <v>0.11071957846204517</v>
      </c>
      <c r="AR36" s="5">
        <f t="shared" si="201"/>
        <v>0.40853915260770313</v>
      </c>
      <c r="AS36" s="5">
        <f t="shared" si="201"/>
        <v>6.7355986005919188E-2</v>
      </c>
      <c r="AT36" s="5">
        <f>+AT15/AS15-1</f>
        <v>7.5001577735003711E-2</v>
      </c>
      <c r="AU36" s="15">
        <f t="shared" ref="AU36:BA36" si="202">+AU15/AT15-1</f>
        <v>0.11883262457667221</v>
      </c>
      <c r="AV36" s="15">
        <f t="shared" si="202"/>
        <v>9.9480142983635611E-2</v>
      </c>
      <c r="AW36" s="15">
        <f t="shared" si="202"/>
        <v>7.8203622405809581E-2</v>
      </c>
      <c r="AX36" s="15">
        <f t="shared" si="202"/>
        <v>7.9066454886564053E-2</v>
      </c>
      <c r="AY36" s="15">
        <f t="shared" si="202"/>
        <v>5.9497404044856594E-2</v>
      </c>
      <c r="AZ36" s="15">
        <f t="shared" si="202"/>
        <v>5.9746748103630454E-2</v>
      </c>
      <c r="BA36" s="15">
        <f t="shared" si="202"/>
        <v>4.611582516759416E-2</v>
      </c>
      <c r="BB36" s="15">
        <f t="shared" ref="BB36" si="203">+BB15/BA15-1</f>
        <v>4.6175662406467533E-2</v>
      </c>
      <c r="BC36" s="15">
        <f t="shared" ref="BC36" si="204">+BC15/BB15-1</f>
        <v>4.6234793196892054E-2</v>
      </c>
      <c r="BD36" s="15">
        <f t="shared" ref="BD36" si="205">+BD15/BC15-1</f>
        <v>4.6293219234899707E-2</v>
      </c>
      <c r="BE36" s="15">
        <f t="shared" ref="BE36" si="206">+BE15/BD15-1</f>
        <v>4.6350942433857067E-2</v>
      </c>
      <c r="BF36" s="15">
        <f t="shared" ref="BF36" si="207">+BF15/BE15-1</f>
        <v>4.6407964918170785E-2</v>
      </c>
      <c r="BH36" s="5" t="s">
        <v>74</v>
      </c>
      <c r="BI36" s="5">
        <v>0.03</v>
      </c>
    </row>
    <row r="37" spans="2:61" s="5" customFormat="1" x14ac:dyDescent="0.25">
      <c r="B37" s="5" t="s">
        <v>264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>
        <f t="shared" ref="T37" si="208">T12/P12-1</f>
        <v>-4.9521733866085493E-2</v>
      </c>
      <c r="U37" s="15">
        <f t="shared" ref="U37" si="209">U12/Q12-1</f>
        <v>-2.5787601626016232E-2</v>
      </c>
      <c r="V37" s="15">
        <f t="shared" ref="V37" si="210">V12/R12-1</f>
        <v>-2.1002949852507391E-2</v>
      </c>
      <c r="W37" s="15">
        <f t="shared" ref="W37" si="211">W12/S12-1</f>
        <v>-1.1072572038420492E-2</v>
      </c>
      <c r="X37" s="15">
        <f t="shared" ref="X37:Z37" si="212">X12/T12-1</f>
        <v>-5.1719745222929991E-2</v>
      </c>
      <c r="Y37" s="15">
        <f t="shared" si="212"/>
        <v>-1.5777806754466051E-2</v>
      </c>
      <c r="Z37" s="15">
        <f t="shared" si="212"/>
        <v>-4.1340243461492121E-2</v>
      </c>
      <c r="AA37" s="15">
        <f>AA12/W12-1</f>
        <v>-2.1179009847565045E-2</v>
      </c>
      <c r="AB37" s="15"/>
      <c r="AC37" s="15"/>
      <c r="AD37" s="15"/>
      <c r="AE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2:61" s="5" customFormat="1" x14ac:dyDescent="0.25">
      <c r="B38" s="5" t="s">
        <v>265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>
        <f t="shared" ref="T38" si="213">T11/P11-1</f>
        <v>0.24248435830917137</v>
      </c>
      <c r="U38" s="15">
        <f t="shared" ref="U38" si="214">U11/Q11-1</f>
        <v>0.20942712110224804</v>
      </c>
      <c r="V38" s="15">
        <f t="shared" ref="V38:Y38" si="215">V11/R11-1</f>
        <v>0.22714870395634379</v>
      </c>
      <c r="W38" s="15">
        <f t="shared" si="215"/>
        <v>0.17887494941319293</v>
      </c>
      <c r="X38" s="15">
        <f t="shared" si="215"/>
        <v>0.14369933677229185</v>
      </c>
      <c r="Y38" s="15">
        <f t="shared" si="215"/>
        <v>0.2778510612783307</v>
      </c>
      <c r="Z38" s="15">
        <f>Z11/V11-1</f>
        <v>7.772836761163604E-2</v>
      </c>
      <c r="AA38" s="15">
        <f>AA11/W11-1</f>
        <v>0.18766449250486317</v>
      </c>
      <c r="AB38" s="15"/>
      <c r="AC38" s="15"/>
      <c r="AD38" s="15"/>
      <c r="AE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2:61" s="5" customFormat="1" x14ac:dyDescent="0.25">
      <c r="B39" s="5" t="s">
        <v>43</v>
      </c>
      <c r="C39" s="15"/>
      <c r="D39" s="15"/>
      <c r="E39" s="15"/>
      <c r="F39" s="15"/>
      <c r="G39" s="15"/>
      <c r="H39" s="15"/>
      <c r="I39" s="15"/>
      <c r="J39" s="15"/>
      <c r="K39" s="15">
        <f t="shared" ref="K39" si="216">K10/G10-1</f>
        <v>0.4573280518545193</v>
      </c>
      <c r="L39" s="15">
        <f t="shared" ref="L39" si="217">L10/H10-1</f>
        <v>0.53907549052211512</v>
      </c>
      <c r="M39" s="15">
        <f t="shared" ref="M39" si="218">M10/I10-1</f>
        <v>0.44889663182346107</v>
      </c>
      <c r="N39" s="15">
        <f t="shared" ref="N39" si="219">N10/J10-1</f>
        <v>0.44635865309318712</v>
      </c>
      <c r="O39" s="15">
        <f>O10/K10-1</f>
        <v>0.4383493946132937</v>
      </c>
      <c r="P39" s="15">
        <f t="shared" ref="P39:Q39" si="220">P10/L10-1</f>
        <v>0.35609334485738975</v>
      </c>
      <c r="Q39" s="15">
        <f t="shared" si="220"/>
        <v>0.37635270541082155</v>
      </c>
      <c r="R39" s="15">
        <f>R10/N10-1</f>
        <v>0.3201588160981772</v>
      </c>
      <c r="S39" s="15">
        <f t="shared" ref="S39:V39" si="221">S10/O10-1</f>
        <v>0.28053599037965982</v>
      </c>
      <c r="T39" s="15">
        <f t="shared" si="221"/>
        <v>0.2796367112810707</v>
      </c>
      <c r="U39" s="15">
        <f t="shared" si="221"/>
        <v>0.22466511357018049</v>
      </c>
      <c r="V39" s="15">
        <f t="shared" si="221"/>
        <v>0.25659603554340404</v>
      </c>
      <c r="W39" s="15">
        <f t="shared" ref="W39:X39" si="222">W10/S10-1</f>
        <v>0.28441105446740012</v>
      </c>
      <c r="X39" s="15">
        <f t="shared" si="222"/>
        <v>0.28838251774374291</v>
      </c>
      <c r="Y39" s="15">
        <f>Y10/U10-1</f>
        <v>0.34978004993460954</v>
      </c>
      <c r="Z39" s="15">
        <f t="shared" ref="Z39" si="223">Z10/V10-1</f>
        <v>0.3005874673629243</v>
      </c>
      <c r="AA39" s="15">
        <f t="shared" ref="AA39" si="224">AA10/W10-1</f>
        <v>0.28055149362857734</v>
      </c>
      <c r="AB39" s="15">
        <f t="shared" ref="AB39" si="225">AB10/X10-1</f>
        <v>0.30000000000000004</v>
      </c>
      <c r="AC39" s="15">
        <f t="shared" ref="AC39" si="226">AC10/Y10-1</f>
        <v>0.30000000000000004</v>
      </c>
      <c r="AD39" s="15">
        <f t="shared" ref="AD39" si="227">AD10/Z10-1</f>
        <v>0.30000000000000004</v>
      </c>
      <c r="AE39" s="15"/>
      <c r="AO39" s="5">
        <f t="shared" ref="AO39:AS39" si="228">+AO10/AN10-1</f>
        <v>0.43934911242603558</v>
      </c>
      <c r="AP39" s="5">
        <f t="shared" si="228"/>
        <v>0.52757793764988015</v>
      </c>
      <c r="AQ39" s="5">
        <f t="shared" si="228"/>
        <v>0.46434178066831122</v>
      </c>
      <c r="AR39" s="5">
        <f t="shared" si="228"/>
        <v>0.47070985527222597</v>
      </c>
      <c r="AS39" s="5">
        <f t="shared" si="228"/>
        <v>0.36832239925023424</v>
      </c>
      <c r="AT39" s="5">
        <f>+AT10/AS10-1</f>
        <v>0.25905631659056327</v>
      </c>
      <c r="AU39" s="15">
        <f t="shared" ref="AU39:BA39" si="229">+AU10/AT10-1</f>
        <v>0.30648573500967125</v>
      </c>
      <c r="AV39" s="15">
        <f t="shared" si="229"/>
        <v>0.29569270628513267</v>
      </c>
      <c r="AW39" s="15">
        <f t="shared" si="229"/>
        <v>0.30000000000000004</v>
      </c>
      <c r="AX39" s="15">
        <f t="shared" si="229"/>
        <v>0.30000000000000004</v>
      </c>
      <c r="AY39" s="15">
        <f t="shared" si="229"/>
        <v>0.10000000000000009</v>
      </c>
      <c r="AZ39" s="15">
        <f t="shared" si="229"/>
        <v>0.10000000000000009</v>
      </c>
      <c r="BA39" s="15">
        <f t="shared" si="229"/>
        <v>0.10000000000000009</v>
      </c>
      <c r="BB39" s="15">
        <f t="shared" ref="BB39" si="230">+BB10/BA10-1</f>
        <v>0.10000000000000009</v>
      </c>
      <c r="BC39" s="15">
        <f t="shared" ref="BC39" si="231">+BC10/BB10-1</f>
        <v>0.10000000000000009</v>
      </c>
      <c r="BD39" s="15">
        <f t="shared" ref="BD39" si="232">+BD10/BC10-1</f>
        <v>0.10000000000000009</v>
      </c>
      <c r="BE39" s="15">
        <f t="shared" ref="BE39" si="233">+BE10/BD10-1</f>
        <v>0.10000000000000009</v>
      </c>
      <c r="BF39" s="15">
        <f t="shared" ref="BF39" si="234">+BF10/BE10-1</f>
        <v>0.10000000000000009</v>
      </c>
      <c r="BH39" s="5" t="s">
        <v>75</v>
      </c>
      <c r="BI39" s="3">
        <f>NPV(BI35,AT28:DF28)+Main!L5-Main!L6</f>
        <v>3141313.6777435606</v>
      </c>
    </row>
    <row r="40" spans="2:61" s="18" customFormat="1" ht="13" x14ac:dyDescent="0.3">
      <c r="B40" s="18" t="s">
        <v>33</v>
      </c>
      <c r="C40" s="16"/>
      <c r="D40" s="16"/>
      <c r="E40" s="16"/>
      <c r="F40" s="16"/>
      <c r="G40" s="16">
        <f t="shared" ref="G40:H40" si="235">G19/G16</f>
        <v>0.53881289632887097</v>
      </c>
      <c r="H40" s="16">
        <f t="shared" si="235"/>
        <v>0.51554952085019712</v>
      </c>
      <c r="I40" s="16">
        <f t="shared" ref="I40" si="236">I19/I16</f>
        <v>0.54265479825872265</v>
      </c>
      <c r="J40" s="16">
        <f t="shared" ref="J40" si="237">J19/J16</f>
        <v>0.54163590987380927</v>
      </c>
      <c r="K40" s="16">
        <f>K19/K16</f>
        <v>0.56425136493473627</v>
      </c>
      <c r="L40" s="16">
        <f t="shared" ref="L40:O40" si="238">L19/L16</f>
        <v>0.57616354234001288</v>
      </c>
      <c r="M40" s="16">
        <f t="shared" si="238"/>
        <v>0.57583156730857832</v>
      </c>
      <c r="N40" s="16">
        <f t="shared" si="238"/>
        <v>0.56205774975107869</v>
      </c>
      <c r="O40" s="16">
        <f t="shared" si="238"/>
        <v>0.5647909896928438</v>
      </c>
      <c r="P40" s="16">
        <f t="shared" ref="P40:Q40" si="239">P19/P16</f>
        <v>0.56799885197675248</v>
      </c>
      <c r="Q40" s="16">
        <f t="shared" si="239"/>
        <v>0.54903606785156023</v>
      </c>
      <c r="R40" s="16">
        <f>R19/R16</f>
        <v>0.53526719966337055</v>
      </c>
      <c r="S40" s="16">
        <f t="shared" ref="S40:V40" si="240">S19/S16</f>
        <v>0.56135096794531936</v>
      </c>
      <c r="T40" s="16">
        <f t="shared" si="240"/>
        <v>0.5721945204010509</v>
      </c>
      <c r="U40" s="16">
        <f t="shared" si="240"/>
        <v>0.56672708069836886</v>
      </c>
      <c r="V40" s="16">
        <f t="shared" si="240"/>
        <v>0.56465067778936395</v>
      </c>
      <c r="W40" s="16">
        <f t="shared" ref="W40:AD40" si="241">W19/W16</f>
        <v>0.58142018152696207</v>
      </c>
      <c r="X40" s="16">
        <f t="shared" si="241"/>
        <v>0.58099879634655782</v>
      </c>
      <c r="Y40" s="16">
        <f t="shared" si="241"/>
        <v>0.58678116644763678</v>
      </c>
      <c r="Z40" s="16">
        <f t="shared" si="241"/>
        <v>0.5790046543449191</v>
      </c>
      <c r="AA40" s="16">
        <f t="shared" si="241"/>
        <v>0.57999999999999996</v>
      </c>
      <c r="AB40" s="16">
        <f t="shared" si="241"/>
        <v>0.57999999999999996</v>
      </c>
      <c r="AC40" s="16">
        <f t="shared" si="241"/>
        <v>0.57999999999999996</v>
      </c>
      <c r="AD40" s="16">
        <f t="shared" si="241"/>
        <v>0.57999999999999996</v>
      </c>
      <c r="AE40" s="16"/>
      <c r="AK40" s="18">
        <f t="shared" ref="AK40" si="242">AK19/AK16</f>
        <v>0.6107483219951213</v>
      </c>
      <c r="AL40" s="18">
        <f t="shared" ref="AL40" si="243">AL19/AL16</f>
        <v>0.62442491565429592</v>
      </c>
      <c r="AM40" s="18">
        <f t="shared" ref="AM40:AN40" si="244">AM19/AM16</f>
        <v>0.61075416518964909</v>
      </c>
      <c r="AN40" s="18">
        <f t="shared" si="244"/>
        <v>0.58880519597672631</v>
      </c>
      <c r="AO40" s="18">
        <f t="shared" ref="AO40:AQ40" si="245">AO19/AO16</f>
        <v>0.5647607422945643</v>
      </c>
      <c r="AP40" s="18">
        <f t="shared" si="245"/>
        <v>0.5558054331910266</v>
      </c>
      <c r="AQ40" s="18">
        <f t="shared" si="245"/>
        <v>0.53578374706207854</v>
      </c>
      <c r="AR40" s="18">
        <f>AR19/AR16</f>
        <v>0.5693980290098084</v>
      </c>
      <c r="AS40" s="18">
        <f>AS19/AS16</f>
        <v>0.55379442503783116</v>
      </c>
      <c r="AT40" s="18">
        <f t="shared" ref="AT40" si="246">AT19/AT16</f>
        <v>0.56000000000000005</v>
      </c>
      <c r="AU40" s="16">
        <f t="shared" ref="AU40:BA40" si="247">AU19/AU16</f>
        <v>0.58200435406179107</v>
      </c>
      <c r="AV40" s="16">
        <f t="shared" si="247"/>
        <v>0.58008857689459492</v>
      </c>
      <c r="AW40" s="16">
        <f t="shared" si="247"/>
        <v>0.56000000000000005</v>
      </c>
      <c r="AX40" s="16">
        <f t="shared" si="247"/>
        <v>0.56000000000000005</v>
      </c>
      <c r="AY40" s="16">
        <f t="shared" si="247"/>
        <v>0.56000000000000005</v>
      </c>
      <c r="AZ40" s="16">
        <f t="shared" si="247"/>
        <v>0.56000000000000005</v>
      </c>
      <c r="BA40" s="16">
        <f t="shared" si="247"/>
        <v>0.56000000000000005</v>
      </c>
      <c r="BB40" s="16">
        <f t="shared" ref="BB40:BF40" si="248">BB19/BB16</f>
        <v>0.56000000000000005</v>
      </c>
      <c r="BC40" s="16">
        <f t="shared" si="248"/>
        <v>0.56000000000000005</v>
      </c>
      <c r="BD40" s="16">
        <f t="shared" si="248"/>
        <v>0.56000000000000005</v>
      </c>
      <c r="BE40" s="16">
        <f t="shared" si="248"/>
        <v>0.56000000000000005</v>
      </c>
      <c r="BF40" s="16">
        <f t="shared" si="248"/>
        <v>0.56000000000000005</v>
      </c>
      <c r="BH40" s="5" t="s">
        <v>76</v>
      </c>
      <c r="BI40" s="1">
        <f>+BI39/Main!L3</f>
        <v>254.39858096400718</v>
      </c>
    </row>
    <row r="41" spans="2:61" s="5" customFormat="1" x14ac:dyDescent="0.25">
      <c r="B41" s="5" t="s">
        <v>70</v>
      </c>
      <c r="C41" s="15"/>
      <c r="D41" s="15"/>
      <c r="E41" s="15"/>
      <c r="F41" s="15"/>
      <c r="G41" s="15">
        <f t="shared" ref="G41" si="249">+G27/G26</f>
        <v>0.11873146835116669</v>
      </c>
      <c r="H41" s="15">
        <f>+H27/H26</f>
        <v>0.15923643832306392</v>
      </c>
      <c r="I41" s="15">
        <f t="shared" ref="I41:Q41" si="250">+I27/I26</f>
        <v>0.15809566584325174</v>
      </c>
      <c r="J41" s="15">
        <f t="shared" si="250"/>
        <v>0.18524265610787094</v>
      </c>
      <c r="K41" s="15">
        <f t="shared" si="250"/>
        <v>0.15754357938260583</v>
      </c>
      <c r="L41" s="15">
        <f t="shared" si="250"/>
        <v>0.16</v>
      </c>
      <c r="M41" s="15">
        <f t="shared" si="250"/>
        <v>0.17898022892819979</v>
      </c>
      <c r="N41" s="15">
        <f t="shared" si="250"/>
        <v>0.15408573067781328</v>
      </c>
      <c r="O41" s="15">
        <f t="shared" si="250"/>
        <v>0.13193197422625963</v>
      </c>
      <c r="P41" s="15">
        <f t="shared" si="250"/>
        <v>0.15840959293152415</v>
      </c>
      <c r="Q41" s="15">
        <f t="shared" si="250"/>
        <v>0.14310355448777182</v>
      </c>
      <c r="R41" s="15">
        <f>+R27/R26</f>
        <v>0.20545868081880211</v>
      </c>
      <c r="S41" s="15">
        <f t="shared" ref="S41:V41" si="251">+S27/S26</f>
        <v>0.17324910738808019</v>
      </c>
      <c r="T41" s="15">
        <f t="shared" si="251"/>
        <v>0.16139341642697347</v>
      </c>
      <c r="U41" s="15">
        <f t="shared" si="251"/>
        <v>7.1142142756050381E-2</v>
      </c>
      <c r="V41" s="15">
        <f t="shared" si="251"/>
        <v>0.15559082745081659</v>
      </c>
      <c r="W41" s="15">
        <f t="shared" ref="W41:X41" si="252">+W27/W26</f>
        <v>0.17846732126419146</v>
      </c>
      <c r="X41" s="15">
        <f t="shared" si="252"/>
        <v>0.14271714275343908</v>
      </c>
      <c r="Y41" s="15">
        <f t="shared" ref="Y41:Z41" si="253">+Y27/Y26</f>
        <v>0.18950948423968303</v>
      </c>
      <c r="Z41" s="15">
        <f t="shared" si="253"/>
        <v>0.17663262147941813</v>
      </c>
      <c r="AA41" s="15">
        <f t="shared" ref="AA41:AD41" si="254">+AA27/AA26</f>
        <v>0.24154822784105739</v>
      </c>
      <c r="AB41" s="15">
        <f t="shared" si="254"/>
        <v>0.18</v>
      </c>
      <c r="AC41" s="15">
        <f t="shared" si="254"/>
        <v>0.18</v>
      </c>
      <c r="AD41" s="15">
        <f t="shared" si="254"/>
        <v>0.18</v>
      </c>
      <c r="AE41" s="15"/>
      <c r="AK41" s="15">
        <f t="shared" ref="AK41" si="255">+AK27/AK26</f>
        <v>0.21084651486181122</v>
      </c>
      <c r="AL41" s="15">
        <f t="shared" ref="AL41" si="256">+AL27/AL26</f>
        <v>0.16808304920869166</v>
      </c>
      <c r="AM41" s="15">
        <f t="shared" ref="AM41:AN41" si="257">+AM27/AM26</f>
        <v>0.19345755693581781</v>
      </c>
      <c r="AN41" s="15">
        <f t="shared" si="257"/>
        <v>0.48551572053860803</v>
      </c>
      <c r="AO41" s="15">
        <f t="shared" ref="AO41:AQ41" si="258">+AO27/AO26</f>
        <v>0.10446678671468587</v>
      </c>
      <c r="AP41" s="15">
        <f t="shared" si="258"/>
        <v>0.12782537147282319</v>
      </c>
      <c r="AQ41" s="15">
        <f t="shared" si="258"/>
        <v>0.16249324071378063</v>
      </c>
      <c r="AR41" s="15">
        <f t="shared" ref="AR41:AT41" si="259">+AR27/AR26</f>
        <v>0.16202305640663919</v>
      </c>
      <c r="AS41" s="15">
        <f>+AS27/AS26</f>
        <v>0.1592081650964558</v>
      </c>
      <c r="AT41" s="15">
        <f t="shared" si="259"/>
        <v>0.18</v>
      </c>
      <c r="AU41" s="15">
        <f t="shared" ref="AU41:BA41" si="260">+AU27/AU26</f>
        <v>0.17209533961242071</v>
      </c>
      <c r="AV41" s="15">
        <f t="shared" si="260"/>
        <v>0.19381584740049776</v>
      </c>
      <c r="AW41" s="15">
        <f t="shared" si="260"/>
        <v>0.18</v>
      </c>
      <c r="AX41" s="15">
        <f t="shared" si="260"/>
        <v>0.18</v>
      </c>
      <c r="AY41" s="15">
        <f t="shared" si="260"/>
        <v>0.18</v>
      </c>
      <c r="AZ41" s="15">
        <f t="shared" si="260"/>
        <v>0.18</v>
      </c>
      <c r="BA41" s="15">
        <f t="shared" si="260"/>
        <v>0.18</v>
      </c>
      <c r="BB41" s="15">
        <f t="shared" ref="BB41:BF41" si="261">+BB27/BB26</f>
        <v>0.18</v>
      </c>
      <c r="BC41" s="15">
        <f t="shared" si="261"/>
        <v>0.18</v>
      </c>
      <c r="BD41" s="15">
        <f t="shared" si="261"/>
        <v>0.18</v>
      </c>
      <c r="BE41" s="15">
        <f t="shared" si="261"/>
        <v>0.18</v>
      </c>
      <c r="BF41" s="15">
        <f t="shared" si="261"/>
        <v>0.18</v>
      </c>
      <c r="BH41" s="5" t="s">
        <v>229</v>
      </c>
      <c r="BI41" s="1">
        <v>171</v>
      </c>
    </row>
    <row r="42" spans="2:61" s="5" customFormat="1" ht="13" x14ac:dyDescent="0.3">
      <c r="B42" s="5" t="s">
        <v>47</v>
      </c>
      <c r="C42" s="15"/>
      <c r="D42" s="15"/>
      <c r="E42" s="15"/>
      <c r="F42" s="15"/>
      <c r="G42" s="15">
        <f t="shared" ref="G42:H42" si="262">G14/G16</f>
        <v>0.5953011492018756</v>
      </c>
      <c r="H42" s="15">
        <f t="shared" si="262"/>
        <v>0.55667545760764547</v>
      </c>
      <c r="I42" s="15">
        <f t="shared" ref="I42" si="263">I14/I16</f>
        <v>0.57041994239057459</v>
      </c>
      <c r="J42" s="15">
        <f>J14/J16</f>
        <v>0.56070512144539353</v>
      </c>
      <c r="K42" s="15">
        <f t="shared" ref="K42:O42" si="264">K14/K16</f>
        <v>0.57632787359438842</v>
      </c>
      <c r="L42" s="15">
        <f t="shared" si="264"/>
        <v>0.57926632191338079</v>
      </c>
      <c r="M42" s="15">
        <f t="shared" si="264"/>
        <v>0.58241960748180222</v>
      </c>
      <c r="N42" s="15">
        <f t="shared" si="264"/>
        <v>0.5748556256223033</v>
      </c>
      <c r="O42" s="15">
        <f t="shared" si="264"/>
        <v>0.58252341532987306</v>
      </c>
      <c r="P42" s="15">
        <f t="shared" ref="P42:Q42" si="265">P14/P16</f>
        <v>0.58389897395422252</v>
      </c>
      <c r="Q42" s="15">
        <f t="shared" si="265"/>
        <v>0.57226596422161757</v>
      </c>
      <c r="R42" s="15">
        <f>R14/R16</f>
        <v>0.56022512097622557</v>
      </c>
      <c r="S42" s="15">
        <f t="shared" ref="S42:V42" si="266">S14/S16</f>
        <v>0.57831687850172664</v>
      </c>
      <c r="T42" s="15">
        <f t="shared" si="266"/>
        <v>0.57139027397994746</v>
      </c>
      <c r="U42" s="15">
        <f t="shared" si="266"/>
        <v>0.574054998500515</v>
      </c>
      <c r="V42" s="15">
        <f t="shared" si="266"/>
        <v>0.55636658556366581</v>
      </c>
      <c r="W42" s="15">
        <f t="shared" ref="W42:X42" si="267">W14/W16</f>
        <v>0.57308881411490087</v>
      </c>
      <c r="X42" s="15">
        <f t="shared" si="267"/>
        <v>0.57243161596374881</v>
      </c>
      <c r="Y42" s="15">
        <f t="shared" ref="Y42:Z42" si="268">Y14/Y16</f>
        <v>0.55948928263923503</v>
      </c>
      <c r="Z42" s="15">
        <f t="shared" si="268"/>
        <v>0.5601177580362604</v>
      </c>
      <c r="AA42" s="15">
        <f t="shared" ref="AA42:AD42" si="269">AA14/AA16</f>
        <v>0.56314281271519651</v>
      </c>
      <c r="AB42" s="15">
        <f t="shared" si="269"/>
        <v>0.56604284728067589</v>
      </c>
      <c r="AC42" s="15">
        <f t="shared" si="269"/>
        <v>0.55203303899211342</v>
      </c>
      <c r="AD42" s="15">
        <f t="shared" si="269"/>
        <v>0.55289805827569694</v>
      </c>
      <c r="AE42" s="15"/>
      <c r="AQ42" s="15">
        <f t="shared" ref="AQ42:AT42" si="270">AQ14/AQ16</f>
        <v>0.57011839344316184</v>
      </c>
      <c r="AR42" s="15">
        <f t="shared" si="270"/>
        <v>0.57814289096674776</v>
      </c>
      <c r="AS42" s="15">
        <f t="shared" si="270"/>
        <v>0.57436111386103605</v>
      </c>
      <c r="AT42" s="15">
        <f t="shared" si="270"/>
        <v>0.56940929230889348</v>
      </c>
      <c r="AU42" s="15">
        <f t="shared" ref="AU42:BA42" si="271">AU14/AU16</f>
        <v>0.56592518099069189</v>
      </c>
      <c r="AV42" s="15">
        <f t="shared" si="271"/>
        <v>0.55829426150515871</v>
      </c>
      <c r="AW42" s="15">
        <f t="shared" si="271"/>
        <v>0.55349089508885541</v>
      </c>
      <c r="AX42" s="15">
        <f t="shared" si="271"/>
        <v>0.54569522755028355</v>
      </c>
      <c r="AY42" s="15">
        <f t="shared" si="271"/>
        <v>0.54711980966262708</v>
      </c>
      <c r="AZ42" s="15">
        <f t="shared" si="271"/>
        <v>0.54831710031856407</v>
      </c>
      <c r="BA42" s="15">
        <f t="shared" si="271"/>
        <v>0.54461161799534419</v>
      </c>
      <c r="BB42" s="15">
        <f t="shared" ref="BB42:BF42" si="272">BB14/BB16</f>
        <v>0.54067385233247411</v>
      </c>
      <c r="BC42" s="15">
        <f t="shared" si="272"/>
        <v>0.53650384302063236</v>
      </c>
      <c r="BD42" s="15">
        <f t="shared" si="272"/>
        <v>0.53210214147657842</v>
      </c>
      <c r="BE42" s="15">
        <f t="shared" si="272"/>
        <v>0.52746983439014017</v>
      </c>
      <c r="BF42" s="15">
        <f t="shared" si="272"/>
        <v>0.52260856521583532</v>
      </c>
      <c r="BH42" s="18" t="s">
        <v>230</v>
      </c>
      <c r="BI42" s="18">
        <f>+BI40/BI41-1</f>
        <v>0.48771099978951571</v>
      </c>
    </row>
    <row r="43" spans="2:61" s="5" customFormat="1" x14ac:dyDescent="0.25">
      <c r="B43" s="5" t="s">
        <v>104</v>
      </c>
      <c r="C43" s="15"/>
      <c r="D43" s="15"/>
      <c r="E43" s="15"/>
      <c r="F43" s="15"/>
      <c r="G43" s="15">
        <f t="shared" ref="G43:J43" si="273">(G14+G13+G12)/G16</f>
        <v>0.82030661580699238</v>
      </c>
      <c r="H43" s="15">
        <f t="shared" si="273"/>
        <v>0.7798783194506097</v>
      </c>
      <c r="I43" s="15">
        <f t="shared" si="273"/>
        <v>0.80339159248911707</v>
      </c>
      <c r="J43" s="15">
        <f t="shared" si="273"/>
        <v>0.81196175612499566</v>
      </c>
      <c r="K43" s="15">
        <f t="shared" ref="K43:Q43" si="274">(K14+K13+K12)/K16</f>
        <v>0.80782442058068482</v>
      </c>
      <c r="L43" s="15">
        <f t="shared" si="274"/>
        <v>0.81519069166127989</v>
      </c>
      <c r="M43" s="15">
        <f t="shared" si="274"/>
        <v>0.81590343683774069</v>
      </c>
      <c r="N43" s="15">
        <f t="shared" si="274"/>
        <v>0.81299701294390969</v>
      </c>
      <c r="O43" s="15">
        <f t="shared" si="274"/>
        <v>0.80370822366970052</v>
      </c>
      <c r="P43" s="15">
        <f t="shared" si="274"/>
        <v>0.80774915692042759</v>
      </c>
      <c r="Q43" s="15">
        <f t="shared" si="274"/>
        <v>0.78854281248190816</v>
      </c>
      <c r="R43" s="15">
        <f>(R14+R13+R12)/R16</f>
        <v>0.77637807700399752</v>
      </c>
      <c r="S43" s="15">
        <f t="shared" ref="S43:V43" si="275">(S14+S13+S12)/S16</f>
        <v>0.78163554816799685</v>
      </c>
      <c r="T43" s="15">
        <f t="shared" si="275"/>
        <v>0.779354994370275</v>
      </c>
      <c r="U43" s="15">
        <f t="shared" si="275"/>
        <v>0.77773721200109525</v>
      </c>
      <c r="V43" s="15">
        <f t="shared" si="275"/>
        <v>0.75908932916232186</v>
      </c>
      <c r="W43" s="15">
        <f t="shared" ref="W43:X43" si="276">(W14+W13+W12)/W16</f>
        <v>0.76557940873365704</v>
      </c>
      <c r="X43" s="15">
        <f t="shared" si="276"/>
        <v>0.76250265511788728</v>
      </c>
      <c r="Y43" s="15">
        <f t="shared" ref="Y43:Z43" si="277">(Y14+Y13+Y12)/Y16</f>
        <v>0.74606879050165409</v>
      </c>
      <c r="Z43" s="15">
        <f t="shared" si="277"/>
        <v>0.75113248815681721</v>
      </c>
      <c r="AA43" s="15">
        <f t="shared" ref="AA43:AD43" si="278">(AA14+AA13+AA12)/AA16</f>
        <v>0.74288602083657285</v>
      </c>
      <c r="AB43" s="15">
        <f t="shared" si="278"/>
        <v>0.7470777750059947</v>
      </c>
      <c r="AC43" s="15">
        <f t="shared" si="278"/>
        <v>0.72942326274145686</v>
      </c>
      <c r="AD43" s="15">
        <f t="shared" si="278"/>
        <v>0.73508381911163501</v>
      </c>
      <c r="AE43" s="15"/>
      <c r="AK43" s="15">
        <f t="shared" ref="AK43:BA43" si="279">(AK14+AK13+AK12)/AK16</f>
        <v>0</v>
      </c>
      <c r="AL43" s="15"/>
      <c r="AM43" s="15"/>
      <c r="AN43" s="15">
        <f t="shared" si="279"/>
        <v>0.86218032565062463</v>
      </c>
      <c r="AO43" s="15">
        <f t="shared" si="279"/>
        <v>0.85120487651568866</v>
      </c>
      <c r="AP43" s="15">
        <f t="shared" si="279"/>
        <v>0.83290188252593333</v>
      </c>
      <c r="AQ43" s="15">
        <f t="shared" si="279"/>
        <v>0.80494392610408327</v>
      </c>
      <c r="AR43" s="15">
        <f t="shared" si="279"/>
        <v>0.81314795623299452</v>
      </c>
      <c r="AS43" s="15">
        <f t="shared" si="279"/>
        <v>0.79365073752987592</v>
      </c>
      <c r="AT43" s="15">
        <f t="shared" si="279"/>
        <v>0.7737789286713469</v>
      </c>
      <c r="AU43" s="15">
        <f t="shared" si="279"/>
        <v>0.75593255204018084</v>
      </c>
      <c r="AV43" s="15">
        <f t="shared" si="279"/>
        <v>0.73845737432936731</v>
      </c>
      <c r="AW43" s="15">
        <f t="shared" si="279"/>
        <v>0.72258896987329135</v>
      </c>
      <c r="AX43" s="15">
        <f t="shared" si="279"/>
        <v>0.703544674029288</v>
      </c>
      <c r="AY43" s="15">
        <f t="shared" si="279"/>
        <v>0.70117918089576636</v>
      </c>
      <c r="AZ43" s="15">
        <f t="shared" si="279"/>
        <v>0.69862758077877318</v>
      </c>
      <c r="BA43" s="15">
        <f t="shared" si="279"/>
        <v>0.69273701663081599</v>
      </c>
      <c r="BB43" s="15">
        <f t="shared" ref="BB43:BF43" si="280">(BB14+BB13+BB12)/BB16</f>
        <v>0.68658951342033647</v>
      </c>
      <c r="BC43" s="15">
        <f t="shared" si="280"/>
        <v>0.68018568809295088</v>
      </c>
      <c r="BD43" s="15">
        <f t="shared" si="280"/>
        <v>0.67352676962328484</v>
      </c>
      <c r="BE43" s="15">
        <f t="shared" si="280"/>
        <v>0.66661462501870195</v>
      </c>
      <c r="BF43" s="15">
        <f t="shared" si="280"/>
        <v>0.65945178270340066</v>
      </c>
    </row>
    <row r="45" spans="2:61" x14ac:dyDescent="0.25">
      <c r="B45" s="3" t="s">
        <v>71</v>
      </c>
      <c r="G45" s="11">
        <f>+G46-G64</f>
        <v>124580</v>
      </c>
      <c r="N45" s="11">
        <f t="shared" ref="N45:O45" si="281">+N46-N64</f>
        <v>154381</v>
      </c>
      <c r="O45" s="11">
        <f t="shared" si="281"/>
        <v>149723</v>
      </c>
      <c r="P45" s="11">
        <f t="shared" ref="P45:Y45" si="282">+P46-P64</f>
        <v>140928</v>
      </c>
      <c r="Q45" s="11">
        <f t="shared" si="282"/>
        <v>132025</v>
      </c>
      <c r="R45" s="11">
        <f t="shared" si="282"/>
        <v>129553</v>
      </c>
      <c r="S45" s="11">
        <f t="shared" si="282"/>
        <v>132618</v>
      </c>
      <c r="T45" s="11">
        <f t="shared" si="282"/>
        <v>135851</v>
      </c>
      <c r="U45" s="11">
        <f t="shared" si="282"/>
        <v>137061</v>
      </c>
      <c r="V45" s="11">
        <f t="shared" si="282"/>
        <v>128671</v>
      </c>
      <c r="W45" s="11">
        <f t="shared" si="282"/>
        <v>128856</v>
      </c>
      <c r="X45" s="11">
        <f t="shared" si="282"/>
        <v>121659</v>
      </c>
      <c r="Y45" s="11">
        <f t="shared" si="282"/>
        <v>117110</v>
      </c>
      <c r="Z45" s="11">
        <f>+Z46-Z64</f>
        <v>122756</v>
      </c>
      <c r="AA45" s="11">
        <f>+Z45+AA28</f>
        <v>145517.57</v>
      </c>
      <c r="AB45" s="11">
        <f>+AA45+AB28</f>
        <v>172084.067924</v>
      </c>
      <c r="AC45" s="11">
        <f>+AB45+AC28</f>
        <v>199273.49918400001</v>
      </c>
      <c r="AD45" s="11">
        <f>+AC45+AD28</f>
        <v>230538.07148800002</v>
      </c>
      <c r="AE45" s="11"/>
      <c r="AM45" s="3">
        <v>72053</v>
      </c>
      <c r="AS45" s="11">
        <f>+AS46-AS64</f>
        <v>129553</v>
      </c>
      <c r="AT45" s="11">
        <f>+AT46-AT64</f>
        <v>128671</v>
      </c>
      <c r="AU45" s="11">
        <f>+AU46-AU64</f>
        <v>122756</v>
      </c>
      <c r="AV45" s="3">
        <f>+AU45+AV28</f>
        <v>230538.07148799999</v>
      </c>
      <c r="AW45" s="3">
        <f>+AV45+AW28</f>
        <v>354006.81378916488</v>
      </c>
      <c r="AX45" s="3">
        <f t="shared" ref="AX45:BA45" si="283">+AW45+AX28</f>
        <v>499557.01324425521</v>
      </c>
      <c r="AY45" s="3">
        <f t="shared" si="283"/>
        <v>659374.32686700672</v>
      </c>
      <c r="AZ45" s="3">
        <f t="shared" si="283"/>
        <v>836526.01086663734</v>
      </c>
      <c r="BA45" s="3">
        <f t="shared" si="283"/>
        <v>1029771.0494095322</v>
      </c>
      <c r="BB45" s="3">
        <f t="shared" ref="BB45" si="284">+BA45+BB28</f>
        <v>1240387.4743815167</v>
      </c>
      <c r="BC45" s="3">
        <f t="shared" ref="BC45" si="285">+BB45+BC28</f>
        <v>1469756.1396090614</v>
      </c>
      <c r="BD45" s="3">
        <f t="shared" ref="BD45" si="286">+BC45+BD28</f>
        <v>1719369.4785791477</v>
      </c>
      <c r="BE45" s="3">
        <f t="shared" ref="BE45" si="287">+BD45+BE28</f>
        <v>1990841.0528754673</v>
      </c>
      <c r="BF45" s="3">
        <f t="shared" ref="BF45" si="288">+BE45+BF28</f>
        <v>2285915.9658707865</v>
      </c>
    </row>
    <row r="46" spans="2:61" s="3" customFormat="1" x14ac:dyDescent="0.25">
      <c r="B46" s="3" t="s">
        <v>3</v>
      </c>
      <c r="C46" s="11"/>
      <c r="D46" s="11"/>
      <c r="E46" s="11"/>
      <c r="F46" s="11"/>
      <c r="G46" s="11">
        <f>117229+12367</f>
        <v>129596</v>
      </c>
      <c r="H46" s="11"/>
      <c r="I46" s="11"/>
      <c r="J46" s="11"/>
      <c r="K46" s="11"/>
      <c r="L46" s="11"/>
      <c r="M46" s="11"/>
      <c r="N46" s="11">
        <f>20945+118704+29549</f>
        <v>169198</v>
      </c>
      <c r="O46" s="11">
        <f>20886+113084+30544</f>
        <v>164514</v>
      </c>
      <c r="P46" s="11">
        <f>124997+30665</f>
        <v>155662</v>
      </c>
      <c r="Q46" s="11">
        <f>21984+94275+30419</f>
        <v>146678</v>
      </c>
      <c r="R46" s="11">
        <f>113762+30492</f>
        <v>144254</v>
      </c>
      <c r="S46" s="11">
        <f>115102+31213</f>
        <v>146315</v>
      </c>
      <c r="T46" s="11">
        <f>25929+92403+31224</f>
        <v>149556</v>
      </c>
      <c r="U46" s="11">
        <f>119935+30907</f>
        <v>150842</v>
      </c>
      <c r="V46" s="11">
        <f>110916+31008</f>
        <v>141924</v>
      </c>
      <c r="W46" s="11">
        <f>108090+33994</f>
        <v>142084</v>
      </c>
      <c r="X46" s="11">
        <f>100725+34172</f>
        <v>134897</v>
      </c>
      <c r="Y46" s="11">
        <f>93230+36177</f>
        <v>129407</v>
      </c>
      <c r="Z46" s="11">
        <f>23466+72191+37982</f>
        <v>133639</v>
      </c>
      <c r="AA46" s="11"/>
      <c r="AB46" s="11"/>
      <c r="AC46" s="11"/>
      <c r="AD46" s="11"/>
      <c r="AE46" s="11"/>
      <c r="AS46" s="3">
        <f>R46</f>
        <v>144254</v>
      </c>
      <c r="AT46" s="3">
        <f>+V46</f>
        <v>141924</v>
      </c>
      <c r="AU46" s="3">
        <f t="shared" ref="AU46:AU55" si="289">Z46</f>
        <v>133639</v>
      </c>
    </row>
    <row r="47" spans="2:61" s="3" customFormat="1" x14ac:dyDescent="0.25">
      <c r="B47" s="3" t="s">
        <v>53</v>
      </c>
      <c r="C47" s="11"/>
      <c r="D47" s="11"/>
      <c r="E47" s="11"/>
      <c r="F47" s="11"/>
      <c r="G47" s="11">
        <v>21825</v>
      </c>
      <c r="H47" s="11"/>
      <c r="I47" s="11"/>
      <c r="J47" s="11"/>
      <c r="K47" s="11"/>
      <c r="L47" s="11"/>
      <c r="M47" s="11"/>
      <c r="N47" s="11">
        <v>39304</v>
      </c>
      <c r="O47" s="11">
        <v>34703</v>
      </c>
      <c r="P47" s="11">
        <v>35707</v>
      </c>
      <c r="Q47" s="11">
        <v>34697</v>
      </c>
      <c r="R47" s="11">
        <v>40258</v>
      </c>
      <c r="S47" s="11">
        <v>36036</v>
      </c>
      <c r="T47" s="11">
        <v>38804</v>
      </c>
      <c r="U47" s="11">
        <v>41020</v>
      </c>
      <c r="V47" s="11">
        <v>47964</v>
      </c>
      <c r="W47" s="11">
        <v>44552</v>
      </c>
      <c r="X47" s="11">
        <v>47087</v>
      </c>
      <c r="Y47" s="11">
        <v>49104</v>
      </c>
      <c r="Z47" s="11">
        <v>52340</v>
      </c>
      <c r="AA47" s="11"/>
      <c r="AB47" s="11"/>
      <c r="AC47" s="11"/>
      <c r="AD47" s="11"/>
      <c r="AE47" s="11"/>
      <c r="AS47" s="3">
        <f t="shared" ref="AS47:AS55" si="290">R47</f>
        <v>40258</v>
      </c>
      <c r="AT47" s="3">
        <f t="shared" ref="AT47:AT55" si="291">+V47</f>
        <v>47964</v>
      </c>
      <c r="AU47" s="3">
        <f t="shared" si="289"/>
        <v>52340</v>
      </c>
    </row>
    <row r="48" spans="2:61" s="3" customFormat="1" x14ac:dyDescent="0.25">
      <c r="B48" s="3" t="s">
        <v>30</v>
      </c>
      <c r="C48" s="11"/>
      <c r="D48" s="11"/>
      <c r="E48" s="11"/>
      <c r="F48" s="11"/>
      <c r="G48" s="11">
        <v>1910</v>
      </c>
      <c r="H48" s="11"/>
      <c r="I48" s="11"/>
      <c r="J48" s="11"/>
      <c r="K48" s="11"/>
      <c r="L48" s="11"/>
      <c r="M48" s="11"/>
      <c r="N48" s="11">
        <v>966</v>
      </c>
      <c r="O48" s="11">
        <v>919</v>
      </c>
      <c r="P48" s="11">
        <v>1366</v>
      </c>
      <c r="Q48" s="11">
        <v>1479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/>
      <c r="AB48" s="11"/>
      <c r="AC48" s="11"/>
      <c r="AD48" s="11"/>
      <c r="AE48" s="11"/>
      <c r="AS48" s="3">
        <f t="shared" si="290"/>
        <v>0</v>
      </c>
      <c r="AT48" s="3">
        <f t="shared" si="291"/>
        <v>0</v>
      </c>
      <c r="AU48" s="3">
        <f t="shared" si="289"/>
        <v>0</v>
      </c>
    </row>
    <row r="49" spans="2:47" s="3" customFormat="1" x14ac:dyDescent="0.25">
      <c r="B49" s="3" t="s">
        <v>54</v>
      </c>
      <c r="C49" s="11"/>
      <c r="D49" s="11"/>
      <c r="E49" s="11"/>
      <c r="F49" s="11"/>
      <c r="G49" s="11">
        <v>889</v>
      </c>
      <c r="H49" s="11"/>
      <c r="I49" s="11"/>
      <c r="J49" s="11"/>
      <c r="K49" s="11"/>
      <c r="L49" s="11"/>
      <c r="M49" s="11"/>
      <c r="N49" s="11">
        <v>1170</v>
      </c>
      <c r="O49" s="11">
        <v>1369</v>
      </c>
      <c r="P49" s="11">
        <v>1980</v>
      </c>
      <c r="Q49" s="11">
        <v>3156</v>
      </c>
      <c r="R49" s="11">
        <v>2670</v>
      </c>
      <c r="S49" s="11">
        <v>2315</v>
      </c>
      <c r="T49" s="11">
        <v>2231</v>
      </c>
      <c r="U49" s="11">
        <v>2957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/>
      <c r="AB49" s="11"/>
      <c r="AC49" s="11"/>
      <c r="AD49" s="11"/>
      <c r="AE49" s="11"/>
      <c r="AS49" s="3">
        <f t="shared" si="290"/>
        <v>2670</v>
      </c>
      <c r="AT49" s="3">
        <f t="shared" si="291"/>
        <v>0</v>
      </c>
      <c r="AU49" s="3">
        <f t="shared" si="289"/>
        <v>0</v>
      </c>
    </row>
    <row r="50" spans="2:47" s="3" customFormat="1" x14ac:dyDescent="0.25">
      <c r="B50" s="3" t="s">
        <v>55</v>
      </c>
      <c r="C50" s="11"/>
      <c r="D50" s="11"/>
      <c r="E50" s="11"/>
      <c r="F50" s="11"/>
      <c r="G50" s="11">
        <v>5165</v>
      </c>
      <c r="H50" s="11"/>
      <c r="I50" s="11"/>
      <c r="J50" s="11"/>
      <c r="K50" s="11"/>
      <c r="L50" s="11"/>
      <c r="M50" s="11"/>
      <c r="N50" s="11">
        <v>7054</v>
      </c>
      <c r="O50" s="11">
        <v>6892</v>
      </c>
      <c r="P50" s="11">
        <v>8321</v>
      </c>
      <c r="Q50" s="11">
        <v>10518</v>
      </c>
      <c r="R50" s="11">
        <v>8105</v>
      </c>
      <c r="S50" s="11">
        <v>8532</v>
      </c>
      <c r="T50" s="11">
        <v>9421</v>
      </c>
      <c r="U50" s="11">
        <v>12398</v>
      </c>
      <c r="V50" s="11">
        <v>12650</v>
      </c>
      <c r="W50" s="11">
        <v>12829</v>
      </c>
      <c r="X50" s="11">
        <v>14183</v>
      </c>
      <c r="Y50" s="11">
        <v>15207</v>
      </c>
      <c r="Z50" s="11">
        <v>15714</v>
      </c>
      <c r="AA50" s="11"/>
      <c r="AB50" s="11"/>
      <c r="AC50" s="11"/>
      <c r="AD50" s="11"/>
      <c r="AE50" s="11"/>
      <c r="AS50" s="3">
        <f t="shared" si="290"/>
        <v>8105</v>
      </c>
      <c r="AT50" s="3">
        <f t="shared" si="291"/>
        <v>12650</v>
      </c>
      <c r="AU50" s="3">
        <f t="shared" si="289"/>
        <v>15714</v>
      </c>
    </row>
    <row r="51" spans="2:47" x14ac:dyDescent="0.25">
      <c r="B51" s="3" t="s">
        <v>56</v>
      </c>
      <c r="G51" s="11">
        <v>730</v>
      </c>
      <c r="N51" s="11">
        <v>1284</v>
      </c>
      <c r="O51" s="2">
        <v>1388</v>
      </c>
      <c r="P51" s="11">
        <v>1490</v>
      </c>
      <c r="Q51" s="11">
        <v>2991</v>
      </c>
      <c r="R51" s="11">
        <v>5261</v>
      </c>
      <c r="S51" s="11">
        <v>6885</v>
      </c>
      <c r="T51" s="11">
        <v>9357</v>
      </c>
      <c r="U51" s="11">
        <v>10983</v>
      </c>
      <c r="V51" s="11">
        <v>12169</v>
      </c>
      <c r="W51" s="11">
        <v>11687</v>
      </c>
      <c r="X51" s="11">
        <v>14958</v>
      </c>
      <c r="Y51" s="11">
        <v>15915</v>
      </c>
      <c r="Z51" s="11">
        <v>17180</v>
      </c>
      <c r="AA51" s="11"/>
      <c r="AB51" s="11"/>
      <c r="AC51" s="11"/>
      <c r="AD51" s="11"/>
      <c r="AE51" s="11"/>
      <c r="AS51" s="3">
        <f t="shared" si="290"/>
        <v>5261</v>
      </c>
      <c r="AT51" s="3">
        <f t="shared" si="291"/>
        <v>12169</v>
      </c>
      <c r="AU51" s="3">
        <f t="shared" si="289"/>
        <v>17180</v>
      </c>
    </row>
    <row r="52" spans="2:47" x14ac:dyDescent="0.25">
      <c r="B52" s="3" t="s">
        <v>57</v>
      </c>
      <c r="G52" s="11">
        <v>76747</v>
      </c>
      <c r="N52" s="11">
        <v>97599</v>
      </c>
      <c r="O52" s="11">
        <v>104218</v>
      </c>
      <c r="P52" s="11">
        <v>106223</v>
      </c>
      <c r="Q52" s="11">
        <v>108363</v>
      </c>
      <c r="R52" s="11">
        <v>112668</v>
      </c>
      <c r="S52" s="11">
        <v>117560</v>
      </c>
      <c r="T52" s="11">
        <v>121208</v>
      </c>
      <c r="U52" s="11">
        <v>125705</v>
      </c>
      <c r="V52" s="11">
        <v>134345</v>
      </c>
      <c r="W52" s="11">
        <v>143182</v>
      </c>
      <c r="X52" s="11">
        <v>151155</v>
      </c>
      <c r="Y52" s="11">
        <v>161270</v>
      </c>
      <c r="Z52" s="11">
        <v>171036</v>
      </c>
      <c r="AA52" s="11"/>
      <c r="AB52" s="11"/>
      <c r="AC52" s="11"/>
      <c r="AD52" s="11"/>
      <c r="AE52" s="11"/>
      <c r="AS52" s="3">
        <f t="shared" si="290"/>
        <v>112668</v>
      </c>
      <c r="AT52" s="3">
        <f t="shared" si="291"/>
        <v>134345</v>
      </c>
      <c r="AU52" s="3">
        <f t="shared" si="289"/>
        <v>171036</v>
      </c>
    </row>
    <row r="53" spans="2:47" x14ac:dyDescent="0.25">
      <c r="B53" s="3" t="s">
        <v>58</v>
      </c>
      <c r="G53" s="11">
        <v>11219</v>
      </c>
      <c r="N53" s="11">
        <v>12959</v>
      </c>
      <c r="O53" s="11">
        <v>12992</v>
      </c>
      <c r="P53" s="11">
        <v>13398</v>
      </c>
      <c r="Q53" s="11">
        <v>13677</v>
      </c>
      <c r="R53" s="11">
        <v>14381</v>
      </c>
      <c r="S53" s="11">
        <v>14447</v>
      </c>
      <c r="T53" s="11">
        <v>14469</v>
      </c>
      <c r="U53" s="11">
        <v>14199</v>
      </c>
      <c r="V53" s="11">
        <v>14091</v>
      </c>
      <c r="W53" s="11">
        <v>13768</v>
      </c>
      <c r="X53" s="11">
        <v>13606</v>
      </c>
      <c r="Y53" s="11">
        <v>13561</v>
      </c>
      <c r="Z53" s="11">
        <v>13588</v>
      </c>
      <c r="AA53" s="11"/>
      <c r="AB53" s="11"/>
      <c r="AC53" s="11"/>
      <c r="AD53" s="11"/>
      <c r="AE53" s="11"/>
      <c r="AS53" s="3">
        <f t="shared" si="290"/>
        <v>14381</v>
      </c>
      <c r="AT53" s="3">
        <f t="shared" si="291"/>
        <v>14091</v>
      </c>
      <c r="AU53" s="3">
        <f t="shared" si="289"/>
        <v>13588</v>
      </c>
    </row>
    <row r="54" spans="2:47" x14ac:dyDescent="0.25">
      <c r="B54" s="3" t="s">
        <v>61</v>
      </c>
      <c r="G54" s="11">
        <f>1840+20734</f>
        <v>22574</v>
      </c>
      <c r="N54" s="11">
        <f>1417+22956</f>
        <v>24373</v>
      </c>
      <c r="O54" s="11">
        <f>1313+23010</f>
        <v>24323</v>
      </c>
      <c r="P54" s="11">
        <f>1377+23949</f>
        <v>25326</v>
      </c>
      <c r="Q54" s="11">
        <f>28834+2192</f>
        <v>31026</v>
      </c>
      <c r="R54" s="11">
        <f>2084+28960</f>
        <v>31044</v>
      </c>
      <c r="S54" s="11">
        <f>1968+28994</f>
        <v>30962</v>
      </c>
      <c r="T54" s="11">
        <f>29210+1966</f>
        <v>31176</v>
      </c>
      <c r="U54" s="11">
        <f>1833+29146</f>
        <v>30979</v>
      </c>
      <c r="V54" s="11">
        <v>29198</v>
      </c>
      <c r="W54" s="11">
        <v>29183</v>
      </c>
      <c r="X54" s="11">
        <v>29185</v>
      </c>
      <c r="Y54" s="11">
        <v>31935</v>
      </c>
      <c r="Z54" s="11">
        <v>31885</v>
      </c>
      <c r="AA54" s="11"/>
      <c r="AB54" s="11"/>
      <c r="AC54" s="11"/>
      <c r="AD54" s="11"/>
      <c r="AE54" s="11"/>
      <c r="AS54" s="3">
        <f t="shared" si="290"/>
        <v>31044</v>
      </c>
      <c r="AT54" s="3">
        <f t="shared" si="291"/>
        <v>29198</v>
      </c>
      <c r="AU54" s="3">
        <f t="shared" si="289"/>
        <v>31885</v>
      </c>
    </row>
    <row r="55" spans="2:47" x14ac:dyDescent="0.25">
      <c r="B55" s="3" t="s">
        <v>60</v>
      </c>
      <c r="G55" s="11">
        <v>2748</v>
      </c>
      <c r="N55" s="11">
        <v>5361</v>
      </c>
      <c r="O55" s="11">
        <v>5778</v>
      </c>
      <c r="P55" s="11">
        <v>5712</v>
      </c>
      <c r="Q55" s="11">
        <v>5670</v>
      </c>
      <c r="R55" s="11">
        <v>6623</v>
      </c>
      <c r="S55" s="11">
        <v>6439</v>
      </c>
      <c r="T55" s="11">
        <v>6822</v>
      </c>
      <c r="U55" s="11">
        <v>7628</v>
      </c>
      <c r="V55" s="11">
        <v>10051</v>
      </c>
      <c r="W55" s="11">
        <v>10065</v>
      </c>
      <c r="X55" s="11">
        <v>9699</v>
      </c>
      <c r="Y55" s="11">
        <v>13867</v>
      </c>
      <c r="Z55" s="11">
        <v>14874</v>
      </c>
      <c r="AA55" s="11"/>
      <c r="AB55" s="11"/>
      <c r="AC55" s="11"/>
      <c r="AD55" s="11"/>
      <c r="AE55" s="11"/>
      <c r="AS55" s="3">
        <f t="shared" si="290"/>
        <v>6623</v>
      </c>
      <c r="AT55" s="3">
        <f t="shared" si="291"/>
        <v>10051</v>
      </c>
      <c r="AU55" s="3">
        <f t="shared" si="289"/>
        <v>14874</v>
      </c>
    </row>
    <row r="56" spans="2:47" x14ac:dyDescent="0.25">
      <c r="B56" s="3" t="s">
        <v>59</v>
      </c>
      <c r="G56" s="11">
        <f>SUM(G46:G55)</f>
        <v>273403</v>
      </c>
      <c r="N56" s="11">
        <f t="shared" ref="N56:Z56" si="292">SUM(N46:N55)</f>
        <v>359268</v>
      </c>
      <c r="O56" s="11">
        <f t="shared" si="292"/>
        <v>357096</v>
      </c>
      <c r="P56" s="11">
        <f t="shared" si="292"/>
        <v>355185</v>
      </c>
      <c r="Q56" s="11">
        <f t="shared" si="292"/>
        <v>358255</v>
      </c>
      <c r="R56" s="11">
        <f t="shared" si="292"/>
        <v>365264</v>
      </c>
      <c r="S56" s="11">
        <f t="shared" si="292"/>
        <v>369491</v>
      </c>
      <c r="T56" s="11">
        <f t="shared" si="292"/>
        <v>383044</v>
      </c>
      <c r="U56" s="11">
        <f t="shared" si="292"/>
        <v>396711</v>
      </c>
      <c r="V56" s="11">
        <f t="shared" si="292"/>
        <v>402392</v>
      </c>
      <c r="W56" s="11">
        <f t="shared" si="292"/>
        <v>407350</v>
      </c>
      <c r="X56" s="11">
        <f t="shared" si="292"/>
        <v>414770</v>
      </c>
      <c r="Y56" s="11">
        <f t="shared" si="292"/>
        <v>430266</v>
      </c>
      <c r="Z56" s="11">
        <f t="shared" si="292"/>
        <v>450256</v>
      </c>
      <c r="AA56" s="11"/>
      <c r="AB56" s="11"/>
      <c r="AC56" s="11"/>
      <c r="AD56" s="11"/>
      <c r="AE56" s="11"/>
      <c r="AS56" s="3">
        <f>SUM(AS46:AS55)</f>
        <v>365264</v>
      </c>
      <c r="AT56" s="3">
        <f>SUM(AT46:AT55)</f>
        <v>402392</v>
      </c>
      <c r="AU56" s="3">
        <f>SUM(AU46:AU55)</f>
        <v>450256</v>
      </c>
    </row>
    <row r="57" spans="2:47" x14ac:dyDescent="0.25">
      <c r="B57" s="3"/>
      <c r="G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2:47" x14ac:dyDescent="0.25">
      <c r="B58" s="3" t="s">
        <v>62</v>
      </c>
      <c r="G58" s="11">
        <v>4099</v>
      </c>
      <c r="N58" s="11">
        <v>6037</v>
      </c>
      <c r="O58" s="11">
        <v>3436</v>
      </c>
      <c r="P58" s="11">
        <v>4409</v>
      </c>
      <c r="Q58" s="11">
        <v>6303</v>
      </c>
      <c r="R58" s="11">
        <v>5128</v>
      </c>
      <c r="S58" s="11">
        <v>4184</v>
      </c>
      <c r="T58" s="11">
        <v>5313</v>
      </c>
      <c r="U58" s="11">
        <v>5803</v>
      </c>
      <c r="V58" s="11">
        <v>7493</v>
      </c>
      <c r="W58" s="11">
        <v>6198</v>
      </c>
      <c r="X58" s="11">
        <v>6092</v>
      </c>
      <c r="Y58" s="11">
        <v>7049</v>
      </c>
      <c r="Z58" s="11">
        <v>7987</v>
      </c>
      <c r="AA58" s="11"/>
      <c r="AB58" s="11"/>
      <c r="AC58" s="11"/>
      <c r="AD58" s="11"/>
      <c r="AE58" s="11"/>
      <c r="AS58" s="3">
        <f t="shared" ref="AS58:AS67" si="293">R58</f>
        <v>5128</v>
      </c>
      <c r="AT58" s="3">
        <f t="shared" ref="AT58:AT67" si="294">+V58</f>
        <v>7493</v>
      </c>
      <c r="AU58" s="3">
        <f>Z58</f>
        <v>7987</v>
      </c>
    </row>
    <row r="59" spans="2:47" x14ac:dyDescent="0.25">
      <c r="B59" s="3" t="s">
        <v>63</v>
      </c>
      <c r="G59" s="11">
        <v>5656</v>
      </c>
      <c r="N59" s="11">
        <v>13889</v>
      </c>
      <c r="O59" s="11">
        <v>9803</v>
      </c>
      <c r="P59" s="11">
        <v>10852</v>
      </c>
      <c r="Q59" s="11">
        <v>12366</v>
      </c>
      <c r="R59" s="11">
        <v>14028</v>
      </c>
      <c r="S59" s="11">
        <v>9954</v>
      </c>
      <c r="T59" s="11">
        <v>11260</v>
      </c>
      <c r="U59" s="11">
        <v>12562</v>
      </c>
      <c r="V59" s="11">
        <v>15140</v>
      </c>
      <c r="W59" s="11">
        <v>9703</v>
      </c>
      <c r="X59" s="11">
        <v>11373</v>
      </c>
      <c r="Y59" s="11">
        <v>12908</v>
      </c>
      <c r="Z59" s="11">
        <v>15069</v>
      </c>
      <c r="AA59" s="11"/>
      <c r="AB59" s="11"/>
      <c r="AC59" s="11"/>
      <c r="AD59" s="11"/>
      <c r="AE59" s="11"/>
      <c r="AS59" s="3">
        <f t="shared" si="293"/>
        <v>14028</v>
      </c>
      <c r="AT59" s="3">
        <f t="shared" si="294"/>
        <v>15140</v>
      </c>
      <c r="AU59" s="3">
        <f t="shared" ref="AU59:AU67" si="295">Z59</f>
        <v>15069</v>
      </c>
    </row>
    <row r="60" spans="2:47" x14ac:dyDescent="0.25">
      <c r="B60" s="3" t="s">
        <v>64</v>
      </c>
      <c r="G60" s="11">
        <v>22601</v>
      </c>
      <c r="N60" s="11">
        <v>31236</v>
      </c>
      <c r="O60" s="11">
        <v>33051</v>
      </c>
      <c r="P60" s="11">
        <v>32976</v>
      </c>
      <c r="Q60" s="11">
        <v>35038</v>
      </c>
      <c r="R60" s="11">
        <v>37866</v>
      </c>
      <c r="S60" s="11">
        <v>43185</v>
      </c>
      <c r="T60" s="11">
        <v>49300</v>
      </c>
      <c r="U60" s="11">
        <v>55602</v>
      </c>
      <c r="V60" s="11">
        <v>46168</v>
      </c>
      <c r="W60" s="11">
        <v>48603</v>
      </c>
      <c r="X60" s="11">
        <v>47298</v>
      </c>
      <c r="Y60" s="11">
        <v>46585</v>
      </c>
      <c r="Z60" s="11">
        <v>51228</v>
      </c>
      <c r="AA60" s="11"/>
      <c r="AB60" s="11"/>
      <c r="AC60" s="11"/>
      <c r="AD60" s="11"/>
      <c r="AE60" s="11"/>
      <c r="AS60" s="3">
        <f t="shared" si="293"/>
        <v>37866</v>
      </c>
      <c r="AT60" s="3">
        <f t="shared" si="294"/>
        <v>46168</v>
      </c>
      <c r="AU60" s="3">
        <f t="shared" si="295"/>
        <v>51228</v>
      </c>
    </row>
    <row r="61" spans="2:47" x14ac:dyDescent="0.25">
      <c r="B61" s="3" t="s">
        <v>65</v>
      </c>
      <c r="G61" s="11">
        <v>4982</v>
      </c>
      <c r="N61" s="11">
        <v>8996</v>
      </c>
      <c r="O61" s="11">
        <v>8116</v>
      </c>
      <c r="P61" s="11">
        <v>7889</v>
      </c>
      <c r="Q61" s="11">
        <v>7662</v>
      </c>
      <c r="R61" s="11">
        <v>8370</v>
      </c>
      <c r="S61" s="11">
        <v>7816</v>
      </c>
      <c r="T61" s="11">
        <v>7990</v>
      </c>
      <c r="U61" s="11">
        <v>8025</v>
      </c>
      <c r="V61" s="11">
        <v>8876</v>
      </c>
      <c r="W61" s="11">
        <v>8520</v>
      </c>
      <c r="X61" s="11">
        <v>8899</v>
      </c>
      <c r="Y61" s="11">
        <v>9365</v>
      </c>
      <c r="Z61" s="11">
        <v>9802</v>
      </c>
      <c r="AA61" s="11"/>
      <c r="AB61" s="11"/>
      <c r="AC61" s="11"/>
      <c r="AD61" s="11"/>
      <c r="AE61" s="11"/>
      <c r="AS61" s="3">
        <f t="shared" si="293"/>
        <v>8370</v>
      </c>
      <c r="AT61" s="3">
        <f t="shared" si="294"/>
        <v>8876</v>
      </c>
      <c r="AU61" s="3">
        <f t="shared" si="295"/>
        <v>9802</v>
      </c>
    </row>
    <row r="62" spans="2:47" x14ac:dyDescent="0.25">
      <c r="B62" s="3" t="s">
        <v>66</v>
      </c>
      <c r="G62" s="11">
        <f>1938+350</f>
        <v>2288</v>
      </c>
      <c r="N62" s="11">
        <f>3288+535</f>
        <v>3823</v>
      </c>
      <c r="O62" s="11">
        <f>3198+499</f>
        <v>3697</v>
      </c>
      <c r="P62" s="11">
        <f>3272+472</f>
        <v>3744</v>
      </c>
      <c r="Q62" s="11">
        <f>3585+594</f>
        <v>4179</v>
      </c>
      <c r="R62" s="11">
        <f>3908+599</f>
        <v>4507</v>
      </c>
      <c r="S62" s="11">
        <f>3715+610</f>
        <v>4325</v>
      </c>
      <c r="T62" s="11">
        <f>3846+667</f>
        <v>4513</v>
      </c>
      <c r="U62" s="11">
        <f>4303+884</f>
        <v>5187</v>
      </c>
      <c r="V62" s="11">
        <f>911+4137</f>
        <v>5048</v>
      </c>
      <c r="W62" s="11">
        <f>3973+921</f>
        <v>4894</v>
      </c>
      <c r="X62" s="11">
        <f>4251+985</f>
        <v>5236</v>
      </c>
      <c r="Y62" s="11">
        <f>4896+1015</f>
        <v>5911</v>
      </c>
      <c r="Z62" s="11">
        <v>5036</v>
      </c>
      <c r="AA62" s="11"/>
      <c r="AB62" s="11"/>
      <c r="AC62" s="11"/>
      <c r="AD62" s="11"/>
      <c r="AE62" s="11"/>
      <c r="AS62" s="3">
        <f t="shared" si="293"/>
        <v>4507</v>
      </c>
      <c r="AT62" s="3">
        <f t="shared" si="294"/>
        <v>5048</v>
      </c>
      <c r="AU62" s="3">
        <f t="shared" si="295"/>
        <v>5036</v>
      </c>
    </row>
    <row r="63" spans="2:47" x14ac:dyDescent="0.25">
      <c r="B63" s="3" t="s">
        <v>30</v>
      </c>
      <c r="G63" s="11">
        <f>9207+913+2079</f>
        <v>12199</v>
      </c>
      <c r="N63" s="11">
        <f>808+9176+5257</f>
        <v>15241</v>
      </c>
      <c r="O63" s="11">
        <f>4344+9406+2843</f>
        <v>16593</v>
      </c>
      <c r="P63" s="11">
        <f>1956+8163+924</f>
        <v>11043</v>
      </c>
      <c r="Q63" s="11">
        <f>1025+8572+476</f>
        <v>10073</v>
      </c>
      <c r="R63" s="11">
        <f>9258+514</f>
        <v>9772</v>
      </c>
      <c r="S63" s="11">
        <f>9722+542</f>
        <v>10264</v>
      </c>
      <c r="T63" s="11">
        <f>8753+558</f>
        <v>9311</v>
      </c>
      <c r="U63" s="11">
        <f>8038+528</f>
        <v>8566</v>
      </c>
      <c r="V63" s="11">
        <f>8474+485</f>
        <v>8959</v>
      </c>
      <c r="W63" s="11">
        <f>9234+486</f>
        <v>9720</v>
      </c>
      <c r="X63" s="11">
        <f>7703+717</f>
        <v>8420</v>
      </c>
      <c r="Y63" s="11">
        <f>8219+706</f>
        <v>8925</v>
      </c>
      <c r="Z63" s="11">
        <v>8782</v>
      </c>
      <c r="AA63" s="11"/>
      <c r="AB63" s="11"/>
      <c r="AC63" s="11"/>
      <c r="AD63" s="11"/>
      <c r="AE63" s="11"/>
      <c r="AS63" s="3">
        <f t="shared" si="293"/>
        <v>9772</v>
      </c>
      <c r="AT63" s="3">
        <f t="shared" si="294"/>
        <v>8959</v>
      </c>
      <c r="AU63" s="3">
        <f t="shared" si="295"/>
        <v>8782</v>
      </c>
    </row>
    <row r="64" spans="2:47" x14ac:dyDescent="0.25">
      <c r="B64" s="3" t="s">
        <v>4</v>
      </c>
      <c r="G64" s="11">
        <v>5016</v>
      </c>
      <c r="N64" s="11">
        <v>14817</v>
      </c>
      <c r="O64" s="11">
        <v>14791</v>
      </c>
      <c r="P64" s="11">
        <v>14734</v>
      </c>
      <c r="Q64" s="11">
        <v>14653</v>
      </c>
      <c r="R64" s="11">
        <v>14701</v>
      </c>
      <c r="S64" s="11">
        <v>13697</v>
      </c>
      <c r="T64" s="11">
        <v>13705</v>
      </c>
      <c r="U64" s="11">
        <v>13781</v>
      </c>
      <c r="V64" s="11">
        <f>13253</f>
        <v>13253</v>
      </c>
      <c r="W64" s="11">
        <v>13228</v>
      </c>
      <c r="X64" s="11">
        <v>13238</v>
      </c>
      <c r="Y64" s="11">
        <v>12297</v>
      </c>
      <c r="Z64" s="11">
        <v>10883</v>
      </c>
      <c r="AA64" s="11"/>
      <c r="AB64" s="11"/>
      <c r="AC64" s="11"/>
      <c r="AD64" s="11"/>
      <c r="AE64" s="11"/>
      <c r="AS64" s="3">
        <f t="shared" si="293"/>
        <v>14701</v>
      </c>
      <c r="AT64" s="3">
        <f t="shared" si="294"/>
        <v>13253</v>
      </c>
      <c r="AU64" s="3">
        <f t="shared" si="295"/>
        <v>10883</v>
      </c>
    </row>
    <row r="65" spans="2:47" x14ac:dyDescent="0.25">
      <c r="B65" s="3" t="s">
        <v>58</v>
      </c>
      <c r="G65" s="11">
        <v>10476</v>
      </c>
      <c r="N65" s="11">
        <v>11389</v>
      </c>
      <c r="O65" s="11">
        <v>11363</v>
      </c>
      <c r="P65" s="11">
        <v>11697</v>
      </c>
      <c r="Q65" s="11">
        <v>11984</v>
      </c>
      <c r="R65" s="11">
        <v>12501</v>
      </c>
      <c r="S65" s="11">
        <v>12799</v>
      </c>
      <c r="T65" s="11">
        <v>12746</v>
      </c>
      <c r="U65" s="11">
        <v>12550</v>
      </c>
      <c r="V65" s="11">
        <v>12460</v>
      </c>
      <c r="W65" s="11">
        <v>11957</v>
      </c>
      <c r="X65" s="11">
        <v>11708</v>
      </c>
      <c r="Y65" s="11">
        <v>11654</v>
      </c>
      <c r="Z65" s="11">
        <v>11691</v>
      </c>
      <c r="AA65" s="11"/>
      <c r="AB65" s="11"/>
      <c r="AC65" s="11"/>
      <c r="AD65" s="11"/>
      <c r="AE65" s="11"/>
      <c r="AS65" s="3">
        <f t="shared" si="293"/>
        <v>12501</v>
      </c>
      <c r="AT65" s="3">
        <f t="shared" si="294"/>
        <v>12460</v>
      </c>
      <c r="AU65" s="3">
        <f t="shared" si="295"/>
        <v>11691</v>
      </c>
    </row>
    <row r="66" spans="2:47" x14ac:dyDescent="0.25">
      <c r="B66" s="3" t="s">
        <v>69</v>
      </c>
      <c r="G66" s="11">
        <v>2427</v>
      </c>
      <c r="N66" s="11">
        <v>2205</v>
      </c>
      <c r="O66" s="11">
        <v>2242</v>
      </c>
      <c r="P66" s="11">
        <v>2422</v>
      </c>
      <c r="Q66" s="11">
        <v>2371</v>
      </c>
      <c r="R66" s="11">
        <v>2247</v>
      </c>
      <c r="S66" s="11">
        <v>2373</v>
      </c>
      <c r="T66" s="11">
        <v>1765</v>
      </c>
      <c r="U66" s="11">
        <v>1433</v>
      </c>
      <c r="V66" s="11">
        <v>1616</v>
      </c>
      <c r="W66" s="11">
        <v>1683</v>
      </c>
      <c r="X66" s="11">
        <v>1753</v>
      </c>
      <c r="Y66" s="11">
        <v>1453</v>
      </c>
      <c r="Z66" s="11">
        <v>4694</v>
      </c>
      <c r="AA66" s="11"/>
      <c r="AB66" s="11"/>
      <c r="AC66" s="11"/>
      <c r="AD66" s="11"/>
      <c r="AE66" s="11"/>
      <c r="AS66" s="3">
        <f t="shared" si="293"/>
        <v>2247</v>
      </c>
      <c r="AT66" s="3">
        <f t="shared" si="294"/>
        <v>1616</v>
      </c>
      <c r="AU66" s="3">
        <f t="shared" si="295"/>
        <v>4694</v>
      </c>
    </row>
    <row r="67" spans="2:47" x14ac:dyDescent="0.25">
      <c r="B67" s="3" t="s">
        <v>68</v>
      </c>
      <c r="G67" s="11">
        <v>203659</v>
      </c>
      <c r="N67" s="11">
        <v>251635</v>
      </c>
      <c r="O67" s="11">
        <v>254004</v>
      </c>
      <c r="P67" s="11">
        <v>255419</v>
      </c>
      <c r="Q67" s="11">
        <v>253626</v>
      </c>
      <c r="R67" s="11">
        <v>256144</v>
      </c>
      <c r="S67" s="11">
        <v>260894</v>
      </c>
      <c r="T67" s="11">
        <v>267141</v>
      </c>
      <c r="U67" s="11">
        <v>273202</v>
      </c>
      <c r="V67" s="11">
        <v>283379</v>
      </c>
      <c r="W67" s="11">
        <v>292844</v>
      </c>
      <c r="X67" s="11">
        <v>300753</v>
      </c>
      <c r="Y67" s="11">
        <v>314119</v>
      </c>
      <c r="Z67" s="11">
        <v>325084</v>
      </c>
      <c r="AA67" s="11"/>
      <c r="AB67" s="11"/>
      <c r="AC67" s="11"/>
      <c r="AD67" s="11"/>
      <c r="AE67" s="11"/>
      <c r="AS67" s="3">
        <f t="shared" si="293"/>
        <v>256144</v>
      </c>
      <c r="AT67" s="3">
        <f t="shared" si="294"/>
        <v>283379</v>
      </c>
      <c r="AU67" s="3">
        <f t="shared" si="295"/>
        <v>325084</v>
      </c>
    </row>
    <row r="68" spans="2:47" x14ac:dyDescent="0.25">
      <c r="B68" s="3" t="s">
        <v>67</v>
      </c>
      <c r="G68" s="11">
        <f>SUM(G58:G67)</f>
        <v>273403</v>
      </c>
      <c r="N68" s="11">
        <f t="shared" ref="N68:Z68" si="296">SUM(N58:N67)</f>
        <v>359268</v>
      </c>
      <c r="O68" s="11">
        <f t="shared" si="296"/>
        <v>357096</v>
      </c>
      <c r="P68" s="11">
        <f t="shared" si="296"/>
        <v>355185</v>
      </c>
      <c r="Q68" s="11">
        <f t="shared" si="296"/>
        <v>358255</v>
      </c>
      <c r="R68" s="11">
        <f t="shared" si="296"/>
        <v>365264</v>
      </c>
      <c r="S68" s="11">
        <f t="shared" si="296"/>
        <v>369491</v>
      </c>
      <c r="T68" s="11">
        <f t="shared" si="296"/>
        <v>383044</v>
      </c>
      <c r="U68" s="11">
        <f t="shared" si="296"/>
        <v>396711</v>
      </c>
      <c r="V68" s="11">
        <f t="shared" si="296"/>
        <v>402392</v>
      </c>
      <c r="W68" s="11">
        <f t="shared" si="296"/>
        <v>407350</v>
      </c>
      <c r="X68" s="11">
        <f t="shared" si="296"/>
        <v>414770</v>
      </c>
      <c r="Y68" s="11">
        <f t="shared" si="296"/>
        <v>430266</v>
      </c>
      <c r="Z68" s="11">
        <f t="shared" si="296"/>
        <v>450256</v>
      </c>
      <c r="AA68" s="11"/>
      <c r="AB68" s="11"/>
      <c r="AC68" s="11"/>
      <c r="AD68" s="11"/>
      <c r="AE68" s="11"/>
      <c r="AS68" s="3">
        <f>SUM(AS58:AS67)</f>
        <v>365264</v>
      </c>
      <c r="AT68" s="3">
        <f>SUM(AT58:AT67)</f>
        <v>402392</v>
      </c>
      <c r="AU68" s="3">
        <f>SUM(AU58:AU67)</f>
        <v>450256</v>
      </c>
    </row>
    <row r="70" spans="2:47" s="3" customFormat="1" x14ac:dyDescent="0.25">
      <c r="B70" s="3" t="s">
        <v>82</v>
      </c>
      <c r="C70" s="11">
        <f>+C28</f>
        <v>8354</v>
      </c>
      <c r="D70" s="11"/>
      <c r="E70" s="11"/>
      <c r="F70" s="11"/>
      <c r="G70" s="11">
        <f>+G28</f>
        <v>6836</v>
      </c>
      <c r="H70" s="11">
        <f t="shared" ref="H70:Z70" si="297">+H28</f>
        <v>6959</v>
      </c>
      <c r="I70" s="11">
        <f t="shared" si="297"/>
        <v>11247</v>
      </c>
      <c r="J70" s="11">
        <f t="shared" si="297"/>
        <v>15227</v>
      </c>
      <c r="K70" s="11">
        <f t="shared" si="297"/>
        <v>17930</v>
      </c>
      <c r="L70" s="11">
        <f t="shared" si="297"/>
        <v>18165</v>
      </c>
      <c r="M70" s="11">
        <f t="shared" si="297"/>
        <v>18936</v>
      </c>
      <c r="N70" s="11">
        <f t="shared" si="297"/>
        <v>20642</v>
      </c>
      <c r="O70" s="11">
        <f t="shared" si="297"/>
        <v>16436</v>
      </c>
      <c r="P70" s="11">
        <f t="shared" si="297"/>
        <v>16002</v>
      </c>
      <c r="Q70" s="11">
        <f t="shared" si="297"/>
        <v>13910</v>
      </c>
      <c r="R70" s="11">
        <f t="shared" si="297"/>
        <v>13624</v>
      </c>
      <c r="S70" s="11">
        <f t="shared" si="297"/>
        <v>15051</v>
      </c>
      <c r="T70" s="11">
        <f t="shared" si="297"/>
        <v>18368</v>
      </c>
      <c r="U70" s="11">
        <f t="shared" si="297"/>
        <v>19689</v>
      </c>
      <c r="V70" s="11">
        <f t="shared" si="297"/>
        <v>20216</v>
      </c>
      <c r="W70" s="11">
        <f t="shared" si="297"/>
        <v>21419</v>
      </c>
      <c r="X70" s="11">
        <f t="shared" si="297"/>
        <v>23619</v>
      </c>
      <c r="Y70" s="11">
        <f t="shared" si="297"/>
        <v>23116</v>
      </c>
      <c r="Z70" s="11">
        <f t="shared" si="297"/>
        <v>26603</v>
      </c>
      <c r="AA70" s="11"/>
      <c r="AB70" s="11"/>
      <c r="AC70" s="11"/>
      <c r="AD70" s="11"/>
      <c r="AE70" s="11"/>
      <c r="AS70" s="3">
        <f>SUM(O70:R70)</f>
        <v>59972</v>
      </c>
      <c r="AT70" s="3">
        <f>SUM(S70:V70)</f>
        <v>73324</v>
      </c>
      <c r="AU70" s="3">
        <f>SUM(W70:Z70)</f>
        <v>94757</v>
      </c>
    </row>
    <row r="71" spans="2:47" s="3" customFormat="1" x14ac:dyDescent="0.25">
      <c r="B71" s="3" t="s">
        <v>83</v>
      </c>
      <c r="C71" s="11">
        <v>6657</v>
      </c>
      <c r="D71" s="11"/>
      <c r="E71" s="11"/>
      <c r="F71" s="11"/>
      <c r="G71" s="11">
        <v>6836</v>
      </c>
      <c r="H71" s="11"/>
      <c r="I71" s="11"/>
      <c r="J71" s="11"/>
      <c r="K71" s="11">
        <v>17930</v>
      </c>
      <c r="L71" s="11"/>
      <c r="M71" s="11"/>
      <c r="N71" s="11"/>
      <c r="O71" s="11">
        <v>16436</v>
      </c>
      <c r="P71" s="11">
        <v>16002</v>
      </c>
      <c r="Q71" s="11">
        <v>13910</v>
      </c>
      <c r="R71" s="11">
        <v>13624</v>
      </c>
      <c r="S71" s="11">
        <v>15051</v>
      </c>
      <c r="T71" s="11">
        <v>18368</v>
      </c>
      <c r="U71" s="11">
        <v>19689</v>
      </c>
      <c r="V71" s="11">
        <v>20687</v>
      </c>
      <c r="W71" s="11">
        <v>23662</v>
      </c>
      <c r="X71" s="11">
        <f>47281-W71</f>
        <v>23619</v>
      </c>
      <c r="Y71" s="11">
        <f>73582-X71-W71</f>
        <v>26301</v>
      </c>
      <c r="Z71" s="11">
        <f>100118-Y71-X71-W71</f>
        <v>26536</v>
      </c>
      <c r="AA71" s="11"/>
      <c r="AB71" s="11"/>
      <c r="AC71" s="11"/>
      <c r="AD71" s="11"/>
      <c r="AE71" s="11"/>
      <c r="AS71" s="3">
        <f t="shared" ref="AS71:AS78" si="298">SUM(O71:R71)</f>
        <v>59972</v>
      </c>
      <c r="AT71" s="3">
        <f t="shared" ref="AT71:AT78" si="299">SUM(S71:V71)</f>
        <v>73795</v>
      </c>
      <c r="AU71" s="3">
        <f>SUM(W71:Z71)</f>
        <v>100118</v>
      </c>
    </row>
    <row r="72" spans="2:47" s="3" customFormat="1" x14ac:dyDescent="0.25">
      <c r="B72" s="3" t="s">
        <v>84</v>
      </c>
      <c r="C72" s="11">
        <v>2416</v>
      </c>
      <c r="D72" s="11"/>
      <c r="E72" s="11"/>
      <c r="F72" s="11"/>
      <c r="G72" s="11">
        <v>2899</v>
      </c>
      <c r="H72" s="11"/>
      <c r="I72" s="11"/>
      <c r="J72" s="11"/>
      <c r="K72" s="11">
        <v>2525</v>
      </c>
      <c r="L72" s="11"/>
      <c r="M72" s="11"/>
      <c r="N72" s="11"/>
      <c r="O72" s="11">
        <v>3591</v>
      </c>
      <c r="P72" s="11">
        <v>3698</v>
      </c>
      <c r="Q72" s="11">
        <v>3933</v>
      </c>
      <c r="R72" s="11">
        <v>4065</v>
      </c>
      <c r="S72" s="11">
        <v>3060</v>
      </c>
      <c r="T72" s="11">
        <f>6339-S72</f>
        <v>3279</v>
      </c>
      <c r="U72" s="11">
        <v>3671</v>
      </c>
      <c r="V72" s="11">
        <v>3316</v>
      </c>
      <c r="W72" s="11">
        <v>3413</v>
      </c>
      <c r="X72" s="11">
        <f>7121-W72</f>
        <v>3708</v>
      </c>
      <c r="Y72" s="11">
        <f>11106-X72-W72</f>
        <v>3985</v>
      </c>
      <c r="Z72" s="11">
        <f>15311-Y72-X72-W72</f>
        <v>4205</v>
      </c>
      <c r="AA72" s="11"/>
      <c r="AB72" s="11"/>
      <c r="AC72" s="11"/>
      <c r="AD72" s="11"/>
      <c r="AE72" s="11"/>
      <c r="AS72" s="3">
        <f t="shared" si="298"/>
        <v>15287</v>
      </c>
      <c r="AT72" s="3">
        <f t="shared" si="299"/>
        <v>13326</v>
      </c>
      <c r="AU72" s="3">
        <f t="shared" ref="AU72:AU78" si="300">SUM(W72:Z72)</f>
        <v>15311</v>
      </c>
    </row>
    <row r="73" spans="2:47" s="3" customFormat="1" x14ac:dyDescent="0.25">
      <c r="B73" s="3" t="s">
        <v>85</v>
      </c>
      <c r="C73" s="11">
        <v>197</v>
      </c>
      <c r="D73" s="11"/>
      <c r="E73" s="11"/>
      <c r="F73" s="11"/>
      <c r="G73" s="11">
        <v>209</v>
      </c>
      <c r="H73" s="11"/>
      <c r="I73" s="11"/>
      <c r="J73" s="11"/>
      <c r="K73" s="11">
        <v>228</v>
      </c>
      <c r="L73" s="11"/>
      <c r="M73" s="11"/>
      <c r="N73" s="11"/>
      <c r="O73" s="11">
        <v>191</v>
      </c>
      <c r="P73" s="11">
        <v>201</v>
      </c>
      <c r="Q73" s="11">
        <v>113</v>
      </c>
      <c r="R73" s="11">
        <v>136</v>
      </c>
      <c r="S73" s="11">
        <v>126</v>
      </c>
      <c r="T73" s="11">
        <f>244-S73</f>
        <v>118</v>
      </c>
      <c r="U73" s="11">
        <v>129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/>
      <c r="AB73" s="11"/>
      <c r="AC73" s="11"/>
      <c r="AD73" s="11"/>
      <c r="AE73" s="11"/>
      <c r="AS73" s="3">
        <f t="shared" si="298"/>
        <v>641</v>
      </c>
      <c r="AT73" s="3">
        <f t="shared" si="299"/>
        <v>373</v>
      </c>
      <c r="AU73" s="3">
        <f t="shared" si="300"/>
        <v>0</v>
      </c>
    </row>
    <row r="74" spans="2:47" s="3" customFormat="1" x14ac:dyDescent="0.25">
      <c r="B74" s="3" t="s">
        <v>86</v>
      </c>
      <c r="C74" s="11">
        <v>2769</v>
      </c>
      <c r="D74" s="11"/>
      <c r="E74" s="11"/>
      <c r="F74" s="11"/>
      <c r="G74" s="11">
        <v>3191</v>
      </c>
      <c r="H74" s="11"/>
      <c r="I74" s="11"/>
      <c r="J74" s="11"/>
      <c r="K74" s="11">
        <v>3745</v>
      </c>
      <c r="L74" s="11"/>
      <c r="M74" s="11"/>
      <c r="N74" s="11"/>
      <c r="O74" s="11">
        <v>4504</v>
      </c>
      <c r="P74" s="11">
        <v>4782</v>
      </c>
      <c r="Q74" s="11">
        <v>4976</v>
      </c>
      <c r="R74" s="11">
        <v>5100</v>
      </c>
      <c r="S74" s="11">
        <v>5284</v>
      </c>
      <c r="T74" s="11">
        <f>11058-S74</f>
        <v>5774</v>
      </c>
      <c r="U74" s="11">
        <v>5743</v>
      </c>
      <c r="V74" s="11">
        <v>5659</v>
      </c>
      <c r="W74" s="11">
        <v>5264</v>
      </c>
      <c r="X74" s="11">
        <f>11129-W74</f>
        <v>5865</v>
      </c>
      <c r="Y74" s="11">
        <f>16975-X74-W74</f>
        <v>5846</v>
      </c>
      <c r="Z74" s="11">
        <f>22785-Y74-X74-W74</f>
        <v>5810</v>
      </c>
      <c r="AA74" s="11"/>
      <c r="AB74" s="11"/>
      <c r="AC74" s="11"/>
      <c r="AD74" s="11"/>
      <c r="AE74" s="11"/>
      <c r="AS74" s="3">
        <f t="shared" si="298"/>
        <v>19362</v>
      </c>
      <c r="AT74" s="3">
        <f t="shared" si="299"/>
        <v>22460</v>
      </c>
      <c r="AU74" s="3">
        <f t="shared" si="300"/>
        <v>22785</v>
      </c>
    </row>
    <row r="75" spans="2:47" s="3" customFormat="1" x14ac:dyDescent="0.25">
      <c r="B75" s="3" t="s">
        <v>56</v>
      </c>
      <c r="C75" s="11">
        <v>-73</v>
      </c>
      <c r="D75" s="11"/>
      <c r="E75" s="11"/>
      <c r="F75" s="11"/>
      <c r="G75" s="11">
        <v>175</v>
      </c>
      <c r="H75" s="11"/>
      <c r="I75" s="11"/>
      <c r="J75" s="11"/>
      <c r="K75" s="11">
        <v>1100</v>
      </c>
      <c r="L75" s="11"/>
      <c r="M75" s="11"/>
      <c r="N75" s="11"/>
      <c r="O75" s="11">
        <v>-2090</v>
      </c>
      <c r="P75" s="11">
        <v>-2147</v>
      </c>
      <c r="Q75" s="11">
        <v>-1920</v>
      </c>
      <c r="R75" s="11">
        <v>-1924</v>
      </c>
      <c r="S75" s="11">
        <v>-1854</v>
      </c>
      <c r="T75" s="11">
        <f>-4269-S75</f>
        <v>-2415</v>
      </c>
      <c r="U75" s="11">
        <v>-1824</v>
      </c>
      <c r="V75" s="11">
        <v>-1670</v>
      </c>
      <c r="W75" s="11">
        <v>419</v>
      </c>
      <c r="X75" s="11">
        <f>-2738-W75</f>
        <v>-3157</v>
      </c>
      <c r="Y75" s="11">
        <f>-3809-X75-W75</f>
        <v>-1071</v>
      </c>
      <c r="Z75" s="11">
        <f>-5257-Y75-X75-W75</f>
        <v>-1448</v>
      </c>
      <c r="AA75" s="11"/>
      <c r="AB75" s="11"/>
      <c r="AC75" s="11"/>
      <c r="AD75" s="11"/>
      <c r="AE75" s="11"/>
      <c r="AS75" s="3">
        <f t="shared" si="298"/>
        <v>-8081</v>
      </c>
      <c r="AT75" s="3">
        <f t="shared" si="299"/>
        <v>-7763</v>
      </c>
      <c r="AU75" s="3">
        <f t="shared" si="300"/>
        <v>-5257</v>
      </c>
    </row>
    <row r="76" spans="2:47" s="3" customFormat="1" x14ac:dyDescent="0.25">
      <c r="B76" s="3" t="s">
        <v>87</v>
      </c>
      <c r="C76" s="11">
        <v>-1081</v>
      </c>
      <c r="D76" s="11"/>
      <c r="E76" s="11"/>
      <c r="F76" s="11"/>
      <c r="G76" s="11">
        <v>802</v>
      </c>
      <c r="H76" s="11"/>
      <c r="I76" s="11"/>
      <c r="J76" s="11"/>
      <c r="K76" s="11">
        <v>-4751</v>
      </c>
      <c r="L76" s="11"/>
      <c r="M76" s="11"/>
      <c r="N76" s="11"/>
      <c r="O76" s="11">
        <v>1437</v>
      </c>
      <c r="P76" s="11">
        <v>1041</v>
      </c>
      <c r="Q76" s="11">
        <v>1378</v>
      </c>
      <c r="R76" s="11">
        <v>1663</v>
      </c>
      <c r="S76" s="11">
        <v>-84</v>
      </c>
      <c r="T76" s="11">
        <f>425-S76</f>
        <v>509</v>
      </c>
      <c r="U76" s="11">
        <v>869</v>
      </c>
      <c r="V76" s="11">
        <v>-471</v>
      </c>
      <c r="W76" s="11">
        <v>-1781</v>
      </c>
      <c r="X76" s="11">
        <f>-757-W76</f>
        <v>1024</v>
      </c>
      <c r="Y76" s="11">
        <f>-2738-X76-W76</f>
        <v>-1981</v>
      </c>
      <c r="Z76" s="11">
        <f>-2671-Y76-X76-W76</f>
        <v>67</v>
      </c>
      <c r="AA76" s="11"/>
      <c r="AB76" s="11"/>
      <c r="AC76" s="11"/>
      <c r="AD76" s="11"/>
      <c r="AE76" s="11"/>
      <c r="AS76" s="3">
        <f t="shared" si="298"/>
        <v>5519</v>
      </c>
      <c r="AT76" s="3">
        <f t="shared" si="299"/>
        <v>823</v>
      </c>
      <c r="AU76" s="3">
        <f t="shared" si="300"/>
        <v>-2671</v>
      </c>
    </row>
    <row r="77" spans="2:47" s="3" customFormat="1" x14ac:dyDescent="0.25">
      <c r="B77" s="3" t="s">
        <v>28</v>
      </c>
      <c r="C77" s="11">
        <v>22</v>
      </c>
      <c r="D77" s="11"/>
      <c r="E77" s="11"/>
      <c r="F77" s="11"/>
      <c r="G77" s="11">
        <v>297</v>
      </c>
      <c r="H77" s="11"/>
      <c r="I77" s="11"/>
      <c r="J77" s="11"/>
      <c r="K77" s="11">
        <v>-255</v>
      </c>
      <c r="L77" s="11"/>
      <c r="M77" s="11"/>
      <c r="N77" s="11"/>
      <c r="O77" s="11">
        <v>140</v>
      </c>
      <c r="P77" s="11">
        <v>62</v>
      </c>
      <c r="Q77" s="11">
        <v>167</v>
      </c>
      <c r="R77" s="11">
        <v>661</v>
      </c>
      <c r="S77" s="11">
        <v>553</v>
      </c>
      <c r="T77" s="11">
        <f>650-S77</f>
        <v>97</v>
      </c>
      <c r="U77" s="11">
        <v>262</v>
      </c>
      <c r="V77" s="11">
        <v>1665</v>
      </c>
      <c r="W77" s="11">
        <v>334</v>
      </c>
      <c r="X77" s="11">
        <f>1185-W77</f>
        <v>851</v>
      </c>
      <c r="Y77" s="11">
        <f>2592-X77-W77</f>
        <v>1407</v>
      </c>
      <c r="Z77" s="11">
        <f>3419-Y77-X77-W77</f>
        <v>827</v>
      </c>
      <c r="AA77" s="11"/>
      <c r="AB77" s="11"/>
      <c r="AC77" s="11"/>
      <c r="AD77" s="11"/>
      <c r="AE77" s="11"/>
      <c r="AS77" s="3">
        <f t="shared" si="298"/>
        <v>1030</v>
      </c>
      <c r="AT77" s="3">
        <f t="shared" si="299"/>
        <v>2577</v>
      </c>
      <c r="AU77" s="3">
        <f t="shared" si="300"/>
        <v>3419</v>
      </c>
    </row>
    <row r="78" spans="2:47" s="3" customFormat="1" x14ac:dyDescent="0.25">
      <c r="B78" s="3" t="s">
        <v>88</v>
      </c>
      <c r="C78" s="11">
        <f>1172+1068-265-425-229-147-81</f>
        <v>1093</v>
      </c>
      <c r="D78" s="11"/>
      <c r="E78" s="11"/>
      <c r="F78" s="11"/>
      <c r="G78" s="11">
        <f>2602-245-115-835-3531-871+37</f>
        <v>-2958</v>
      </c>
      <c r="H78" s="11"/>
      <c r="I78" s="11"/>
      <c r="J78" s="11"/>
      <c r="K78" s="11">
        <f>2794+785+7-982-3530-444+137</f>
        <v>-1233</v>
      </c>
      <c r="L78" s="11"/>
      <c r="M78" s="11"/>
      <c r="N78" s="11"/>
      <c r="O78" s="11">
        <f>4364+3820-776-2373-3216-828-94</f>
        <v>897</v>
      </c>
      <c r="P78" s="11">
        <f>-1969-4073-845+1201+1497-114+86</f>
        <v>-4217</v>
      </c>
      <c r="Q78" s="11">
        <f>-97-609-2647+1907+2210-80+112</f>
        <v>796</v>
      </c>
      <c r="R78" s="11">
        <f>-4615+1446-778-28+3424+577+263</f>
        <v>289</v>
      </c>
      <c r="S78" s="11">
        <f>4454+4069-746-1105-4496-602-201</f>
        <v>1373</v>
      </c>
      <c r="T78" s="11">
        <f>1506+8520-1259+14-4037-418-17-S78</f>
        <v>2936</v>
      </c>
      <c r="U78" s="11">
        <f>-2821+1872-1624+223+3657+103+707</f>
        <v>2117</v>
      </c>
      <c r="V78" s="11">
        <f>-6518-9869+740+427+4317+797-165</f>
        <v>-10271</v>
      </c>
      <c r="W78" s="11">
        <f>3167+3011-1000-2124-5054-322-141</f>
        <v>-2463</v>
      </c>
      <c r="X78" s="11">
        <f>110-889-1532-563-5176+97+220-W78</f>
        <v>-5270</v>
      </c>
      <c r="Y78" s="11">
        <f>-1321-2797-2334-42-6366+478+860-X78-W78</f>
        <v>-3789</v>
      </c>
      <c r="Z78" s="11">
        <f>-5891-2418-1397+359-1161+1059+1043-Y78-X78-W78</f>
        <v>3116</v>
      </c>
      <c r="AA78" s="11"/>
      <c r="AB78" s="11"/>
      <c r="AC78" s="11"/>
      <c r="AD78" s="11"/>
      <c r="AE78" s="11"/>
      <c r="AS78" s="3">
        <f t="shared" si="298"/>
        <v>-2235</v>
      </c>
      <c r="AT78" s="3">
        <f t="shared" si="299"/>
        <v>-3845</v>
      </c>
      <c r="AU78" s="3">
        <f t="shared" si="300"/>
        <v>-8406</v>
      </c>
    </row>
    <row r="79" spans="2:47" s="3" customFormat="1" x14ac:dyDescent="0.25">
      <c r="B79" s="3" t="s">
        <v>35</v>
      </c>
      <c r="C79" s="11">
        <f>SUM(C71:C78)</f>
        <v>12000</v>
      </c>
      <c r="D79" s="11"/>
      <c r="E79" s="11"/>
      <c r="F79" s="11"/>
      <c r="G79" s="11">
        <f>SUM(G71:G78)</f>
        <v>11451</v>
      </c>
      <c r="H79" s="11"/>
      <c r="I79" s="11"/>
      <c r="J79" s="11">
        <v>22677</v>
      </c>
      <c r="K79" s="11">
        <f>SUM(K71:K78)</f>
        <v>19289</v>
      </c>
      <c r="L79" s="11"/>
      <c r="M79" s="11">
        <v>25539</v>
      </c>
      <c r="N79" s="11">
        <f t="shared" ref="N79:Z79" si="301">SUM(N71:N78)</f>
        <v>0</v>
      </c>
      <c r="O79" s="11">
        <f t="shared" si="301"/>
        <v>25106</v>
      </c>
      <c r="P79" s="11">
        <f t="shared" si="301"/>
        <v>19422</v>
      </c>
      <c r="Q79" s="11">
        <f t="shared" si="301"/>
        <v>23353</v>
      </c>
      <c r="R79" s="11">
        <f t="shared" si="301"/>
        <v>23614</v>
      </c>
      <c r="S79" s="11">
        <f t="shared" si="301"/>
        <v>23509</v>
      </c>
      <c r="T79" s="11">
        <f t="shared" si="301"/>
        <v>28666</v>
      </c>
      <c r="U79" s="11">
        <f t="shared" si="301"/>
        <v>30656</v>
      </c>
      <c r="V79" s="11">
        <f t="shared" si="301"/>
        <v>18915</v>
      </c>
      <c r="W79" s="11">
        <f t="shared" si="301"/>
        <v>28848</v>
      </c>
      <c r="X79" s="11">
        <f>SUM(X71:X78)</f>
        <v>26640</v>
      </c>
      <c r="Y79" s="11">
        <f t="shared" si="301"/>
        <v>30698</v>
      </c>
      <c r="Z79" s="11">
        <f t="shared" si="301"/>
        <v>39113</v>
      </c>
      <c r="AA79" s="11"/>
      <c r="AB79" s="11"/>
      <c r="AC79" s="11"/>
      <c r="AD79" s="11"/>
      <c r="AE79" s="11"/>
      <c r="AS79" s="3">
        <f>SUM(AS71:AS78)</f>
        <v>91495</v>
      </c>
      <c r="AT79" s="3">
        <f>SUM(AT71:AT78)</f>
        <v>101746</v>
      </c>
      <c r="AU79" s="3">
        <f>SUM(AU71:AU78)</f>
        <v>125299</v>
      </c>
    </row>
    <row r="80" spans="2:47" s="3" customFormat="1" ht="13" x14ac:dyDescent="0.3"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T80" s="22">
        <f>+AT79/AS79-1</f>
        <v>0.11203890923001247</v>
      </c>
      <c r="AU80" s="22">
        <f>+AU79/AT79-1</f>
        <v>0.23148821575295342</v>
      </c>
    </row>
    <row r="81" spans="2:47" s="3" customFormat="1" x14ac:dyDescent="0.25"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2:47" s="3" customFormat="1" x14ac:dyDescent="0.25">
      <c r="B82" s="3" t="s">
        <v>36</v>
      </c>
      <c r="C82" s="11">
        <v>-4638</v>
      </c>
      <c r="D82" s="11"/>
      <c r="E82" s="11"/>
      <c r="F82" s="11"/>
      <c r="G82" s="11">
        <v>-6005</v>
      </c>
      <c r="H82" s="11"/>
      <c r="I82" s="11"/>
      <c r="J82" s="11">
        <v>-5479</v>
      </c>
      <c r="K82" s="11">
        <v>-5942</v>
      </c>
      <c r="L82" s="11">
        <v>-5496</v>
      </c>
      <c r="M82" s="11">
        <v>-6819</v>
      </c>
      <c r="N82" s="11">
        <v>-6383</v>
      </c>
      <c r="O82" s="11">
        <v>-9786</v>
      </c>
      <c r="P82" s="11">
        <v>-6828</v>
      </c>
      <c r="Q82" s="11">
        <v>-7276</v>
      </c>
      <c r="R82" s="11">
        <v>-7595</v>
      </c>
      <c r="S82" s="11">
        <v>-6289</v>
      </c>
      <c r="T82" s="11">
        <f>-13177-S82</f>
        <v>-6888</v>
      </c>
      <c r="U82" s="11">
        <v>-8055</v>
      </c>
      <c r="V82" s="11">
        <v>-11019</v>
      </c>
      <c r="W82" s="11">
        <v>-12012</v>
      </c>
      <c r="X82" s="11">
        <f>-25198-W82</f>
        <v>-13186</v>
      </c>
      <c r="Y82" s="11">
        <f>-38259-X82-W82</f>
        <v>-13061</v>
      </c>
      <c r="Z82" s="11">
        <f>-52535-Y82-X82-W82</f>
        <v>-14276</v>
      </c>
      <c r="AA82" s="11"/>
      <c r="AB82" s="11"/>
      <c r="AC82" s="11"/>
      <c r="AD82" s="11"/>
      <c r="AE82" s="11"/>
      <c r="AS82" s="3">
        <f t="shared" ref="AS82:AS85" si="302">SUM(O82:R82)</f>
        <v>-31485</v>
      </c>
      <c r="AT82" s="3">
        <f t="shared" ref="AT82:AT85" si="303">SUM(S82:V82)</f>
        <v>-32251</v>
      </c>
      <c r="AU82" s="3">
        <f t="shared" ref="AU82:AU85" si="304">SUM(W82:Z82)</f>
        <v>-52535</v>
      </c>
    </row>
    <row r="83" spans="2:47" s="3" customFormat="1" x14ac:dyDescent="0.25">
      <c r="B83" s="3" t="s">
        <v>89</v>
      </c>
      <c r="C83" s="11">
        <f>-20883+21006-907+99</f>
        <v>-685</v>
      </c>
      <c r="D83" s="11"/>
      <c r="E83" s="11"/>
      <c r="F83" s="11"/>
      <c r="G83" s="11">
        <f>-37563+41811-572+260</f>
        <v>3936</v>
      </c>
      <c r="H83" s="11"/>
      <c r="I83" s="11"/>
      <c r="J83" s="11"/>
      <c r="K83" s="11"/>
      <c r="L83" s="11"/>
      <c r="M83" s="11"/>
      <c r="N83" s="11"/>
      <c r="O83" s="11">
        <f>-28462+29779-776+12</f>
        <v>553</v>
      </c>
      <c r="P83" s="11">
        <f>-21737+25595-488+113</f>
        <v>3483</v>
      </c>
      <c r="Q83" s="11"/>
      <c r="R83" s="11">
        <f>-11621+13735-903+19</f>
        <v>1230</v>
      </c>
      <c r="S83" s="11">
        <f>-14227+18327-626+36</f>
        <v>3510</v>
      </c>
      <c r="T83" s="11">
        <f>-35589+37049-1513-S83+181</f>
        <v>-3382</v>
      </c>
      <c r="U83" s="11">
        <f>-13833+15593-663+562</f>
        <v>1659</v>
      </c>
      <c r="V83" s="11">
        <f>-28436+34030-851+204</f>
        <v>4947</v>
      </c>
      <c r="W83" s="11">
        <f>-20684+24985-1206+313</f>
        <v>3408</v>
      </c>
      <c r="X83" s="11">
        <f>-43011+58577-2199+605-W83</f>
        <v>10564</v>
      </c>
      <c r="Y83" s="11">
        <f>-65034+81779-3234+732-X83-W83</f>
        <v>271</v>
      </c>
      <c r="Z83" s="11">
        <f>-86679+103428-5034+882-Y83-X83-W83</f>
        <v>-1646</v>
      </c>
      <c r="AA83" s="11"/>
      <c r="AB83" s="11"/>
      <c r="AC83" s="11"/>
      <c r="AD83" s="11"/>
      <c r="AE83" s="11"/>
      <c r="AS83" s="3">
        <f t="shared" si="302"/>
        <v>5266</v>
      </c>
      <c r="AT83" s="3">
        <f t="shared" si="303"/>
        <v>6734</v>
      </c>
      <c r="AU83" s="3">
        <f t="shared" si="304"/>
        <v>12597</v>
      </c>
    </row>
    <row r="84" spans="2:47" s="3" customFormat="1" x14ac:dyDescent="0.25">
      <c r="B84" s="3" t="s">
        <v>91</v>
      </c>
      <c r="C84" s="11">
        <v>-99</v>
      </c>
      <c r="D84" s="11"/>
      <c r="E84" s="11"/>
      <c r="F84" s="11"/>
      <c r="G84" s="11">
        <v>-190</v>
      </c>
      <c r="H84" s="11"/>
      <c r="I84" s="11"/>
      <c r="J84" s="11"/>
      <c r="K84" s="11"/>
      <c r="L84" s="11"/>
      <c r="M84" s="11"/>
      <c r="N84" s="11"/>
      <c r="O84" s="11">
        <v>-173</v>
      </c>
      <c r="P84" s="11">
        <v>-1063</v>
      </c>
      <c r="Q84" s="11"/>
      <c r="R84" s="11">
        <v>-84</v>
      </c>
      <c r="S84" s="11">
        <v>-42</v>
      </c>
      <c r="T84" s="11">
        <f>-340-S84</f>
        <v>-298</v>
      </c>
      <c r="U84" s="11">
        <v>-126</v>
      </c>
      <c r="V84" s="11">
        <v>-29</v>
      </c>
      <c r="W84" s="11">
        <v>-61</v>
      </c>
      <c r="X84" s="11">
        <f>-87-W84</f>
        <v>-26</v>
      </c>
      <c r="Y84" s="11">
        <f>-2840-X84-W84</f>
        <v>-2753</v>
      </c>
      <c r="Z84" s="11">
        <f>-2931-Y84-X84-W84</f>
        <v>-91</v>
      </c>
      <c r="AA84" s="11"/>
      <c r="AB84" s="11"/>
      <c r="AC84" s="11"/>
      <c r="AD84" s="11"/>
      <c r="AE84" s="11"/>
      <c r="AS84" s="3">
        <f t="shared" si="302"/>
        <v>-1320</v>
      </c>
      <c r="AT84" s="3">
        <f t="shared" si="303"/>
        <v>-495</v>
      </c>
      <c r="AU84" s="3">
        <f t="shared" si="304"/>
        <v>-2931</v>
      </c>
    </row>
    <row r="85" spans="2:47" s="3" customFormat="1" x14ac:dyDescent="0.25">
      <c r="B85" s="3" t="s">
        <v>28</v>
      </c>
      <c r="C85" s="11">
        <v>34</v>
      </c>
      <c r="D85" s="11"/>
      <c r="E85" s="11"/>
      <c r="F85" s="11"/>
      <c r="G85" s="11">
        <v>412</v>
      </c>
      <c r="H85" s="11"/>
      <c r="I85" s="11"/>
      <c r="J85" s="11"/>
      <c r="K85" s="11"/>
      <c r="L85" s="11"/>
      <c r="M85" s="11"/>
      <c r="N85" s="11"/>
      <c r="O85" s="11">
        <v>355</v>
      </c>
      <c r="P85" s="11">
        <v>221</v>
      </c>
      <c r="Q85" s="11"/>
      <c r="R85" s="11">
        <v>222</v>
      </c>
      <c r="S85" s="11">
        <v>-125</v>
      </c>
      <c r="T85" s="11">
        <f>-357-S85</f>
        <v>-232</v>
      </c>
      <c r="U85" s="11">
        <v>-628</v>
      </c>
      <c r="V85" s="11">
        <v>-66</v>
      </c>
      <c r="W85" s="11">
        <v>101</v>
      </c>
      <c r="X85" s="11">
        <f>-32-W85</f>
        <v>-133</v>
      </c>
      <c r="Y85" s="11">
        <f>-2500-X85-W85</f>
        <v>-2468</v>
      </c>
      <c r="Z85" s="11">
        <f>-2667-Y85-X85-W85</f>
        <v>-167</v>
      </c>
      <c r="AA85" s="11"/>
      <c r="AB85" s="11"/>
      <c r="AC85" s="11"/>
      <c r="AD85" s="11"/>
      <c r="AE85" s="11"/>
      <c r="AS85" s="3">
        <f t="shared" si="302"/>
        <v>798</v>
      </c>
      <c r="AT85" s="3">
        <f t="shared" si="303"/>
        <v>-1051</v>
      </c>
      <c r="AU85" s="3">
        <f t="shared" si="304"/>
        <v>-2667</v>
      </c>
    </row>
    <row r="86" spans="2:47" s="3" customFormat="1" x14ac:dyDescent="0.25">
      <c r="B86" s="3" t="s">
        <v>92</v>
      </c>
      <c r="C86" s="11">
        <f>SUM(C82:C85)</f>
        <v>-5388</v>
      </c>
      <c r="D86" s="11"/>
      <c r="E86" s="11"/>
      <c r="F86" s="11"/>
      <c r="G86" s="11">
        <f>SUM(G82:G85)</f>
        <v>-1847</v>
      </c>
      <c r="H86" s="11"/>
      <c r="I86" s="11"/>
      <c r="J86" s="11"/>
      <c r="K86" s="11"/>
      <c r="L86" s="11"/>
      <c r="M86" s="11"/>
      <c r="N86" s="11"/>
      <c r="O86" s="11">
        <f>SUM(O82:O85)</f>
        <v>-9051</v>
      </c>
      <c r="P86" s="11">
        <f>SUM(P82:P85)</f>
        <v>-4187</v>
      </c>
      <c r="Q86" s="11"/>
      <c r="R86" s="11">
        <f t="shared" ref="R86:Z86" si="305">SUM(R82:R85)</f>
        <v>-6227</v>
      </c>
      <c r="S86" s="11">
        <f t="shared" si="305"/>
        <v>-2946</v>
      </c>
      <c r="T86" s="11">
        <f t="shared" si="305"/>
        <v>-10800</v>
      </c>
      <c r="U86" s="11">
        <f t="shared" si="305"/>
        <v>-7150</v>
      </c>
      <c r="V86" s="11">
        <f t="shared" si="305"/>
        <v>-6167</v>
      </c>
      <c r="W86" s="11">
        <f t="shared" si="305"/>
        <v>-8564</v>
      </c>
      <c r="X86" s="11">
        <f t="shared" si="305"/>
        <v>-2781</v>
      </c>
      <c r="Y86" s="11">
        <f t="shared" si="305"/>
        <v>-18011</v>
      </c>
      <c r="Z86" s="11">
        <f t="shared" si="305"/>
        <v>-16180</v>
      </c>
      <c r="AA86" s="11"/>
      <c r="AB86" s="11"/>
      <c r="AC86" s="11"/>
      <c r="AD86" s="11"/>
      <c r="AE86" s="11"/>
      <c r="AS86" s="3">
        <f>SUM(AS82:AS85)</f>
        <v>-26741</v>
      </c>
      <c r="AT86" s="3">
        <f>SUM(AT82:AT85)</f>
        <v>-27063</v>
      </c>
      <c r="AU86" s="3">
        <f>SUM(AU82:AU85)</f>
        <v>-45536</v>
      </c>
    </row>
    <row r="87" spans="2:47" s="3" customFormat="1" x14ac:dyDescent="0.25"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2:47" s="3" customFormat="1" x14ac:dyDescent="0.25">
      <c r="B88" s="3" t="s">
        <v>86</v>
      </c>
      <c r="C88" s="11">
        <v>-1175</v>
      </c>
      <c r="D88" s="11"/>
      <c r="E88" s="11"/>
      <c r="F88" s="11"/>
      <c r="G88" s="11">
        <v>-1241</v>
      </c>
      <c r="H88" s="11"/>
      <c r="I88" s="11"/>
      <c r="J88" s="11"/>
      <c r="K88" s="11"/>
      <c r="L88" s="11"/>
      <c r="M88" s="11"/>
      <c r="N88" s="11"/>
      <c r="O88" s="11">
        <v>-2916</v>
      </c>
      <c r="P88" s="11">
        <v>-2264</v>
      </c>
      <c r="Q88" s="11"/>
      <c r="R88" s="11">
        <v>-2079</v>
      </c>
      <c r="S88" s="11">
        <v>-1989</v>
      </c>
      <c r="T88" s="11">
        <f>-4725-S88</f>
        <v>-2736</v>
      </c>
      <c r="U88" s="11">
        <v>-2432</v>
      </c>
      <c r="V88" s="11">
        <v>-2680</v>
      </c>
      <c r="W88" s="11">
        <v>-2929</v>
      </c>
      <c r="X88" s="11">
        <f>-6138-W88</f>
        <v>-3209</v>
      </c>
      <c r="Y88" s="11">
        <f>-9141-X88-W88</f>
        <v>-3003</v>
      </c>
      <c r="Z88" s="11">
        <f>-12190-Y88-X88-W88</f>
        <v>-3049</v>
      </c>
      <c r="AA88" s="11"/>
      <c r="AB88" s="11"/>
      <c r="AC88" s="11"/>
      <c r="AD88" s="11"/>
      <c r="AE88" s="11"/>
      <c r="AS88" s="3">
        <f t="shared" ref="AS88:AS94" si="306">SUM(O88:R88)</f>
        <v>-7259</v>
      </c>
      <c r="AT88" s="3">
        <f t="shared" ref="AT88:AT92" si="307">SUM(S88:V88)</f>
        <v>-9837</v>
      </c>
      <c r="AU88" s="3">
        <f t="shared" ref="AU88:AU94" si="308">SUM(W88:Z88)</f>
        <v>-12190</v>
      </c>
    </row>
    <row r="89" spans="2:47" s="3" customFormat="1" x14ac:dyDescent="0.25">
      <c r="B89" s="3" t="s">
        <v>93</v>
      </c>
      <c r="C89" s="11">
        <v>-3025</v>
      </c>
      <c r="D89" s="11"/>
      <c r="E89" s="11"/>
      <c r="F89" s="11"/>
      <c r="G89" s="11">
        <v>-8496</v>
      </c>
      <c r="H89" s="11"/>
      <c r="I89" s="11"/>
      <c r="J89" s="11"/>
      <c r="K89" s="11"/>
      <c r="L89" s="11"/>
      <c r="M89" s="11"/>
      <c r="N89" s="11"/>
      <c r="O89" s="11">
        <v>-13300</v>
      </c>
      <c r="P89" s="11">
        <v>-15197</v>
      </c>
      <c r="Q89" s="11"/>
      <c r="R89" s="11">
        <v>-15407</v>
      </c>
      <c r="S89" s="11">
        <v>-14557</v>
      </c>
      <c r="T89" s="11">
        <f>-29526-S89</f>
        <v>-14969</v>
      </c>
      <c r="U89" s="11">
        <v>-15787</v>
      </c>
      <c r="V89" s="11">
        <v>-16191</v>
      </c>
      <c r="W89" s="11">
        <v>-15696</v>
      </c>
      <c r="X89" s="11">
        <f>-31380-W89</f>
        <v>-15684</v>
      </c>
      <c r="Y89" s="11">
        <f>-46671-X89-W89</f>
        <v>-15291</v>
      </c>
      <c r="Z89" s="11">
        <f>-62222-Y89-X89-W89</f>
        <v>-15551</v>
      </c>
      <c r="AA89" s="11"/>
      <c r="AB89" s="11"/>
      <c r="AC89" s="11"/>
      <c r="AD89" s="11"/>
      <c r="AE89" s="11"/>
      <c r="AS89" s="3">
        <f t="shared" si="306"/>
        <v>-43904</v>
      </c>
      <c r="AT89" s="3">
        <f t="shared" si="307"/>
        <v>-61504</v>
      </c>
      <c r="AU89" s="3">
        <f t="shared" si="308"/>
        <v>-62222</v>
      </c>
    </row>
    <row r="90" spans="2:47" s="3" customFormat="1" x14ac:dyDescent="0.25">
      <c r="B90" s="3" t="s">
        <v>233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>
        <v>0</v>
      </c>
      <c r="X90" s="11">
        <f>-2466-W90</f>
        <v>-2466</v>
      </c>
      <c r="Y90" s="11">
        <f>-4921-X90-W90</f>
        <v>-2455</v>
      </c>
      <c r="Z90" s="11">
        <f>-7363-Y90-X90-W90</f>
        <v>-2442</v>
      </c>
      <c r="AA90" s="11"/>
      <c r="AB90" s="11"/>
      <c r="AC90" s="11"/>
      <c r="AD90" s="11"/>
      <c r="AE90" s="11"/>
      <c r="AS90" s="3">
        <f t="shared" si="306"/>
        <v>0</v>
      </c>
      <c r="AT90" s="3">
        <f t="shared" si="307"/>
        <v>0</v>
      </c>
      <c r="AU90" s="3">
        <f t="shared" si="308"/>
        <v>-7363</v>
      </c>
    </row>
    <row r="91" spans="2:47" s="3" customFormat="1" x14ac:dyDescent="0.25">
      <c r="B91" s="3" t="s">
        <v>4</v>
      </c>
      <c r="C91" s="11">
        <f>315-345</f>
        <v>-30</v>
      </c>
      <c r="D91" s="11"/>
      <c r="E91" s="11"/>
      <c r="F91" s="11"/>
      <c r="G91" s="11">
        <f>1898-1947</f>
        <v>-49</v>
      </c>
      <c r="H91" s="11"/>
      <c r="I91" s="11"/>
      <c r="J91" s="11"/>
      <c r="K91" s="11"/>
      <c r="L91" s="11"/>
      <c r="M91" s="11"/>
      <c r="N91" s="11"/>
      <c r="O91" s="11">
        <f>16422-16420</f>
        <v>2</v>
      </c>
      <c r="P91" s="11">
        <f>12806-13162</f>
        <v>-356</v>
      </c>
      <c r="Q91" s="11"/>
      <c r="R91" s="11">
        <f>8550-8718</f>
        <v>-168</v>
      </c>
      <c r="S91" s="11">
        <f>6927-6952</f>
        <v>-25</v>
      </c>
      <c r="T91" s="11">
        <f>8050-8207-S91</f>
        <v>-132</v>
      </c>
      <c r="U91" s="11">
        <f>1248-1414</f>
        <v>-166</v>
      </c>
      <c r="V91" s="11">
        <f>1492-1929</f>
        <v>-437</v>
      </c>
      <c r="W91" s="11">
        <f>1982-3079</f>
        <v>-1097</v>
      </c>
      <c r="X91" s="11">
        <f>4875-5502-W91</f>
        <v>470</v>
      </c>
      <c r="Y91" s="11">
        <f>8694-8951-X91-W91</f>
        <v>370</v>
      </c>
      <c r="Z91" s="11">
        <f>13589-12701-Y91-X91-W91</f>
        <v>1145</v>
      </c>
      <c r="AA91" s="11"/>
      <c r="AB91" s="11"/>
      <c r="AC91" s="11"/>
      <c r="AD91" s="11"/>
      <c r="AE91" s="11"/>
      <c r="AS91" s="3">
        <f t="shared" si="306"/>
        <v>-522</v>
      </c>
      <c r="AT91" s="3">
        <f t="shared" si="307"/>
        <v>-760</v>
      </c>
      <c r="AU91" s="3">
        <f t="shared" si="308"/>
        <v>888</v>
      </c>
    </row>
    <row r="92" spans="2:47" s="3" customFormat="1" x14ac:dyDescent="0.25">
      <c r="B92" s="3" t="s">
        <v>94</v>
      </c>
      <c r="C92" s="11">
        <v>47</v>
      </c>
      <c r="D92" s="11"/>
      <c r="E92" s="11"/>
      <c r="F92" s="11"/>
      <c r="G92" s="11">
        <v>1600</v>
      </c>
      <c r="H92" s="11"/>
      <c r="I92" s="11"/>
      <c r="J92" s="11"/>
      <c r="K92" s="11"/>
      <c r="L92" s="11"/>
      <c r="M92" s="11"/>
      <c r="N92" s="11"/>
      <c r="O92" s="11">
        <v>0</v>
      </c>
      <c r="P92" s="11">
        <v>0</v>
      </c>
      <c r="Q92" s="11"/>
      <c r="R92" s="11">
        <v>25</v>
      </c>
      <c r="S92" s="11">
        <v>3</v>
      </c>
      <c r="T92" s="11">
        <f>5-S92</f>
        <v>2</v>
      </c>
      <c r="U92" s="11">
        <v>3</v>
      </c>
      <c r="V92" s="11">
        <v>0</v>
      </c>
      <c r="W92" s="11">
        <v>8</v>
      </c>
      <c r="X92" s="11">
        <f>8-W92</f>
        <v>0</v>
      </c>
      <c r="Y92" s="11">
        <f>293-X92-W92</f>
        <v>285</v>
      </c>
      <c r="Z92" s="11">
        <f>1154-Y92-X92-W92</f>
        <v>861</v>
      </c>
      <c r="AA92" s="11"/>
      <c r="AB92" s="11"/>
      <c r="AC92" s="11"/>
      <c r="AD92" s="11"/>
      <c r="AE92" s="11"/>
      <c r="AS92" s="3">
        <f t="shared" si="306"/>
        <v>25</v>
      </c>
      <c r="AT92" s="3">
        <f t="shared" si="307"/>
        <v>8</v>
      </c>
      <c r="AU92" s="3">
        <f t="shared" si="308"/>
        <v>1154</v>
      </c>
    </row>
    <row r="93" spans="2:47" s="3" customFormat="1" x14ac:dyDescent="0.25">
      <c r="B93" s="3" t="s">
        <v>90</v>
      </c>
      <c r="C93" s="11">
        <f>SUM(C88:C92)</f>
        <v>-4183</v>
      </c>
      <c r="D93" s="11"/>
      <c r="E93" s="11"/>
      <c r="F93" s="11"/>
      <c r="G93" s="11">
        <f>SUM(G88:G92)</f>
        <v>-8186</v>
      </c>
      <c r="H93" s="11"/>
      <c r="I93" s="11"/>
      <c r="J93" s="11"/>
      <c r="K93" s="11"/>
      <c r="L93" s="11"/>
      <c r="M93" s="11"/>
      <c r="N93" s="11"/>
      <c r="O93" s="11">
        <f>SUM(O88:O92)</f>
        <v>-16214</v>
      </c>
      <c r="P93" s="11">
        <f>SUM(P88:P92)</f>
        <v>-17817</v>
      </c>
      <c r="Q93" s="11"/>
      <c r="R93" s="11">
        <f t="shared" ref="R93:Z93" si="309">SUM(R88:R92)</f>
        <v>-17629</v>
      </c>
      <c r="S93" s="11">
        <f t="shared" si="309"/>
        <v>-16568</v>
      </c>
      <c r="T93" s="11">
        <f t="shared" si="309"/>
        <v>-17835</v>
      </c>
      <c r="U93" s="11">
        <f t="shared" si="309"/>
        <v>-18382</v>
      </c>
      <c r="V93" s="11">
        <f t="shared" si="309"/>
        <v>-19308</v>
      </c>
      <c r="W93" s="11">
        <f t="shared" si="309"/>
        <v>-19714</v>
      </c>
      <c r="X93" s="11">
        <f t="shared" si="309"/>
        <v>-20889</v>
      </c>
      <c r="Y93" s="11">
        <f t="shared" si="309"/>
        <v>-20094</v>
      </c>
      <c r="Z93" s="11">
        <f t="shared" si="309"/>
        <v>-19036</v>
      </c>
      <c r="AA93" s="11"/>
      <c r="AB93" s="11"/>
      <c r="AC93" s="11"/>
      <c r="AD93" s="11"/>
      <c r="AE93" s="11"/>
      <c r="AS93" s="3">
        <f>SUM(AS88:AS92)</f>
        <v>-51660</v>
      </c>
      <c r="AT93" s="3">
        <f>SUM(AT88:AT92)</f>
        <v>-72093</v>
      </c>
      <c r="AU93" s="3">
        <f>SUM(AU88:AU92)</f>
        <v>-79733</v>
      </c>
    </row>
    <row r="94" spans="2:47" s="3" customFormat="1" x14ac:dyDescent="0.25">
      <c r="B94" s="3" t="s">
        <v>41</v>
      </c>
      <c r="C94" s="11">
        <v>18</v>
      </c>
      <c r="D94" s="11"/>
      <c r="E94" s="11"/>
      <c r="F94" s="11"/>
      <c r="G94" s="11">
        <v>-272</v>
      </c>
      <c r="H94" s="11"/>
      <c r="I94" s="11"/>
      <c r="J94" s="11"/>
      <c r="K94" s="11"/>
      <c r="L94" s="11"/>
      <c r="M94" s="11"/>
      <c r="N94" s="11"/>
      <c r="O94" s="11">
        <v>100</v>
      </c>
      <c r="P94" s="11">
        <v>-368</v>
      </c>
      <c r="Q94" s="11"/>
      <c r="R94" s="11">
        <v>137</v>
      </c>
      <c r="S94" s="11">
        <v>50</v>
      </c>
      <c r="T94" s="11">
        <f>24-S94</f>
        <v>-26</v>
      </c>
      <c r="U94" s="11">
        <v>-351</v>
      </c>
      <c r="V94" s="11">
        <v>-94</v>
      </c>
      <c r="W94" s="11">
        <v>-125</v>
      </c>
      <c r="X94" s="11">
        <f>-363-W94</f>
        <v>-238</v>
      </c>
      <c r="Y94" s="11">
        <f>-222-X94-W94</f>
        <v>141</v>
      </c>
      <c r="Z94" s="11">
        <f>-612-Y94-X94-W94</f>
        <v>-390</v>
      </c>
      <c r="AA94" s="11"/>
      <c r="AB94" s="11"/>
      <c r="AC94" s="11"/>
      <c r="AD94" s="11"/>
      <c r="AE94" s="11"/>
      <c r="AS94" s="3">
        <f t="shared" si="306"/>
        <v>-131</v>
      </c>
      <c r="AT94" s="3">
        <f>SUM(S94:V94)</f>
        <v>-421</v>
      </c>
      <c r="AU94" s="3">
        <f t="shared" si="308"/>
        <v>-612</v>
      </c>
    </row>
    <row r="95" spans="2:47" s="3" customFormat="1" x14ac:dyDescent="0.25">
      <c r="B95" s="3" t="s">
        <v>95</v>
      </c>
      <c r="C95" s="11">
        <f>+C94+C93+C86+C79</f>
        <v>2447</v>
      </c>
      <c r="D95" s="11"/>
      <c r="E95" s="11"/>
      <c r="F95" s="11"/>
      <c r="G95" s="11">
        <f>+G94+G93+G86+G79</f>
        <v>1146</v>
      </c>
      <c r="H95" s="11"/>
      <c r="I95" s="11"/>
      <c r="J95" s="11"/>
      <c r="K95" s="11"/>
      <c r="L95" s="11"/>
      <c r="M95" s="11"/>
      <c r="N95" s="11"/>
      <c r="O95" s="11">
        <f>+O94+O93+O86+O79</f>
        <v>-59</v>
      </c>
      <c r="P95" s="11">
        <f>+P94+P93+P86+P79</f>
        <v>-2950</v>
      </c>
      <c r="Q95" s="11"/>
      <c r="R95" s="11">
        <f t="shared" ref="R95:Z95" si="310">+R94+R93+R86+R79</f>
        <v>-105</v>
      </c>
      <c r="S95" s="11">
        <f t="shared" si="310"/>
        <v>4045</v>
      </c>
      <c r="T95" s="11">
        <f t="shared" si="310"/>
        <v>5</v>
      </c>
      <c r="U95" s="11">
        <f t="shared" si="310"/>
        <v>4773</v>
      </c>
      <c r="V95" s="11">
        <f t="shared" si="310"/>
        <v>-6654</v>
      </c>
      <c r="W95" s="11">
        <f t="shared" si="310"/>
        <v>445</v>
      </c>
      <c r="X95" s="11">
        <f t="shared" si="310"/>
        <v>2732</v>
      </c>
      <c r="Y95" s="11">
        <f t="shared" si="310"/>
        <v>-7266</v>
      </c>
      <c r="Z95" s="11">
        <f t="shared" si="310"/>
        <v>3507</v>
      </c>
      <c r="AA95" s="11"/>
      <c r="AB95" s="11"/>
      <c r="AC95" s="11"/>
      <c r="AD95" s="11"/>
      <c r="AE95" s="11"/>
      <c r="AS95" s="3">
        <f>+AS94+AS93+AS86+AS79</f>
        <v>12963</v>
      </c>
      <c r="AT95" s="3">
        <f>+AT94+AT93+AT86+AT79</f>
        <v>2169</v>
      </c>
      <c r="AU95" s="3">
        <f>+AU94+AU93+AU86+AU79</f>
        <v>-582</v>
      </c>
    </row>
    <row r="96" spans="2:47" s="3" customFormat="1" x14ac:dyDescent="0.25"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spans="2:47" s="3" customFormat="1" x14ac:dyDescent="0.25">
      <c r="B97" s="3" t="s">
        <v>37</v>
      </c>
      <c r="C97" s="11"/>
      <c r="D97" s="11"/>
      <c r="E97" s="11"/>
      <c r="F97" s="11"/>
      <c r="G97" s="11"/>
      <c r="H97" s="11"/>
      <c r="I97" s="11"/>
      <c r="J97" s="11">
        <f>J79-J82</f>
        <v>28156</v>
      </c>
      <c r="K97" s="11">
        <f>K79-K82</f>
        <v>25231</v>
      </c>
      <c r="L97" s="11"/>
      <c r="M97" s="11">
        <f t="shared" ref="M97:N97" si="311">M79-M82</f>
        <v>32358</v>
      </c>
      <c r="N97" s="11">
        <f t="shared" si="311"/>
        <v>6383</v>
      </c>
      <c r="O97" s="11">
        <f>O79+O82</f>
        <v>15320</v>
      </c>
      <c r="P97" s="11">
        <f t="shared" ref="P97:S97" si="312">P79+P82</f>
        <v>12594</v>
      </c>
      <c r="Q97" s="11">
        <f t="shared" si="312"/>
        <v>16077</v>
      </c>
      <c r="R97" s="11">
        <f t="shared" si="312"/>
        <v>16019</v>
      </c>
      <c r="S97" s="11">
        <f t="shared" si="312"/>
        <v>17220</v>
      </c>
      <c r="T97" s="11">
        <f t="shared" ref="T97:Z97" si="313">T79+T82</f>
        <v>21778</v>
      </c>
      <c r="U97" s="11">
        <f t="shared" si="313"/>
        <v>22601</v>
      </c>
      <c r="V97" s="11">
        <f t="shared" si="313"/>
        <v>7896</v>
      </c>
      <c r="W97" s="11">
        <f t="shared" si="313"/>
        <v>16836</v>
      </c>
      <c r="X97" s="11">
        <f t="shared" si="313"/>
        <v>13454</v>
      </c>
      <c r="Y97" s="11">
        <f t="shared" si="313"/>
        <v>17637</v>
      </c>
      <c r="Z97" s="11">
        <f t="shared" si="313"/>
        <v>24837</v>
      </c>
      <c r="AA97" s="11"/>
      <c r="AB97" s="11"/>
      <c r="AC97" s="11"/>
      <c r="AD97" s="11"/>
      <c r="AE97" s="11"/>
      <c r="AS97" s="11">
        <f>AS79+AS82</f>
        <v>60010</v>
      </c>
      <c r="AT97" s="11">
        <f>AT79+AT82</f>
        <v>69495</v>
      </c>
      <c r="AU97" s="11">
        <f>AU79+AU82</f>
        <v>72764</v>
      </c>
    </row>
    <row r="98" spans="2:47" s="9" customFormat="1" ht="13" x14ac:dyDescent="0.3">
      <c r="B98" s="9" t="s">
        <v>205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>
        <f t="shared" ref="N98:T98" si="314">SUM(K97:N97)</f>
        <v>63972</v>
      </c>
      <c r="O98" s="10">
        <f t="shared" si="314"/>
        <v>54061</v>
      </c>
      <c r="P98" s="10">
        <f t="shared" si="314"/>
        <v>66655</v>
      </c>
      <c r="Q98" s="10">
        <f t="shared" si="314"/>
        <v>50374</v>
      </c>
      <c r="R98" s="10">
        <f t="shared" si="314"/>
        <v>60010</v>
      </c>
      <c r="S98" s="10">
        <f t="shared" si="314"/>
        <v>61910</v>
      </c>
      <c r="T98" s="10">
        <f t="shared" si="314"/>
        <v>71094</v>
      </c>
      <c r="U98" s="10">
        <f t="shared" ref="U98:Y98" si="315">SUM(R97:U97)</f>
        <v>77618</v>
      </c>
      <c r="V98" s="10">
        <f t="shared" si="315"/>
        <v>69495</v>
      </c>
      <c r="W98" s="10">
        <f t="shared" si="315"/>
        <v>69111</v>
      </c>
      <c r="X98" s="10">
        <f t="shared" si="315"/>
        <v>60787</v>
      </c>
      <c r="Y98" s="10">
        <f t="shared" si="315"/>
        <v>55823</v>
      </c>
      <c r="Z98" s="10">
        <f>SUM(W97:Z97)</f>
        <v>72764</v>
      </c>
      <c r="AA98" s="10"/>
      <c r="AB98" s="10"/>
      <c r="AC98" s="10"/>
      <c r="AD98" s="10"/>
      <c r="AE98" s="10"/>
      <c r="AS98" s="10" t="s">
        <v>239</v>
      </c>
      <c r="AT98" s="10" t="s">
        <v>239</v>
      </c>
      <c r="AU98" s="10" t="s">
        <v>239</v>
      </c>
    </row>
    <row r="99" spans="2:47" x14ac:dyDescent="0.25">
      <c r="R99" s="11"/>
    </row>
    <row r="100" spans="2:47" s="3" customFormat="1" x14ac:dyDescent="0.25">
      <c r="B100" s="3" t="s">
        <v>52</v>
      </c>
      <c r="C100" s="11">
        <v>103459</v>
      </c>
      <c r="D100" s="11"/>
      <c r="E100" s="11"/>
      <c r="F100" s="11"/>
      <c r="G100" s="11">
        <v>123048</v>
      </c>
      <c r="H100" s="11"/>
      <c r="I100" s="11"/>
      <c r="J100" s="11"/>
      <c r="K100" s="11">
        <v>139995</v>
      </c>
      <c r="L100" s="11">
        <v>144056</v>
      </c>
      <c r="M100" s="11">
        <v>150028</v>
      </c>
      <c r="N100" s="11">
        <v>156500</v>
      </c>
      <c r="O100" s="11">
        <v>163906</v>
      </c>
      <c r="P100" s="11">
        <v>174014</v>
      </c>
      <c r="Q100" s="11">
        <v>186779</v>
      </c>
      <c r="R100" s="11">
        <v>190234</v>
      </c>
      <c r="S100" s="11">
        <v>190711</v>
      </c>
      <c r="T100" s="11">
        <v>181798</v>
      </c>
      <c r="U100" s="11">
        <v>182381</v>
      </c>
      <c r="V100" s="11">
        <v>182502</v>
      </c>
      <c r="W100" s="11">
        <v>180895</v>
      </c>
      <c r="X100" s="11">
        <v>181798</v>
      </c>
      <c r="Y100" s="11">
        <v>181269</v>
      </c>
      <c r="Z100" s="11">
        <v>182323</v>
      </c>
      <c r="AA100" s="11"/>
      <c r="AB100" s="11"/>
      <c r="AC100" s="11"/>
      <c r="AD100" s="11"/>
      <c r="AE100" s="11"/>
      <c r="AS100" s="3">
        <f t="shared" ref="AS100:AT100" si="316">R100</f>
        <v>190234</v>
      </c>
      <c r="AT100" s="3">
        <f t="shared" si="316"/>
        <v>190711</v>
      </c>
      <c r="AU100" s="3">
        <f>T100</f>
        <v>181798</v>
      </c>
    </row>
    <row r="101" spans="2:47" x14ac:dyDescent="0.25">
      <c r="B101" s="3" t="s">
        <v>81</v>
      </c>
      <c r="O101" s="15">
        <f t="shared" ref="O101:Z101" si="317">+O100/K100-1</f>
        <v>0.17079895710561099</v>
      </c>
      <c r="P101" s="15">
        <f t="shared" si="317"/>
        <v>0.20796079302493475</v>
      </c>
      <c r="Q101" s="15">
        <f t="shared" si="317"/>
        <v>0.24496094062441687</v>
      </c>
      <c r="R101" s="15">
        <f t="shared" si="317"/>
        <v>0.21555271565495215</v>
      </c>
      <c r="S101" s="15">
        <f t="shared" si="317"/>
        <v>0.16353885763791443</v>
      </c>
      <c r="T101" s="15">
        <f t="shared" si="317"/>
        <v>4.4732033054811771E-2</v>
      </c>
      <c r="U101" s="15">
        <f t="shared" si="317"/>
        <v>-2.3546544311726647E-2</v>
      </c>
      <c r="V101" s="15">
        <f t="shared" si="317"/>
        <v>-4.0644679710251541E-2</v>
      </c>
      <c r="W101" s="15">
        <f t="shared" si="317"/>
        <v>-5.1470549679882072E-2</v>
      </c>
      <c r="X101" s="15">
        <f t="shared" si="317"/>
        <v>0</v>
      </c>
      <c r="Y101" s="15">
        <f t="shared" si="317"/>
        <v>-6.0971263453978297E-3</v>
      </c>
      <c r="Z101" s="15">
        <f t="shared" si="317"/>
        <v>-9.8081116919268574E-4</v>
      </c>
      <c r="AT101" s="5">
        <f>+AT100/AS100-1</f>
        <v>2.5074382076810675E-3</v>
      </c>
      <c r="AU101" s="5">
        <f>+AU100/AT100-1</f>
        <v>-4.6735636643927214E-2</v>
      </c>
    </row>
    <row r="102" spans="2:47" x14ac:dyDescent="0.25">
      <c r="B102" s="3" t="s">
        <v>100</v>
      </c>
      <c r="G102" s="11">
        <f>+G16/G100*1000</f>
        <v>334.49548143813797</v>
      </c>
      <c r="K102" s="11">
        <f t="shared" ref="K102:Z102" si="318">+K16/K100*1000</f>
        <v>395.11411121825779</v>
      </c>
      <c r="L102" s="11">
        <f t="shared" si="318"/>
        <v>429.55517298828232</v>
      </c>
      <c r="M102" s="11">
        <f t="shared" si="318"/>
        <v>434.03897939051376</v>
      </c>
      <c r="N102" s="11">
        <f t="shared" si="318"/>
        <v>481.30990415335464</v>
      </c>
      <c r="O102" s="11">
        <f t="shared" si="318"/>
        <v>414.93905043134475</v>
      </c>
      <c r="P102" s="11">
        <f t="shared" si="318"/>
        <v>400.45628512648409</v>
      </c>
      <c r="Q102" s="11">
        <f t="shared" si="318"/>
        <v>369.91310586307884</v>
      </c>
      <c r="R102" s="11">
        <f t="shared" si="318"/>
        <v>399.76029521536634</v>
      </c>
      <c r="S102" s="11">
        <f t="shared" si="318"/>
        <v>365.93064899245451</v>
      </c>
      <c r="T102" s="11">
        <f t="shared" si="318"/>
        <v>410.36755079813861</v>
      </c>
      <c r="U102" s="11">
        <f t="shared" si="318"/>
        <v>420.50981187733373</v>
      </c>
      <c r="V102" s="11">
        <f t="shared" si="318"/>
        <v>472.92632409507837</v>
      </c>
      <c r="W102" s="11">
        <f t="shared" si="318"/>
        <v>445.22513060062471</v>
      </c>
      <c r="X102" s="11">
        <f t="shared" si="318"/>
        <v>466.1327407342215</v>
      </c>
      <c r="Y102" s="11">
        <f t="shared" si="318"/>
        <v>486.9448168192024</v>
      </c>
      <c r="Z102" s="11">
        <f t="shared" si="318"/>
        <v>529.11042490525062</v>
      </c>
      <c r="AS102" s="11">
        <f t="shared" ref="AS102:AU102" si="319">+AS16/AS100*1000</f>
        <v>1486.779440058034</v>
      </c>
      <c r="AT102" s="11">
        <f t="shared" si="319"/>
        <v>1611.8315147002534</v>
      </c>
      <c r="AU102" s="11">
        <f t="shared" si="319"/>
        <v>1925.3127097107779</v>
      </c>
    </row>
    <row r="103" spans="2:47" x14ac:dyDescent="0.25">
      <c r="AS103" s="11"/>
    </row>
    <row r="105" spans="2:47" x14ac:dyDescent="0.25">
      <c r="B105" s="3" t="s">
        <v>241</v>
      </c>
      <c r="AL105">
        <v>37.94</v>
      </c>
      <c r="AM105">
        <v>38.590000000000003</v>
      </c>
      <c r="AN105">
        <v>52.32</v>
      </c>
      <c r="AO105">
        <v>51.78</v>
      </c>
      <c r="AP105">
        <v>66.849999999999994</v>
      </c>
      <c r="AQ105">
        <v>87.59</v>
      </c>
      <c r="AR105">
        <v>144.68</v>
      </c>
      <c r="AS105">
        <v>88.73</v>
      </c>
    </row>
    <row r="106" spans="2:47" x14ac:dyDescent="0.25">
      <c r="AS106" s="5">
        <f>AS105/AL105-1</f>
        <v>1.3386926726410122</v>
      </c>
    </row>
    <row r="108" spans="2:47" x14ac:dyDescent="0.25">
      <c r="B108" t="s">
        <v>240</v>
      </c>
      <c r="AL108" s="3">
        <v>5007.41</v>
      </c>
      <c r="AM108" s="3">
        <v>5383.12</v>
      </c>
      <c r="AN108" s="3">
        <v>6903.39</v>
      </c>
      <c r="AO108" s="3">
        <v>6635.28</v>
      </c>
      <c r="AP108" s="3">
        <v>8972.6</v>
      </c>
      <c r="AQ108" s="3">
        <v>12888.28</v>
      </c>
      <c r="AR108" s="3">
        <v>15644.97</v>
      </c>
      <c r="AS108" s="3">
        <v>10466.48</v>
      </c>
    </row>
    <row r="109" spans="2:47" x14ac:dyDescent="0.25">
      <c r="AS109" s="5">
        <f>AS108/AL108-1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2025-05-27T16:04:21Z</dcterms:modified>
</cp:coreProperties>
</file>