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1FA353EC-61CC-47D9-8041-172E650790E7}" xr6:coauthVersionLast="47" xr6:coauthVersionMax="47" xr10:uidLastSave="{00000000-0000-0000-0000-000000000000}"/>
  <bookViews>
    <workbookView xWindow="-42540" yWindow="2190" windowWidth="40710" windowHeight="17760" activeTab="1" xr2:uid="{6D0C9AA7-E60A-45CC-9230-29CA233AF48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2" i="2" l="1"/>
  <c r="AV12" i="2"/>
  <c r="AU12" i="2"/>
  <c r="AT12" i="2"/>
  <c r="AS12" i="2"/>
  <c r="AT17" i="2"/>
  <c r="AS17" i="2"/>
  <c r="AS16" i="2" s="1"/>
  <c r="AR17" i="2"/>
  <c r="AD12" i="2"/>
  <c r="AD17" i="2" s="1"/>
  <c r="AC12" i="2"/>
  <c r="AB12" i="2"/>
  <c r="Y55" i="2"/>
  <c r="X55" i="2"/>
  <c r="AA45" i="2"/>
  <c r="Z45" i="2"/>
  <c r="Y45" i="2"/>
  <c r="AC17" i="2"/>
  <c r="AD16" i="2"/>
  <c r="AC16" i="2"/>
  <c r="AB16" i="2"/>
  <c r="AD21" i="2"/>
  <c r="AC21" i="2"/>
  <c r="AB21" i="2"/>
  <c r="AD29" i="2"/>
  <c r="AC29" i="2"/>
  <c r="AB29" i="2"/>
  <c r="AA6" i="2"/>
  <c r="AC31" i="2"/>
  <c r="AB31" i="2"/>
  <c r="AC33" i="2"/>
  <c r="AS20" i="2"/>
  <c r="AT20" i="2" s="1"/>
  <c r="AU20" i="2" s="1"/>
  <c r="AV20" i="2" s="1"/>
  <c r="AW20" i="2" s="1"/>
  <c r="AX20" i="2" s="1"/>
  <c r="AY20" i="2" s="1"/>
  <c r="AZ20" i="2" s="1"/>
  <c r="BA20" i="2" s="1"/>
  <c r="BB20" i="2" s="1"/>
  <c r="AR19" i="2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AR18" i="2"/>
  <c r="AS18" i="2" s="1"/>
  <c r="AR20" i="2"/>
  <c r="AS24" i="2"/>
  <c r="AR24" i="2"/>
  <c r="AS29" i="2"/>
  <c r="AT29" i="2" s="1"/>
  <c r="AR29" i="2"/>
  <c r="AQ33" i="2"/>
  <c r="AP33" i="2"/>
  <c r="AO33" i="2"/>
  <c r="AN33" i="2"/>
  <c r="AQ34" i="2"/>
  <c r="AP34" i="2"/>
  <c r="AQ31" i="2"/>
  <c r="AP31" i="2"/>
  <c r="AQ29" i="2"/>
  <c r="AP29" i="2"/>
  <c r="AQ26" i="2"/>
  <c r="AP26" i="2"/>
  <c r="AQ24" i="2"/>
  <c r="AQ25" i="2" s="1"/>
  <c r="AQ27" i="2" s="1"/>
  <c r="AQ28" i="2" s="1"/>
  <c r="AP24" i="2"/>
  <c r="AP25" i="2" s="1"/>
  <c r="AP27" i="2" s="1"/>
  <c r="AP28" i="2" s="1"/>
  <c r="AQ23" i="2"/>
  <c r="AP23" i="2"/>
  <c r="AQ20" i="2"/>
  <c r="AP20" i="2"/>
  <c r="AQ19" i="2"/>
  <c r="AP19" i="2"/>
  <c r="AQ18" i="2"/>
  <c r="AQ21" i="2" s="1"/>
  <c r="AQ22" i="2" s="1"/>
  <c r="AP18" i="2"/>
  <c r="AP21" i="2"/>
  <c r="AP22" i="2" s="1"/>
  <c r="AQ16" i="2"/>
  <c r="AQ17" i="2" s="1"/>
  <c r="AP16" i="2"/>
  <c r="AP17" i="2" s="1"/>
  <c r="AQ15" i="2"/>
  <c r="AP15" i="2"/>
  <c r="AQ14" i="2"/>
  <c r="AP14" i="2"/>
  <c r="AQ13" i="2"/>
  <c r="AP13" i="2"/>
  <c r="AP12" i="2"/>
  <c r="AQ12" i="2"/>
  <c r="T64" i="2"/>
  <c r="U64" i="2"/>
  <c r="V64" i="2"/>
  <c r="W64" i="2"/>
  <c r="X64" i="2"/>
  <c r="L63" i="2"/>
  <c r="N63" i="2"/>
  <c r="M63" i="2"/>
  <c r="Q63" i="2"/>
  <c r="P63" i="2"/>
  <c r="O63" i="2"/>
  <c r="S63" i="2"/>
  <c r="T63" i="2"/>
  <c r="U63" i="2"/>
  <c r="Y64" i="2"/>
  <c r="V63" i="2"/>
  <c r="R63" i="2"/>
  <c r="AA24" i="2"/>
  <c r="Y24" i="2"/>
  <c r="Z64" i="2"/>
  <c r="AA64" i="2"/>
  <c r="Z63" i="2"/>
  <c r="AA63" i="2"/>
  <c r="AA31" i="2"/>
  <c r="AA21" i="2"/>
  <c r="U33" i="2"/>
  <c r="V33" i="2"/>
  <c r="W33" i="2"/>
  <c r="X33" i="2"/>
  <c r="Y33" i="2"/>
  <c r="Z33" i="2"/>
  <c r="AA16" i="2"/>
  <c r="AA17" i="2" s="1"/>
  <c r="Z31" i="2"/>
  <c r="T31" i="2"/>
  <c r="U31" i="2"/>
  <c r="Z6" i="2"/>
  <c r="Y6" i="2"/>
  <c r="X6" i="2"/>
  <c r="W6" i="2"/>
  <c r="V6" i="2"/>
  <c r="U6" i="2"/>
  <c r="T6" i="2"/>
  <c r="S6" i="2"/>
  <c r="Z24" i="2"/>
  <c r="Z21" i="2"/>
  <c r="Z16" i="2"/>
  <c r="Z17" i="2" s="1"/>
  <c r="Z22" i="2" s="1"/>
  <c r="X62" i="2"/>
  <c r="Y62" i="2" s="1"/>
  <c r="U21" i="2"/>
  <c r="Y21" i="2"/>
  <c r="U16" i="2"/>
  <c r="U17" i="2" s="1"/>
  <c r="Y16" i="2"/>
  <c r="Y17" i="2" s="1"/>
  <c r="Y31" i="2"/>
  <c r="W63" i="2"/>
  <c r="W50" i="2"/>
  <c r="W55" i="2" s="1"/>
  <c r="W40" i="2"/>
  <c r="W37" i="2"/>
  <c r="X45" i="2"/>
  <c r="V45" i="2"/>
  <c r="U45" i="2"/>
  <c r="T45" i="2"/>
  <c r="S45" i="2"/>
  <c r="W43" i="2"/>
  <c r="X61" i="2"/>
  <c r="L5" i="1"/>
  <c r="V24" i="2"/>
  <c r="V31" i="2"/>
  <c r="V21" i="2"/>
  <c r="V16" i="2"/>
  <c r="V17" i="2" s="1"/>
  <c r="S24" i="2"/>
  <c r="S31" i="2"/>
  <c r="S21" i="2"/>
  <c r="S16" i="2"/>
  <c r="S17" i="2" s="1"/>
  <c r="W24" i="2"/>
  <c r="W31" i="2"/>
  <c r="W21" i="2"/>
  <c r="W16" i="2"/>
  <c r="W17" i="2" s="1"/>
  <c r="X31" i="2"/>
  <c r="X24" i="2"/>
  <c r="X21" i="2"/>
  <c r="X16" i="2"/>
  <c r="X17" i="2" s="1"/>
  <c r="P21" i="2"/>
  <c r="T21" i="2"/>
  <c r="T16" i="2"/>
  <c r="T17" i="2" s="1"/>
  <c r="T33" i="2" s="1"/>
  <c r="P16" i="2"/>
  <c r="P17" i="2" s="1"/>
  <c r="K66" i="2"/>
  <c r="K68" i="2" s="1"/>
  <c r="R50" i="2"/>
  <c r="R55" i="2" s="1"/>
  <c r="R43" i="2"/>
  <c r="R40" i="2"/>
  <c r="R36" i="2"/>
  <c r="Q32" i="2"/>
  <c r="Q31" i="2"/>
  <c r="M21" i="2"/>
  <c r="M16" i="2"/>
  <c r="M17" i="2" s="1"/>
  <c r="Q21" i="2"/>
  <c r="Q16" i="2"/>
  <c r="Q17" i="2" s="1"/>
  <c r="R32" i="2"/>
  <c r="R31" i="2"/>
  <c r="N21" i="2"/>
  <c r="N16" i="2"/>
  <c r="N17" i="2" s="1"/>
  <c r="R26" i="2"/>
  <c r="R21" i="2"/>
  <c r="R16" i="2"/>
  <c r="R17" i="2" s="1"/>
  <c r="AM3" i="2"/>
  <c r="AN3" i="2"/>
  <c r="AO3" i="2"/>
  <c r="AO36" i="2"/>
  <c r="AO50" i="2"/>
  <c r="AO55" i="2" s="1"/>
  <c r="AO40" i="2"/>
  <c r="AO43" i="2"/>
  <c r="AN31" i="2"/>
  <c r="AO31" i="2"/>
  <c r="AN24" i="2"/>
  <c r="AO26" i="2"/>
  <c r="AO24" i="2"/>
  <c r="AO21" i="2"/>
  <c r="AN21" i="2"/>
  <c r="AN16" i="2"/>
  <c r="AN17" i="2" s="1"/>
  <c r="AO16" i="2"/>
  <c r="AO17" i="2" s="1"/>
  <c r="AI2" i="2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Q34" i="2"/>
  <c r="P34" i="2"/>
  <c r="O34" i="2"/>
  <c r="N34" i="2"/>
  <c r="M34" i="2"/>
  <c r="L34" i="2"/>
  <c r="K34" i="2"/>
  <c r="J34" i="2"/>
  <c r="I34" i="2"/>
  <c r="H34" i="2"/>
  <c r="G34" i="2"/>
  <c r="R34" i="2"/>
  <c r="L4" i="1"/>
  <c r="L3" i="1"/>
  <c r="AD33" i="2" l="1"/>
  <c r="AD22" i="2"/>
  <c r="AD25" i="2" s="1"/>
  <c r="AD27" i="2" s="1"/>
  <c r="AD28" i="2" s="1"/>
  <c r="AD31" i="2"/>
  <c r="AC22" i="2"/>
  <c r="AC25" i="2" s="1"/>
  <c r="AC27" i="2" s="1"/>
  <c r="AC28" i="2" s="1"/>
  <c r="AB17" i="2"/>
  <c r="AB33" i="2" s="1"/>
  <c r="AB22" i="2"/>
  <c r="AB25" i="2" s="1"/>
  <c r="AB27" i="2" s="1"/>
  <c r="AB28" i="2" s="1"/>
  <c r="AT18" i="2"/>
  <c r="AS21" i="2"/>
  <c r="AR21" i="2"/>
  <c r="AT24" i="2"/>
  <c r="AU29" i="2"/>
  <c r="AR12" i="2"/>
  <c r="AA22" i="2"/>
  <c r="AA25" i="2" s="1"/>
  <c r="AA27" i="2" s="1"/>
  <c r="AA28" i="2" s="1"/>
  <c r="AA33" i="2"/>
  <c r="U22" i="2"/>
  <c r="Z25" i="2"/>
  <c r="Z27" i="2" s="1"/>
  <c r="Z28" i="2" s="1"/>
  <c r="X63" i="2"/>
  <c r="Y22" i="2"/>
  <c r="Y25" i="2" s="1"/>
  <c r="Y27" i="2" s="1"/>
  <c r="Y28" i="2" s="1"/>
  <c r="Q22" i="2"/>
  <c r="Y61" i="2"/>
  <c r="Y63" i="2" s="1"/>
  <c r="W45" i="2"/>
  <c r="R45" i="2"/>
  <c r="R22" i="2"/>
  <c r="R25" i="2" s="1"/>
  <c r="X22" i="2"/>
  <c r="X25" i="2" s="1"/>
  <c r="X27" i="2" s="1"/>
  <c r="X28" i="2" s="1"/>
  <c r="P22" i="2"/>
  <c r="L7" i="1"/>
  <c r="V22" i="2"/>
  <c r="V25" i="2" s="1"/>
  <c r="V27" i="2" s="1"/>
  <c r="V28" i="2" s="1"/>
  <c r="S22" i="2"/>
  <c r="S25" i="2" s="1"/>
  <c r="S27" i="2" s="1"/>
  <c r="S28" i="2" s="1"/>
  <c r="W22" i="2"/>
  <c r="W25" i="2" s="1"/>
  <c r="W27" i="2" s="1"/>
  <c r="W28" i="2" s="1"/>
  <c r="T22" i="2"/>
  <c r="AO34" i="2"/>
  <c r="M22" i="2"/>
  <c r="M25" i="2" s="1"/>
  <c r="M27" i="2" s="1"/>
  <c r="M28" i="2" s="1"/>
  <c r="R27" i="2"/>
  <c r="R28" i="2" s="1"/>
  <c r="N22" i="2"/>
  <c r="N25" i="2" s="1"/>
  <c r="N27" i="2" s="1"/>
  <c r="N28" i="2" s="1"/>
  <c r="AO45" i="2"/>
  <c r="AN34" i="2"/>
  <c r="AN22" i="2"/>
  <c r="AN25" i="2" s="1"/>
  <c r="AN27" i="2" s="1"/>
  <c r="AN28" i="2" s="1"/>
  <c r="AO22" i="2"/>
  <c r="AO25" i="2" s="1"/>
  <c r="AO27" i="2" s="1"/>
  <c r="AO28" i="2" s="1"/>
  <c r="AR31" i="2" l="1"/>
  <c r="AR33" i="2"/>
  <c r="AT21" i="2"/>
  <c r="AU18" i="2"/>
  <c r="AU24" i="2"/>
  <c r="AV29" i="2"/>
  <c r="AR16" i="2" l="1"/>
  <c r="AS31" i="2"/>
  <c r="AR22" i="2"/>
  <c r="AR25" i="2" s="1"/>
  <c r="AR26" i="2" s="1"/>
  <c r="AR27" i="2" s="1"/>
  <c r="AR28" i="2" s="1"/>
  <c r="AV18" i="2"/>
  <c r="AU21" i="2"/>
  <c r="AV24" i="2"/>
  <c r="AW29" i="2"/>
  <c r="AT16" i="2" l="1"/>
  <c r="AU17" i="2"/>
  <c r="AT31" i="2"/>
  <c r="AS33" i="2"/>
  <c r="AS22" i="2"/>
  <c r="AS25" i="2" s="1"/>
  <c r="AS26" i="2" s="1"/>
  <c r="AS27" i="2" s="1"/>
  <c r="AS28" i="2" s="1"/>
  <c r="AV21" i="2"/>
  <c r="AW18" i="2"/>
  <c r="AW24" i="2"/>
  <c r="AX29" i="2"/>
  <c r="AU31" i="2" l="1"/>
  <c r="AV17" i="2"/>
  <c r="AT33" i="2"/>
  <c r="AT22" i="2"/>
  <c r="AT25" i="2" s="1"/>
  <c r="AX18" i="2"/>
  <c r="AW21" i="2"/>
  <c r="AX24" i="2"/>
  <c r="AY29" i="2"/>
  <c r="AU33" i="2" l="1"/>
  <c r="AU22" i="2"/>
  <c r="AU25" i="2" s="1"/>
  <c r="AU26" i="2" s="1"/>
  <c r="AU27" i="2" s="1"/>
  <c r="AU28" i="2" s="1"/>
  <c r="AT26" i="2"/>
  <c r="AT27" i="2" s="1"/>
  <c r="AT28" i="2" s="1"/>
  <c r="AU16" i="2"/>
  <c r="AW17" i="2"/>
  <c r="AV16" i="2"/>
  <c r="AV31" i="2"/>
  <c r="AX21" i="2"/>
  <c r="AY18" i="2"/>
  <c r="AY24" i="2"/>
  <c r="AZ29" i="2"/>
  <c r="AX12" i="2" l="1"/>
  <c r="AX17" i="2" s="1"/>
  <c r="AW16" i="2"/>
  <c r="AW31" i="2"/>
  <c r="AV33" i="2"/>
  <c r="AV22" i="2"/>
  <c r="AV25" i="2" s="1"/>
  <c r="AV26" i="2" s="1"/>
  <c r="AV27" i="2" s="1"/>
  <c r="AV28" i="2" s="1"/>
  <c r="AZ18" i="2"/>
  <c r="AY21" i="2"/>
  <c r="AZ24" i="2"/>
  <c r="BA29" i="2"/>
  <c r="AW33" i="2" l="1"/>
  <c r="AW22" i="2"/>
  <c r="AW25" i="2" s="1"/>
  <c r="AW26" i="2" s="1"/>
  <c r="AW27" i="2" s="1"/>
  <c r="AW28" i="2" s="1"/>
  <c r="AY12" i="2"/>
  <c r="AY17" i="2" s="1"/>
  <c r="AX16" i="2"/>
  <c r="AX31" i="2"/>
  <c r="AZ21" i="2"/>
  <c r="BA18" i="2"/>
  <c r="BA24" i="2"/>
  <c r="BB29" i="2"/>
  <c r="AZ12" i="2" l="1"/>
  <c r="AZ17" i="2" s="1"/>
  <c r="AY16" i="2"/>
  <c r="AY31" i="2"/>
  <c r="AX33" i="2"/>
  <c r="AX22" i="2"/>
  <c r="AX25" i="2" s="1"/>
  <c r="AX26" i="2" s="1"/>
  <c r="AX27" i="2" s="1"/>
  <c r="AX28" i="2" s="1"/>
  <c r="BA21" i="2"/>
  <c r="BB18" i="2"/>
  <c r="BB21" i="2" s="1"/>
  <c r="BB24" i="2"/>
  <c r="AZ16" i="2" l="1"/>
  <c r="AZ31" i="2"/>
  <c r="BA12" i="2"/>
  <c r="BA17" i="2" s="1"/>
  <c r="AY33" i="2"/>
  <c r="AY22" i="2"/>
  <c r="AY25" i="2" s="1"/>
  <c r="AY26" i="2" l="1"/>
  <c r="AY27" i="2" s="1"/>
  <c r="AY28" i="2" s="1"/>
  <c r="BB12" i="2"/>
  <c r="BB17" i="2" s="1"/>
  <c r="BA31" i="2"/>
  <c r="BA16" i="2"/>
  <c r="AZ33" i="2"/>
  <c r="AZ22" i="2"/>
  <c r="AZ25" i="2" s="1"/>
  <c r="AZ26" i="2" s="1"/>
  <c r="AZ27" i="2" s="1"/>
  <c r="AZ28" i="2" s="1"/>
  <c r="BA33" i="2" l="1"/>
  <c r="BA22" i="2"/>
  <c r="BA25" i="2" s="1"/>
  <c r="BA26" i="2" s="1"/>
  <c r="BA27" i="2" s="1"/>
  <c r="BA28" i="2" s="1"/>
  <c r="BB31" i="2"/>
  <c r="BB16" i="2"/>
  <c r="BB33" i="2" l="1"/>
  <c r="BB22" i="2"/>
  <c r="BB25" i="2" s="1"/>
  <c r="BB26" i="2" l="1"/>
  <c r="BB27" i="2" s="1"/>
  <c r="BB28" i="2" s="1"/>
</calcChain>
</file>

<file path=xl/sharedStrings.xml><?xml version="1.0" encoding="utf-8"?>
<sst xmlns="http://schemas.openxmlformats.org/spreadsheetml/2006/main" count="95" uniqueCount="86">
  <si>
    <t>Price</t>
  </si>
  <si>
    <t>Shares</t>
  </si>
  <si>
    <t>MC</t>
  </si>
  <si>
    <t>Cash</t>
  </si>
  <si>
    <t>Debt</t>
  </si>
  <si>
    <t>EV</t>
  </si>
  <si>
    <t>2128 employees</t>
  </si>
  <si>
    <t>2004 founded</t>
  </si>
  <si>
    <t>Main</t>
  </si>
  <si>
    <t>DAUs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</si>
  <si>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</si>
  <si>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</si>
  <si>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</si>
  <si>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</si>
  <si>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</si>
  <si>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</si>
  <si>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</si>
  <si>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</si>
  <si>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</si>
  <si>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</si>
  <si>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</si>
  <si>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</si>
  <si>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</si>
  <si>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</si>
  <si>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</si>
  <si>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</si>
  <si>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DAUs y/y</t>
  </si>
  <si>
    <t>Hours</t>
  </si>
  <si>
    <t>Hours/DAU</t>
  </si>
  <si>
    <t>ABpDAU</t>
  </si>
  <si>
    <t>Bookings</t>
  </si>
  <si>
    <t>Revenue</t>
  </si>
  <si>
    <t>AdjEBITDA</t>
  </si>
  <si>
    <t>Gross Profit</t>
  </si>
  <si>
    <t>COGS</t>
  </si>
  <si>
    <t>COR</t>
  </si>
  <si>
    <t>DevExch</t>
  </si>
  <si>
    <t>Infra/Trust</t>
  </si>
  <si>
    <t>R&amp;D</t>
  </si>
  <si>
    <t>G&amp;A</t>
  </si>
  <si>
    <t>S&amp;M</t>
  </si>
  <si>
    <t>Operating Expenses</t>
  </si>
  <si>
    <t>Operating Income</t>
  </si>
  <si>
    <t>Interest</t>
  </si>
  <si>
    <t>Pretax</t>
  </si>
  <si>
    <t>Taxes</t>
  </si>
  <si>
    <t>Net Income</t>
  </si>
  <si>
    <t>EPS</t>
  </si>
  <si>
    <t>Revenue y/y</t>
  </si>
  <si>
    <t>DUPU</t>
  </si>
  <si>
    <t>Assets</t>
  </si>
  <si>
    <t>A/R</t>
  </si>
  <si>
    <t>Prepaids</t>
  </si>
  <si>
    <t>DCOR</t>
  </si>
  <si>
    <t>PP&amp;E</t>
  </si>
  <si>
    <t>Goodwill</t>
  </si>
  <si>
    <t>Lease</t>
  </si>
  <si>
    <t>OA</t>
  </si>
  <si>
    <t>AP</t>
  </si>
  <si>
    <t>AE</t>
  </si>
  <si>
    <t>DR</t>
  </si>
  <si>
    <t>Leases</t>
  </si>
  <si>
    <t>OLTL</t>
  </si>
  <si>
    <t>S/E</t>
  </si>
  <si>
    <t>L+S/E</t>
  </si>
  <si>
    <t>Net Cash</t>
  </si>
  <si>
    <t>CFFO</t>
  </si>
  <si>
    <t>Q123</t>
  </si>
  <si>
    <t>Q223</t>
  </si>
  <si>
    <t>Q323</t>
  </si>
  <si>
    <t>Q423</t>
  </si>
  <si>
    <t>Bookings y/y</t>
  </si>
  <si>
    <t>S/O</t>
  </si>
  <si>
    <t>Q124</t>
  </si>
  <si>
    <t>Q224</t>
  </si>
  <si>
    <t>Q324</t>
  </si>
  <si>
    <t>Q424</t>
  </si>
  <si>
    <t>Reported NI</t>
  </si>
  <si>
    <t>CapEx</t>
  </si>
  <si>
    <t>FCF</t>
  </si>
  <si>
    <t>Q125</t>
  </si>
  <si>
    <t>Q225</t>
  </si>
  <si>
    <t>Q325</t>
  </si>
  <si>
    <t>Q425</t>
  </si>
  <si>
    <t>Unique Payers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</si>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</sst>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9" fontId="0" fillId="0" borderId="0" xfId="0" applyNumberFormat="1"/>
    <xf numFmtId="3" fontId="1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3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5C0FE8F-65FC-468A-84F7-7C5C29E98C6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Model!$T$2:$AA$2</c:f>
              <c:strCache>
                <c:ptCount val="8"/>
                <c:pt idx="0">
                  <c:v>Q223</c:v>
                </c:pt>
                <c:pt idx="1">
                  <c:v>Q323</c:v>
                </c:pt>
                <c:pt idx="2">
                  <c:v>Q423</c:v>
                </c:pt>
                <c:pt idx="3">
                  <c:v>Q124</c:v>
                </c:pt>
                <c:pt idx="4">
                  <c:v>Q224</c:v>
                </c:pt>
                <c:pt idx="5">
                  <c:v>Q324</c:v>
                </c:pt>
                <c:pt idx="6">
                  <c:v>Q424</c:v>
                </c:pt>
                <c:pt idx="7">
                  <c:v>Q125</c:v>
                </c:pt>
              </c:strCache>
            </c:strRef>
          </c:cat>
          <c:val>
            <c:numRef>
              <c:f>Model!$T$64:$AA$64</c:f>
              <c:numCache>
                <c:formatCode>#,##0</c:formatCode>
                <c:ptCount val="8"/>
                <c:pt idx="0">
                  <c:v>-104.301</c:v>
                </c:pt>
                <c:pt idx="1">
                  <c:v>21.418999999999983</c:v>
                </c:pt>
                <c:pt idx="2">
                  <c:v>137.51300000000001</c:v>
                </c:pt>
                <c:pt idx="3">
                  <c:v>247.35699999999997</c:v>
                </c:pt>
                <c:pt idx="4">
                  <c:v>441.62999999999994</c:v>
                </c:pt>
                <c:pt idx="5">
                  <c:v>600.14700000000016</c:v>
                </c:pt>
                <c:pt idx="6">
                  <c:v>642.67000000000007</c:v>
                </c:pt>
                <c:pt idx="7">
                  <c:v>876.95300000000009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6-4E02-850A-7EC2E218F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054719"/>
        <c:axId val="1327051839"/>
      </c:lineChart>
      <c:catAx>
        <c:axId val="132705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51839"/>
        <c:crosses val="autoZero"/>
        <c:auto val="1"/>
        <c:lblAlgn val="ctr"/>
        <c:lblOffset val="100"/>
        <c:noMultiLvlLbl val="0"/>
      </c:catAx>
      <c:valAx>
        <c:axId val="13270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5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43552</xdr:colOff>
      <xdr:row>0</xdr:row>
      <xdr:rowOff>10422</xdr:rowOff>
    </xdr:from>
    <xdr:to>
      <xdr:col>43</xdr:col>
      <xdr:colOff>43552</xdr:colOff>
      <xdr:row>64</xdr:row>
      <xdr:rowOff>28281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EF4E1AE-E4E0-0B87-9679-574C5EDDD140}"/>
            </a:ext>
          </a:extLst>
        </xdr:cNvPr>
        <xdr:cNvCxnSpPr/>
      </xdr:nvCxnSpPr>
      <xdr:spPr>
        <a:xfrm>
          <a:off x="27127682" y="10422"/>
          <a:ext cx="0" cy="106195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39976</xdr:colOff>
      <xdr:row>0</xdr:row>
      <xdr:rowOff>21648</xdr:rowOff>
    </xdr:from>
    <xdr:to>
      <xdr:col>27</xdr:col>
      <xdr:colOff>39976</xdr:colOff>
      <xdr:row>67</xdr:row>
      <xdr:rowOff>143886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4861381-191D-7495-87EE-64F11A78D1A2}"/>
            </a:ext>
          </a:extLst>
        </xdr:cNvPr>
        <xdr:cNvCxnSpPr/>
      </xdr:nvCxnSpPr>
      <xdr:spPr>
        <a:xfrm>
          <a:off x="17141681" y="21648"/>
          <a:ext cx="0" cy="108551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186171</xdr:colOff>
      <xdr:row>41</xdr:row>
      <xdr:rowOff>116898</xdr:rowOff>
    </xdr:from>
    <xdr:to>
      <xdr:col>33</xdr:col>
      <xdr:colOff>285752</xdr:colOff>
      <xdr:row>56</xdr:row>
      <xdr:rowOff>73602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D1BDB-F4FD-FE5D-8122-4878EC55D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8E6B-4B4B-464E-A208-C37C1AB38F9F}">
  <dimension ref="K2:M12"/>
  <sheetViews>
    <sheetView zoomScale="125" zoomScaleNormal="190" workbookViewId="0"/>
  </sheetViews>
  <sheetFormatPr defaultColWidth="8.81640625" defaultRowHeight="12.5" x14ac:dyDescent="0.25"/>
  <cols>
    <col min="11" max="11" width="16.81640625" customWidth="1"/>
    <col min="12" max="12" width="10.90625" customWidth="1"/>
  </cols>
  <sheetData>
    <row r="2" spans="11:13" x14ac:dyDescent="0.25">
      <c r="K2" t="s">
        <v>0</v>
      </c>
      <c r="L2" s="1">
        <v>84</v>
      </c>
    </row>
    <row r="3" spans="11:13" x14ac:dyDescent="0.25">
      <c r="K3" t="s">
        <v>1</v>
      </c>
      <c r="L3" s="2">
        <f>553.798118+51.337302</f>
        <v>605.13542000000007</v>
      </c>
      <c r="M3" s="4" t="s">
        <v>74</v>
      </c>
    </row>
    <row r="4" spans="11:13" x14ac:dyDescent="0.25">
      <c r="K4" t="s">
        <v>2</v>
      </c>
      <c r="L4" s="2">
        <f>+L2*L3</f>
        <v>50831.375280000007</v>
      </c>
      <c r="M4" s="4"/>
    </row>
    <row r="5" spans="11:13" x14ac:dyDescent="0.25">
      <c r="K5" t="s">
        <v>3</v>
      </c>
      <c r="L5" s="2">
        <f>966.406+1445.689+1189.135</f>
        <v>3601.2300000000005</v>
      </c>
      <c r="M5" s="4" t="s">
        <v>74</v>
      </c>
    </row>
    <row r="6" spans="11:13" x14ac:dyDescent="0.25">
      <c r="K6" t="s">
        <v>4</v>
      </c>
      <c r="L6" s="2">
        <v>1005.679</v>
      </c>
      <c r="M6" s="4" t="s">
        <v>74</v>
      </c>
    </row>
    <row r="7" spans="11:13" x14ac:dyDescent="0.25">
      <c r="K7" t="s">
        <v>5</v>
      </c>
      <c r="L7" s="2">
        <f>L4-L5+L6</f>
        <v>48235.824280000001</v>
      </c>
    </row>
    <row r="11" spans="11:13" x14ac:dyDescent="0.25">
      <c r="K11" t="s">
        <v>6</v>
      </c>
      <c r="L11" s="3">
        <v>44926</v>
      </c>
    </row>
    <row r="12" spans="11:13" x14ac:dyDescent="0.25">
      <c r="K1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7D717-BF13-4B06-BD00-B0629B64921F}">
  <dimension ref="A1:BB68"/>
  <sheetViews>
    <sheetView tabSelected="1" zoomScale="160" zoomScaleNormal="160" workbookViewId="0">
      <pane xSplit="2" ySplit="2" topLeftCell="AF3" activePane="bottomRight" state="frozen"/>
      <selection pane="topRight" activeCell="C1" sqref="C1"/>
      <selection pane="bottomLeft" activeCell="A3" sqref="A3"/>
      <selection pane="bottomRight" activeCell="AX12" sqref="AX12"/>
    </sheetView>
  </sheetViews>
  <sheetFormatPr defaultColWidth="8.81640625" defaultRowHeight="12.5" x14ac:dyDescent="0.25"/>
  <cols>
    <col min="1" max="1" width="5" bestFit="1" customWidth="1"/>
    <col min="2" max="2" width="13.453125" customWidth="1"/>
    <col min="3" max="21" width="9.1796875" style="4"/>
  </cols>
  <sheetData>
    <row r="1" spans="1:54" x14ac:dyDescent="0.25">
      <c r="A1" s="6" t="s">
        <v>8</v>
      </c>
    </row>
    <row r="2" spans="1:54" x14ac:dyDescent="0.25"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4" t="s">
        <v>25</v>
      </c>
      <c r="S2" s="4" t="s">
        <v>67</v>
      </c>
      <c r="T2" s="4" t="s">
        <v>68</v>
      </c>
      <c r="U2" s="4" t="s">
        <v>69</v>
      </c>
      <c r="V2" s="4" t="s">
        <v>70</v>
      </c>
      <c r="W2" s="4" t="s">
        <v>73</v>
      </c>
      <c r="X2" s="4" t="s">
        <v>74</v>
      </c>
      <c r="Y2" s="4" t="s">
        <v>75</v>
      </c>
      <c r="Z2" s="4" t="s">
        <v>76</v>
      </c>
      <c r="AA2" s="4" t="s">
        <v>80</v>
      </c>
      <c r="AB2" s="4" t="s">
        <v>81</v>
      </c>
      <c r="AC2" s="4" t="s">
        <v>82</v>
      </c>
      <c r="AD2" s="4" t="s">
        <v>83</v>
      </c>
      <c r="AH2">
        <v>2015</v>
      </c>
      <c r="AI2">
        <f>+AH2+1</f>
        <v>2016</v>
      </c>
      <c r="AJ2">
        <f t="shared" ref="AJ2:AT2" si="0">+AI2+1</f>
        <v>2017</v>
      </c>
      <c r="AK2">
        <f t="shared" si="0"/>
        <v>2018</v>
      </c>
      <c r="AL2">
        <f t="shared" si="0"/>
        <v>2019</v>
      </c>
      <c r="AM2">
        <f t="shared" si="0"/>
        <v>2020</v>
      </c>
      <c r="AN2">
        <f t="shared" si="0"/>
        <v>2021</v>
      </c>
      <c r="AO2">
        <f t="shared" si="0"/>
        <v>2022</v>
      </c>
      <c r="AP2">
        <f t="shared" si="0"/>
        <v>2023</v>
      </c>
      <c r="AQ2">
        <f t="shared" si="0"/>
        <v>2024</v>
      </c>
      <c r="AR2">
        <f t="shared" si="0"/>
        <v>2025</v>
      </c>
      <c r="AS2">
        <f t="shared" si="0"/>
        <v>2026</v>
      </c>
      <c r="AT2">
        <f t="shared" si="0"/>
        <v>2027</v>
      </c>
      <c r="AU2">
        <v>2028</v>
      </c>
      <c r="AV2">
        <v>2029</v>
      </c>
      <c r="AW2">
        <v>2030</v>
      </c>
      <c r="AX2">
        <v>2031</v>
      </c>
      <c r="AY2">
        <v>2032</v>
      </c>
      <c r="AZ2">
        <v>2033</v>
      </c>
      <c r="BA2">
        <v>2034</v>
      </c>
      <c r="BB2">
        <v>2035</v>
      </c>
    </row>
    <row r="3" spans="1:54" x14ac:dyDescent="0.25">
      <c r="B3" t="s">
        <v>9</v>
      </c>
      <c r="C3" s="4">
        <v>15.8</v>
      </c>
      <c r="D3" s="4">
        <v>17.100000000000001</v>
      </c>
      <c r="E3" s="4">
        <v>18.399999999999999</v>
      </c>
      <c r="F3" s="4">
        <v>19.100000000000001</v>
      </c>
      <c r="G3" s="4">
        <v>23.6</v>
      </c>
      <c r="H3" s="4">
        <v>33.4</v>
      </c>
      <c r="I3" s="4">
        <v>36.200000000000003</v>
      </c>
      <c r="J3" s="4">
        <v>37.1</v>
      </c>
      <c r="K3" s="4">
        <v>42.1</v>
      </c>
      <c r="L3" s="4">
        <v>43.2</v>
      </c>
      <c r="M3" s="4">
        <v>47.3</v>
      </c>
      <c r="N3" s="4">
        <v>49.5</v>
      </c>
      <c r="O3" s="4">
        <v>54.1</v>
      </c>
      <c r="P3" s="4">
        <v>52.2</v>
      </c>
      <c r="Q3" s="4">
        <v>58.8</v>
      </c>
      <c r="R3" s="4">
        <v>58.8</v>
      </c>
      <c r="S3" s="4">
        <v>66.099999999999994</v>
      </c>
      <c r="T3" s="4">
        <v>65.5</v>
      </c>
      <c r="U3" s="4">
        <v>70.2</v>
      </c>
      <c r="V3" s="4">
        <v>71.5</v>
      </c>
      <c r="W3">
        <v>77.7</v>
      </c>
      <c r="X3">
        <v>79.5</v>
      </c>
      <c r="Y3">
        <v>88.9</v>
      </c>
      <c r="Z3">
        <v>85.3</v>
      </c>
      <c r="AA3">
        <v>97.8</v>
      </c>
      <c r="AM3">
        <f>J3</f>
        <v>37.1</v>
      </c>
      <c r="AN3">
        <f>N3</f>
        <v>49.5</v>
      </c>
      <c r="AO3">
        <f>R3</f>
        <v>58.8</v>
      </c>
    </row>
    <row r="4" spans="1:54" x14ac:dyDescent="0.25">
      <c r="B4" t="s">
        <v>84</v>
      </c>
      <c r="T4" s="4">
        <v>13.5</v>
      </c>
      <c r="U4" s="4">
        <v>14.7</v>
      </c>
      <c r="V4">
        <v>15.9</v>
      </c>
      <c r="W4">
        <v>15.6</v>
      </c>
      <c r="X4">
        <v>16.5</v>
      </c>
      <c r="Y4">
        <v>19.100000000000001</v>
      </c>
      <c r="Z4">
        <v>18.899999999999999</v>
      </c>
      <c r="AA4">
        <v>20.2</v>
      </c>
    </row>
    <row r="5" spans="1:54" s="2" customFormat="1" x14ac:dyDescent="0.25">
      <c r="B5" s="2" t="s">
        <v>27</v>
      </c>
      <c r="C5" s="7">
        <v>2974</v>
      </c>
      <c r="D5" s="7">
        <v>3248</v>
      </c>
      <c r="E5" s="7">
        <v>3730</v>
      </c>
      <c r="F5" s="7">
        <v>3701</v>
      </c>
      <c r="G5" s="7">
        <v>4875</v>
      </c>
      <c r="H5" s="7">
        <v>8586</v>
      </c>
      <c r="I5" s="7">
        <v>8711</v>
      </c>
      <c r="J5" s="7">
        <v>8430</v>
      </c>
      <c r="K5" s="7">
        <v>9674</v>
      </c>
      <c r="L5" s="7">
        <v>9738</v>
      </c>
      <c r="M5" s="7">
        <v>11184</v>
      </c>
      <c r="N5" s="7">
        <v>10818</v>
      </c>
      <c r="O5" s="7">
        <v>11822</v>
      </c>
      <c r="P5" s="7">
        <v>11294</v>
      </c>
      <c r="Q5" s="7">
        <v>13399</v>
      </c>
      <c r="R5" s="7">
        <v>12807</v>
      </c>
      <c r="S5" s="7">
        <v>14500</v>
      </c>
      <c r="T5" s="7">
        <v>14000</v>
      </c>
      <c r="U5" s="7">
        <v>16000</v>
      </c>
      <c r="V5" s="7">
        <v>15500</v>
      </c>
      <c r="W5" s="2">
        <v>16700</v>
      </c>
      <c r="X5" s="2">
        <v>17400</v>
      </c>
      <c r="Y5" s="2">
        <v>20700</v>
      </c>
      <c r="Z5" s="2">
        <v>18700</v>
      </c>
      <c r="AA5" s="2">
        <v>21700</v>
      </c>
    </row>
    <row r="6" spans="1:54" x14ac:dyDescent="0.25">
      <c r="B6" t="s">
        <v>28</v>
      </c>
      <c r="C6" s="7">
        <f>+C5/C3</f>
        <v>188.22784810126581</v>
      </c>
      <c r="D6" s="7">
        <f t="shared" ref="D6:AA6" si="1">+D5/D3</f>
        <v>189.94152046783626</v>
      </c>
      <c r="E6" s="7">
        <f t="shared" si="1"/>
        <v>202.71739130434784</v>
      </c>
      <c r="F6" s="7">
        <f t="shared" si="1"/>
        <v>193.7696335078534</v>
      </c>
      <c r="G6" s="7">
        <f t="shared" si="1"/>
        <v>206.56779661016947</v>
      </c>
      <c r="H6" s="7">
        <f t="shared" si="1"/>
        <v>257.06586826347308</v>
      </c>
      <c r="I6" s="7">
        <f t="shared" si="1"/>
        <v>240.63535911602207</v>
      </c>
      <c r="J6" s="7">
        <f t="shared" si="1"/>
        <v>227.22371967654985</v>
      </c>
      <c r="K6" s="7">
        <f t="shared" si="1"/>
        <v>229.78622327790973</v>
      </c>
      <c r="L6" s="7">
        <f t="shared" si="1"/>
        <v>225.41666666666666</v>
      </c>
      <c r="M6" s="7">
        <f t="shared" si="1"/>
        <v>236.44820295983089</v>
      </c>
      <c r="N6" s="7">
        <f t="shared" si="1"/>
        <v>218.54545454545453</v>
      </c>
      <c r="O6" s="7">
        <f t="shared" si="1"/>
        <v>218.52125693160812</v>
      </c>
      <c r="P6" s="7">
        <f t="shared" si="1"/>
        <v>216.36015325670496</v>
      </c>
      <c r="Q6" s="7">
        <f t="shared" si="1"/>
        <v>227.87414965986395</v>
      </c>
      <c r="R6" s="7">
        <f t="shared" si="1"/>
        <v>217.80612244897961</v>
      </c>
      <c r="S6" s="7">
        <f t="shared" si="1"/>
        <v>219.36459909228444</v>
      </c>
      <c r="T6" s="7">
        <f t="shared" si="1"/>
        <v>213.74045801526717</v>
      </c>
      <c r="U6" s="7">
        <f t="shared" si="1"/>
        <v>227.92022792022792</v>
      </c>
      <c r="V6" s="7">
        <f t="shared" si="1"/>
        <v>216.78321678321677</v>
      </c>
      <c r="W6" s="7">
        <f t="shared" si="1"/>
        <v>214.92921492921491</v>
      </c>
      <c r="X6" s="7">
        <f t="shared" si="1"/>
        <v>218.8679245283019</v>
      </c>
      <c r="Y6" s="7">
        <f t="shared" si="1"/>
        <v>232.84589426321708</v>
      </c>
      <c r="Z6" s="7">
        <f t="shared" si="1"/>
        <v>219.22626025791325</v>
      </c>
      <c r="AA6" s="7">
        <f t="shared" si="1"/>
        <v>221.88139059304703</v>
      </c>
      <c r="AB6" s="7"/>
      <c r="AC6" s="7"/>
      <c r="AD6" s="7"/>
    </row>
    <row r="7" spans="1:54" x14ac:dyDescent="0.25">
      <c r="B7" t="s">
        <v>29</v>
      </c>
      <c r="C7" s="8">
        <v>8.98</v>
      </c>
      <c r="D7" s="8">
        <v>8.7799999999999994</v>
      </c>
      <c r="E7" s="8">
        <v>9</v>
      </c>
      <c r="F7" s="8">
        <v>12.37</v>
      </c>
      <c r="G7" s="8">
        <v>10.58</v>
      </c>
      <c r="H7" s="8">
        <v>14.81</v>
      </c>
      <c r="I7" s="8">
        <v>13.73</v>
      </c>
      <c r="J7" s="8">
        <v>17.3</v>
      </c>
      <c r="K7" s="8">
        <v>15.48</v>
      </c>
      <c r="L7" s="8">
        <v>15.41</v>
      </c>
      <c r="M7" s="8">
        <v>13.49</v>
      </c>
      <c r="N7" s="8">
        <v>15.57</v>
      </c>
      <c r="O7" s="8">
        <v>11.67</v>
      </c>
      <c r="P7" s="8">
        <v>12.25</v>
      </c>
      <c r="Q7" s="8">
        <v>11.94</v>
      </c>
      <c r="R7" s="8">
        <v>15.29</v>
      </c>
      <c r="S7" s="8"/>
      <c r="T7" s="8"/>
      <c r="U7" s="8"/>
    </row>
    <row r="8" spans="1:54" s="2" customFormat="1" x14ac:dyDescent="0.25">
      <c r="B8" s="2" t="s">
        <v>30</v>
      </c>
      <c r="C8" s="7"/>
      <c r="D8" s="7"/>
      <c r="E8" s="7"/>
      <c r="F8" s="7"/>
      <c r="G8" s="7"/>
      <c r="H8" s="7"/>
      <c r="I8" s="7"/>
      <c r="J8" s="7"/>
      <c r="K8" s="7"/>
      <c r="L8" s="7"/>
      <c r="M8" s="7">
        <v>637.83299999999997</v>
      </c>
      <c r="N8" s="7">
        <v>770.11599999999999</v>
      </c>
      <c r="O8" s="7"/>
      <c r="P8" s="7"/>
      <c r="Q8" s="7">
        <v>701.71600000000001</v>
      </c>
      <c r="R8" s="7">
        <v>899.4</v>
      </c>
      <c r="S8" s="7">
        <v>773.8</v>
      </c>
      <c r="T8" s="7">
        <v>780.7</v>
      </c>
      <c r="U8" s="7">
        <v>839.5</v>
      </c>
      <c r="V8" s="2">
        <v>1126.8</v>
      </c>
      <c r="W8" s="2">
        <v>923.8</v>
      </c>
      <c r="X8" s="2">
        <v>955.2</v>
      </c>
      <c r="Y8" s="2">
        <v>1128.5</v>
      </c>
      <c r="Z8" s="2">
        <v>1361.6</v>
      </c>
      <c r="AA8" s="2">
        <v>1206.7</v>
      </c>
      <c r="AM8" s="2">
        <v>1882.5429999999999</v>
      </c>
      <c r="AN8" s="2">
        <v>2725.7060000000001</v>
      </c>
      <c r="AO8" s="2">
        <v>2872.2579999999998</v>
      </c>
    </row>
    <row r="9" spans="1:54" x14ac:dyDescent="0.25">
      <c r="B9" t="s">
        <v>49</v>
      </c>
      <c r="AM9" s="2"/>
      <c r="AN9" s="2">
        <v>678</v>
      </c>
      <c r="AO9" s="2">
        <v>725</v>
      </c>
    </row>
    <row r="10" spans="1:54" x14ac:dyDescent="0.25">
      <c r="AM10" s="2"/>
      <c r="AN10" s="2"/>
      <c r="AO10" s="10"/>
    </row>
    <row r="12" spans="1:54" s="9" customFormat="1" ht="13" x14ac:dyDescent="0.3">
      <c r="B12" s="9" t="s">
        <v>31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>
        <v>509.33600000000001</v>
      </c>
      <c r="N12" s="11">
        <v>568.76900000000001</v>
      </c>
      <c r="O12" s="11"/>
      <c r="P12" s="11">
        <v>591.20699999999999</v>
      </c>
      <c r="Q12" s="11">
        <v>517.70699999999999</v>
      </c>
      <c r="R12" s="11">
        <v>579</v>
      </c>
      <c r="S12" s="9">
        <v>655.34400000000005</v>
      </c>
      <c r="T12" s="11">
        <v>680.8</v>
      </c>
      <c r="U12" s="11">
        <v>713.22500000000002</v>
      </c>
      <c r="V12" s="9">
        <v>749.93899999999996</v>
      </c>
      <c r="W12" s="9">
        <v>801.3</v>
      </c>
      <c r="X12" s="9">
        <v>893.54300000000001</v>
      </c>
      <c r="Y12" s="9">
        <v>918.95299999999997</v>
      </c>
      <c r="Z12" s="9">
        <v>988.18299999999999</v>
      </c>
      <c r="AA12" s="9">
        <v>1035.2070000000001</v>
      </c>
      <c r="AB12" s="9">
        <f>+W12*1.3</f>
        <v>1041.69</v>
      </c>
      <c r="AC12" s="9">
        <f>+X12*1.25</f>
        <v>1116.92875</v>
      </c>
      <c r="AD12" s="9">
        <f>+Y12*1.25</f>
        <v>1148.6912499999999</v>
      </c>
      <c r="AM12" s="9">
        <v>923.88499999999999</v>
      </c>
      <c r="AN12" s="9">
        <v>1919.181</v>
      </c>
      <c r="AO12" s="9">
        <v>2225.0520000000001</v>
      </c>
      <c r="AP12" s="9">
        <f>SUM(S12:V12)</f>
        <v>2799.308</v>
      </c>
      <c r="AQ12" s="9">
        <f>SUM(W12:Z12)</f>
        <v>3601.9789999999998</v>
      </c>
      <c r="AR12" s="9">
        <f>SUM(AA12:AD12)</f>
        <v>4342.5169999999998</v>
      </c>
      <c r="AS12" s="9">
        <f>+AR12*1.25</f>
        <v>5428.1462499999998</v>
      </c>
      <c r="AT12" s="9">
        <f>+AS12*1.25</f>
        <v>6785.1828124999993</v>
      </c>
      <c r="AU12" s="9">
        <f>+AT12*1.25</f>
        <v>8481.478515625</v>
      </c>
      <c r="AV12" s="9">
        <f>+AU12*1.25</f>
        <v>10601.84814453125</v>
      </c>
      <c r="AW12" s="9">
        <f>+AV12*1.2</f>
        <v>12722.2177734375</v>
      </c>
      <c r="AX12" s="9">
        <f t="shared" ref="AV12:BB12" si="2">+AW12*1.1</f>
        <v>13994.439550781251</v>
      </c>
      <c r="AY12" s="9">
        <f t="shared" si="2"/>
        <v>15393.883505859378</v>
      </c>
      <c r="AZ12" s="9">
        <f t="shared" si="2"/>
        <v>16933.271856445317</v>
      </c>
      <c r="BA12" s="9">
        <f t="shared" si="2"/>
        <v>18626.599042089849</v>
      </c>
      <c r="BB12" s="9">
        <f t="shared" si="2"/>
        <v>20489.258946298836</v>
      </c>
    </row>
    <row r="13" spans="1:54" x14ac:dyDescent="0.25">
      <c r="B13" t="s">
        <v>35</v>
      </c>
      <c r="M13" s="7">
        <v>130.01499999999999</v>
      </c>
      <c r="N13" s="7">
        <v>151.988</v>
      </c>
      <c r="P13" s="7">
        <v>143.15700000000001</v>
      </c>
      <c r="Q13" s="7">
        <v>126.437</v>
      </c>
      <c r="R13" s="7">
        <v>142.43199999999999</v>
      </c>
      <c r="S13" s="2">
        <v>151.84100000000001</v>
      </c>
      <c r="T13" s="7">
        <v>162.029</v>
      </c>
      <c r="U13" s="7">
        <v>163.58099999999999</v>
      </c>
      <c r="V13" s="2">
        <v>171.66399999999999</v>
      </c>
      <c r="W13" s="2">
        <v>178.86600000000001</v>
      </c>
      <c r="X13" s="2">
        <v>198.55699999999999</v>
      </c>
      <c r="Y13" s="2">
        <v>204.99799999999999</v>
      </c>
      <c r="Z13" s="2">
        <v>218.74100000000001</v>
      </c>
      <c r="AA13" s="13">
        <v>224.72499999999999</v>
      </c>
      <c r="AM13" s="2"/>
      <c r="AN13" s="2">
        <v>496.87</v>
      </c>
      <c r="AO13" s="2">
        <v>547.65800000000002</v>
      </c>
      <c r="AP13" s="13">
        <f>SUM(S13:V13)</f>
        <v>649.11500000000001</v>
      </c>
      <c r="AQ13" s="13">
        <f>SUM(W13:Z13)</f>
        <v>801.16200000000003</v>
      </c>
    </row>
    <row r="14" spans="1:54" x14ac:dyDescent="0.25">
      <c r="B14" t="s">
        <v>36</v>
      </c>
      <c r="M14" s="7">
        <v>129.952</v>
      </c>
      <c r="N14" s="7">
        <v>159.71700000000001</v>
      </c>
      <c r="P14" s="7">
        <v>143.148</v>
      </c>
      <c r="Q14" s="7">
        <v>151.47</v>
      </c>
      <c r="R14" s="7">
        <v>182.11500000000001</v>
      </c>
      <c r="S14" s="2">
        <v>182.44</v>
      </c>
      <c r="T14" s="7">
        <v>165.84299999999999</v>
      </c>
      <c r="U14" s="7">
        <v>170.71899999999999</v>
      </c>
      <c r="V14" s="2">
        <v>221.75</v>
      </c>
      <c r="W14" s="2">
        <v>202.405</v>
      </c>
      <c r="X14" s="2">
        <v>208.27</v>
      </c>
      <c r="Y14" s="2">
        <v>231.536</v>
      </c>
      <c r="Z14" s="2">
        <v>280.61</v>
      </c>
      <c r="AA14" s="13">
        <v>281.56400000000002</v>
      </c>
      <c r="AM14" s="2"/>
      <c r="AN14" s="2">
        <v>538.32100000000003</v>
      </c>
      <c r="AO14" s="2">
        <v>623.85500000000002</v>
      </c>
      <c r="AP14" s="13">
        <f t="shared" ref="AP14:AP15" si="3">SUM(S14:V14)</f>
        <v>740.75199999999995</v>
      </c>
      <c r="AQ14" s="13">
        <f t="shared" ref="AQ14:AQ15" si="4">SUM(W14:Z14)</f>
        <v>922.82100000000003</v>
      </c>
    </row>
    <row r="15" spans="1:54" x14ac:dyDescent="0.25">
      <c r="B15" t="s">
        <v>37</v>
      </c>
      <c r="M15" s="7">
        <v>117.387</v>
      </c>
      <c r="N15" s="7">
        <v>135.989</v>
      </c>
      <c r="P15" s="7">
        <v>158.23500000000001</v>
      </c>
      <c r="Q15" s="7">
        <v>190.98599999999999</v>
      </c>
      <c r="R15" s="7">
        <v>198.505</v>
      </c>
      <c r="S15" s="2">
        <v>211.04400000000001</v>
      </c>
      <c r="T15" s="7">
        <v>225.03899999999999</v>
      </c>
      <c r="U15" s="7">
        <v>218.96799999999999</v>
      </c>
      <c r="V15" s="2">
        <v>223.31</v>
      </c>
      <c r="W15" s="2">
        <v>226.934</v>
      </c>
      <c r="X15" s="2">
        <v>221.06399999999999</v>
      </c>
      <c r="Y15" s="2">
        <v>244.59800000000001</v>
      </c>
      <c r="Z15" s="2">
        <v>222.822</v>
      </c>
      <c r="AA15" s="13">
        <v>242.12700000000001</v>
      </c>
      <c r="AM15" s="2"/>
      <c r="AN15" s="2">
        <v>533.20699999999999</v>
      </c>
      <c r="AO15" s="2">
        <v>689.08100000000002</v>
      </c>
      <c r="AP15" s="13">
        <f t="shared" si="3"/>
        <v>878.36099999999988</v>
      </c>
      <c r="AQ15" s="13">
        <f t="shared" si="4"/>
        <v>915.41800000000001</v>
      </c>
    </row>
    <row r="16" spans="1:54" x14ac:dyDescent="0.25">
      <c r="B16" t="s">
        <v>34</v>
      </c>
      <c r="M16" s="7">
        <f>M15+M14+M13</f>
        <v>377.35399999999998</v>
      </c>
      <c r="N16" s="7">
        <f>N15+N14+N13</f>
        <v>447.69400000000002</v>
      </c>
      <c r="P16" s="7">
        <f t="shared" ref="P16" si="5">P15+P14+P13</f>
        <v>444.54000000000008</v>
      </c>
      <c r="Q16" s="7">
        <f>Q15+Q14+Q13</f>
        <v>468.89300000000003</v>
      </c>
      <c r="R16" s="7">
        <f>R15+R14+R13</f>
        <v>523.05200000000002</v>
      </c>
      <c r="S16" s="7">
        <f t="shared" ref="S16" si="6">S15+S14+S13</f>
        <v>545.32500000000005</v>
      </c>
      <c r="T16" s="7">
        <f t="shared" ref="T16:U16" si="7">T15+T14+T13</f>
        <v>552.91099999999994</v>
      </c>
      <c r="U16" s="7">
        <f t="shared" si="7"/>
        <v>553.26800000000003</v>
      </c>
      <c r="V16" s="7">
        <f t="shared" ref="V16" si="8">V15+V14+V13</f>
        <v>616.72399999999993</v>
      </c>
      <c r="W16" s="7">
        <f t="shared" ref="W16:AA16" si="9">W15+W14+W13</f>
        <v>608.20500000000004</v>
      </c>
      <c r="X16" s="7">
        <f t="shared" si="9"/>
        <v>627.89099999999996</v>
      </c>
      <c r="Y16" s="7">
        <f t="shared" si="9"/>
        <v>681.13200000000006</v>
      </c>
      <c r="Z16" s="7">
        <f t="shared" si="9"/>
        <v>722.173</v>
      </c>
      <c r="AA16" s="7">
        <f t="shared" si="9"/>
        <v>748.41600000000005</v>
      </c>
      <c r="AB16" s="7">
        <f t="shared" ref="AB16:AD16" si="10">AB15+AB14+AB13</f>
        <v>0</v>
      </c>
      <c r="AC16" s="7">
        <f t="shared" si="10"/>
        <v>0</v>
      </c>
      <c r="AD16" s="7">
        <f t="shared" si="10"/>
        <v>0</v>
      </c>
      <c r="AM16" s="2"/>
      <c r="AN16" s="2">
        <f>+AN13+AN14+AN15</f>
        <v>1568.3980000000001</v>
      </c>
      <c r="AO16" s="2">
        <f>+AO13+AO14+AO15</f>
        <v>1860.5940000000001</v>
      </c>
      <c r="AP16" s="2">
        <f t="shared" ref="AP16:AQ16" si="11">+AP13+AP14+AP15</f>
        <v>2268.2280000000001</v>
      </c>
      <c r="AQ16" s="2">
        <f t="shared" si="11"/>
        <v>2639.4010000000003</v>
      </c>
      <c r="AR16" s="2">
        <f>+AR12-AR17</f>
        <v>2822.6360500000001</v>
      </c>
      <c r="AS16" s="2">
        <f>+AS12-AS17</f>
        <v>3256.8877499999999</v>
      </c>
      <c r="AT16" s="2">
        <f t="shared" ref="AS16:BB16" si="12">+AT12-AT17</f>
        <v>3731.8505468749995</v>
      </c>
      <c r="AU16" s="2">
        <f t="shared" si="12"/>
        <v>4240.7392578125</v>
      </c>
      <c r="AV16" s="2">
        <f t="shared" si="12"/>
        <v>4770.8316650390616</v>
      </c>
      <c r="AW16" s="2">
        <f t="shared" si="12"/>
        <v>5470.5536425781256</v>
      </c>
      <c r="AX16" s="2">
        <f t="shared" si="12"/>
        <v>5597.7758203125013</v>
      </c>
      <c r="AY16" s="2">
        <f t="shared" si="12"/>
        <v>6157.5534023437522</v>
      </c>
      <c r="AZ16" s="2">
        <f t="shared" si="12"/>
        <v>6773.3087425781268</v>
      </c>
      <c r="BA16" s="2">
        <f t="shared" si="12"/>
        <v>7450.6396168359406</v>
      </c>
      <c r="BB16" s="2">
        <f t="shared" si="12"/>
        <v>8195.7035785195349</v>
      </c>
    </row>
    <row r="17" spans="2:54" x14ac:dyDescent="0.25">
      <c r="B17" t="s">
        <v>33</v>
      </c>
      <c r="M17" s="7">
        <f>M12-M16</f>
        <v>131.98200000000003</v>
      </c>
      <c r="N17" s="7">
        <f>N12-N16</f>
        <v>121.07499999999999</v>
      </c>
      <c r="P17" s="7">
        <f t="shared" ref="P17" si="13">P12-P16</f>
        <v>146.66699999999992</v>
      </c>
      <c r="Q17" s="7">
        <f>Q12-Q16</f>
        <v>48.813999999999965</v>
      </c>
      <c r="R17" s="7">
        <f>R12-R16</f>
        <v>55.947999999999979</v>
      </c>
      <c r="S17" s="7">
        <f t="shared" ref="S17:U17" si="14">S12-S16</f>
        <v>110.01900000000001</v>
      </c>
      <c r="T17" s="7">
        <f t="shared" si="14"/>
        <v>127.88900000000001</v>
      </c>
      <c r="U17" s="7">
        <f t="shared" si="14"/>
        <v>159.95699999999999</v>
      </c>
      <c r="V17" s="7">
        <f t="shared" ref="V17" si="15">V12-V16</f>
        <v>133.21500000000003</v>
      </c>
      <c r="W17" s="7">
        <f t="shared" ref="W17:AA17" si="16">W12-W16</f>
        <v>193.09499999999991</v>
      </c>
      <c r="X17" s="7">
        <f t="shared" si="16"/>
        <v>265.65200000000004</v>
      </c>
      <c r="Y17" s="7">
        <f t="shared" si="16"/>
        <v>237.82099999999991</v>
      </c>
      <c r="Z17" s="7">
        <f t="shared" si="16"/>
        <v>266.01</v>
      </c>
      <c r="AA17" s="7">
        <f t="shared" si="16"/>
        <v>286.79100000000005</v>
      </c>
      <c r="AB17" s="7">
        <f t="shared" ref="AB17:AD17" si="17">AB12-AB16</f>
        <v>1041.69</v>
      </c>
      <c r="AC17" s="7">
        <f t="shared" si="17"/>
        <v>1116.92875</v>
      </c>
      <c r="AD17" s="7">
        <f t="shared" si="17"/>
        <v>1148.6912499999999</v>
      </c>
      <c r="AM17" s="2"/>
      <c r="AN17" s="2">
        <f>+AN12-AN16</f>
        <v>350.7829999999999</v>
      </c>
      <c r="AO17" s="2">
        <f>+AO12-AO16</f>
        <v>364.45800000000008</v>
      </c>
      <c r="AP17" s="2">
        <f t="shared" ref="AP17:AQ17" si="18">+AP12-AP16</f>
        <v>531.07999999999993</v>
      </c>
      <c r="AQ17" s="2">
        <f t="shared" si="18"/>
        <v>962.57799999999952</v>
      </c>
      <c r="AR17" s="2">
        <f>+AR12*0.35</f>
        <v>1519.8809499999998</v>
      </c>
      <c r="AS17" s="2">
        <f>+AS12*0.4</f>
        <v>2171.2584999999999</v>
      </c>
      <c r="AT17" s="2">
        <f>+AT12*0.45</f>
        <v>3053.3322656249998</v>
      </c>
      <c r="AU17" s="2">
        <f>+AU12*0.5</f>
        <v>4240.7392578125</v>
      </c>
      <c r="AV17" s="2">
        <f>+AV12*0.55</f>
        <v>5831.0164794921884</v>
      </c>
      <c r="AW17" s="2">
        <f>+AW12*0.57</f>
        <v>7251.6641308593744</v>
      </c>
      <c r="AX17" s="2">
        <f>+AX12*0.6</f>
        <v>8396.6637304687501</v>
      </c>
      <c r="AY17" s="2">
        <f t="shared" ref="AY17:BB17" si="19">+AY12*0.6</f>
        <v>9236.3301035156255</v>
      </c>
      <c r="AZ17" s="2">
        <f t="shared" si="19"/>
        <v>10159.96311386719</v>
      </c>
      <c r="BA17" s="2">
        <f t="shared" si="19"/>
        <v>11175.959425253908</v>
      </c>
      <c r="BB17" s="2">
        <f t="shared" si="19"/>
        <v>12293.555367779301</v>
      </c>
    </row>
    <row r="18" spans="2:54" x14ac:dyDescent="0.25">
      <c r="B18" t="s">
        <v>38</v>
      </c>
      <c r="M18" s="7">
        <v>138.245</v>
      </c>
      <c r="N18" s="7">
        <v>173.57</v>
      </c>
      <c r="P18" s="12">
        <v>211.75700000000001</v>
      </c>
      <c r="Q18" s="7">
        <v>235.55099999999999</v>
      </c>
      <c r="R18" s="7">
        <v>248.40700000000001</v>
      </c>
      <c r="S18" s="2">
        <v>275.53699999999998</v>
      </c>
      <c r="T18" s="7">
        <v>315.31900000000002</v>
      </c>
      <c r="U18" s="7">
        <v>321.613</v>
      </c>
      <c r="V18" s="2">
        <v>341.12900000000002</v>
      </c>
      <c r="W18" s="2">
        <v>362.065</v>
      </c>
      <c r="X18" s="2">
        <v>361.68400000000003</v>
      </c>
      <c r="Y18" s="2">
        <v>365.42399999999998</v>
      </c>
      <c r="Z18" s="2">
        <v>355.03399999999999</v>
      </c>
      <c r="AA18" s="13">
        <v>374.6</v>
      </c>
      <c r="AM18" s="2"/>
      <c r="AN18" s="2">
        <v>533.20699999999999</v>
      </c>
      <c r="AO18" s="2">
        <v>873.47699999999998</v>
      </c>
      <c r="AP18" s="13">
        <f t="shared" ref="AP18:AP20" si="20">SUM(S18:V18)</f>
        <v>1253.598</v>
      </c>
      <c r="AQ18" s="13">
        <f t="shared" ref="AQ18:AQ20" si="21">SUM(W18:Z18)</f>
        <v>1444.2069999999999</v>
      </c>
      <c r="AR18" s="2">
        <f t="shared" ref="AR18:BB18" si="22">+AQ18*1.05</f>
        <v>1516.4173499999999</v>
      </c>
      <c r="AS18" s="2">
        <f t="shared" si="22"/>
        <v>1592.2382175</v>
      </c>
      <c r="AT18" s="2">
        <f t="shared" si="22"/>
        <v>1671.8501283750002</v>
      </c>
      <c r="AU18" s="2">
        <f t="shared" si="22"/>
        <v>1755.4426347937504</v>
      </c>
      <c r="AV18" s="2">
        <f t="shared" si="22"/>
        <v>1843.214766533438</v>
      </c>
      <c r="AW18" s="2">
        <f t="shared" si="22"/>
        <v>1935.3755048601099</v>
      </c>
      <c r="AX18" s="2">
        <f t="shared" si="22"/>
        <v>2032.1442801031155</v>
      </c>
      <c r="AY18" s="2">
        <f t="shared" si="22"/>
        <v>2133.7514941082713</v>
      </c>
      <c r="AZ18" s="2">
        <f t="shared" si="22"/>
        <v>2240.439068813685</v>
      </c>
      <c r="BA18" s="2">
        <f t="shared" si="22"/>
        <v>2352.4610222543693</v>
      </c>
      <c r="BB18" s="2">
        <f t="shared" si="22"/>
        <v>2470.084073367088</v>
      </c>
    </row>
    <row r="19" spans="2:54" x14ac:dyDescent="0.25">
      <c r="B19" t="s">
        <v>39</v>
      </c>
      <c r="M19" s="7">
        <v>51.584000000000003</v>
      </c>
      <c r="N19" s="7">
        <v>59.383000000000003</v>
      </c>
      <c r="P19" s="12">
        <v>78.676000000000002</v>
      </c>
      <c r="Q19" s="7">
        <v>81.165000000000006</v>
      </c>
      <c r="R19" s="7">
        <v>79.703999999999994</v>
      </c>
      <c r="S19" s="2">
        <v>97.573999999999998</v>
      </c>
      <c r="T19" s="7">
        <v>96.197000000000003</v>
      </c>
      <c r="U19" s="7">
        <v>97.507999999999996</v>
      </c>
      <c r="V19" s="2">
        <v>98.775999999999996</v>
      </c>
      <c r="W19" s="2">
        <v>97.823999999999998</v>
      </c>
      <c r="X19" s="2">
        <v>105.627</v>
      </c>
      <c r="Y19" s="2">
        <v>98.733000000000004</v>
      </c>
      <c r="Z19" s="2">
        <v>105.32299999999999</v>
      </c>
      <c r="AA19" s="13">
        <v>119.13200000000001</v>
      </c>
      <c r="AM19" s="2"/>
      <c r="AN19" s="2">
        <v>303.02</v>
      </c>
      <c r="AO19" s="2">
        <v>297.31700000000001</v>
      </c>
      <c r="AP19" s="13">
        <f t="shared" si="20"/>
        <v>390.05500000000001</v>
      </c>
      <c r="AQ19" s="13">
        <f t="shared" si="21"/>
        <v>407.50699999999995</v>
      </c>
      <c r="AR19" s="2">
        <f t="shared" ref="AR19:BB19" si="23">+AQ19*1.05</f>
        <v>427.88234999999997</v>
      </c>
      <c r="AS19" s="2">
        <f t="shared" si="23"/>
        <v>449.27646749999997</v>
      </c>
      <c r="AT19" s="2">
        <f t="shared" si="23"/>
        <v>471.74029087499997</v>
      </c>
      <c r="AU19" s="2">
        <f t="shared" si="23"/>
        <v>495.32730541874997</v>
      </c>
      <c r="AV19" s="2">
        <f t="shared" si="23"/>
        <v>520.09367068968754</v>
      </c>
      <c r="AW19" s="2">
        <f t="shared" si="23"/>
        <v>546.098354224172</v>
      </c>
      <c r="AX19" s="2">
        <f t="shared" si="23"/>
        <v>573.40327193538064</v>
      </c>
      <c r="AY19" s="2">
        <f t="shared" si="23"/>
        <v>602.07343553214969</v>
      </c>
      <c r="AZ19" s="2">
        <f t="shared" si="23"/>
        <v>632.17710730875717</v>
      </c>
      <c r="BA19" s="2">
        <f t="shared" si="23"/>
        <v>663.78596267419505</v>
      </c>
      <c r="BB19" s="2">
        <f t="shared" si="23"/>
        <v>696.97526080790487</v>
      </c>
    </row>
    <row r="20" spans="2:54" x14ac:dyDescent="0.25">
      <c r="B20" t="s">
        <v>40</v>
      </c>
      <c r="M20" s="7">
        <v>19.599</v>
      </c>
      <c r="N20" s="7">
        <v>27.771999999999998</v>
      </c>
      <c r="P20" s="12">
        <v>26.501000000000001</v>
      </c>
      <c r="Q20" s="7">
        <v>32.104999999999997</v>
      </c>
      <c r="R20" s="7">
        <v>29.74</v>
      </c>
      <c r="S20" s="2">
        <v>26.754999999999999</v>
      </c>
      <c r="T20" s="7">
        <v>30.327999999999999</v>
      </c>
      <c r="U20" s="7">
        <v>40.874000000000002</v>
      </c>
      <c r="V20" s="2">
        <v>48.503</v>
      </c>
      <c r="W20" s="2">
        <v>35.533999999999999</v>
      </c>
      <c r="X20" s="2">
        <v>36.29</v>
      </c>
      <c r="Y20" s="2">
        <v>52.591999999999999</v>
      </c>
      <c r="Z20" s="2">
        <v>49.765000000000001</v>
      </c>
      <c r="AA20" s="13">
        <v>47.768000000000001</v>
      </c>
      <c r="AM20" s="2"/>
      <c r="AN20" s="2">
        <v>86.363</v>
      </c>
      <c r="AO20" s="2">
        <v>117.44799999999999</v>
      </c>
      <c r="AP20" s="13">
        <f t="shared" si="20"/>
        <v>146.45999999999998</v>
      </c>
      <c r="AQ20" s="13">
        <f t="shared" si="21"/>
        <v>174.18099999999998</v>
      </c>
      <c r="AR20" s="2">
        <f>+AQ20*1.05</f>
        <v>182.89005</v>
      </c>
      <c r="AS20" s="2">
        <f t="shared" ref="AS20:BB20" si="24">+AR20*1.05</f>
        <v>192.03455250000002</v>
      </c>
      <c r="AT20" s="2">
        <f t="shared" si="24"/>
        <v>201.63628012500004</v>
      </c>
      <c r="AU20" s="2">
        <f t="shared" si="24"/>
        <v>211.71809413125004</v>
      </c>
      <c r="AV20" s="2">
        <f t="shared" si="24"/>
        <v>222.30399883781254</v>
      </c>
      <c r="AW20" s="2">
        <f t="shared" si="24"/>
        <v>233.41919877970318</v>
      </c>
      <c r="AX20" s="2">
        <f t="shared" si="24"/>
        <v>245.09015871868834</v>
      </c>
      <c r="AY20" s="2">
        <f t="shared" si="24"/>
        <v>257.34466665462276</v>
      </c>
      <c r="AZ20" s="2">
        <f t="shared" si="24"/>
        <v>270.21189998735389</v>
      </c>
      <c r="BA20" s="2">
        <f t="shared" si="24"/>
        <v>283.72249498672159</v>
      </c>
      <c r="BB20" s="2">
        <f t="shared" si="24"/>
        <v>297.90861973605769</v>
      </c>
    </row>
    <row r="21" spans="2:54" x14ac:dyDescent="0.25">
      <c r="B21" t="s">
        <v>41</v>
      </c>
      <c r="M21" s="7">
        <f>M20+M19+M18</f>
        <v>209.428</v>
      </c>
      <c r="N21" s="7">
        <f>N20+N19+N18</f>
        <v>260.72500000000002</v>
      </c>
      <c r="P21" s="12">
        <f>P20+P19+P18</f>
        <v>316.93400000000003</v>
      </c>
      <c r="Q21" s="7">
        <f>Q20+Q19+Q18</f>
        <v>348.82100000000003</v>
      </c>
      <c r="R21" s="7">
        <f>R20+R19+R18</f>
        <v>357.851</v>
      </c>
      <c r="S21" s="7">
        <f t="shared" ref="S21:AB21" si="25">S18+S19+S20</f>
        <v>399.86599999999999</v>
      </c>
      <c r="T21" s="7">
        <f t="shared" si="25"/>
        <v>441.84399999999999</v>
      </c>
      <c r="U21" s="7">
        <f t="shared" si="25"/>
        <v>459.995</v>
      </c>
      <c r="V21" s="7">
        <f t="shared" si="25"/>
        <v>488.40800000000002</v>
      </c>
      <c r="W21" s="7">
        <f t="shared" si="25"/>
        <v>495.423</v>
      </c>
      <c r="X21" s="7">
        <f t="shared" si="25"/>
        <v>503.60100000000006</v>
      </c>
      <c r="Y21" s="7">
        <f t="shared" si="25"/>
        <v>516.74900000000002</v>
      </c>
      <c r="Z21" s="7">
        <f t="shared" si="25"/>
        <v>510.12199999999996</v>
      </c>
      <c r="AA21" s="7">
        <f t="shared" si="25"/>
        <v>541.5</v>
      </c>
      <c r="AB21" s="7">
        <f t="shared" si="25"/>
        <v>0</v>
      </c>
      <c r="AC21" s="7">
        <f t="shared" ref="AC21:AD21" si="26">AC18+AC19+AC20</f>
        <v>0</v>
      </c>
      <c r="AD21" s="7">
        <f t="shared" si="26"/>
        <v>0</v>
      </c>
      <c r="AM21" s="2"/>
      <c r="AN21" s="2">
        <f>SUM(AN18:AN20)</f>
        <v>922.58999999999992</v>
      </c>
      <c r="AO21" s="2">
        <f>SUM(AO18:AO20)</f>
        <v>1288.242</v>
      </c>
      <c r="AP21" s="2">
        <f t="shared" ref="AP21:AQ21" si="27">SUM(AP18:AP20)</f>
        <v>1790.1130000000001</v>
      </c>
      <c r="AQ21" s="2">
        <f t="shared" si="27"/>
        <v>2025.895</v>
      </c>
      <c r="AR21" s="2">
        <f t="shared" ref="AR21" si="28">SUM(AR18:AR20)</f>
        <v>2127.18975</v>
      </c>
      <c r="AS21" s="2">
        <f t="shared" ref="AS21" si="29">SUM(AS18:AS20)</f>
        <v>2233.5492375000003</v>
      </c>
      <c r="AT21" s="2">
        <f t="shared" ref="AT21" si="30">SUM(AT18:AT20)</f>
        <v>2345.2266993750004</v>
      </c>
      <c r="AU21" s="2">
        <f t="shared" ref="AU21" si="31">SUM(AU18:AU20)</f>
        <v>2462.4880343437503</v>
      </c>
      <c r="AV21" s="2">
        <f t="shared" ref="AV21" si="32">SUM(AV18:AV20)</f>
        <v>2585.6124360609383</v>
      </c>
      <c r="AW21" s="2">
        <f t="shared" ref="AW21" si="33">SUM(AW18:AW20)</f>
        <v>2714.8930578639847</v>
      </c>
      <c r="AX21" s="2">
        <f t="shared" ref="AX21" si="34">SUM(AX18:AX20)</f>
        <v>2850.6377107571843</v>
      </c>
      <c r="AY21" s="2">
        <f t="shared" ref="AY21" si="35">SUM(AY18:AY20)</f>
        <v>2993.1695962950439</v>
      </c>
      <c r="AZ21" s="2">
        <f t="shared" ref="AZ21" si="36">SUM(AZ18:AZ20)</f>
        <v>3142.8280761097958</v>
      </c>
      <c r="BA21" s="2">
        <f t="shared" ref="BA21" si="37">SUM(BA18:BA20)</f>
        <v>3299.9694799152858</v>
      </c>
      <c r="BB21" s="2">
        <f t="shared" ref="BB21" si="38">SUM(BB18:BB20)</f>
        <v>3464.9679539110502</v>
      </c>
    </row>
    <row r="22" spans="2:54" x14ac:dyDescent="0.25">
      <c r="B22" t="s">
        <v>42</v>
      </c>
      <c r="M22" s="7">
        <f>M17-M21</f>
        <v>-77.44599999999997</v>
      </c>
      <c r="N22" s="7">
        <f>N17-N21</f>
        <v>-139.65000000000003</v>
      </c>
      <c r="P22" s="12">
        <f t="shared" ref="P22:AB22" si="39">P17-P21</f>
        <v>-170.26700000000011</v>
      </c>
      <c r="Q22" s="7">
        <f t="shared" si="39"/>
        <v>-300.00700000000006</v>
      </c>
      <c r="R22" s="7">
        <f t="shared" si="39"/>
        <v>-301.90300000000002</v>
      </c>
      <c r="S22" s="7">
        <f t="shared" si="39"/>
        <v>-289.84699999999998</v>
      </c>
      <c r="T22" s="7">
        <f t="shared" si="39"/>
        <v>-313.95499999999998</v>
      </c>
      <c r="U22" s="7">
        <f t="shared" si="39"/>
        <v>-300.03800000000001</v>
      </c>
      <c r="V22" s="7">
        <f t="shared" si="39"/>
        <v>-355.19299999999998</v>
      </c>
      <c r="W22" s="7">
        <f t="shared" si="39"/>
        <v>-302.32800000000009</v>
      </c>
      <c r="X22" s="7">
        <f t="shared" si="39"/>
        <v>-237.94900000000001</v>
      </c>
      <c r="Y22" s="7">
        <f t="shared" si="39"/>
        <v>-278.92800000000011</v>
      </c>
      <c r="Z22" s="7">
        <f t="shared" si="39"/>
        <v>-244.11199999999997</v>
      </c>
      <c r="AA22" s="7">
        <f t="shared" si="39"/>
        <v>-254.70899999999995</v>
      </c>
      <c r="AB22" s="7">
        <f t="shared" si="39"/>
        <v>1041.69</v>
      </c>
      <c r="AC22" s="7">
        <f t="shared" ref="AC22:AD22" si="40">AC17-AC21</f>
        <v>1116.92875</v>
      </c>
      <c r="AD22" s="7">
        <f t="shared" si="40"/>
        <v>1148.6912499999999</v>
      </c>
      <c r="AM22" s="2"/>
      <c r="AN22" s="2">
        <f>AN17-AN21</f>
        <v>-571.80700000000002</v>
      </c>
      <c r="AO22" s="2">
        <f>AO17-AO21</f>
        <v>-923.78399999999988</v>
      </c>
      <c r="AP22" s="2">
        <f t="shared" ref="AP22:AQ22" si="41">AP17-AP21</f>
        <v>-1259.0330000000001</v>
      </c>
      <c r="AQ22" s="2">
        <f t="shared" si="41"/>
        <v>-1063.3170000000005</v>
      </c>
      <c r="AR22" s="2">
        <f t="shared" ref="AR22" si="42">AR17-AR21</f>
        <v>-607.30880000000025</v>
      </c>
      <c r="AS22" s="2">
        <f t="shared" ref="AS22" si="43">AS17-AS21</f>
        <v>-62.290737500000432</v>
      </c>
      <c r="AT22" s="2">
        <f t="shared" ref="AT22" si="44">AT17-AT21</f>
        <v>708.10556624999936</v>
      </c>
      <c r="AU22" s="2">
        <f t="shared" ref="AU22" si="45">AU17-AU21</f>
        <v>1778.2512234687497</v>
      </c>
      <c r="AV22" s="2">
        <f t="shared" ref="AV22" si="46">AV17-AV21</f>
        <v>3245.4040434312501</v>
      </c>
      <c r="AW22" s="2">
        <f t="shared" ref="AW22" si="47">AW17-AW21</f>
        <v>4536.7710729953897</v>
      </c>
      <c r="AX22" s="2">
        <f t="shared" ref="AX22" si="48">AX17-AX21</f>
        <v>5546.0260197115658</v>
      </c>
      <c r="AY22" s="2">
        <f t="shared" ref="AY22" si="49">AY17-AY21</f>
        <v>6243.1605072205821</v>
      </c>
      <c r="AZ22" s="2">
        <f t="shared" ref="AZ22" si="50">AZ17-AZ21</f>
        <v>7017.1350377573945</v>
      </c>
      <c r="BA22" s="2">
        <f t="shared" ref="BA22" si="51">BA17-BA21</f>
        <v>7875.9899453386224</v>
      </c>
      <c r="BB22" s="2">
        <f t="shared" ref="BB22" si="52">BB17-BB21</f>
        <v>8828.587413868252</v>
      </c>
    </row>
    <row r="23" spans="2:54" x14ac:dyDescent="0.25">
      <c r="B23" t="s">
        <v>32</v>
      </c>
      <c r="S23" s="2"/>
      <c r="V23" s="2"/>
      <c r="W23" s="2"/>
      <c r="X23" s="2"/>
      <c r="AM23" s="2">
        <v>600.17700000000002</v>
      </c>
      <c r="AN23" s="2">
        <v>673.92600000000004</v>
      </c>
      <c r="AO23" s="2">
        <v>356.45600000000002</v>
      </c>
      <c r="AP23" s="13">
        <f t="shared" ref="AP23" si="53">SUM(S23:V23)</f>
        <v>0</v>
      </c>
      <c r="AQ23" s="13">
        <f t="shared" ref="AQ23" si="54">SUM(W23:Z23)</f>
        <v>0</v>
      </c>
    </row>
    <row r="24" spans="2:54" x14ac:dyDescent="0.25">
      <c r="B24" t="s">
        <v>43</v>
      </c>
      <c r="S24" s="2">
        <f>-10.012-0.44</f>
        <v>-10.452</v>
      </c>
      <c r="V24" s="2">
        <f>-10.298+0.898</f>
        <v>-9.4</v>
      </c>
      <c r="W24" s="2">
        <f>-10.363-0.346</f>
        <v>-10.709</v>
      </c>
      <c r="X24" s="2">
        <f>-10.204-3.315</f>
        <v>-13.519</v>
      </c>
      <c r="Y24" s="2">
        <f>46.718-10.286+2.352</f>
        <v>38.783999999999999</v>
      </c>
      <c r="Z24" s="2">
        <f>46.26-10.331</f>
        <v>35.929000000000002</v>
      </c>
      <c r="AA24" s="2">
        <f>+Z24</f>
        <v>35.929000000000002</v>
      </c>
      <c r="AN24">
        <f>-6.998-1.796</f>
        <v>-8.7940000000000005</v>
      </c>
      <c r="AO24" s="2">
        <f>38.842-39.903-5.744</f>
        <v>-6.8049999999999997</v>
      </c>
      <c r="AP24" s="13">
        <f t="shared" ref="AP24" si="55">SUM(S24:V24)</f>
        <v>-19.852</v>
      </c>
      <c r="AQ24" s="13">
        <f t="shared" ref="AQ24" si="56">SUM(W24:Z24)</f>
        <v>50.484999999999999</v>
      </c>
      <c r="AR24" s="2">
        <f>+AQ24</f>
        <v>50.484999999999999</v>
      </c>
      <c r="AS24" s="2">
        <f t="shared" ref="AS24:BB24" si="57">+AR24</f>
        <v>50.484999999999999</v>
      </c>
      <c r="AT24" s="2">
        <f t="shared" si="57"/>
        <v>50.484999999999999</v>
      </c>
      <c r="AU24" s="2">
        <f t="shared" si="57"/>
        <v>50.484999999999999</v>
      </c>
      <c r="AV24" s="2">
        <f t="shared" si="57"/>
        <v>50.484999999999999</v>
      </c>
      <c r="AW24" s="2">
        <f t="shared" si="57"/>
        <v>50.484999999999999</v>
      </c>
      <c r="AX24" s="2">
        <f t="shared" si="57"/>
        <v>50.484999999999999</v>
      </c>
      <c r="AY24" s="2">
        <f t="shared" si="57"/>
        <v>50.484999999999999</v>
      </c>
      <c r="AZ24" s="2">
        <f t="shared" si="57"/>
        <v>50.484999999999999</v>
      </c>
      <c r="BA24" s="2">
        <f t="shared" si="57"/>
        <v>50.484999999999999</v>
      </c>
      <c r="BB24" s="2">
        <f t="shared" si="57"/>
        <v>50.484999999999999</v>
      </c>
    </row>
    <row r="25" spans="2:54" x14ac:dyDescent="0.25">
      <c r="B25" t="s">
        <v>44</v>
      </c>
      <c r="M25" s="7">
        <f>M22+M24</f>
        <v>-77.44599999999997</v>
      </c>
      <c r="N25" s="7">
        <f>N22+N24</f>
        <v>-139.65000000000003</v>
      </c>
      <c r="R25" s="7">
        <f>R22+R24</f>
        <v>-301.90300000000002</v>
      </c>
      <c r="S25" s="2">
        <f>+S22+S24</f>
        <v>-300.29899999999998</v>
      </c>
      <c r="V25" s="2">
        <f>+V22+V24</f>
        <v>-364.59299999999996</v>
      </c>
      <c r="W25" s="2">
        <f>+W22+W24</f>
        <v>-313.03700000000009</v>
      </c>
      <c r="X25" s="2">
        <f>+X22+X24</f>
        <v>-251.46800000000002</v>
      </c>
      <c r="Y25" s="2">
        <f>+Y22+Y24</f>
        <v>-240.14400000000012</v>
      </c>
      <c r="Z25" s="2">
        <f>+Z22+Z24</f>
        <v>-208.18299999999996</v>
      </c>
      <c r="AA25" s="2">
        <f>+AA22+AA24</f>
        <v>-218.77999999999994</v>
      </c>
      <c r="AB25" s="2">
        <f>+AB22+AB24</f>
        <v>1041.69</v>
      </c>
      <c r="AC25" s="2">
        <f>+AC22+AC24</f>
        <v>1116.92875</v>
      </c>
      <c r="AD25" s="2">
        <f>+AD22+AD24</f>
        <v>1148.6912499999999</v>
      </c>
      <c r="AN25" s="2">
        <f>+AN22+AN24</f>
        <v>-580.601</v>
      </c>
      <c r="AO25" s="2">
        <f>+AO22+AO24</f>
        <v>-930.58899999999983</v>
      </c>
      <c r="AP25" s="2">
        <f t="shared" ref="AP25:AQ25" si="58">+AP22+AP24</f>
        <v>-1278.8850000000002</v>
      </c>
      <c r="AQ25" s="2">
        <f t="shared" si="58"/>
        <v>-1012.8320000000004</v>
      </c>
      <c r="AR25" s="2">
        <f t="shared" ref="AR25" si="59">+AR22+AR24</f>
        <v>-556.82380000000023</v>
      </c>
      <c r="AS25" s="2">
        <f t="shared" ref="AS25" si="60">+AS22+AS24</f>
        <v>-11.805737500000433</v>
      </c>
      <c r="AT25" s="2">
        <f t="shared" ref="AT25" si="61">+AT22+AT24</f>
        <v>758.59056624999937</v>
      </c>
      <c r="AU25" s="2">
        <f t="shared" ref="AU25" si="62">+AU22+AU24</f>
        <v>1828.7362234687496</v>
      </c>
      <c r="AV25" s="2">
        <f t="shared" ref="AV25" si="63">+AV22+AV24</f>
        <v>3295.8890434312502</v>
      </c>
      <c r="AW25" s="2">
        <f t="shared" ref="AW25" si="64">+AW22+AW24</f>
        <v>4587.2560729953893</v>
      </c>
      <c r="AX25" s="2">
        <f t="shared" ref="AX25" si="65">+AX22+AX24</f>
        <v>5596.5110197115655</v>
      </c>
      <c r="AY25" s="2">
        <f t="shared" ref="AY25" si="66">+AY22+AY24</f>
        <v>6293.6455072205817</v>
      </c>
      <c r="AZ25" s="2">
        <f t="shared" ref="AZ25" si="67">+AZ22+AZ24</f>
        <v>7067.6200377573941</v>
      </c>
      <c r="BA25" s="2">
        <f t="shared" ref="BA25" si="68">+BA22+BA24</f>
        <v>7926.4749453386221</v>
      </c>
      <c r="BB25" s="2">
        <f t="shared" ref="BB25" si="69">+BB22+BB24</f>
        <v>8879.0724138682526</v>
      </c>
    </row>
    <row r="26" spans="2:54" x14ac:dyDescent="0.25">
      <c r="B26" t="s">
        <v>45</v>
      </c>
      <c r="N26" s="7"/>
      <c r="R26" s="7">
        <f>3.202-1.559</f>
        <v>1.643</v>
      </c>
      <c r="S26" s="2">
        <v>0.73099999999999998</v>
      </c>
      <c r="V26" s="2">
        <v>0.27700000000000002</v>
      </c>
      <c r="W26" s="2">
        <v>0</v>
      </c>
      <c r="X26" s="2">
        <v>0</v>
      </c>
      <c r="Y26" s="2">
        <v>0.30299999999999999</v>
      </c>
      <c r="Z26" s="2">
        <v>2.6480000000000001</v>
      </c>
      <c r="AA26" s="2">
        <v>0</v>
      </c>
      <c r="AN26">
        <v>-11.829000000000001</v>
      </c>
      <c r="AO26" s="2">
        <f>3.552-9.775</f>
        <v>-6.2230000000000008</v>
      </c>
      <c r="AP26" s="13">
        <f t="shared" ref="AP26" si="70">SUM(S26:V26)</f>
        <v>1.008</v>
      </c>
      <c r="AQ26" s="13">
        <f t="shared" ref="AQ26" si="71">SUM(W26:Z26)</f>
        <v>2.9510000000000001</v>
      </c>
      <c r="AR26" s="2">
        <f>+AR25*0.1</f>
        <v>-55.682380000000023</v>
      </c>
      <c r="AS26" s="2">
        <f t="shared" ref="AS26:BB26" si="72">+AS25*0.1</f>
        <v>-1.1805737500000433</v>
      </c>
      <c r="AT26" s="2">
        <f t="shared" si="72"/>
        <v>75.859056624999937</v>
      </c>
      <c r="AU26" s="2">
        <f t="shared" si="72"/>
        <v>182.87362234687498</v>
      </c>
      <c r="AV26" s="2">
        <f t="shared" si="72"/>
        <v>329.58890434312502</v>
      </c>
      <c r="AW26" s="2">
        <f t="shared" si="72"/>
        <v>458.72560729953898</v>
      </c>
      <c r="AX26" s="2">
        <f t="shared" si="72"/>
        <v>559.65110197115655</v>
      </c>
      <c r="AY26" s="2">
        <f t="shared" si="72"/>
        <v>629.3645507220582</v>
      </c>
      <c r="AZ26" s="2">
        <f t="shared" si="72"/>
        <v>706.76200377573946</v>
      </c>
      <c r="BA26" s="2">
        <f t="shared" si="72"/>
        <v>792.6474945338623</v>
      </c>
      <c r="BB26" s="2">
        <f t="shared" si="72"/>
        <v>887.90724138682526</v>
      </c>
    </row>
    <row r="27" spans="2:54" x14ac:dyDescent="0.25">
      <c r="B27" t="s">
        <v>46</v>
      </c>
      <c r="M27" s="7">
        <f>M25-M26</f>
        <v>-77.44599999999997</v>
      </c>
      <c r="N27" s="7">
        <f>N25-N26</f>
        <v>-139.65000000000003</v>
      </c>
      <c r="R27" s="7">
        <f>R25-R26</f>
        <v>-303.54599999999999</v>
      </c>
      <c r="S27" s="2">
        <f>+S25-S26</f>
        <v>-301.02999999999997</v>
      </c>
      <c r="V27" s="2">
        <f>+V25-V26</f>
        <v>-364.86999999999995</v>
      </c>
      <c r="W27" s="2">
        <f>+W25-W26</f>
        <v>-313.03700000000009</v>
      </c>
      <c r="X27" s="2">
        <f>+X25-X26</f>
        <v>-251.46800000000002</v>
      </c>
      <c r="Y27" s="2">
        <f>+Y25-Y26</f>
        <v>-240.44700000000012</v>
      </c>
      <c r="Z27" s="2">
        <f>+Z25-Z26</f>
        <v>-210.83099999999996</v>
      </c>
      <c r="AA27" s="2">
        <f>+AA25-AA26</f>
        <v>-218.77999999999994</v>
      </c>
      <c r="AB27" s="2">
        <f>+AB25-AB26</f>
        <v>1041.69</v>
      </c>
      <c r="AC27" s="2">
        <f>+AC25-AC26</f>
        <v>1116.92875</v>
      </c>
      <c r="AD27" s="2">
        <f>+AD25-AD26</f>
        <v>1148.6912499999999</v>
      </c>
      <c r="AN27" s="2">
        <f>+AN25-AN26</f>
        <v>-568.77200000000005</v>
      </c>
      <c r="AO27" s="2">
        <f>+AO25-AO26</f>
        <v>-924.36599999999987</v>
      </c>
      <c r="AP27" s="2">
        <f>+AP25-AP26</f>
        <v>-1279.8930000000003</v>
      </c>
      <c r="AQ27" s="2">
        <f>+AQ25-AQ26</f>
        <v>-1015.7830000000005</v>
      </c>
      <c r="AR27" s="2">
        <f t="shared" ref="AR27:BB27" si="73">+AR25-AR26</f>
        <v>-501.14142000000021</v>
      </c>
      <c r="AS27" s="2">
        <f t="shared" si="73"/>
        <v>-10.625163750000389</v>
      </c>
      <c r="AT27" s="2">
        <f t="shared" si="73"/>
        <v>682.73150962499949</v>
      </c>
      <c r="AU27" s="2">
        <f t="shared" si="73"/>
        <v>1645.8626011218746</v>
      </c>
      <c r="AV27" s="2">
        <f t="shared" si="73"/>
        <v>2966.3001390881254</v>
      </c>
      <c r="AW27" s="2">
        <f t="shared" si="73"/>
        <v>4128.5304656958506</v>
      </c>
      <c r="AX27" s="2">
        <f t="shared" si="73"/>
        <v>5036.8599177404085</v>
      </c>
      <c r="AY27" s="2">
        <f t="shared" si="73"/>
        <v>5664.2809564985237</v>
      </c>
      <c r="AZ27" s="2">
        <f t="shared" si="73"/>
        <v>6360.8580339816544</v>
      </c>
      <c r="BA27" s="2">
        <f t="shared" si="73"/>
        <v>7133.8274508047598</v>
      </c>
      <c r="BB27" s="2">
        <f t="shared" si="73"/>
        <v>7991.1651724814274</v>
      </c>
    </row>
    <row r="28" spans="2:54" x14ac:dyDescent="0.25">
      <c r="B28" t="s">
        <v>47</v>
      </c>
      <c r="M28" s="8">
        <f>M27/M29</f>
        <v>-0.13447073612857069</v>
      </c>
      <c r="N28" s="8">
        <f>N27/N29</f>
        <v>-0.24014031829554547</v>
      </c>
      <c r="R28" s="8">
        <f>R27/R29</f>
        <v>-0.50434736375131051</v>
      </c>
      <c r="S28" s="1">
        <f>+S27/S29</f>
        <v>-0.49622756277642149</v>
      </c>
      <c r="V28" s="1">
        <f>+V27/V29</f>
        <v>-0.58209971969490293</v>
      </c>
      <c r="W28" s="1">
        <f>+W27/W29</f>
        <v>-0.49295612736606736</v>
      </c>
      <c r="X28" s="1">
        <f>+X27/X29</f>
        <v>-0.39119869822374753</v>
      </c>
      <c r="Y28" s="1">
        <f>+Y27/Y29</f>
        <v>-0.36937235871273411</v>
      </c>
      <c r="Z28" s="1">
        <f>+Z27/Z29</f>
        <v>-0.31900590104403082</v>
      </c>
      <c r="AA28" s="1">
        <f>+AA27/AA29</f>
        <v>-0.32573173509693182</v>
      </c>
      <c r="AB28" s="1">
        <f>+AB27/AB29</f>
        <v>1.5509255468192842</v>
      </c>
      <c r="AC28" s="1">
        <f>+AC27/AC29</f>
        <v>1.6629451490865128</v>
      </c>
      <c r="AD28" s="1">
        <f>+AD27/AD29</f>
        <v>1.7102349115694466</v>
      </c>
      <c r="AN28" s="1">
        <f>+AN27/AN29</f>
        <v>-1.1243708708768074</v>
      </c>
      <c r="AO28" s="1">
        <f>+AO27/AO29</f>
        <v>-1.5520981128653919</v>
      </c>
      <c r="AP28" s="1">
        <f>+AP27/AP29</f>
        <v>-2.0752991193834553</v>
      </c>
      <c r="AQ28" s="1">
        <f>+AQ27/AQ29</f>
        <v>-1.5689615958636065</v>
      </c>
      <c r="AR28" s="1">
        <f>+AR27/AR29</f>
        <v>-0.77405473617549603</v>
      </c>
      <c r="AS28" s="1">
        <f t="shared" ref="AS28:BB28" si="74">+AS27/AS29</f>
        <v>-1.6411451927737266E-2</v>
      </c>
      <c r="AT28" s="1">
        <f t="shared" si="74"/>
        <v>1.0545357806614286</v>
      </c>
      <c r="AU28" s="1">
        <f t="shared" si="74"/>
        <v>2.5421721108035884</v>
      </c>
      <c r="AV28" s="1">
        <f t="shared" si="74"/>
        <v>4.5816980595601038</v>
      </c>
      <c r="AW28" s="1">
        <f t="shared" si="74"/>
        <v>6.3768597702754199</v>
      </c>
      <c r="AX28" s="1">
        <f t="shared" si="74"/>
        <v>7.779850395881228</v>
      </c>
      <c r="AY28" s="1">
        <f t="shared" si="74"/>
        <v>8.7489545394319013</v>
      </c>
      <c r="AZ28" s="1">
        <f t="shared" si="74"/>
        <v>9.8248759548621063</v>
      </c>
      <c r="BA28" s="1">
        <f t="shared" si="74"/>
        <v>11.018791712236013</v>
      </c>
      <c r="BB28" s="1">
        <f t="shared" si="74"/>
        <v>12.343021355768039</v>
      </c>
    </row>
    <row r="29" spans="2:54" x14ac:dyDescent="0.25">
      <c r="B29" t="s">
        <v>1</v>
      </c>
      <c r="M29" s="7">
        <v>575.93200000000002</v>
      </c>
      <c r="N29" s="7">
        <v>581.53499999999997</v>
      </c>
      <c r="R29" s="7">
        <v>601.85900000000004</v>
      </c>
      <c r="S29" s="2">
        <v>606.63699999999994</v>
      </c>
      <c r="V29" s="2">
        <v>626.81700000000001</v>
      </c>
      <c r="W29" s="2">
        <v>635.02</v>
      </c>
      <c r="X29" s="2">
        <v>642.81399999999996</v>
      </c>
      <c r="Y29" s="2">
        <v>650.96100000000001</v>
      </c>
      <c r="Z29" s="2">
        <v>660.9</v>
      </c>
      <c r="AA29" s="2">
        <v>671.65700000000004</v>
      </c>
      <c r="AB29" s="2">
        <f>+AA29</f>
        <v>671.65700000000004</v>
      </c>
      <c r="AC29" s="2">
        <f>+AB29</f>
        <v>671.65700000000004</v>
      </c>
      <c r="AD29" s="2">
        <f>+AC29</f>
        <v>671.65700000000004</v>
      </c>
      <c r="AN29" s="2">
        <v>505.858</v>
      </c>
      <c r="AO29" s="2">
        <v>595.55899999999997</v>
      </c>
      <c r="AP29" s="2">
        <f>AVERAGE(S29:V29)</f>
        <v>616.72699999999998</v>
      </c>
      <c r="AQ29" s="2">
        <f>AVERAGE(W29:Z29)</f>
        <v>647.42374999999993</v>
      </c>
      <c r="AR29" s="2">
        <f>+AQ29</f>
        <v>647.42374999999993</v>
      </c>
      <c r="AS29" s="2">
        <f t="shared" ref="AS29:BB29" si="75">+AR29</f>
        <v>647.42374999999993</v>
      </c>
      <c r="AT29" s="2">
        <f t="shared" si="75"/>
        <v>647.42374999999993</v>
      </c>
      <c r="AU29" s="2">
        <f t="shared" si="75"/>
        <v>647.42374999999993</v>
      </c>
      <c r="AV29" s="2">
        <f t="shared" si="75"/>
        <v>647.42374999999993</v>
      </c>
      <c r="AW29" s="2">
        <f t="shared" si="75"/>
        <v>647.42374999999993</v>
      </c>
      <c r="AX29" s="2">
        <f t="shared" si="75"/>
        <v>647.42374999999993</v>
      </c>
      <c r="AY29" s="2">
        <f t="shared" si="75"/>
        <v>647.42374999999993</v>
      </c>
      <c r="AZ29" s="2">
        <f t="shared" si="75"/>
        <v>647.42374999999993</v>
      </c>
      <c r="BA29" s="2">
        <f t="shared" si="75"/>
        <v>647.42374999999993</v>
      </c>
      <c r="BB29" s="2">
        <f t="shared" si="75"/>
        <v>647.42374999999993</v>
      </c>
    </row>
    <row r="30" spans="2:54" x14ac:dyDescent="0.25">
      <c r="S30"/>
    </row>
    <row r="31" spans="2:54" x14ac:dyDescent="0.25">
      <c r="B31" t="s">
        <v>48</v>
      </c>
      <c r="Q31" s="5">
        <f t="shared" ref="Q31" si="76">Q12/M12-1</f>
        <v>1.6435123376317362E-2</v>
      </c>
      <c r="R31" s="5">
        <f t="shared" ref="R31:AD31" si="77">R12/N12-1</f>
        <v>1.798797051175427E-2</v>
      </c>
      <c r="S31" s="5" t="e">
        <f t="shared" si="77"/>
        <v>#DIV/0!</v>
      </c>
      <c r="T31" s="5">
        <f t="shared" si="77"/>
        <v>0.15154252233143373</v>
      </c>
      <c r="U31" s="5">
        <f t="shared" si="77"/>
        <v>0.37766149578815833</v>
      </c>
      <c r="V31" s="5">
        <f t="shared" si="77"/>
        <v>0.29523143350604486</v>
      </c>
      <c r="W31" s="5">
        <f t="shared" si="77"/>
        <v>0.22271661905808227</v>
      </c>
      <c r="X31" s="5">
        <f t="shared" si="77"/>
        <v>0.31248971797884861</v>
      </c>
      <c r="Y31" s="5">
        <f t="shared" si="77"/>
        <v>0.28844754460373645</v>
      </c>
      <c r="Z31" s="5">
        <f t="shared" si="77"/>
        <v>0.31768450500640721</v>
      </c>
      <c r="AA31" s="5">
        <f t="shared" si="77"/>
        <v>0.29190939722950238</v>
      </c>
      <c r="AB31" s="5">
        <f t="shared" si="77"/>
        <v>0.16579728116050374</v>
      </c>
      <c r="AC31" s="5">
        <f t="shared" si="77"/>
        <v>0.21543620838062449</v>
      </c>
      <c r="AD31" s="5">
        <f t="shared" si="77"/>
        <v>0.16242765763021616</v>
      </c>
      <c r="AN31" s="10">
        <f>+AN12/AM12-1</f>
        <v>1.0772942519902369</v>
      </c>
      <c r="AO31" s="10">
        <f>+AO12/AN12-1</f>
        <v>0.15937579623808285</v>
      </c>
      <c r="AP31" s="10">
        <f>+AP12/AO12-1</f>
        <v>0.25808655258393953</v>
      </c>
      <c r="AQ31" s="10">
        <f>+AQ12/AP12-1</f>
        <v>0.28673907980115088</v>
      </c>
      <c r="AR31" s="10">
        <f>+AR12/AQ12-1</f>
        <v>0.20559198151904834</v>
      </c>
      <c r="AS31" s="10">
        <f t="shared" ref="AS31:BB31" si="78">+AS12/AR12-1</f>
        <v>0.25</v>
      </c>
      <c r="AT31" s="10">
        <f t="shared" si="78"/>
        <v>0.25</v>
      </c>
      <c r="AU31" s="10">
        <f t="shared" si="78"/>
        <v>0.25000000000000022</v>
      </c>
      <c r="AV31" s="10">
        <f t="shared" si="78"/>
        <v>0.25</v>
      </c>
      <c r="AW31" s="10">
        <f t="shared" si="78"/>
        <v>0.19999999999999996</v>
      </c>
      <c r="AX31" s="10">
        <f t="shared" si="78"/>
        <v>0.10000000000000009</v>
      </c>
      <c r="AY31" s="10">
        <f t="shared" si="78"/>
        <v>0.10000000000000009</v>
      </c>
      <c r="AZ31" s="10">
        <f t="shared" si="78"/>
        <v>0.10000000000000009</v>
      </c>
      <c r="BA31" s="10">
        <f t="shared" si="78"/>
        <v>0.10000000000000009</v>
      </c>
      <c r="BB31" s="10">
        <f t="shared" si="78"/>
        <v>0.10000000000000009</v>
      </c>
    </row>
    <row r="32" spans="2:54" x14ac:dyDescent="0.25">
      <c r="B32" t="s">
        <v>71</v>
      </c>
      <c r="Q32" s="5">
        <f t="shared" ref="Q32" si="79">Q8/M8-1</f>
        <v>0.10015631050760931</v>
      </c>
      <c r="R32" s="5">
        <f>R8/N8-1</f>
        <v>0.16787600828966021</v>
      </c>
      <c r="AN32" s="10"/>
      <c r="AO32" s="10"/>
    </row>
    <row r="33" spans="2:54" x14ac:dyDescent="0.25">
      <c r="B33" t="s">
        <v>85</v>
      </c>
      <c r="Q33" s="5"/>
      <c r="R33" s="5"/>
      <c r="T33" s="10">
        <f>+T17/T12</f>
        <v>0.18785105757931847</v>
      </c>
      <c r="U33" s="10">
        <f>+U17/U12</f>
        <v>0.22427284517508497</v>
      </c>
      <c r="V33" s="10">
        <f>+V17/V12</f>
        <v>0.17763444760173833</v>
      </c>
      <c r="W33" s="10">
        <f>+W17/W12</f>
        <v>0.24097716211156861</v>
      </c>
      <c r="X33" s="10">
        <f>+X17/X12</f>
        <v>0.29730186459968916</v>
      </c>
      <c r="Y33" s="10">
        <f>+Y17/Y12</f>
        <v>0.25879560760996473</v>
      </c>
      <c r="Z33" s="10">
        <f>+Z17/Z12</f>
        <v>0.26919103040631137</v>
      </c>
      <c r="AA33" s="10">
        <f>+AA17/AA12</f>
        <v>0.27703734615395764</v>
      </c>
      <c r="AB33" s="10">
        <f t="shared" ref="AB33:AD33" si="80">+AB17/AB12</f>
        <v>1</v>
      </c>
      <c r="AC33" s="10">
        <f t="shared" si="80"/>
        <v>1</v>
      </c>
      <c r="AD33" s="10">
        <f t="shared" si="80"/>
        <v>1</v>
      </c>
      <c r="AN33" s="10">
        <f t="shared" ref="AN33:BB33" si="81">+AN17/AN12</f>
        <v>0.18277744517062219</v>
      </c>
      <c r="AO33" s="10">
        <f t="shared" si="81"/>
        <v>0.16379752023772931</v>
      </c>
      <c r="AP33" s="10">
        <f t="shared" si="81"/>
        <v>0.18971831609812137</v>
      </c>
      <c r="AQ33" s="10">
        <f t="shared" si="81"/>
        <v>0.26723587228021028</v>
      </c>
      <c r="AR33" s="10">
        <f t="shared" si="81"/>
        <v>0.35</v>
      </c>
      <c r="AS33" s="10">
        <f t="shared" si="81"/>
        <v>0.4</v>
      </c>
      <c r="AT33" s="10">
        <f t="shared" si="81"/>
        <v>0.45</v>
      </c>
      <c r="AU33" s="10">
        <f t="shared" si="81"/>
        <v>0.5</v>
      </c>
      <c r="AV33" s="10">
        <f t="shared" si="81"/>
        <v>0.55000000000000004</v>
      </c>
      <c r="AW33" s="10">
        <f t="shared" si="81"/>
        <v>0.56999999999999995</v>
      </c>
      <c r="AX33" s="10">
        <f t="shared" si="81"/>
        <v>0.6</v>
      </c>
      <c r="AY33" s="10">
        <f t="shared" si="81"/>
        <v>0.6</v>
      </c>
      <c r="AZ33" s="10">
        <f t="shared" si="81"/>
        <v>0.6</v>
      </c>
      <c r="BA33" s="10">
        <f t="shared" si="81"/>
        <v>0.6</v>
      </c>
      <c r="BB33" s="10">
        <f t="shared" si="81"/>
        <v>0.6</v>
      </c>
    </row>
    <row r="34" spans="2:54" x14ac:dyDescent="0.25">
      <c r="B34" t="s">
        <v>26</v>
      </c>
      <c r="G34" s="5">
        <f t="shared" ref="G34:Q34" si="82">+G3/C3-1</f>
        <v>0.49367088607594933</v>
      </c>
      <c r="H34" s="5">
        <f t="shared" si="82"/>
        <v>0.95321637426900563</v>
      </c>
      <c r="I34" s="5">
        <f t="shared" si="82"/>
        <v>0.96739130434782639</v>
      </c>
      <c r="J34" s="5">
        <f t="shared" si="82"/>
        <v>0.94240837696335067</v>
      </c>
      <c r="K34" s="5">
        <f t="shared" si="82"/>
        <v>0.78389830508474567</v>
      </c>
      <c r="L34" s="5">
        <f t="shared" si="82"/>
        <v>0.29341317365269481</v>
      </c>
      <c r="M34" s="5">
        <f t="shared" si="82"/>
        <v>0.30662983425414336</v>
      </c>
      <c r="N34" s="5">
        <f t="shared" si="82"/>
        <v>0.33423180592991919</v>
      </c>
      <c r="O34" s="5">
        <f t="shared" si="82"/>
        <v>0.28503562945368177</v>
      </c>
      <c r="P34" s="5">
        <f t="shared" si="82"/>
        <v>0.20833333333333326</v>
      </c>
      <c r="Q34" s="5">
        <f t="shared" si="82"/>
        <v>0.24312896405919671</v>
      </c>
      <c r="R34" s="5">
        <f>+R3/N3-1</f>
        <v>0.18787878787878776</v>
      </c>
      <c r="S34" s="5"/>
      <c r="T34" s="5"/>
      <c r="U34" s="5"/>
      <c r="AN34" s="10">
        <f>AN3/AM3-1</f>
        <v>0.33423180592991919</v>
      </c>
      <c r="AO34" s="10">
        <f>AO3/AN3-1</f>
        <v>0.18787878787878776</v>
      </c>
      <c r="AP34" s="10">
        <f>AP3/AO3-1</f>
        <v>-1</v>
      </c>
      <c r="AQ34" s="10" t="e">
        <f>AQ3/AP3-1</f>
        <v>#DIV/0!</v>
      </c>
    </row>
    <row r="36" spans="2:54" x14ac:dyDescent="0.25">
      <c r="B36" t="s">
        <v>65</v>
      </c>
      <c r="R36" s="2">
        <f>R37-R52</f>
        <v>1988.4900000000002</v>
      </c>
      <c r="W36" s="2"/>
      <c r="X36" s="2"/>
      <c r="AO36" s="2">
        <f>AO37-AO52</f>
        <v>1988.4900000000002</v>
      </c>
    </row>
    <row r="37" spans="2:54" x14ac:dyDescent="0.25">
      <c r="B37" t="s">
        <v>3</v>
      </c>
      <c r="R37" s="2">
        <v>2977.4740000000002</v>
      </c>
      <c r="W37" s="2">
        <f>866.414+1543.819+1059.246</f>
        <v>3469.4790000000003</v>
      </c>
      <c r="X37" s="2"/>
      <c r="AO37" s="2">
        <v>2977.4740000000002</v>
      </c>
    </row>
    <row r="38" spans="2:54" x14ac:dyDescent="0.25">
      <c r="B38" t="s">
        <v>51</v>
      </c>
      <c r="R38" s="2">
        <v>379.35300000000001</v>
      </c>
      <c r="W38" s="2">
        <v>331.67700000000002</v>
      </c>
      <c r="X38" s="2"/>
      <c r="AO38" s="2">
        <v>379.35300000000001</v>
      </c>
    </row>
    <row r="39" spans="2:54" x14ac:dyDescent="0.25">
      <c r="B39" t="s">
        <v>52</v>
      </c>
      <c r="R39" s="2">
        <v>61.640999999999998</v>
      </c>
      <c r="W39" s="2">
        <v>88.537000000000006</v>
      </c>
      <c r="X39" s="2"/>
      <c r="AO39" s="2">
        <v>61.640999999999998</v>
      </c>
    </row>
    <row r="40" spans="2:54" x14ac:dyDescent="0.25">
      <c r="B40" t="s">
        <v>53</v>
      </c>
      <c r="R40" s="2">
        <f>420.136+225.132</f>
        <v>645.26800000000003</v>
      </c>
      <c r="W40" s="2">
        <f>525.57+292.509</f>
        <v>818.07900000000006</v>
      </c>
      <c r="X40" s="2"/>
      <c r="AO40" s="2">
        <f>420.136+225.132</f>
        <v>645.26800000000003</v>
      </c>
    </row>
    <row r="41" spans="2:54" x14ac:dyDescent="0.25">
      <c r="B41" t="s">
        <v>54</v>
      </c>
      <c r="R41" s="2">
        <v>592.346</v>
      </c>
      <c r="W41" s="2">
        <v>691.29200000000003</v>
      </c>
      <c r="X41" s="2"/>
      <c r="AO41" s="2">
        <v>592.346</v>
      </c>
    </row>
    <row r="42" spans="2:54" x14ac:dyDescent="0.25">
      <c r="B42" t="s">
        <v>56</v>
      </c>
      <c r="R42" s="2">
        <v>526.03</v>
      </c>
      <c r="W42" s="2">
        <v>715.50099999999998</v>
      </c>
      <c r="X42" s="2"/>
      <c r="AO42" s="2">
        <v>526.03</v>
      </c>
    </row>
    <row r="43" spans="2:54" x14ac:dyDescent="0.25">
      <c r="B43" t="s">
        <v>55</v>
      </c>
      <c r="R43" s="2">
        <f>54.717+134.335</f>
        <v>189.05200000000002</v>
      </c>
      <c r="W43" s="2">
        <f>47.938+141.956</f>
        <v>189.89400000000001</v>
      </c>
      <c r="X43" s="2"/>
      <c r="AO43" s="2">
        <f>54.717+134.335</f>
        <v>189.05200000000002</v>
      </c>
    </row>
    <row r="44" spans="2:54" x14ac:dyDescent="0.25">
      <c r="B44" t="s">
        <v>57</v>
      </c>
      <c r="R44" s="2">
        <v>4.3230000000000004</v>
      </c>
      <c r="W44" s="2">
        <v>10.212</v>
      </c>
      <c r="X44" s="2"/>
      <c r="AO44" s="2">
        <v>4.3230000000000004</v>
      </c>
    </row>
    <row r="45" spans="2:54" x14ac:dyDescent="0.25">
      <c r="B45" t="s">
        <v>50</v>
      </c>
      <c r="R45" s="2">
        <f>SUM(R37:R44)</f>
        <v>5375.4870000000001</v>
      </c>
      <c r="S45" s="2">
        <f t="shared" ref="S45:AA45" si="83">SUM(S37:S44)</f>
        <v>0</v>
      </c>
      <c r="T45" s="2">
        <f t="shared" si="83"/>
        <v>0</v>
      </c>
      <c r="U45" s="2">
        <f t="shared" si="83"/>
        <v>0</v>
      </c>
      <c r="V45" s="2">
        <f t="shared" si="83"/>
        <v>0</v>
      </c>
      <c r="W45" s="2">
        <f t="shared" si="83"/>
        <v>6314.6710000000012</v>
      </c>
      <c r="X45" s="2">
        <f t="shared" si="83"/>
        <v>0</v>
      </c>
      <c r="Y45" s="2">
        <f t="shared" si="83"/>
        <v>0</v>
      </c>
      <c r="Z45" s="2">
        <f t="shared" si="83"/>
        <v>0</v>
      </c>
      <c r="AA45" s="2">
        <f t="shared" si="83"/>
        <v>0</v>
      </c>
      <c r="AO45" s="2">
        <f>SUM(AO37:AO44)</f>
        <v>5375.4870000000001</v>
      </c>
    </row>
    <row r="46" spans="2:54" x14ac:dyDescent="0.25">
      <c r="R46"/>
      <c r="W46" s="2"/>
      <c r="X46" s="2"/>
    </row>
    <row r="47" spans="2:54" x14ac:dyDescent="0.25">
      <c r="B47" t="s">
        <v>58</v>
      </c>
      <c r="R47" s="2">
        <v>71.182000000000002</v>
      </c>
      <c r="W47" s="2">
        <v>49.078000000000003</v>
      </c>
      <c r="X47" s="2"/>
      <c r="AO47" s="2">
        <v>71.182000000000002</v>
      </c>
    </row>
    <row r="48" spans="2:54" x14ac:dyDescent="0.25">
      <c r="B48" t="s">
        <v>59</v>
      </c>
      <c r="R48" s="2">
        <v>236.006</v>
      </c>
      <c r="W48" s="2">
        <v>273.649</v>
      </c>
      <c r="X48" s="2"/>
      <c r="AO48" s="2">
        <v>236.006</v>
      </c>
    </row>
    <row r="49" spans="2:41" x14ac:dyDescent="0.25">
      <c r="B49" t="s">
        <v>36</v>
      </c>
      <c r="R49" s="2">
        <v>231.70400000000001</v>
      </c>
      <c r="W49" s="2">
        <v>292.67599999999999</v>
      </c>
      <c r="X49" s="2"/>
      <c r="AO49" s="2">
        <v>231.70400000000001</v>
      </c>
    </row>
    <row r="50" spans="2:41" x14ac:dyDescent="0.25">
      <c r="B50" t="s">
        <v>60</v>
      </c>
      <c r="R50" s="2">
        <f>1941.943+1095.291</f>
        <v>3037.2339999999999</v>
      </c>
      <c r="W50" s="2">
        <f>2513.339+1393.807</f>
        <v>3907.1459999999997</v>
      </c>
      <c r="X50" s="2"/>
      <c r="AO50" s="2">
        <f>1941.943+1095.291</f>
        <v>3037.2339999999999</v>
      </c>
    </row>
    <row r="51" spans="2:41" x14ac:dyDescent="0.25">
      <c r="B51" t="s">
        <v>61</v>
      </c>
      <c r="R51" s="2">
        <v>494.59</v>
      </c>
      <c r="W51" s="2">
        <v>693.81500000000005</v>
      </c>
      <c r="X51" s="2"/>
      <c r="AO51" s="2">
        <v>494.59</v>
      </c>
    </row>
    <row r="52" spans="2:41" x14ac:dyDescent="0.25">
      <c r="B52" t="s">
        <v>4</v>
      </c>
      <c r="R52" s="2">
        <v>988.98400000000004</v>
      </c>
      <c r="W52" s="2">
        <v>1005.338</v>
      </c>
      <c r="X52" s="2"/>
      <c r="AO52" s="2">
        <v>988.98400000000004</v>
      </c>
    </row>
    <row r="53" spans="2:41" x14ac:dyDescent="0.25">
      <c r="B53" t="s">
        <v>62</v>
      </c>
      <c r="R53" s="2">
        <v>10.752000000000001</v>
      </c>
      <c r="W53" s="2">
        <v>30.282</v>
      </c>
      <c r="X53" s="2"/>
      <c r="AO53" s="2">
        <v>10.752000000000001</v>
      </c>
    </row>
    <row r="54" spans="2:41" x14ac:dyDescent="0.25">
      <c r="B54" t="s">
        <v>63</v>
      </c>
      <c r="R54" s="2">
        <v>305.03500000000003</v>
      </c>
      <c r="W54" s="2">
        <v>62.686999999999998</v>
      </c>
      <c r="X54" s="2"/>
      <c r="AO54" s="2">
        <v>305.03500000000003</v>
      </c>
    </row>
    <row r="55" spans="2:41" x14ac:dyDescent="0.25">
      <c r="B55" t="s">
        <v>64</v>
      </c>
      <c r="R55" s="2">
        <f>SUM(R47:R54)</f>
        <v>5375.487000000001</v>
      </c>
      <c r="W55" s="2">
        <f>SUM(W47:W54)</f>
        <v>6314.6709999999994</v>
      </c>
      <c r="X55" s="2">
        <f>SUM(X47:X54)</f>
        <v>0</v>
      </c>
      <c r="Y55" s="2">
        <f>SUM(Y47:Y54)</f>
        <v>0</v>
      </c>
      <c r="AO55" s="2">
        <f>SUM(AO47:AO54)</f>
        <v>5375.487000000001</v>
      </c>
    </row>
    <row r="56" spans="2:41" x14ac:dyDescent="0.25">
      <c r="R56"/>
      <c r="W56" s="2"/>
      <c r="X56" s="2"/>
    </row>
    <row r="57" spans="2:41" x14ac:dyDescent="0.25">
      <c r="B57" t="s">
        <v>77</v>
      </c>
      <c r="R57"/>
      <c r="W57" s="2"/>
      <c r="X57" s="2"/>
    </row>
    <row r="58" spans="2:41" x14ac:dyDescent="0.25">
      <c r="R58"/>
      <c r="W58" s="2"/>
      <c r="X58" s="2"/>
    </row>
    <row r="59" spans="2:41" x14ac:dyDescent="0.25">
      <c r="R59"/>
      <c r="W59" s="2"/>
      <c r="X59" s="2"/>
    </row>
    <row r="60" spans="2:41" x14ac:dyDescent="0.25">
      <c r="R60"/>
      <c r="W60" s="2"/>
      <c r="X60" s="2"/>
    </row>
    <row r="61" spans="2:41" s="2" customFormat="1" x14ac:dyDescent="0.25">
      <c r="B61" s="2" t="s">
        <v>66</v>
      </c>
      <c r="C61" s="7"/>
      <c r="D61" s="7"/>
      <c r="E61" s="7"/>
      <c r="F61" s="7"/>
      <c r="G61" s="7"/>
      <c r="H61" s="7"/>
      <c r="I61" s="7"/>
      <c r="J61" s="7"/>
      <c r="K61" s="7"/>
      <c r="L61" s="7">
        <v>191.251</v>
      </c>
      <c r="M61" s="7">
        <v>181.166</v>
      </c>
      <c r="N61" s="7"/>
      <c r="O61" s="7">
        <v>156.43600000000001</v>
      </c>
      <c r="P61" s="7">
        <v>26.497</v>
      </c>
      <c r="Q61" s="7">
        <v>67.144000000000005</v>
      </c>
      <c r="R61" s="2">
        <v>119.21899999999999</v>
      </c>
      <c r="S61" s="7">
        <v>173.78100000000001</v>
      </c>
      <c r="T61" s="7">
        <v>28.39</v>
      </c>
      <c r="U61" s="7">
        <v>112.70399999999999</v>
      </c>
      <c r="V61" s="2">
        <v>143.30500000000001</v>
      </c>
      <c r="W61" s="2">
        <v>238.946</v>
      </c>
      <c r="X61" s="2">
        <f>390.395-W61</f>
        <v>151.44899999999998</v>
      </c>
      <c r="Y61" s="2">
        <f>637.825-X61-W61</f>
        <v>247.43000000000009</v>
      </c>
      <c r="Z61" s="2">
        <v>184.49100000000001</v>
      </c>
      <c r="AA61" s="2">
        <v>443.91399999999999</v>
      </c>
      <c r="AM61" s="2">
        <v>524.34</v>
      </c>
      <c r="AN61" s="2">
        <v>659.10900000000004</v>
      </c>
      <c r="AO61" s="2">
        <v>369.29599999999999</v>
      </c>
    </row>
    <row r="62" spans="2:41" s="2" customFormat="1" x14ac:dyDescent="0.25">
      <c r="B62" s="2" t="s">
        <v>78</v>
      </c>
      <c r="C62" s="7"/>
      <c r="D62" s="7"/>
      <c r="E62" s="7"/>
      <c r="F62" s="7"/>
      <c r="G62" s="7"/>
      <c r="H62" s="7"/>
      <c r="I62" s="7"/>
      <c r="J62" s="7"/>
      <c r="K62" s="7"/>
      <c r="L62" s="7">
        <v>23.234999999999999</v>
      </c>
      <c r="M62" s="7">
        <v>2.9630000000000001</v>
      </c>
      <c r="N62" s="7"/>
      <c r="O62" s="7">
        <v>51.79</v>
      </c>
      <c r="P62" s="7">
        <v>83.811999999999998</v>
      </c>
      <c r="Q62" s="7">
        <v>133.35599999999999</v>
      </c>
      <c r="R62" s="2">
        <v>157.20500000000001</v>
      </c>
      <c r="S62" s="7">
        <v>91.358999999999995</v>
      </c>
      <c r="T62" s="7">
        <v>110.91500000000001</v>
      </c>
      <c r="U62" s="7">
        <v>53.195999999999998</v>
      </c>
      <c r="V62" s="2">
        <v>65.197000000000003</v>
      </c>
      <c r="W62" s="2">
        <v>46.68</v>
      </c>
      <c r="X62" s="2">
        <f>86.381-W62</f>
        <v>39.701000000000001</v>
      </c>
      <c r="Y62" s="2">
        <f>115.786-X62-W62</f>
        <v>29.405000000000008</v>
      </c>
      <c r="Z62" s="2">
        <v>63.86</v>
      </c>
      <c r="AA62" s="2">
        <v>17.364999999999998</v>
      </c>
    </row>
    <row r="63" spans="2:41" s="2" customFormat="1" x14ac:dyDescent="0.25">
      <c r="B63" s="2" t="s">
        <v>79</v>
      </c>
      <c r="C63" s="7"/>
      <c r="D63" s="7"/>
      <c r="E63" s="7"/>
      <c r="F63" s="7"/>
      <c r="G63" s="7"/>
      <c r="H63" s="7"/>
      <c r="I63" s="7"/>
      <c r="J63" s="7"/>
      <c r="K63" s="7"/>
      <c r="L63" s="7">
        <f t="shared" ref="L63:N63" si="84">+L61-L62</f>
        <v>168.01600000000002</v>
      </c>
      <c r="M63" s="7">
        <f t="shared" si="84"/>
        <v>178.203</v>
      </c>
      <c r="N63" s="7">
        <f t="shared" si="84"/>
        <v>0</v>
      </c>
      <c r="O63" s="7">
        <f>+O61-O62</f>
        <v>104.64600000000002</v>
      </c>
      <c r="P63" s="7">
        <f>+P61-P62</f>
        <v>-57.314999999999998</v>
      </c>
      <c r="Q63" s="7">
        <f>+Q61-Q62</f>
        <v>-66.211999999999989</v>
      </c>
      <c r="R63" s="7">
        <f>+R61-R62</f>
        <v>-37.986000000000018</v>
      </c>
      <c r="S63" s="7">
        <f>+S61-S62</f>
        <v>82.422000000000011</v>
      </c>
      <c r="T63" s="7">
        <f>+T61-T62</f>
        <v>-82.525000000000006</v>
      </c>
      <c r="U63" s="7">
        <f>+U61-U62</f>
        <v>59.507999999999996</v>
      </c>
      <c r="V63" s="7">
        <f>+V61-V62</f>
        <v>78.108000000000004</v>
      </c>
      <c r="W63" s="2">
        <f>+W61-W62</f>
        <v>192.26599999999999</v>
      </c>
      <c r="X63" s="2">
        <f>+X61-X62</f>
        <v>111.74799999999999</v>
      </c>
      <c r="Y63" s="2">
        <f>+Y61-Y62</f>
        <v>218.02500000000009</v>
      </c>
      <c r="Z63" s="2">
        <f>+Z61-Z62</f>
        <v>120.63100000000001</v>
      </c>
      <c r="AA63" s="2">
        <f>+AA61-AA62</f>
        <v>426.54899999999998</v>
      </c>
    </row>
    <row r="64" spans="2:41" x14ac:dyDescent="0.25">
      <c r="T64" s="2">
        <f>SUM(Q63:T63)</f>
        <v>-104.301</v>
      </c>
      <c r="U64" s="2">
        <f>SUM(R63:U63)</f>
        <v>21.418999999999983</v>
      </c>
      <c r="V64" s="2">
        <f>SUM(S63:V63)</f>
        <v>137.51300000000001</v>
      </c>
      <c r="W64" s="2">
        <f>SUM(T63:W63)</f>
        <v>247.35699999999997</v>
      </c>
      <c r="X64" s="2">
        <f>SUM(U63:X63)</f>
        <v>441.62999999999994</v>
      </c>
      <c r="Y64" s="2">
        <f>SUM(V63:Y63)</f>
        <v>600.14700000000016</v>
      </c>
      <c r="Z64" s="2">
        <f>SUM(W63:Z63)</f>
        <v>642.67000000000007</v>
      </c>
      <c r="AA64" s="2">
        <f>SUM(X63:AA63)</f>
        <v>876.95300000000009</v>
      </c>
      <c r="AB64" s="2"/>
    </row>
    <row r="66" spans="2:11" x14ac:dyDescent="0.25">
      <c r="B66" t="s">
        <v>72</v>
      </c>
      <c r="K66" s="12">
        <f>53.587302+516.244161</f>
        <v>569.83146299999999</v>
      </c>
    </row>
    <row r="67" spans="2:11" x14ac:dyDescent="0.25">
      <c r="B67" t="s">
        <v>0</v>
      </c>
      <c r="K67" s="4">
        <v>67.34</v>
      </c>
    </row>
    <row r="68" spans="2:11" x14ac:dyDescent="0.25">
      <c r="B68" t="s">
        <v>2</v>
      </c>
      <c r="K68" s="7">
        <f>K66*K67</f>
        <v>38372.450718419997</v>
      </c>
    </row>
  </sheetData>
  <hyperlinks>
    <hyperlink ref="A1" location="Main!A1" display="Main" xr:uid="{DD6A30B0-9533-4FBD-B01E-5A5763B1296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2023-03-02T17:06:21Z</dcterms:created>
  <dcterms:modified xsi:type="dcterms:W3CDTF">2025-05-27T16:00:26Z</dcterms:modified>
</cp:coreProperties>
</file>