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\code\models\"/>
    </mc:Choice>
  </mc:AlternateContent>
  <xr:revisionPtr revIDLastSave="0" documentId="13_ncr:1_{2DAC5BE7-3972-4D1F-8EE9-FA167E05A168}" xr6:coauthVersionLast="47" xr6:coauthVersionMax="47" xr10:uidLastSave="{00000000-0000-0000-0000-000000000000}"/>
  <bookViews>
    <workbookView xWindow="-27075" yWindow="2310" windowWidth="25965" windowHeight="16125" xr2:uid="{D7A11B22-4522-467B-9402-0B9402DE3F9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8" i="2" l="1"/>
  <c r="J97" i="2"/>
  <c r="J96" i="2"/>
  <c r="J95" i="2"/>
  <c r="J94" i="2"/>
  <c r="J101" i="2"/>
  <c r="K101" i="2"/>
  <c r="L101" i="2"/>
  <c r="M101" i="2"/>
  <c r="N101" i="2"/>
  <c r="J100" i="2"/>
  <c r="J93" i="2"/>
  <c r="J92" i="2"/>
  <c r="J91" i="2"/>
  <c r="J88" i="2"/>
  <c r="J86" i="2"/>
  <c r="J85" i="2"/>
  <c r="J82" i="2"/>
  <c r="J81" i="2"/>
  <c r="J80" i="2"/>
  <c r="J78" i="2"/>
  <c r="J79" i="2"/>
  <c r="J77" i="2"/>
  <c r="J76" i="2"/>
  <c r="J75" i="2"/>
  <c r="J74" i="2"/>
  <c r="J71" i="2"/>
  <c r="J62" i="2"/>
  <c r="J54" i="2"/>
  <c r="J50" i="2"/>
  <c r="J59" i="2" s="1"/>
  <c r="J57" i="2"/>
  <c r="J27" i="2"/>
  <c r="J29" i="2" s="1"/>
  <c r="I100" i="2"/>
  <c r="I97" i="2"/>
  <c r="I98" i="2"/>
  <c r="I96" i="2"/>
  <c r="I95" i="2"/>
  <c r="I94" i="2"/>
  <c r="I93" i="2"/>
  <c r="I92" i="2"/>
  <c r="I91" i="2"/>
  <c r="I88" i="2"/>
  <c r="I86" i="2"/>
  <c r="I85" i="2"/>
  <c r="I82" i="2"/>
  <c r="I81" i="2"/>
  <c r="I80" i="2"/>
  <c r="I79" i="2"/>
  <c r="I78" i="2"/>
  <c r="I77" i="2"/>
  <c r="I76" i="2"/>
  <c r="I75" i="2"/>
  <c r="I74" i="2"/>
  <c r="I71" i="2"/>
  <c r="I62" i="2"/>
  <c r="I54" i="2"/>
  <c r="I50" i="2"/>
  <c r="I59" i="2"/>
  <c r="I57" i="2"/>
  <c r="I27" i="2"/>
  <c r="H100" i="2"/>
  <c r="H98" i="2"/>
  <c r="H97" i="2"/>
  <c r="H95" i="2"/>
  <c r="H96" i="2" s="1"/>
  <c r="H94" i="2"/>
  <c r="H93" i="2"/>
  <c r="H92" i="2"/>
  <c r="H91" i="2"/>
  <c r="H88" i="2"/>
  <c r="H86" i="2"/>
  <c r="H85" i="2"/>
  <c r="H82" i="2"/>
  <c r="H81" i="2"/>
  <c r="H80" i="2"/>
  <c r="H79" i="2"/>
  <c r="H78" i="2"/>
  <c r="H77" i="2"/>
  <c r="H76" i="2"/>
  <c r="H75" i="2"/>
  <c r="H74" i="2"/>
  <c r="F46" i="2"/>
  <c r="E46" i="2"/>
  <c r="D46" i="2"/>
  <c r="F45" i="2"/>
  <c r="E45" i="2"/>
  <c r="D45" i="2"/>
  <c r="D41" i="2"/>
  <c r="F39" i="2"/>
  <c r="E39" i="2"/>
  <c r="F37" i="2"/>
  <c r="E37" i="2"/>
  <c r="D37" i="2"/>
  <c r="D39" i="2" s="1"/>
  <c r="D40" i="2" s="1"/>
  <c r="F34" i="2"/>
  <c r="F35" i="2" s="1"/>
  <c r="E34" i="2"/>
  <c r="E35" i="2" s="1"/>
  <c r="D34" i="2"/>
  <c r="D35" i="2" s="1"/>
  <c r="D29" i="2"/>
  <c r="H62" i="2"/>
  <c r="H71" i="2"/>
  <c r="H59" i="2"/>
  <c r="H57" i="2"/>
  <c r="H54" i="2"/>
  <c r="H50" i="2"/>
  <c r="J49" i="2"/>
  <c r="I49" i="2"/>
  <c r="H49" i="2"/>
  <c r="H46" i="2"/>
  <c r="H27" i="2"/>
  <c r="G100" i="2"/>
  <c r="G96" i="2"/>
  <c r="G98" i="2" s="1"/>
  <c r="G94" i="2"/>
  <c r="G88" i="2"/>
  <c r="J89" i="2"/>
  <c r="I89" i="2"/>
  <c r="H89" i="2"/>
  <c r="G86" i="2"/>
  <c r="G89" i="2" s="1"/>
  <c r="J83" i="2"/>
  <c r="H83" i="2"/>
  <c r="G82" i="2"/>
  <c r="G83" i="2" s="1"/>
  <c r="G62" i="2"/>
  <c r="G71" i="2" s="1"/>
  <c r="G54" i="2"/>
  <c r="G50" i="2"/>
  <c r="G57" i="2"/>
  <c r="G59" i="2" s="1"/>
  <c r="G49" i="2"/>
  <c r="G27" i="2"/>
  <c r="G29" i="2" s="1"/>
  <c r="G45" i="2" s="1"/>
  <c r="N97" i="2"/>
  <c r="N95" i="2"/>
  <c r="N93" i="2"/>
  <c r="N91" i="2"/>
  <c r="M97" i="2"/>
  <c r="M95" i="2"/>
  <c r="M93" i="2"/>
  <c r="M91" i="2"/>
  <c r="M88" i="2"/>
  <c r="N88" i="2" s="1"/>
  <c r="M87" i="2"/>
  <c r="M85" i="2"/>
  <c r="N85" i="2" s="1"/>
  <c r="M81" i="2"/>
  <c r="N81" i="2" s="1"/>
  <c r="M80" i="2"/>
  <c r="N80" i="2" s="1"/>
  <c r="M79" i="2"/>
  <c r="N79" i="2" s="1"/>
  <c r="M78" i="2"/>
  <c r="N78" i="2" s="1"/>
  <c r="M77" i="2"/>
  <c r="N77" i="2" s="1"/>
  <c r="M76" i="2"/>
  <c r="N76" i="2" s="1"/>
  <c r="M75" i="2"/>
  <c r="N75" i="2" s="1"/>
  <c r="M74" i="2"/>
  <c r="L43" i="2"/>
  <c r="L27" i="2"/>
  <c r="M27" i="2"/>
  <c r="M43" i="2" s="1"/>
  <c r="L29" i="2"/>
  <c r="L97" i="2"/>
  <c r="L95" i="2"/>
  <c r="L93" i="2"/>
  <c r="L91" i="2"/>
  <c r="L88" i="2"/>
  <c r="L85" i="2"/>
  <c r="L74" i="2"/>
  <c r="L81" i="2"/>
  <c r="L80" i="2"/>
  <c r="L79" i="2"/>
  <c r="L78" i="2"/>
  <c r="L77" i="2"/>
  <c r="L76" i="2"/>
  <c r="L75" i="2"/>
  <c r="M45" i="2"/>
  <c r="H41" i="2"/>
  <c r="L41" i="2"/>
  <c r="L34" i="2"/>
  <c r="L62" i="2"/>
  <c r="L71" i="2" s="1"/>
  <c r="M62" i="2"/>
  <c r="M71" i="2" s="1"/>
  <c r="L57" i="2"/>
  <c r="L54" i="2"/>
  <c r="L50" i="2"/>
  <c r="M57" i="2"/>
  <c r="M54" i="2"/>
  <c r="M50" i="2"/>
  <c r="M59" i="2" s="1"/>
  <c r="M49" i="2"/>
  <c r="M41" i="2"/>
  <c r="M36" i="2"/>
  <c r="M34" i="2"/>
  <c r="M29" i="2"/>
  <c r="M35" i="2" s="1"/>
  <c r="M37" i="2" s="1"/>
  <c r="M39" i="2" s="1"/>
  <c r="H34" i="2"/>
  <c r="H29" i="2"/>
  <c r="K94" i="2"/>
  <c r="K96" i="2" s="1"/>
  <c r="K86" i="2"/>
  <c r="K89" i="2" s="1"/>
  <c r="K82" i="2"/>
  <c r="L82" i="2" s="1"/>
  <c r="G41" i="2"/>
  <c r="G34" i="2"/>
  <c r="K71" i="2"/>
  <c r="K62" i="2"/>
  <c r="K57" i="2"/>
  <c r="K54" i="2"/>
  <c r="K50" i="2"/>
  <c r="K49" i="2" s="1"/>
  <c r="K27" i="2"/>
  <c r="K43" i="2" s="1"/>
  <c r="J41" i="2"/>
  <c r="J34" i="2"/>
  <c r="N41" i="2"/>
  <c r="N34" i="2"/>
  <c r="N62" i="2"/>
  <c r="N71" i="2" s="1"/>
  <c r="N57" i="2"/>
  <c r="N54" i="2"/>
  <c r="N50" i="2"/>
  <c r="N27" i="2"/>
  <c r="T16" i="2"/>
  <c r="U16" i="2"/>
  <c r="U15" i="2"/>
  <c r="U14" i="2"/>
  <c r="K16" i="2"/>
  <c r="L16" i="2"/>
  <c r="M16" i="2"/>
  <c r="N16" i="2"/>
  <c r="T10" i="2"/>
  <c r="U12" i="2"/>
  <c r="U11" i="2"/>
  <c r="U10" i="2" s="1"/>
  <c r="U9" i="2"/>
  <c r="U8" i="2"/>
  <c r="U7" i="2"/>
  <c r="U6" i="2"/>
  <c r="U5" i="2"/>
  <c r="U4" i="2"/>
  <c r="K10" i="2"/>
  <c r="L10" i="2"/>
  <c r="M10" i="2"/>
  <c r="N10" i="2"/>
  <c r="O10" i="2"/>
  <c r="O27" i="2"/>
  <c r="O43" i="2" s="1"/>
  <c r="O16" i="2"/>
  <c r="O94" i="2"/>
  <c r="O96" i="2" s="1"/>
  <c r="O88" i="2"/>
  <c r="O89" i="2" s="1"/>
  <c r="O82" i="2"/>
  <c r="O83" i="2" s="1"/>
  <c r="O100" i="2" s="1"/>
  <c r="O62" i="2"/>
  <c r="O67" i="2"/>
  <c r="O50" i="2"/>
  <c r="N59" i="2"/>
  <c r="O57" i="2"/>
  <c r="O54" i="2"/>
  <c r="N49" i="2"/>
  <c r="K41" i="2"/>
  <c r="K34" i="2"/>
  <c r="O41" i="2"/>
  <c r="O34" i="2"/>
  <c r="R3" i="2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L49" i="2"/>
  <c r="I41" i="2"/>
  <c r="I36" i="2"/>
  <c r="I34" i="2"/>
  <c r="I29" i="2"/>
  <c r="K4" i="1"/>
  <c r="K7" i="1" s="1"/>
  <c r="J45" i="2" l="1"/>
  <c r="I45" i="2"/>
  <c r="N43" i="2"/>
  <c r="I83" i="2"/>
  <c r="M82" i="2"/>
  <c r="N82" i="2" s="1"/>
  <c r="L83" i="2"/>
  <c r="L100" i="2" s="1"/>
  <c r="M83" i="2"/>
  <c r="M100" i="2" s="1"/>
  <c r="H35" i="2"/>
  <c r="H37" i="2" s="1"/>
  <c r="H39" i="2" s="1"/>
  <c r="L86" i="2"/>
  <c r="M86" i="2" s="1"/>
  <c r="N86" i="2" s="1"/>
  <c r="N89" i="2" s="1"/>
  <c r="L89" i="2"/>
  <c r="N74" i="2"/>
  <c r="N83" i="2" s="1"/>
  <c r="N100" i="2" s="1"/>
  <c r="L94" i="2"/>
  <c r="M94" i="2" s="1"/>
  <c r="N94" i="2" s="1"/>
  <c r="N96" i="2" s="1"/>
  <c r="N98" i="2" s="1"/>
  <c r="K59" i="2"/>
  <c r="K29" i="2"/>
  <c r="K45" i="2" s="1"/>
  <c r="L59" i="2"/>
  <c r="K83" i="2"/>
  <c r="K100" i="2" s="1"/>
  <c r="N29" i="2"/>
  <c r="N45" i="2" s="1"/>
  <c r="N35" i="2"/>
  <c r="M46" i="2"/>
  <c r="L35" i="2"/>
  <c r="L37" i="2" s="1"/>
  <c r="L39" i="2" s="1"/>
  <c r="L45" i="2"/>
  <c r="M73" i="2"/>
  <c r="M40" i="2"/>
  <c r="G35" i="2"/>
  <c r="K35" i="2"/>
  <c r="K46" i="2" s="1"/>
  <c r="J35" i="2"/>
  <c r="O29" i="2"/>
  <c r="O45" i="2" s="1"/>
  <c r="O59" i="2"/>
  <c r="O71" i="2"/>
  <c r="I35" i="2"/>
  <c r="I37" i="2" s="1"/>
  <c r="O49" i="2"/>
  <c r="O98" i="2"/>
  <c r="H45" i="2"/>
  <c r="N37" i="2" l="1"/>
  <c r="N39" i="2" s="1"/>
  <c r="N46" i="2"/>
  <c r="I39" i="2"/>
  <c r="I40" i="2" s="1"/>
  <c r="J37" i="2"/>
  <c r="J39" i="2" s="1"/>
  <c r="I46" i="2"/>
  <c r="J46" i="2"/>
  <c r="K98" i="2"/>
  <c r="L96" i="2"/>
  <c r="L98" i="2" s="1"/>
  <c r="H40" i="2"/>
  <c r="H73" i="2"/>
  <c r="M89" i="2"/>
  <c r="K37" i="2"/>
  <c r="K39" i="2" s="1"/>
  <c r="O35" i="2"/>
  <c r="O37" i="2" s="1"/>
  <c r="O39" i="2" s="1"/>
  <c r="O101" i="2"/>
  <c r="M96" i="2"/>
  <c r="M98" i="2" s="1"/>
  <c r="G37" i="2"/>
  <c r="G39" i="2" s="1"/>
  <c r="G73" i="2" s="1"/>
  <c r="G46" i="2"/>
  <c r="L73" i="2"/>
  <c r="L47" i="2"/>
  <c r="L40" i="2"/>
  <c r="O46" i="2"/>
  <c r="O40" i="2"/>
  <c r="O73" i="2"/>
  <c r="O47" i="2"/>
  <c r="L46" i="2"/>
  <c r="J40" i="2" l="1"/>
  <c r="J73" i="2"/>
  <c r="K40" i="2"/>
  <c r="K73" i="2"/>
  <c r="M47" i="2"/>
  <c r="I73" i="2"/>
  <c r="N40" i="2"/>
  <c r="N47" i="2"/>
  <c r="N73" i="2"/>
  <c r="G40" i="2"/>
  <c r="K47" i="2"/>
</calcChain>
</file>

<file path=xl/sharedStrings.xml><?xml version="1.0" encoding="utf-8"?>
<sst xmlns="http://schemas.openxmlformats.org/spreadsheetml/2006/main" count="110" uniqueCount="93">
  <si>
    <t>Price</t>
  </si>
  <si>
    <t>Shares</t>
  </si>
  <si>
    <t>MC</t>
  </si>
  <si>
    <t>Cash</t>
  </si>
  <si>
    <t>Debt</t>
  </si>
  <si>
    <t>EV</t>
  </si>
  <si>
    <t>Main</t>
  </si>
  <si>
    <t>Revenue</t>
  </si>
  <si>
    <t>Q122</t>
  </si>
  <si>
    <t>Q222</t>
  </si>
  <si>
    <t>Q322</t>
  </si>
  <si>
    <t>Q422</t>
  </si>
  <si>
    <t>Q123</t>
  </si>
  <si>
    <t>Q223</t>
  </si>
  <si>
    <t>Q424</t>
  </si>
  <si>
    <t>Revenue y/y</t>
  </si>
  <si>
    <t>Network</t>
  </si>
  <si>
    <t>Gross Margin</t>
  </si>
  <si>
    <t>G&amp;A</t>
  </si>
  <si>
    <t>Professional</t>
  </si>
  <si>
    <t>Marketing</t>
  </si>
  <si>
    <t>Personnel</t>
  </si>
  <si>
    <t>Operating Margin</t>
  </si>
  <si>
    <t>Operating Expenses</t>
  </si>
  <si>
    <t>EPS</t>
  </si>
  <si>
    <t>Net Income</t>
  </si>
  <si>
    <t>Taxes</t>
  </si>
  <si>
    <t>Pretax Income</t>
  </si>
  <si>
    <t>Interest</t>
  </si>
  <si>
    <t>Settlement</t>
  </si>
  <si>
    <t>AR</t>
  </si>
  <si>
    <t>Collateral</t>
  </si>
  <si>
    <t>Incentives</t>
  </si>
  <si>
    <t>Prepaids</t>
  </si>
  <si>
    <t>PP&amp;E</t>
  </si>
  <si>
    <t>Assets</t>
  </si>
  <si>
    <t>Other</t>
  </si>
  <si>
    <t>Goodwill</t>
  </si>
  <si>
    <t>AP</t>
  </si>
  <si>
    <t>Settlement+Legal</t>
  </si>
  <si>
    <t>Compensation</t>
  </si>
  <si>
    <t>AL</t>
  </si>
  <si>
    <t>L+SE</t>
  </si>
  <si>
    <t>SE</t>
  </si>
  <si>
    <t>OL</t>
  </si>
  <si>
    <t>Net Cash</t>
  </si>
  <si>
    <t>FQ125</t>
  </si>
  <si>
    <t>Net Income y/y</t>
  </si>
  <si>
    <t>Model NI</t>
  </si>
  <si>
    <t>Reported NI</t>
  </si>
  <si>
    <t>CFFO</t>
  </si>
  <si>
    <t>WC</t>
  </si>
  <si>
    <t>Equities</t>
  </si>
  <si>
    <t>VE territory</t>
  </si>
  <si>
    <t>DT</t>
  </si>
  <si>
    <t>D&amp;A</t>
  </si>
  <si>
    <t>SBC</t>
  </si>
  <si>
    <t>CFFI</t>
  </si>
  <si>
    <t>CapEx</t>
  </si>
  <si>
    <t>Investments</t>
  </si>
  <si>
    <t>Acquisitions</t>
  </si>
  <si>
    <t>CIC</t>
  </si>
  <si>
    <t>FX</t>
  </si>
  <si>
    <t>CFFF</t>
  </si>
  <si>
    <t>Buyback</t>
  </si>
  <si>
    <t>Dividend</t>
  </si>
  <si>
    <t>ESOP</t>
  </si>
  <si>
    <t>Revenue y/y CC</t>
  </si>
  <si>
    <t>12/19/24: Acquires Featurespace, AI fraud detection</t>
  </si>
  <si>
    <t>Credit Transactions</t>
  </si>
  <si>
    <t>Debit Transactions</t>
  </si>
  <si>
    <t>Total Transactions</t>
  </si>
  <si>
    <t>International</t>
  </si>
  <si>
    <t>Data Processing</t>
  </si>
  <si>
    <t>Service</t>
  </si>
  <si>
    <t>APAC TPV</t>
  </si>
  <si>
    <t>Canada TPV</t>
  </si>
  <si>
    <t>CEMEA TPV</t>
  </si>
  <si>
    <t>US TPV</t>
  </si>
  <si>
    <t>EU TPV</t>
  </si>
  <si>
    <t>Total TPV</t>
  </si>
  <si>
    <t>LAC TPV</t>
  </si>
  <si>
    <t xml:space="preserve">  Debit</t>
  </si>
  <si>
    <t xml:space="preserve">  Credit</t>
  </si>
  <si>
    <t>Accounts</t>
  </si>
  <si>
    <t>Cards</t>
  </si>
  <si>
    <t>FQ424</t>
  </si>
  <si>
    <t>FQ324</t>
  </si>
  <si>
    <t>FQ224</t>
  </si>
  <si>
    <t>FQ124</t>
  </si>
  <si>
    <t>FQ423</t>
  </si>
  <si>
    <t>FCF</t>
  </si>
  <si>
    <t>FQ323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</si>
</sst>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;@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2" fillId="0" borderId="0" xfId="1"/>
    <xf numFmtId="4" fontId="0" fillId="0" borderId="0" xfId="0" applyNumberFormat="1" applyAlignment="1">
      <alignment horizontal="right"/>
    </xf>
    <xf numFmtId="164" fontId="2" fillId="0" borderId="0" xfId="1" applyNumberFormat="1"/>
    <xf numFmtId="164" fontId="0" fillId="0" borderId="0" xfId="0" applyNumberFormat="1"/>
    <xf numFmtId="164" fontId="0" fillId="0" borderId="0" xfId="0" applyNumberFormat="1" applyAlignment="1">
      <alignment horizontal="right"/>
    </xf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5D0DCE0-38CC-47E5-914E-5E91E8146B9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30036</xdr:colOff>
      <xdr:row>0</xdr:row>
      <xdr:rowOff>13138</xdr:rowOff>
    </xdr:from>
    <xdr:to>
      <xdr:col>15</xdr:col>
      <xdr:colOff>30036</xdr:colOff>
      <xdr:row>106</xdr:row>
      <xdr:rowOff>99392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EC89BE6-AA1C-A6E7-58EF-6408B3927913}"/>
            </a:ext>
          </a:extLst>
        </xdr:cNvPr>
        <xdr:cNvCxnSpPr/>
      </xdr:nvCxnSpPr>
      <xdr:spPr>
        <a:xfrm>
          <a:off x="9538471" y="13138"/>
          <a:ext cx="0" cy="174797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7423B-511B-43A5-A095-4200DABC367B}">
  <dimension ref="B2:L7"/>
  <sheetViews>
    <sheetView tabSelected="1" zoomScale="175" zoomScaleNormal="175" workbookViewId="0">
      <selection activeCell="J2" sqref="J2"/>
    </sheetView>
  </sheetViews>
  <sheetFormatPr defaultRowHeight="12.5" x14ac:dyDescent="0.25"/>
  <sheetData>
    <row r="2" spans="2:12" x14ac:dyDescent="0.25">
      <c r="B2" t="s">
        <v>68</v>
      </c>
      <c r="J2" t="s">
        <v>0</v>
      </c>
      <c r="K2" s="1">
        <v>362</v>
      </c>
    </row>
    <row r="3" spans="2:12" x14ac:dyDescent="0.25">
      <c r="J3" t="s">
        <v>1</v>
      </c>
      <c r="K3" s="2">
        <v>2120</v>
      </c>
      <c r="L3" s="3" t="s">
        <v>14</v>
      </c>
    </row>
    <row r="4" spans="2:12" x14ac:dyDescent="0.25">
      <c r="J4" t="s">
        <v>2</v>
      </c>
      <c r="K4" s="2">
        <f>+K2*K3</f>
        <v>767440</v>
      </c>
    </row>
    <row r="5" spans="2:12" x14ac:dyDescent="0.25">
      <c r="J5" t="s">
        <v>3</v>
      </c>
      <c r="K5" s="2">
        <v>19203</v>
      </c>
      <c r="L5" s="3" t="s">
        <v>14</v>
      </c>
    </row>
    <row r="6" spans="2:12" x14ac:dyDescent="0.25">
      <c r="J6" t="s">
        <v>4</v>
      </c>
      <c r="K6" s="2">
        <v>20609</v>
      </c>
      <c r="L6" s="3" t="s">
        <v>14</v>
      </c>
    </row>
    <row r="7" spans="2:12" x14ac:dyDescent="0.25">
      <c r="J7" t="s">
        <v>5</v>
      </c>
      <c r="K7" s="2">
        <f>+K4-K5+K6</f>
        <v>768846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DF777-564E-431B-B3DF-DE9720FAF314}">
  <dimension ref="A1:AF103"/>
  <sheetViews>
    <sheetView zoomScale="110" zoomScaleNormal="110" workbookViewId="0">
      <pane xSplit="2" ySplit="3" topLeftCell="C93" activePane="bottomRight" state="frozen"/>
      <selection pane="topRight" activeCell="C1" sqref="C1"/>
      <selection pane="bottomLeft" activeCell="A3" sqref="A3"/>
      <selection pane="bottomRight" activeCell="O101" sqref="O101"/>
    </sheetView>
  </sheetViews>
  <sheetFormatPr defaultRowHeight="12.5" x14ac:dyDescent="0.25"/>
  <cols>
    <col min="1" max="1" width="5" bestFit="1" customWidth="1"/>
    <col min="2" max="2" width="18.1796875" bestFit="1" customWidth="1"/>
    <col min="3" max="9" width="9.1796875" style="3"/>
    <col min="10" max="14" width="9.1796875" style="3" customWidth="1"/>
    <col min="15" max="15" width="9.1796875" customWidth="1"/>
  </cols>
  <sheetData>
    <row r="1" spans="1:32" x14ac:dyDescent="0.25">
      <c r="A1" s="8" t="s">
        <v>6</v>
      </c>
    </row>
    <row r="2" spans="1:32" s="11" customFormat="1" x14ac:dyDescent="0.25">
      <c r="A2" s="10"/>
      <c r="C2" s="12"/>
      <c r="D2" s="12"/>
      <c r="E2" s="12"/>
      <c r="F2" s="12"/>
      <c r="G2" s="12">
        <v>44926</v>
      </c>
      <c r="H2" s="12">
        <v>45016</v>
      </c>
      <c r="I2" s="12">
        <v>45107</v>
      </c>
      <c r="J2" s="12">
        <v>45199</v>
      </c>
      <c r="K2" s="12">
        <v>45291</v>
      </c>
      <c r="L2" s="12">
        <v>45382</v>
      </c>
      <c r="M2" s="12">
        <v>45473</v>
      </c>
      <c r="N2" s="12">
        <v>45565</v>
      </c>
      <c r="O2" s="11">
        <v>45657</v>
      </c>
    </row>
    <row r="3" spans="1:32" x14ac:dyDescent="0.25"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92</v>
      </c>
      <c r="J3" s="3" t="s">
        <v>90</v>
      </c>
      <c r="K3" s="3" t="s">
        <v>89</v>
      </c>
      <c r="L3" s="3" t="s">
        <v>88</v>
      </c>
      <c r="M3" s="3" t="s">
        <v>87</v>
      </c>
      <c r="N3" s="3" t="s">
        <v>86</v>
      </c>
      <c r="O3" s="3" t="s">
        <v>46</v>
      </c>
      <c r="Q3">
        <v>2020</v>
      </c>
      <c r="R3">
        <f>+Q3+1</f>
        <v>2021</v>
      </c>
      <c r="S3">
        <f t="shared" ref="S3:AF3" si="0">+R3+1</f>
        <v>2022</v>
      </c>
      <c r="T3">
        <f t="shared" si="0"/>
        <v>2023</v>
      </c>
      <c r="U3">
        <f t="shared" si="0"/>
        <v>2024</v>
      </c>
      <c r="V3">
        <f t="shared" si="0"/>
        <v>2025</v>
      </c>
      <c r="W3">
        <f t="shared" si="0"/>
        <v>2026</v>
      </c>
      <c r="X3">
        <f t="shared" si="0"/>
        <v>2027</v>
      </c>
      <c r="Y3">
        <f t="shared" si="0"/>
        <v>2028</v>
      </c>
      <c r="Z3">
        <f t="shared" si="0"/>
        <v>2029</v>
      </c>
      <c r="AA3">
        <f t="shared" si="0"/>
        <v>2030</v>
      </c>
      <c r="AB3">
        <f t="shared" si="0"/>
        <v>2031</v>
      </c>
      <c r="AC3">
        <f t="shared" si="0"/>
        <v>2032</v>
      </c>
      <c r="AD3">
        <f t="shared" si="0"/>
        <v>2033</v>
      </c>
      <c r="AE3">
        <f t="shared" si="0"/>
        <v>2034</v>
      </c>
      <c r="AF3">
        <f t="shared" si="0"/>
        <v>2035</v>
      </c>
    </row>
    <row r="4" spans="1:32" s="2" customFormat="1" x14ac:dyDescent="0.25">
      <c r="B4" s="2" t="s">
        <v>75</v>
      </c>
      <c r="C4" s="5"/>
      <c r="D4" s="5"/>
      <c r="E4" s="5"/>
      <c r="F4" s="5"/>
      <c r="G4" s="5"/>
      <c r="H4" s="5"/>
      <c r="I4" s="5"/>
      <c r="J4" s="5"/>
      <c r="K4" s="5">
        <v>606</v>
      </c>
      <c r="L4" s="5">
        <v>578</v>
      </c>
      <c r="M4" s="5">
        <v>566</v>
      </c>
      <c r="N4" s="5">
        <v>583</v>
      </c>
      <c r="O4" s="5">
        <v>603</v>
      </c>
      <c r="T4" s="2">
        <v>2382</v>
      </c>
      <c r="U4" s="2">
        <f t="shared" ref="U4:U9" si="1">SUM(L4:O4)</f>
        <v>2330</v>
      </c>
    </row>
    <row r="5" spans="1:32" s="2" customFormat="1" x14ac:dyDescent="0.25">
      <c r="B5" s="2" t="s">
        <v>76</v>
      </c>
      <c r="C5" s="5"/>
      <c r="D5" s="5"/>
      <c r="E5" s="5"/>
      <c r="F5" s="5"/>
      <c r="G5" s="5"/>
      <c r="H5" s="5"/>
      <c r="I5" s="5"/>
      <c r="J5" s="5"/>
      <c r="K5" s="5">
        <v>110</v>
      </c>
      <c r="L5" s="5">
        <v>102</v>
      </c>
      <c r="M5" s="5">
        <v>113</v>
      </c>
      <c r="N5" s="5">
        <v>113</v>
      </c>
      <c r="O5" s="5">
        <v>118</v>
      </c>
      <c r="T5" s="2">
        <v>422</v>
      </c>
      <c r="U5" s="2">
        <f t="shared" si="1"/>
        <v>446</v>
      </c>
    </row>
    <row r="6" spans="1:32" s="2" customFormat="1" x14ac:dyDescent="0.25">
      <c r="B6" s="2" t="s">
        <v>77</v>
      </c>
      <c r="C6" s="5"/>
      <c r="D6" s="5"/>
      <c r="E6" s="5"/>
      <c r="F6" s="5"/>
      <c r="G6" s="5"/>
      <c r="H6" s="5"/>
      <c r="I6" s="5"/>
      <c r="J6" s="5"/>
      <c r="K6" s="5">
        <v>307</v>
      </c>
      <c r="L6" s="5">
        <v>302</v>
      </c>
      <c r="M6" s="5">
        <v>311</v>
      </c>
      <c r="N6" s="5">
        <v>324</v>
      </c>
      <c r="O6" s="5">
        <v>335</v>
      </c>
      <c r="T6" s="2">
        <v>1168</v>
      </c>
      <c r="U6" s="2">
        <f t="shared" si="1"/>
        <v>1272</v>
      </c>
    </row>
    <row r="7" spans="1:32" s="2" customFormat="1" x14ac:dyDescent="0.25">
      <c r="B7" s="2" t="s">
        <v>81</v>
      </c>
      <c r="C7" s="5"/>
      <c r="D7" s="5"/>
      <c r="E7" s="5"/>
      <c r="F7" s="5"/>
      <c r="G7" s="5"/>
      <c r="H7" s="5"/>
      <c r="I7" s="5"/>
      <c r="J7" s="5"/>
      <c r="K7" s="5">
        <v>373</v>
      </c>
      <c r="L7" s="5">
        <v>346</v>
      </c>
      <c r="M7" s="5">
        <v>360</v>
      </c>
      <c r="N7" s="5">
        <v>363</v>
      </c>
      <c r="O7" s="5">
        <v>376</v>
      </c>
      <c r="T7" s="2">
        <v>1389</v>
      </c>
      <c r="U7" s="2">
        <f t="shared" si="1"/>
        <v>1445</v>
      </c>
    </row>
    <row r="8" spans="1:32" s="2" customFormat="1" x14ac:dyDescent="0.25">
      <c r="B8" s="2" t="s">
        <v>78</v>
      </c>
      <c r="C8" s="5"/>
      <c r="D8" s="5"/>
      <c r="E8" s="5"/>
      <c r="F8" s="5"/>
      <c r="G8" s="5"/>
      <c r="H8" s="5"/>
      <c r="I8" s="5"/>
      <c r="J8" s="5"/>
      <c r="K8" s="5">
        <v>1754</v>
      </c>
      <c r="L8" s="5">
        <v>1709</v>
      </c>
      <c r="M8" s="5">
        <v>1804</v>
      </c>
      <c r="N8" s="5">
        <v>1799</v>
      </c>
      <c r="O8" s="5">
        <v>1869</v>
      </c>
      <c r="T8" s="2">
        <v>6824</v>
      </c>
      <c r="U8" s="2">
        <f t="shared" si="1"/>
        <v>7181</v>
      </c>
    </row>
    <row r="9" spans="1:32" s="2" customFormat="1" x14ac:dyDescent="0.25">
      <c r="B9" s="2" t="s">
        <v>79</v>
      </c>
      <c r="C9" s="5"/>
      <c r="D9" s="5"/>
      <c r="E9" s="5"/>
      <c r="F9" s="5"/>
      <c r="G9" s="5"/>
      <c r="H9" s="5"/>
      <c r="I9" s="5"/>
      <c r="J9" s="5"/>
      <c r="K9" s="5">
        <v>768</v>
      </c>
      <c r="L9" s="5">
        <v>744</v>
      </c>
      <c r="M9" s="5">
        <v>797</v>
      </c>
      <c r="N9" s="5">
        <v>852</v>
      </c>
      <c r="O9" s="5">
        <v>846</v>
      </c>
      <c r="T9" s="2">
        <v>2933</v>
      </c>
      <c r="U9" s="2">
        <f t="shared" si="1"/>
        <v>3239</v>
      </c>
    </row>
    <row r="10" spans="1:32" s="2" customFormat="1" x14ac:dyDescent="0.25">
      <c r="B10" s="2" t="s">
        <v>80</v>
      </c>
      <c r="C10" s="5"/>
      <c r="D10" s="5"/>
      <c r="E10" s="5"/>
      <c r="F10" s="5"/>
      <c r="G10" s="5"/>
      <c r="H10" s="5"/>
      <c r="I10" s="5"/>
      <c r="J10" s="5"/>
      <c r="K10" s="5">
        <f t="shared" ref="K10" si="2">+K11+K12</f>
        <v>3917</v>
      </c>
      <c r="L10" s="5">
        <f t="shared" ref="L10" si="3">+L11+L12</f>
        <v>3782</v>
      </c>
      <c r="M10" s="5">
        <f t="shared" ref="M10" si="4">+M11+M12</f>
        <v>3952</v>
      </c>
      <c r="N10" s="5">
        <f>+N11+N12</f>
        <v>4035</v>
      </c>
      <c r="O10" s="5">
        <f>+O11+O12</f>
        <v>4148</v>
      </c>
      <c r="T10" s="2">
        <f>T11+T12</f>
        <v>15078</v>
      </c>
      <c r="U10" s="2">
        <f>U11+U12</f>
        <v>15917</v>
      </c>
    </row>
    <row r="11" spans="1:32" s="2" customFormat="1" x14ac:dyDescent="0.25">
      <c r="B11" s="2" t="s">
        <v>82</v>
      </c>
      <c r="C11" s="5"/>
      <c r="D11" s="5"/>
      <c r="E11" s="5"/>
      <c r="F11" s="5"/>
      <c r="G11" s="5"/>
      <c r="H11" s="5"/>
      <c r="I11" s="5"/>
      <c r="J11" s="5"/>
      <c r="K11" s="5">
        <v>1703</v>
      </c>
      <c r="L11" s="5">
        <v>1625</v>
      </c>
      <c r="M11" s="5">
        <v>1703</v>
      </c>
      <c r="N11" s="5">
        <v>1739</v>
      </c>
      <c r="O11" s="5">
        <v>1799</v>
      </c>
      <c r="T11" s="2">
        <v>6511</v>
      </c>
      <c r="U11" s="2">
        <f>SUM(L11:O11)</f>
        <v>6866</v>
      </c>
    </row>
    <row r="12" spans="1:32" s="2" customFormat="1" x14ac:dyDescent="0.25">
      <c r="B12" s="2" t="s">
        <v>83</v>
      </c>
      <c r="C12" s="5"/>
      <c r="D12" s="5"/>
      <c r="E12" s="5"/>
      <c r="F12" s="5"/>
      <c r="G12" s="5"/>
      <c r="H12" s="5"/>
      <c r="I12" s="5"/>
      <c r="J12" s="5"/>
      <c r="K12" s="5">
        <v>2214</v>
      </c>
      <c r="L12" s="5">
        <v>2157</v>
      </c>
      <c r="M12" s="5">
        <v>2249</v>
      </c>
      <c r="N12" s="5">
        <v>2296</v>
      </c>
      <c r="O12" s="5">
        <v>2349</v>
      </c>
      <c r="T12" s="2">
        <v>8567</v>
      </c>
      <c r="U12" s="2">
        <f>SUM(L12:O12)</f>
        <v>9051</v>
      </c>
    </row>
    <row r="13" spans="1:32" x14ac:dyDescent="0.25">
      <c r="O13" s="3"/>
    </row>
    <row r="14" spans="1:32" s="2" customFormat="1" x14ac:dyDescent="0.25">
      <c r="B14" s="2" t="s">
        <v>69</v>
      </c>
      <c r="C14" s="5"/>
      <c r="D14" s="5"/>
      <c r="E14" s="5"/>
      <c r="F14" s="5"/>
      <c r="G14" s="5"/>
      <c r="H14" s="5"/>
      <c r="I14" s="5"/>
      <c r="J14" s="5"/>
      <c r="K14" s="5">
        <v>25578</v>
      </c>
      <c r="L14" s="5">
        <v>24502</v>
      </c>
      <c r="M14" s="5">
        <v>26341</v>
      </c>
      <c r="N14" s="5">
        <v>27378</v>
      </c>
      <c r="O14" s="5">
        <v>28271</v>
      </c>
      <c r="T14" s="2">
        <v>96422</v>
      </c>
      <c r="U14" s="2">
        <f>SUM(L14:O14)</f>
        <v>106492</v>
      </c>
    </row>
    <row r="15" spans="1:32" s="2" customFormat="1" x14ac:dyDescent="0.25">
      <c r="B15" s="2" t="s">
        <v>70</v>
      </c>
      <c r="C15" s="5"/>
      <c r="D15" s="5"/>
      <c r="E15" s="5"/>
      <c r="F15" s="5"/>
      <c r="G15" s="5"/>
      <c r="H15" s="5"/>
      <c r="I15" s="5"/>
      <c r="J15" s="5"/>
      <c r="K15" s="5">
        <v>44916</v>
      </c>
      <c r="L15" s="5">
        <v>43493</v>
      </c>
      <c r="M15" s="5">
        <v>46407</v>
      </c>
      <c r="N15" s="5">
        <v>47890</v>
      </c>
      <c r="O15" s="5">
        <v>49185</v>
      </c>
      <c r="T15" s="2">
        <v>170276</v>
      </c>
      <c r="U15" s="2">
        <f>SUM(L15:O15)</f>
        <v>186975</v>
      </c>
    </row>
    <row r="16" spans="1:32" s="2" customFormat="1" x14ac:dyDescent="0.25">
      <c r="B16" s="2" t="s">
        <v>71</v>
      </c>
      <c r="C16" s="5"/>
      <c r="D16" s="5"/>
      <c r="E16" s="5"/>
      <c r="F16" s="5"/>
      <c r="G16" s="5"/>
      <c r="H16" s="5"/>
      <c r="I16" s="5"/>
      <c r="J16" s="5"/>
      <c r="K16" s="5">
        <f>+K15+K14</f>
        <v>70494</v>
      </c>
      <c r="L16" s="5">
        <f>+L15+L14</f>
        <v>67995</v>
      </c>
      <c r="M16" s="5">
        <f>+M15+M14</f>
        <v>72748</v>
      </c>
      <c r="N16" s="5">
        <f>+N15+N14</f>
        <v>75268</v>
      </c>
      <c r="O16" s="5">
        <f>+O15+O14</f>
        <v>77456</v>
      </c>
      <c r="T16" s="2">
        <f>+T14+T15</f>
        <v>266698</v>
      </c>
      <c r="U16" s="2">
        <f>+U15+U14</f>
        <v>293467</v>
      </c>
    </row>
    <row r="17" spans="2:20" s="2" customFormat="1" x14ac:dyDescent="0.25"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2:20" s="2" customFormat="1" x14ac:dyDescent="0.25">
      <c r="B18" s="2" t="s">
        <v>84</v>
      </c>
      <c r="C18" s="5"/>
      <c r="D18" s="5"/>
      <c r="E18" s="5"/>
      <c r="F18" s="5"/>
      <c r="G18" s="5"/>
      <c r="H18" s="5"/>
      <c r="I18" s="5"/>
      <c r="J18" s="5"/>
      <c r="K18" s="5">
        <v>3986</v>
      </c>
      <c r="L18" s="5">
        <v>4048</v>
      </c>
      <c r="M18" s="5">
        <v>4096</v>
      </c>
      <c r="N18" s="5">
        <v>4170</v>
      </c>
      <c r="O18" s="5"/>
      <c r="T18" s="2">
        <v>3986</v>
      </c>
    </row>
    <row r="19" spans="2:20" s="2" customFormat="1" x14ac:dyDescent="0.25">
      <c r="B19" s="2" t="s">
        <v>85</v>
      </c>
      <c r="C19" s="5"/>
      <c r="D19" s="5"/>
      <c r="E19" s="5"/>
      <c r="F19" s="5"/>
      <c r="G19" s="5"/>
      <c r="H19" s="5"/>
      <c r="I19" s="5"/>
      <c r="J19" s="5"/>
      <c r="K19" s="5">
        <v>4481</v>
      </c>
      <c r="L19" s="5">
        <v>4549</v>
      </c>
      <c r="M19" s="5">
        <v>4608</v>
      </c>
      <c r="N19" s="5">
        <v>4700</v>
      </c>
      <c r="O19" s="5"/>
      <c r="T19" s="2">
        <v>4481</v>
      </c>
    </row>
    <row r="20" spans="2:20" x14ac:dyDescent="0.25">
      <c r="O20" s="3"/>
    </row>
    <row r="21" spans="2:20" s="2" customFormat="1" x14ac:dyDescent="0.25">
      <c r="B21" s="2" t="s">
        <v>74</v>
      </c>
      <c r="C21" s="5"/>
      <c r="D21" s="5"/>
      <c r="E21" s="5"/>
      <c r="F21" s="5"/>
      <c r="G21" s="5">
        <v>3511</v>
      </c>
      <c r="H21" s="5">
        <v>3771</v>
      </c>
      <c r="I21" s="5">
        <v>3668</v>
      </c>
      <c r="J21" s="5">
        <v>3876</v>
      </c>
      <c r="K21" s="5">
        <v>3915</v>
      </c>
      <c r="L21" s="5">
        <v>4033</v>
      </c>
      <c r="M21" s="5">
        <v>3967</v>
      </c>
      <c r="N21" s="5">
        <v>4199</v>
      </c>
      <c r="O21" s="5">
        <v>4208</v>
      </c>
    </row>
    <row r="22" spans="2:20" s="2" customFormat="1" x14ac:dyDescent="0.25">
      <c r="B22" s="2" t="s">
        <v>73</v>
      </c>
      <c r="C22" s="5"/>
      <c r="D22" s="5"/>
      <c r="E22" s="5"/>
      <c r="F22" s="5"/>
      <c r="G22" s="5">
        <v>3827</v>
      </c>
      <c r="H22" s="5">
        <v>3819</v>
      </c>
      <c r="I22" s="5">
        <v>4105</v>
      </c>
      <c r="J22" s="5">
        <v>4256</v>
      </c>
      <c r="K22" s="5">
        <v>4356</v>
      </c>
      <c r="L22" s="5">
        <v>4259</v>
      </c>
      <c r="M22" s="5">
        <v>4489</v>
      </c>
      <c r="N22" s="5">
        <v>4610</v>
      </c>
      <c r="O22" s="5">
        <v>4745</v>
      </c>
    </row>
    <row r="23" spans="2:20" s="2" customFormat="1" x14ac:dyDescent="0.25">
      <c r="B23" s="2" t="s">
        <v>72</v>
      </c>
      <c r="C23" s="5"/>
      <c r="D23" s="5"/>
      <c r="E23" s="5"/>
      <c r="F23" s="5"/>
      <c r="G23" s="5">
        <v>2797</v>
      </c>
      <c r="H23" s="5">
        <v>2749</v>
      </c>
      <c r="I23" s="5">
        <v>2920</v>
      </c>
      <c r="J23" s="5">
        <v>3172</v>
      </c>
      <c r="K23" s="5">
        <v>3019</v>
      </c>
      <c r="L23" s="5">
        <v>2984</v>
      </c>
      <c r="M23" s="5">
        <v>3194</v>
      </c>
      <c r="N23" s="5">
        <v>3468</v>
      </c>
      <c r="O23" s="5">
        <v>3442</v>
      </c>
    </row>
    <row r="24" spans="2:20" s="2" customFormat="1" x14ac:dyDescent="0.25">
      <c r="B24" s="2" t="s">
        <v>36</v>
      </c>
      <c r="C24" s="5"/>
      <c r="D24" s="5"/>
      <c r="E24" s="5"/>
      <c r="F24" s="5"/>
      <c r="G24" s="5">
        <v>587</v>
      </c>
      <c r="H24" s="5">
        <v>551</v>
      </c>
      <c r="I24" s="5">
        <v>597</v>
      </c>
      <c r="J24" s="5">
        <v>744</v>
      </c>
      <c r="K24" s="5">
        <v>692</v>
      </c>
      <c r="L24" s="5">
        <v>756</v>
      </c>
      <c r="M24" s="5">
        <v>780</v>
      </c>
      <c r="N24" s="5">
        <v>969</v>
      </c>
      <c r="O24" s="5">
        <v>912</v>
      </c>
    </row>
    <row r="25" spans="2:20" s="2" customFormat="1" x14ac:dyDescent="0.25">
      <c r="B25" s="2" t="s">
        <v>32</v>
      </c>
      <c r="C25" s="5"/>
      <c r="D25" s="5"/>
      <c r="E25" s="5"/>
      <c r="F25" s="5"/>
      <c r="G25" s="5">
        <v>-2786</v>
      </c>
      <c r="H25" s="5">
        <v>-2905</v>
      </c>
      <c r="I25" s="5">
        <v>-3167</v>
      </c>
      <c r="J25" s="5">
        <v>-3439</v>
      </c>
      <c r="K25" s="5">
        <v>-3348</v>
      </c>
      <c r="L25" s="5">
        <v>-3257</v>
      </c>
      <c r="M25" s="5">
        <v>-3530</v>
      </c>
      <c r="N25" s="5">
        <v>-3629</v>
      </c>
      <c r="O25" s="5">
        <v>-3797</v>
      </c>
    </row>
    <row r="26" spans="2:20" s="2" customFormat="1" x14ac:dyDescent="0.25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2:20" s="6" customFormat="1" ht="13" x14ac:dyDescent="0.3">
      <c r="B27" s="6" t="s">
        <v>7</v>
      </c>
      <c r="C27" s="7"/>
      <c r="D27" s="7">
        <v>7189</v>
      </c>
      <c r="E27" s="7"/>
      <c r="F27" s="7"/>
      <c r="G27" s="6">
        <f t="shared" ref="G27:O27" si="5">SUM(G21:G25)</f>
        <v>7936</v>
      </c>
      <c r="H27" s="6">
        <f t="shared" si="5"/>
        <v>7985</v>
      </c>
      <c r="I27" s="6">
        <f t="shared" si="5"/>
        <v>8123</v>
      </c>
      <c r="J27" s="6">
        <f t="shared" si="5"/>
        <v>8609</v>
      </c>
      <c r="K27" s="6">
        <f t="shared" si="5"/>
        <v>8634</v>
      </c>
      <c r="L27" s="6">
        <f t="shared" si="5"/>
        <v>8775</v>
      </c>
      <c r="M27" s="6">
        <f t="shared" si="5"/>
        <v>8900</v>
      </c>
      <c r="N27" s="6">
        <f t="shared" si="5"/>
        <v>9617</v>
      </c>
      <c r="O27" s="6">
        <f t="shared" si="5"/>
        <v>9510</v>
      </c>
    </row>
    <row r="28" spans="2:20" s="2" customFormat="1" x14ac:dyDescent="0.25">
      <c r="B28" s="2" t="s">
        <v>16</v>
      </c>
      <c r="C28" s="5"/>
      <c r="D28" s="5">
        <v>190</v>
      </c>
      <c r="E28" s="5"/>
      <c r="F28" s="5"/>
      <c r="G28" s="5">
        <v>178</v>
      </c>
      <c r="H28" s="2">
        <v>179</v>
      </c>
      <c r="I28" s="5">
        <v>182</v>
      </c>
      <c r="J28" s="5">
        <v>197</v>
      </c>
      <c r="K28" s="2">
        <v>181</v>
      </c>
      <c r="L28" s="5">
        <v>189</v>
      </c>
      <c r="M28" s="5">
        <v>200</v>
      </c>
      <c r="N28" s="5">
        <v>208</v>
      </c>
      <c r="O28" s="2">
        <v>207</v>
      </c>
    </row>
    <row r="29" spans="2:20" s="2" customFormat="1" x14ac:dyDescent="0.25">
      <c r="B29" s="2" t="s">
        <v>17</v>
      </c>
      <c r="C29" s="5"/>
      <c r="D29" s="5">
        <f>+D27-D28</f>
        <v>6999</v>
      </c>
      <c r="E29" s="5"/>
      <c r="F29" s="5"/>
      <c r="G29" s="5">
        <f t="shared" ref="G29:O29" si="6">+G27-G28</f>
        <v>7758</v>
      </c>
      <c r="H29" s="5">
        <f t="shared" si="6"/>
        <v>7806</v>
      </c>
      <c r="I29" s="5">
        <f t="shared" si="6"/>
        <v>7941</v>
      </c>
      <c r="J29" s="5">
        <f t="shared" si="6"/>
        <v>8412</v>
      </c>
      <c r="K29" s="2">
        <f t="shared" si="6"/>
        <v>8453</v>
      </c>
      <c r="L29" s="2">
        <f t="shared" si="6"/>
        <v>8586</v>
      </c>
      <c r="M29" s="5">
        <f t="shared" si="6"/>
        <v>8700</v>
      </c>
      <c r="N29" s="5">
        <f t="shared" si="6"/>
        <v>9409</v>
      </c>
      <c r="O29" s="2">
        <f t="shared" si="6"/>
        <v>9303</v>
      </c>
    </row>
    <row r="30" spans="2:20" s="2" customFormat="1" x14ac:dyDescent="0.25">
      <c r="B30" s="2" t="s">
        <v>21</v>
      </c>
      <c r="C30" s="5"/>
      <c r="D30" s="5">
        <v>1226</v>
      </c>
      <c r="E30" s="5"/>
      <c r="F30" s="5"/>
      <c r="G30" s="5">
        <v>1337</v>
      </c>
      <c r="H30" s="2">
        <v>1515</v>
      </c>
      <c r="I30" s="5">
        <v>1481</v>
      </c>
      <c r="J30" s="5">
        <v>1498</v>
      </c>
      <c r="K30" s="2">
        <v>1479</v>
      </c>
      <c r="L30" s="5">
        <v>1603</v>
      </c>
      <c r="M30" s="5">
        <v>1573</v>
      </c>
      <c r="N30" s="5">
        <v>1609</v>
      </c>
      <c r="O30" s="2">
        <v>1813</v>
      </c>
    </row>
    <row r="31" spans="2:20" s="2" customFormat="1" x14ac:dyDescent="0.25">
      <c r="B31" s="2" t="s">
        <v>20</v>
      </c>
      <c r="C31" s="5"/>
      <c r="D31" s="5">
        <v>314</v>
      </c>
      <c r="E31" s="5"/>
      <c r="F31" s="5"/>
      <c r="G31" s="5">
        <v>332</v>
      </c>
      <c r="H31" s="2">
        <v>309</v>
      </c>
      <c r="I31" s="5">
        <v>297</v>
      </c>
      <c r="J31" s="5">
        <v>403</v>
      </c>
      <c r="K31" s="2">
        <v>293</v>
      </c>
      <c r="L31" s="5">
        <v>338</v>
      </c>
      <c r="M31" s="5">
        <v>378</v>
      </c>
      <c r="N31" s="5">
        <v>551</v>
      </c>
      <c r="O31" s="2">
        <v>306</v>
      </c>
    </row>
    <row r="32" spans="2:20" s="2" customFormat="1" x14ac:dyDescent="0.25">
      <c r="B32" s="2" t="s">
        <v>19</v>
      </c>
      <c r="C32" s="5"/>
      <c r="D32" s="5">
        <v>125</v>
      </c>
      <c r="E32" s="5"/>
      <c r="F32" s="5"/>
      <c r="G32" s="5">
        <v>109</v>
      </c>
      <c r="H32" s="2">
        <v>130</v>
      </c>
      <c r="I32" s="5">
        <v>133</v>
      </c>
      <c r="J32" s="5">
        <v>173</v>
      </c>
      <c r="K32" s="2">
        <v>131</v>
      </c>
      <c r="L32" s="5">
        <v>189</v>
      </c>
      <c r="M32" s="5">
        <v>152</v>
      </c>
      <c r="N32" s="5">
        <v>192</v>
      </c>
      <c r="O32" s="2">
        <v>143</v>
      </c>
    </row>
    <row r="33" spans="2:15" s="2" customFormat="1" x14ac:dyDescent="0.25">
      <c r="B33" s="2" t="s">
        <v>18</v>
      </c>
      <c r="C33" s="5"/>
      <c r="D33" s="5">
        <v>325</v>
      </c>
      <c r="E33" s="5"/>
      <c r="F33" s="5"/>
      <c r="G33" s="5">
        <v>322</v>
      </c>
      <c r="H33" s="2">
        <v>282</v>
      </c>
      <c r="I33" s="5">
        <v>314</v>
      </c>
      <c r="J33" s="5">
        <v>412</v>
      </c>
      <c r="K33" s="2">
        <v>340</v>
      </c>
      <c r="L33" s="5">
        <v>452</v>
      </c>
      <c r="M33" s="5">
        <v>382</v>
      </c>
      <c r="N33" s="5">
        <v>424</v>
      </c>
      <c r="O33" s="2">
        <v>481</v>
      </c>
    </row>
    <row r="34" spans="2:15" s="2" customFormat="1" x14ac:dyDescent="0.25">
      <c r="B34" s="2" t="s">
        <v>23</v>
      </c>
      <c r="C34" s="5"/>
      <c r="D34" s="5">
        <f t="shared" ref="D34:F34" si="7">SUM(D30:D33)</f>
        <v>1990</v>
      </c>
      <c r="E34" s="5">
        <f t="shared" si="7"/>
        <v>0</v>
      </c>
      <c r="F34" s="5">
        <f t="shared" si="7"/>
        <v>0</v>
      </c>
      <c r="G34" s="5">
        <f>SUM(G30:G33)</f>
        <v>2100</v>
      </c>
      <c r="H34" s="5">
        <f t="shared" ref="H34" si="8">SUM(H30:H33)</f>
        <v>2236</v>
      </c>
      <c r="I34" s="5">
        <f t="shared" ref="I34:O34" si="9">SUM(I30:I33)</f>
        <v>2225</v>
      </c>
      <c r="J34" s="5">
        <f t="shared" si="9"/>
        <v>2486</v>
      </c>
      <c r="K34" s="5">
        <f t="shared" si="9"/>
        <v>2243</v>
      </c>
      <c r="L34" s="5">
        <f t="shared" si="9"/>
        <v>2582</v>
      </c>
      <c r="M34" s="5">
        <f t="shared" si="9"/>
        <v>2485</v>
      </c>
      <c r="N34" s="5">
        <f t="shared" si="9"/>
        <v>2776</v>
      </c>
      <c r="O34" s="5">
        <f t="shared" si="9"/>
        <v>2743</v>
      </c>
    </row>
    <row r="35" spans="2:15" s="2" customFormat="1" x14ac:dyDescent="0.25">
      <c r="B35" s="2" t="s">
        <v>22</v>
      </c>
      <c r="C35" s="5"/>
      <c r="D35" s="5">
        <f t="shared" ref="D35:F35" si="10">+D29-D34</f>
        <v>5009</v>
      </c>
      <c r="E35" s="5">
        <f t="shared" si="10"/>
        <v>0</v>
      </c>
      <c r="F35" s="5">
        <f t="shared" si="10"/>
        <v>0</v>
      </c>
      <c r="G35" s="5">
        <f>+G29-G34</f>
        <v>5658</v>
      </c>
      <c r="H35" s="5">
        <f t="shared" ref="H35" si="11">+H29-H34</f>
        <v>5570</v>
      </c>
      <c r="I35" s="5">
        <f t="shared" ref="I35:O35" si="12">+I29-I34</f>
        <v>5716</v>
      </c>
      <c r="J35" s="5">
        <f t="shared" si="12"/>
        <v>5926</v>
      </c>
      <c r="K35" s="5">
        <f t="shared" si="12"/>
        <v>6210</v>
      </c>
      <c r="L35" s="5">
        <f t="shared" si="12"/>
        <v>6004</v>
      </c>
      <c r="M35" s="5">
        <f t="shared" si="12"/>
        <v>6215</v>
      </c>
      <c r="N35" s="5">
        <f t="shared" si="12"/>
        <v>6633</v>
      </c>
      <c r="O35" s="5">
        <f t="shared" si="12"/>
        <v>6560</v>
      </c>
    </row>
    <row r="36" spans="2:15" s="2" customFormat="1" x14ac:dyDescent="0.25">
      <c r="B36" s="2" t="s">
        <v>28</v>
      </c>
      <c r="C36" s="5"/>
      <c r="D36" s="5">
        <v>-260</v>
      </c>
      <c r="E36" s="5"/>
      <c r="F36" s="5"/>
      <c r="G36" s="5">
        <v>-113</v>
      </c>
      <c r="H36" s="2">
        <v>-58</v>
      </c>
      <c r="I36" s="5">
        <f>-182+304</f>
        <v>122</v>
      </c>
      <c r="J36" s="5">
        <v>86</v>
      </c>
      <c r="K36" s="2">
        <v>88</v>
      </c>
      <c r="L36" s="5">
        <v>159</v>
      </c>
      <c r="M36" s="5">
        <f>-196+247</f>
        <v>51</v>
      </c>
      <c r="N36" s="5">
        <v>23</v>
      </c>
      <c r="O36" s="2">
        <v>-34</v>
      </c>
    </row>
    <row r="37" spans="2:15" s="2" customFormat="1" x14ac:dyDescent="0.25">
      <c r="B37" s="2" t="s">
        <v>27</v>
      </c>
      <c r="C37" s="5"/>
      <c r="D37" s="5">
        <f t="shared" ref="D37:F37" si="13">+D35+D36</f>
        <v>4749</v>
      </c>
      <c r="E37" s="5">
        <f t="shared" si="13"/>
        <v>0</v>
      </c>
      <c r="F37" s="5">
        <f t="shared" si="13"/>
        <v>0</v>
      </c>
      <c r="G37" s="5">
        <f t="shared" ref="G37:O37" si="14">+G35+G36</f>
        <v>5545</v>
      </c>
      <c r="H37" s="5">
        <f t="shared" si="14"/>
        <v>5512</v>
      </c>
      <c r="I37" s="5">
        <f t="shared" si="14"/>
        <v>5838</v>
      </c>
      <c r="J37" s="5">
        <f t="shared" si="14"/>
        <v>6012</v>
      </c>
      <c r="K37" s="5">
        <f t="shared" si="14"/>
        <v>6298</v>
      </c>
      <c r="L37" s="5">
        <f t="shared" si="14"/>
        <v>6163</v>
      </c>
      <c r="M37" s="5">
        <f t="shared" si="14"/>
        <v>6266</v>
      </c>
      <c r="N37" s="5">
        <f t="shared" si="14"/>
        <v>6656</v>
      </c>
      <c r="O37" s="5">
        <f t="shared" si="14"/>
        <v>6526</v>
      </c>
    </row>
    <row r="38" spans="2:15" s="2" customFormat="1" x14ac:dyDescent="0.25">
      <c r="B38" s="2" t="s">
        <v>26</v>
      </c>
      <c r="C38" s="5"/>
      <c r="D38" s="5">
        <v>895</v>
      </c>
      <c r="E38" s="5"/>
      <c r="F38" s="5"/>
      <c r="G38" s="5">
        <v>798</v>
      </c>
      <c r="H38" s="2">
        <v>1021</v>
      </c>
      <c r="I38" s="5">
        <v>990</v>
      </c>
      <c r="J38" s="5">
        <v>955</v>
      </c>
      <c r="K38" s="2">
        <v>1152</v>
      </c>
      <c r="L38" s="5">
        <v>850</v>
      </c>
      <c r="M38" s="5">
        <v>1117</v>
      </c>
      <c r="N38" s="5">
        <v>1054</v>
      </c>
      <c r="O38" s="2">
        <v>1081</v>
      </c>
    </row>
    <row r="39" spans="2:15" s="2" customFormat="1" x14ac:dyDescent="0.25">
      <c r="B39" s="2" t="s">
        <v>25</v>
      </c>
      <c r="C39" s="5"/>
      <c r="D39" s="5">
        <f t="shared" ref="D39:F39" si="15">+D37-D38</f>
        <v>3854</v>
      </c>
      <c r="E39" s="5">
        <f t="shared" si="15"/>
        <v>0</v>
      </c>
      <c r="F39" s="5">
        <f t="shared" si="15"/>
        <v>0</v>
      </c>
      <c r="G39" s="5">
        <f t="shared" ref="G39:O39" si="16">+G37-G38</f>
        <v>4747</v>
      </c>
      <c r="H39" s="5">
        <f t="shared" si="16"/>
        <v>4491</v>
      </c>
      <c r="I39" s="5">
        <f t="shared" si="16"/>
        <v>4848</v>
      </c>
      <c r="J39" s="2">
        <f t="shared" si="16"/>
        <v>5057</v>
      </c>
      <c r="K39" s="2">
        <f t="shared" si="16"/>
        <v>5146</v>
      </c>
      <c r="L39" s="2">
        <f t="shared" si="16"/>
        <v>5313</v>
      </c>
      <c r="M39" s="5">
        <f t="shared" si="16"/>
        <v>5149</v>
      </c>
      <c r="N39" s="2">
        <f t="shared" si="16"/>
        <v>5602</v>
      </c>
      <c r="O39" s="2">
        <f t="shared" si="16"/>
        <v>5445</v>
      </c>
    </row>
    <row r="40" spans="2:15" x14ac:dyDescent="0.25">
      <c r="B40" t="s">
        <v>24</v>
      </c>
      <c r="D40" s="9">
        <f>+D39/D41</f>
        <v>1.607843137254902</v>
      </c>
      <c r="G40" s="9">
        <f t="shared" ref="G40:O40" si="17">+G39/G41</f>
        <v>2.0140008485362748</v>
      </c>
      <c r="H40" s="9">
        <f t="shared" si="17"/>
        <v>1.9126916524701874</v>
      </c>
      <c r="I40" s="9">
        <f t="shared" si="17"/>
        <v>2.5939004815409308</v>
      </c>
      <c r="J40" s="1">
        <f t="shared" si="17"/>
        <v>2.1797413793103448</v>
      </c>
      <c r="K40" s="1">
        <f t="shared" si="17"/>
        <v>2.2383645063070898</v>
      </c>
      <c r="L40" s="1">
        <f t="shared" si="17"/>
        <v>2.3170518970780636</v>
      </c>
      <c r="M40" s="9">
        <f t="shared" si="17"/>
        <v>2.8447513812154694</v>
      </c>
      <c r="N40" s="1">
        <f t="shared" si="17"/>
        <v>2.6116550116550115</v>
      </c>
      <c r="O40" s="1">
        <f t="shared" si="17"/>
        <v>2.5683962264150941</v>
      </c>
    </row>
    <row r="41" spans="2:15" s="2" customFormat="1" x14ac:dyDescent="0.25">
      <c r="B41" s="2" t="s">
        <v>1</v>
      </c>
      <c r="C41" s="5"/>
      <c r="D41" s="5">
        <f>2142+245+10</f>
        <v>2397</v>
      </c>
      <c r="E41" s="5"/>
      <c r="F41" s="5"/>
      <c r="G41" s="5">
        <f>2102+245+10</f>
        <v>2357</v>
      </c>
      <c r="H41" s="2">
        <f>2093+245+10</f>
        <v>2348</v>
      </c>
      <c r="I41" s="5">
        <f>1614+245+10</f>
        <v>1869</v>
      </c>
      <c r="J41" s="5">
        <f>2065+245+10</f>
        <v>2320</v>
      </c>
      <c r="K41" s="2">
        <f>2045+245+9</f>
        <v>2299</v>
      </c>
      <c r="L41" s="5">
        <f>2039+245+9</f>
        <v>2293</v>
      </c>
      <c r="M41" s="5">
        <f>1610+97+74+29</f>
        <v>1810</v>
      </c>
      <c r="N41" s="5">
        <f>2003+5+120+17</f>
        <v>2145</v>
      </c>
      <c r="O41" s="2">
        <f>1985+5+120+10</f>
        <v>2120</v>
      </c>
    </row>
    <row r="43" spans="2:15" x14ac:dyDescent="0.25">
      <c r="B43" t="s">
        <v>15</v>
      </c>
      <c r="I43" s="4"/>
      <c r="J43" s="4"/>
      <c r="K43" s="4">
        <f>+K27/G27-1</f>
        <v>8.7953629032258007E-2</v>
      </c>
      <c r="L43" s="4">
        <f>+L27/H27-1</f>
        <v>9.8935504070131408E-2</v>
      </c>
      <c r="M43" s="4">
        <f>+M27/I27-1</f>
        <v>9.5654314908285132E-2</v>
      </c>
      <c r="N43" s="4">
        <f>+N27/J27-1</f>
        <v>0.11708676965965847</v>
      </c>
      <c r="O43" s="4">
        <f>+O27/K27-1</f>
        <v>0.10145934676858936</v>
      </c>
    </row>
    <row r="44" spans="2:15" x14ac:dyDescent="0.25">
      <c r="B44" t="s">
        <v>67</v>
      </c>
      <c r="L44" s="4"/>
      <c r="O44" s="4">
        <v>0.11</v>
      </c>
    </row>
    <row r="45" spans="2:15" x14ac:dyDescent="0.25">
      <c r="B45" t="s">
        <v>17</v>
      </c>
      <c r="D45" s="4">
        <f t="shared" ref="D45:F45" si="18">+D29/D27</f>
        <v>0.973570733064404</v>
      </c>
      <c r="E45" s="4" t="e">
        <f t="shared" si="18"/>
        <v>#DIV/0!</v>
      </c>
      <c r="F45" s="4" t="e">
        <f t="shared" si="18"/>
        <v>#DIV/0!</v>
      </c>
      <c r="G45" s="4">
        <f>+G29/G27</f>
        <v>0.977570564516129</v>
      </c>
      <c r="H45" s="4">
        <f>+I29/I27</f>
        <v>0.97759448479625755</v>
      </c>
      <c r="I45" s="4">
        <f>+J29/J27</f>
        <v>0.97711697061215008</v>
      </c>
      <c r="J45" s="4">
        <f t="shared" ref="J45:M45" si="19">+J29/J27</f>
        <v>0.97711697061215008</v>
      </c>
      <c r="K45" s="4">
        <f t="shared" si="19"/>
        <v>0.9790363678480426</v>
      </c>
      <c r="L45" s="4">
        <f t="shared" si="19"/>
        <v>0.97846153846153849</v>
      </c>
      <c r="M45" s="4">
        <f t="shared" si="19"/>
        <v>0.97752808988764039</v>
      </c>
      <c r="N45" s="4">
        <f>+N29/N27</f>
        <v>0.97837163356556101</v>
      </c>
      <c r="O45" s="4">
        <f>+O29/O27</f>
        <v>0.97823343848580446</v>
      </c>
    </row>
    <row r="46" spans="2:15" x14ac:dyDescent="0.25">
      <c r="B46" t="s">
        <v>22</v>
      </c>
      <c r="D46" s="4">
        <f t="shared" ref="D46:F46" si="20">+D35/D27</f>
        <v>0.69675893726526639</v>
      </c>
      <c r="E46" s="4" t="e">
        <f t="shared" si="20"/>
        <v>#DIV/0!</v>
      </c>
      <c r="F46" s="4" t="e">
        <f t="shared" si="20"/>
        <v>#DIV/0!</v>
      </c>
      <c r="G46" s="4">
        <f t="shared" ref="G46:K46" si="21">+G35/G27</f>
        <v>0.71295362903225812</v>
      </c>
      <c r="H46" s="4">
        <f t="shared" si="21"/>
        <v>0.69755792110206638</v>
      </c>
      <c r="I46" s="4">
        <f>+J35/J27</f>
        <v>0.68834940178882564</v>
      </c>
      <c r="J46" s="4">
        <f t="shared" si="21"/>
        <v>0.68834940178882564</v>
      </c>
      <c r="K46" s="4">
        <f t="shared" si="21"/>
        <v>0.71924947880472545</v>
      </c>
      <c r="L46" s="4">
        <f>+L35/L27</f>
        <v>0.68421652421652424</v>
      </c>
      <c r="M46" s="4">
        <f>+M35/M27</f>
        <v>0.69831460674157309</v>
      </c>
      <c r="N46" s="4">
        <f>+N35/N27</f>
        <v>0.68971612769054802</v>
      </c>
      <c r="O46" s="4">
        <f>+O35/O27</f>
        <v>0.68980021030494221</v>
      </c>
    </row>
    <row r="47" spans="2:15" x14ac:dyDescent="0.25">
      <c r="B47" t="s">
        <v>47</v>
      </c>
      <c r="K47" s="4">
        <f t="shared" ref="K47:M47" si="22">+K39/G39-1</f>
        <v>8.4053086159679768E-2</v>
      </c>
      <c r="L47" s="4">
        <f t="shared" si="22"/>
        <v>0.18303273213092863</v>
      </c>
      <c r="M47" s="4">
        <f t="shared" si="22"/>
        <v>6.2087458745874624E-2</v>
      </c>
      <c r="N47" s="4">
        <f>+N39/J39-1</f>
        <v>0.10777140597192014</v>
      </c>
      <c r="O47" s="4">
        <f>+O39/K39-1</f>
        <v>5.810338126700354E-2</v>
      </c>
    </row>
    <row r="49" spans="2:15" x14ac:dyDescent="0.25">
      <c r="B49" t="s">
        <v>45</v>
      </c>
      <c r="G49" s="5">
        <f t="shared" ref="G49:O49" si="23">+G50-G67</f>
        <v>72</v>
      </c>
      <c r="H49" s="5">
        <f t="shared" si="23"/>
        <v>444</v>
      </c>
      <c r="I49" s="5">
        <f t="shared" si="23"/>
        <v>1945</v>
      </c>
      <c r="J49" s="5">
        <f t="shared" si="23"/>
        <v>3350</v>
      </c>
      <c r="K49" s="5">
        <f t="shared" si="23"/>
        <v>2318</v>
      </c>
      <c r="L49" s="5">
        <f t="shared" si="23"/>
        <v>1776</v>
      </c>
      <c r="M49" s="5">
        <f t="shared" si="23"/>
        <v>675</v>
      </c>
      <c r="N49" s="5">
        <f t="shared" si="23"/>
        <v>-27</v>
      </c>
      <c r="O49" s="5">
        <f t="shared" si="23"/>
        <v>-1406</v>
      </c>
    </row>
    <row r="50" spans="2:15" s="2" customFormat="1" x14ac:dyDescent="0.25">
      <c r="B50" s="2" t="s">
        <v>3</v>
      </c>
      <c r="C50" s="5"/>
      <c r="D50" s="5"/>
      <c r="E50" s="5"/>
      <c r="F50" s="5"/>
      <c r="G50" s="5">
        <f>13334+1705+2785+2735</f>
        <v>20559</v>
      </c>
      <c r="H50" s="5">
        <f>13842+1616+2752+2840</f>
        <v>21050</v>
      </c>
      <c r="I50" s="5">
        <f>15590+1627+3166+2122</f>
        <v>22505</v>
      </c>
      <c r="J50" s="5">
        <f>16286+1764+3842+1921</f>
        <v>23813</v>
      </c>
      <c r="K50" s="5">
        <f>13591+1616+5005+2809</f>
        <v>23021</v>
      </c>
      <c r="L50" s="5">
        <f>12993+1584+4710+3092</f>
        <v>22379</v>
      </c>
      <c r="M50" s="5">
        <f>12947+1596+3697+3037</f>
        <v>21277</v>
      </c>
      <c r="N50" s="5">
        <f>11975+3089+3200+2545</f>
        <v>20809</v>
      </c>
      <c r="O50" s="2">
        <f>12367+3112+1967+1757</f>
        <v>19203</v>
      </c>
    </row>
    <row r="51" spans="2:15" s="2" customFormat="1" x14ac:dyDescent="0.25">
      <c r="B51" s="2" t="s">
        <v>29</v>
      </c>
      <c r="C51" s="5"/>
      <c r="D51" s="5"/>
      <c r="E51" s="5"/>
      <c r="F51" s="5"/>
      <c r="G51" s="5">
        <v>2127</v>
      </c>
      <c r="H51" s="5">
        <v>1942</v>
      </c>
      <c r="I51" s="5">
        <v>2454</v>
      </c>
      <c r="J51" s="5">
        <v>2183</v>
      </c>
      <c r="K51" s="5">
        <v>2525</v>
      </c>
      <c r="L51" s="5">
        <v>3558</v>
      </c>
      <c r="M51" s="5">
        <v>2128</v>
      </c>
      <c r="N51" s="5">
        <v>4454</v>
      </c>
      <c r="O51" s="2">
        <v>3683</v>
      </c>
    </row>
    <row r="52" spans="2:15" s="2" customFormat="1" x14ac:dyDescent="0.25">
      <c r="B52" s="2" t="s">
        <v>30</v>
      </c>
      <c r="C52" s="5"/>
      <c r="D52" s="5"/>
      <c r="E52" s="5"/>
      <c r="F52" s="5"/>
      <c r="G52" s="5">
        <v>2113</v>
      </c>
      <c r="H52" s="5">
        <v>2122</v>
      </c>
      <c r="I52" s="5">
        <v>2282</v>
      </c>
      <c r="J52" s="5">
        <v>2291</v>
      </c>
      <c r="K52" s="5">
        <v>2506</v>
      </c>
      <c r="L52" s="5">
        <v>2272</v>
      </c>
      <c r="M52" s="5">
        <v>2521</v>
      </c>
      <c r="N52" s="5">
        <v>2561</v>
      </c>
      <c r="O52" s="2">
        <v>2590</v>
      </c>
    </row>
    <row r="53" spans="2:15" s="2" customFormat="1" x14ac:dyDescent="0.25">
      <c r="B53" s="2" t="s">
        <v>31</v>
      </c>
      <c r="C53" s="5"/>
      <c r="D53" s="5"/>
      <c r="E53" s="5"/>
      <c r="F53" s="5"/>
      <c r="G53" s="5">
        <v>2591</v>
      </c>
      <c r="H53" s="5">
        <v>2739</v>
      </c>
      <c r="I53" s="5">
        <v>2907</v>
      </c>
      <c r="J53" s="5">
        <v>3005</v>
      </c>
      <c r="K53" s="5">
        <v>3164</v>
      </c>
      <c r="L53" s="5">
        <v>3367</v>
      </c>
      <c r="M53" s="5">
        <v>3472</v>
      </c>
      <c r="N53" s="5">
        <v>3524</v>
      </c>
      <c r="O53" s="2">
        <v>3518</v>
      </c>
    </row>
    <row r="54" spans="2:15" s="2" customFormat="1" x14ac:dyDescent="0.25">
      <c r="B54" s="2" t="s">
        <v>32</v>
      </c>
      <c r="C54" s="5"/>
      <c r="D54" s="5"/>
      <c r="E54" s="5"/>
      <c r="F54" s="5"/>
      <c r="G54" s="5">
        <f>1402+3657</f>
        <v>5059</v>
      </c>
      <c r="H54" s="5">
        <f>1477+3737</f>
        <v>5214</v>
      </c>
      <c r="I54" s="5">
        <f>1525+3811</f>
        <v>5336</v>
      </c>
      <c r="J54" s="5">
        <f>1577+3789</f>
        <v>5366</v>
      </c>
      <c r="K54" s="5">
        <f>1572+3941</f>
        <v>5513</v>
      </c>
      <c r="L54" s="5">
        <f>1740+3998</f>
        <v>5738</v>
      </c>
      <c r="M54" s="5">
        <f>1821+4133</f>
        <v>5954</v>
      </c>
      <c r="N54" s="5">
        <f>1918+4628</f>
        <v>6546</v>
      </c>
      <c r="O54" s="2">
        <f>1992+4631</f>
        <v>6623</v>
      </c>
    </row>
    <row r="55" spans="2:15" s="2" customFormat="1" x14ac:dyDescent="0.25">
      <c r="B55" s="2" t="s">
        <v>33</v>
      </c>
      <c r="C55" s="5"/>
      <c r="D55" s="5"/>
      <c r="E55" s="5"/>
      <c r="F55" s="5"/>
      <c r="G55" s="5">
        <v>1802</v>
      </c>
      <c r="H55" s="5">
        <v>2167</v>
      </c>
      <c r="I55" s="5">
        <v>2119</v>
      </c>
      <c r="J55" s="5">
        <v>2584</v>
      </c>
      <c r="K55" s="5">
        <v>2753</v>
      </c>
      <c r="L55" s="5">
        <v>2551</v>
      </c>
      <c r="M55" s="5">
        <v>2857</v>
      </c>
      <c r="N55" s="5">
        <v>3312</v>
      </c>
      <c r="O55" s="2">
        <v>3393</v>
      </c>
    </row>
    <row r="56" spans="2:15" s="2" customFormat="1" x14ac:dyDescent="0.25">
      <c r="B56" s="2" t="s">
        <v>34</v>
      </c>
      <c r="C56" s="5"/>
      <c r="D56" s="5"/>
      <c r="E56" s="5"/>
      <c r="F56" s="5"/>
      <c r="G56" s="5">
        <v>3236</v>
      </c>
      <c r="H56" s="5">
        <v>3359</v>
      </c>
      <c r="I56" s="5">
        <v>3370</v>
      </c>
      <c r="J56" s="5">
        <v>3425</v>
      </c>
      <c r="K56" s="5">
        <v>3472</v>
      </c>
      <c r="L56" s="5">
        <v>3630</v>
      </c>
      <c r="M56" s="5">
        <v>3766</v>
      </c>
      <c r="N56" s="5">
        <v>3824</v>
      </c>
      <c r="O56" s="2">
        <v>3974</v>
      </c>
    </row>
    <row r="57" spans="2:15" s="2" customFormat="1" x14ac:dyDescent="0.25">
      <c r="B57" s="2" t="s">
        <v>37</v>
      </c>
      <c r="C57" s="5"/>
      <c r="D57" s="5"/>
      <c r="E57" s="5"/>
      <c r="F57" s="5"/>
      <c r="G57" s="5">
        <f>18024+26307</f>
        <v>44331</v>
      </c>
      <c r="H57" s="5">
        <f>18078+26574</f>
        <v>44652</v>
      </c>
      <c r="I57" s="5">
        <f>18082+26576</f>
        <v>44658</v>
      </c>
      <c r="J57" s="5">
        <f>17997+26104</f>
        <v>44101</v>
      </c>
      <c r="K57" s="5">
        <f>18120+26739</f>
        <v>44859</v>
      </c>
      <c r="L57" s="5">
        <f>18837+26375</f>
        <v>45212</v>
      </c>
      <c r="M57" s="5">
        <f>18816+26243</f>
        <v>45059</v>
      </c>
      <c r="N57" s="5">
        <f>18941+26889</f>
        <v>45830</v>
      </c>
      <c r="O57" s="2">
        <f>19548+25889</f>
        <v>45437</v>
      </c>
    </row>
    <row r="58" spans="2:15" s="2" customFormat="1" x14ac:dyDescent="0.25">
      <c r="B58" s="2" t="s">
        <v>36</v>
      </c>
      <c r="C58" s="5"/>
      <c r="D58" s="5"/>
      <c r="E58" s="5"/>
      <c r="F58" s="5"/>
      <c r="G58" s="5">
        <v>3569</v>
      </c>
      <c r="H58" s="5">
        <v>3510</v>
      </c>
      <c r="I58" s="5">
        <v>3603</v>
      </c>
      <c r="J58" s="5">
        <v>3731</v>
      </c>
      <c r="K58" s="5">
        <v>3596</v>
      </c>
      <c r="L58" s="5">
        <v>3692</v>
      </c>
      <c r="M58" s="5">
        <v>4006</v>
      </c>
      <c r="N58" s="5">
        <v>3651</v>
      </c>
      <c r="O58" s="2">
        <v>3467</v>
      </c>
    </row>
    <row r="59" spans="2:15" s="2" customFormat="1" x14ac:dyDescent="0.25">
      <c r="B59" s="2" t="s">
        <v>35</v>
      </c>
      <c r="C59" s="5"/>
      <c r="D59" s="5"/>
      <c r="E59" s="5"/>
      <c r="F59" s="5"/>
      <c r="G59" s="5">
        <f t="shared" ref="G59:O59" si="24">SUM(G50:G58)</f>
        <v>85387</v>
      </c>
      <c r="H59" s="5">
        <f t="shared" si="24"/>
        <v>86755</v>
      </c>
      <c r="I59" s="5">
        <f t="shared" si="24"/>
        <v>89234</v>
      </c>
      <c r="J59" s="5">
        <f t="shared" si="24"/>
        <v>90499</v>
      </c>
      <c r="K59" s="5">
        <f t="shared" si="24"/>
        <v>91409</v>
      </c>
      <c r="L59" s="5">
        <f t="shared" si="24"/>
        <v>92399</v>
      </c>
      <c r="M59" s="5">
        <f t="shared" si="24"/>
        <v>91040</v>
      </c>
      <c r="N59" s="5">
        <f t="shared" si="24"/>
        <v>94511</v>
      </c>
      <c r="O59" s="5">
        <f t="shared" si="24"/>
        <v>91888</v>
      </c>
    </row>
    <row r="60" spans="2:15" s="2" customFormat="1" x14ac:dyDescent="0.25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</row>
    <row r="61" spans="2:15" s="2" customFormat="1" x14ac:dyDescent="0.25">
      <c r="B61" s="2" t="s">
        <v>38</v>
      </c>
      <c r="C61" s="5"/>
      <c r="D61" s="5"/>
      <c r="E61" s="5"/>
      <c r="F61" s="5"/>
      <c r="G61" s="5">
        <v>258</v>
      </c>
      <c r="H61" s="5">
        <v>280</v>
      </c>
      <c r="I61" s="5">
        <v>281</v>
      </c>
      <c r="J61" s="5">
        <v>375</v>
      </c>
      <c r="K61" s="5">
        <v>348</v>
      </c>
      <c r="L61" s="5">
        <v>338</v>
      </c>
      <c r="M61" s="5">
        <v>331</v>
      </c>
      <c r="N61" s="5">
        <v>479</v>
      </c>
      <c r="O61" s="2">
        <v>405</v>
      </c>
    </row>
    <row r="62" spans="2:15" s="2" customFormat="1" x14ac:dyDescent="0.25">
      <c r="B62" s="2" t="s">
        <v>39</v>
      </c>
      <c r="C62" s="5"/>
      <c r="D62" s="5"/>
      <c r="E62" s="5"/>
      <c r="F62" s="5"/>
      <c r="G62" s="5">
        <f>3573+1702</f>
        <v>5275</v>
      </c>
      <c r="H62" s="5">
        <f>3069+1602</f>
        <v>4671</v>
      </c>
      <c r="I62" s="5">
        <f>3675+1545</f>
        <v>5220</v>
      </c>
      <c r="J62" s="5">
        <f>3269+1751</f>
        <v>5020</v>
      </c>
      <c r="K62" s="5">
        <f>3724+1471</f>
        <v>5195</v>
      </c>
      <c r="L62" s="5">
        <f>4485+1853</f>
        <v>6338</v>
      </c>
      <c r="M62" s="5">
        <f>2576+1688</f>
        <v>4264</v>
      </c>
      <c r="N62" s="5">
        <f>5265+1727</f>
        <v>6992</v>
      </c>
      <c r="O62" s="2">
        <f>4425+1649</f>
        <v>6074</v>
      </c>
    </row>
    <row r="63" spans="2:15" s="2" customFormat="1" x14ac:dyDescent="0.25">
      <c r="B63" s="2" t="s">
        <v>31</v>
      </c>
      <c r="C63" s="5"/>
      <c r="D63" s="5"/>
      <c r="E63" s="5"/>
      <c r="F63" s="5"/>
      <c r="G63" s="5">
        <v>2591</v>
      </c>
      <c r="H63" s="5">
        <v>2739</v>
      </c>
      <c r="I63" s="5">
        <v>2907</v>
      </c>
      <c r="J63" s="5">
        <v>3005</v>
      </c>
      <c r="K63" s="5">
        <v>3164</v>
      </c>
      <c r="L63" s="5">
        <v>3367</v>
      </c>
      <c r="M63" s="5">
        <v>3472</v>
      </c>
      <c r="N63" s="5">
        <v>3524</v>
      </c>
      <c r="O63" s="2">
        <v>3518</v>
      </c>
    </row>
    <row r="64" spans="2:15" s="2" customFormat="1" x14ac:dyDescent="0.25">
      <c r="B64" s="2" t="s">
        <v>40</v>
      </c>
      <c r="C64" s="5"/>
      <c r="D64" s="5"/>
      <c r="E64" s="5"/>
      <c r="F64" s="5"/>
      <c r="G64" s="5">
        <v>736</v>
      </c>
      <c r="H64" s="5">
        <v>998</v>
      </c>
      <c r="I64" s="5">
        <v>1215</v>
      </c>
      <c r="J64" s="5">
        <v>1506</v>
      </c>
      <c r="K64" s="5">
        <v>816</v>
      </c>
      <c r="L64" s="5">
        <v>1065</v>
      </c>
      <c r="M64" s="5">
        <v>1251</v>
      </c>
      <c r="N64" s="5">
        <v>1538</v>
      </c>
      <c r="O64" s="2">
        <v>1226</v>
      </c>
    </row>
    <row r="65" spans="2:15" s="2" customFormat="1" x14ac:dyDescent="0.25">
      <c r="B65" s="2" t="s">
        <v>32</v>
      </c>
      <c r="C65" s="5"/>
      <c r="D65" s="5"/>
      <c r="E65" s="5"/>
      <c r="F65" s="5"/>
      <c r="G65" s="5">
        <v>6553</v>
      </c>
      <c r="H65" s="5">
        <v>6783</v>
      </c>
      <c r="I65" s="5">
        <v>7532</v>
      </c>
      <c r="J65" s="5">
        <v>8177</v>
      </c>
      <c r="K65" s="5">
        <v>8034</v>
      </c>
      <c r="L65" s="5">
        <v>7949</v>
      </c>
      <c r="M65" s="5">
        <v>8562</v>
      </c>
      <c r="N65" s="5">
        <v>9075</v>
      </c>
      <c r="O65" s="2">
        <v>9249</v>
      </c>
    </row>
    <row r="66" spans="2:15" s="2" customFormat="1" x14ac:dyDescent="0.25">
      <c r="B66" s="2" t="s">
        <v>41</v>
      </c>
      <c r="C66" s="5"/>
      <c r="D66" s="5"/>
      <c r="E66" s="5"/>
      <c r="F66" s="5"/>
      <c r="G66" s="5">
        <v>3940</v>
      </c>
      <c r="H66" s="5">
        <v>3626</v>
      </c>
      <c r="I66" s="5">
        <v>4075</v>
      </c>
      <c r="J66" s="5">
        <v>5015</v>
      </c>
      <c r="K66" s="5">
        <v>5077</v>
      </c>
      <c r="L66" s="5">
        <v>4386</v>
      </c>
      <c r="M66" s="5">
        <v>4732</v>
      </c>
      <c r="N66" s="5">
        <v>4909</v>
      </c>
      <c r="O66" s="2">
        <v>4690</v>
      </c>
    </row>
    <row r="67" spans="2:15" s="2" customFormat="1" x14ac:dyDescent="0.25">
      <c r="B67" s="2" t="s">
        <v>4</v>
      </c>
      <c r="C67" s="5"/>
      <c r="D67" s="5"/>
      <c r="E67" s="5"/>
      <c r="F67" s="5"/>
      <c r="G67" s="5">
        <v>20487</v>
      </c>
      <c r="H67" s="5">
        <v>20606</v>
      </c>
      <c r="I67" s="5">
        <v>20560</v>
      </c>
      <c r="J67" s="5">
        <v>20463</v>
      </c>
      <c r="K67" s="5">
        <v>20703</v>
      </c>
      <c r="L67" s="5">
        <v>20603</v>
      </c>
      <c r="M67" s="5">
        <v>20602</v>
      </c>
      <c r="N67" s="5">
        <v>20836</v>
      </c>
      <c r="O67" s="2">
        <f>3929+16680</f>
        <v>20609</v>
      </c>
    </row>
    <row r="68" spans="2:15" s="2" customFormat="1" x14ac:dyDescent="0.25">
      <c r="B68" s="2" t="s">
        <v>26</v>
      </c>
      <c r="C68" s="5"/>
      <c r="D68" s="5"/>
      <c r="E68" s="5"/>
      <c r="F68" s="5"/>
      <c r="G68" s="5">
        <v>5443</v>
      </c>
      <c r="H68" s="5">
        <v>5462</v>
      </c>
      <c r="I68" s="5">
        <v>5380</v>
      </c>
      <c r="J68" s="5">
        <v>5114</v>
      </c>
      <c r="K68" s="5">
        <v>5275</v>
      </c>
      <c r="L68" s="5">
        <v>5145</v>
      </c>
      <c r="M68" s="5">
        <v>5119</v>
      </c>
      <c r="N68" s="5">
        <v>5301</v>
      </c>
      <c r="O68" s="2">
        <v>5192</v>
      </c>
    </row>
    <row r="69" spans="2:15" s="2" customFormat="1" x14ac:dyDescent="0.25">
      <c r="B69" s="2" t="s">
        <v>44</v>
      </c>
      <c r="C69" s="5"/>
      <c r="D69" s="5"/>
      <c r="E69" s="5"/>
      <c r="F69" s="5"/>
      <c r="G69" s="5">
        <v>3180</v>
      </c>
      <c r="H69" s="5">
        <v>3025</v>
      </c>
      <c r="I69" s="5">
        <v>3083</v>
      </c>
      <c r="J69" s="5">
        <v>3091</v>
      </c>
      <c r="K69" s="5">
        <v>3064</v>
      </c>
      <c r="L69" s="5">
        <v>2723</v>
      </c>
      <c r="M69" s="5">
        <v>2978</v>
      </c>
      <c r="N69" s="5">
        <v>2720</v>
      </c>
      <c r="O69" s="2">
        <v>2629</v>
      </c>
    </row>
    <row r="70" spans="2:15" s="2" customFormat="1" x14ac:dyDescent="0.25">
      <c r="B70" s="2" t="s">
        <v>43</v>
      </c>
      <c r="C70" s="5"/>
      <c r="D70" s="5"/>
      <c r="E70" s="5"/>
      <c r="F70" s="5"/>
      <c r="G70" s="5">
        <v>36924</v>
      </c>
      <c r="H70" s="5">
        <v>38565</v>
      </c>
      <c r="I70" s="5">
        <v>38981</v>
      </c>
      <c r="J70" s="5">
        <v>38733</v>
      </c>
      <c r="K70" s="5">
        <v>39733</v>
      </c>
      <c r="L70" s="5">
        <v>40485</v>
      </c>
      <c r="M70" s="5">
        <v>39729</v>
      </c>
      <c r="N70" s="5">
        <v>39137</v>
      </c>
      <c r="O70" s="2">
        <v>38296</v>
      </c>
    </row>
    <row r="71" spans="2:15" s="2" customFormat="1" x14ac:dyDescent="0.25">
      <c r="B71" s="2" t="s">
        <v>42</v>
      </c>
      <c r="C71" s="5"/>
      <c r="D71" s="5"/>
      <c r="E71" s="5"/>
      <c r="F71" s="5"/>
      <c r="G71" s="5">
        <f t="shared" ref="G71:O71" si="25">SUM(G61:G70)</f>
        <v>85387</v>
      </c>
      <c r="H71" s="5">
        <f t="shared" si="25"/>
        <v>86755</v>
      </c>
      <c r="I71" s="5">
        <f t="shared" si="25"/>
        <v>89234</v>
      </c>
      <c r="J71" s="5">
        <f t="shared" si="25"/>
        <v>90499</v>
      </c>
      <c r="K71" s="5">
        <f t="shared" si="25"/>
        <v>91409</v>
      </c>
      <c r="L71" s="5">
        <f t="shared" si="25"/>
        <v>92399</v>
      </c>
      <c r="M71" s="5">
        <f t="shared" si="25"/>
        <v>91040</v>
      </c>
      <c r="N71" s="5">
        <f t="shared" si="25"/>
        <v>94511</v>
      </c>
      <c r="O71" s="5">
        <f t="shared" si="25"/>
        <v>91888</v>
      </c>
    </row>
    <row r="73" spans="2:15" s="2" customFormat="1" x14ac:dyDescent="0.25">
      <c r="B73" s="2" t="s">
        <v>48</v>
      </c>
      <c r="C73" s="5"/>
      <c r="D73" s="5"/>
      <c r="E73" s="5"/>
      <c r="F73" s="5"/>
      <c r="G73" s="2">
        <f t="shared" ref="G73:J73" si="26">G39</f>
        <v>4747</v>
      </c>
      <c r="H73" s="2">
        <f t="shared" si="26"/>
        <v>4491</v>
      </c>
      <c r="I73" s="2">
        <f t="shared" si="26"/>
        <v>4848</v>
      </c>
      <c r="J73" s="2">
        <f t="shared" si="26"/>
        <v>5057</v>
      </c>
      <c r="K73" s="2">
        <f>K39</f>
        <v>5146</v>
      </c>
      <c r="L73" s="2">
        <f>L39</f>
        <v>5313</v>
      </c>
      <c r="M73" s="2">
        <f>M39</f>
        <v>5149</v>
      </c>
      <c r="N73" s="2">
        <f>N39</f>
        <v>5602</v>
      </c>
      <c r="O73" s="2">
        <f>O39</f>
        <v>5445</v>
      </c>
    </row>
    <row r="74" spans="2:15" s="2" customFormat="1" x14ac:dyDescent="0.25">
      <c r="B74" s="2" t="s">
        <v>49</v>
      </c>
      <c r="C74" s="5"/>
      <c r="D74" s="5"/>
      <c r="E74" s="5"/>
      <c r="F74" s="5"/>
      <c r="G74" s="5">
        <v>4179</v>
      </c>
      <c r="H74" s="5">
        <f>8436-G74</f>
        <v>4257</v>
      </c>
      <c r="I74" s="5">
        <f>12592-H74-G74</f>
        <v>4156</v>
      </c>
      <c r="J74" s="5">
        <f>17273-I74-H74-G74</f>
        <v>4681</v>
      </c>
      <c r="K74" s="5">
        <v>4890</v>
      </c>
      <c r="L74" s="5">
        <f>9553-K74</f>
        <v>4663</v>
      </c>
      <c r="M74" s="5">
        <f>14425-L74-K74</f>
        <v>4872</v>
      </c>
      <c r="N74" s="5">
        <f>19743-M74-L74-K74</f>
        <v>5318</v>
      </c>
      <c r="O74" s="2">
        <v>5119</v>
      </c>
    </row>
    <row r="75" spans="2:15" s="2" customFormat="1" x14ac:dyDescent="0.25">
      <c r="B75" s="2" t="s">
        <v>32</v>
      </c>
      <c r="C75" s="5"/>
      <c r="D75" s="5"/>
      <c r="E75" s="5"/>
      <c r="F75" s="5"/>
      <c r="G75" s="5">
        <v>2786</v>
      </c>
      <c r="H75" s="5">
        <f>5691-G75</f>
        <v>2905</v>
      </c>
      <c r="I75" s="5">
        <f>8858-H75-G75</f>
        <v>3167</v>
      </c>
      <c r="J75" s="5">
        <f>12297-I75-H75-G75</f>
        <v>3439</v>
      </c>
      <c r="K75" s="5">
        <v>3348</v>
      </c>
      <c r="L75" s="5">
        <f>6605-K75</f>
        <v>3257</v>
      </c>
      <c r="M75" s="5">
        <f>10135-L75-K75</f>
        <v>3530</v>
      </c>
      <c r="N75" s="5">
        <f>13764-M75-L75-K75</f>
        <v>3629</v>
      </c>
      <c r="O75" s="2">
        <v>3797</v>
      </c>
    </row>
    <row r="76" spans="2:15" s="2" customFormat="1" x14ac:dyDescent="0.25">
      <c r="B76" s="2" t="s">
        <v>56</v>
      </c>
      <c r="C76" s="5"/>
      <c r="D76" s="5"/>
      <c r="E76" s="5"/>
      <c r="F76" s="5"/>
      <c r="G76" s="5">
        <v>177</v>
      </c>
      <c r="H76" s="5">
        <f>400-G76</f>
        <v>223</v>
      </c>
      <c r="I76" s="5">
        <f>591-H76-G76</f>
        <v>191</v>
      </c>
      <c r="J76" s="5">
        <f>765-I76-H76-G76</f>
        <v>174</v>
      </c>
      <c r="K76" s="5">
        <v>209</v>
      </c>
      <c r="L76" s="5">
        <f>451-K76</f>
        <v>242</v>
      </c>
      <c r="M76" s="5">
        <f>662-L76-K76</f>
        <v>211</v>
      </c>
      <c r="N76" s="5">
        <f>850-M76-L76-K76</f>
        <v>188</v>
      </c>
      <c r="O76" s="2">
        <v>224</v>
      </c>
    </row>
    <row r="77" spans="2:15" s="2" customFormat="1" x14ac:dyDescent="0.25">
      <c r="B77" s="2" t="s">
        <v>55</v>
      </c>
      <c r="C77" s="5"/>
      <c r="D77" s="5"/>
      <c r="E77" s="5"/>
      <c r="F77" s="5"/>
      <c r="G77" s="5">
        <v>227</v>
      </c>
      <c r="H77" s="5">
        <f>461-G77</f>
        <v>234</v>
      </c>
      <c r="I77" s="5">
        <f>696-H77-G77</f>
        <v>235</v>
      </c>
      <c r="J77" s="5">
        <f>943-I77-H77-G77</f>
        <v>247</v>
      </c>
      <c r="K77" s="5">
        <v>247</v>
      </c>
      <c r="L77" s="5">
        <f>496-K77</f>
        <v>249</v>
      </c>
      <c r="M77" s="5">
        <f>760-L77-K77</f>
        <v>264</v>
      </c>
      <c r="N77" s="5">
        <f>1034-M77-L77-K77</f>
        <v>274</v>
      </c>
      <c r="O77" s="2">
        <v>282</v>
      </c>
    </row>
    <row r="78" spans="2:15" s="2" customFormat="1" x14ac:dyDescent="0.25">
      <c r="B78" s="2" t="s">
        <v>54</v>
      </c>
      <c r="C78" s="5"/>
      <c r="D78" s="5"/>
      <c r="E78" s="5"/>
      <c r="F78" s="5"/>
      <c r="G78" s="5">
        <v>-132</v>
      </c>
      <c r="H78" s="5">
        <f>-154-G78</f>
        <v>-22</v>
      </c>
      <c r="I78" s="5">
        <f>-253-H78-G78</f>
        <v>-99</v>
      </c>
      <c r="J78" s="5">
        <f>-483-I78-H78-G78</f>
        <v>-230</v>
      </c>
      <c r="K78" s="5">
        <v>59</v>
      </c>
      <c r="L78" s="5">
        <f>-68-K78</f>
        <v>-127</v>
      </c>
      <c r="M78" s="5">
        <f>-99-L78-K78</f>
        <v>-31</v>
      </c>
      <c r="N78" s="5">
        <f>-100-M78-L78-K78</f>
        <v>-1</v>
      </c>
      <c r="O78" s="2">
        <v>38</v>
      </c>
    </row>
    <row r="79" spans="2:15" s="2" customFormat="1" x14ac:dyDescent="0.25">
      <c r="B79" s="2" t="s">
        <v>53</v>
      </c>
      <c r="C79" s="5"/>
      <c r="D79" s="5"/>
      <c r="E79" s="5"/>
      <c r="F79" s="5"/>
      <c r="G79" s="5">
        <v>-8</v>
      </c>
      <c r="H79" s="5">
        <f>-15-G79</f>
        <v>-7</v>
      </c>
      <c r="I79" s="5">
        <f>-21-H79-G79</f>
        <v>-6</v>
      </c>
      <c r="J79" s="5">
        <f>-136-I79-H79-G79</f>
        <v>-115</v>
      </c>
      <c r="K79" s="5">
        <v>-24</v>
      </c>
      <c r="L79" s="5">
        <f>-60-K79</f>
        <v>-36</v>
      </c>
      <c r="M79" s="5">
        <f>-81-L79-K79</f>
        <v>-21</v>
      </c>
      <c r="N79" s="5">
        <f>-139-M79-L79-K79</f>
        <v>-58</v>
      </c>
      <c r="O79" s="2">
        <v>-27</v>
      </c>
    </row>
    <row r="80" spans="2:15" s="2" customFormat="1" x14ac:dyDescent="0.25">
      <c r="B80" s="2" t="s">
        <v>52</v>
      </c>
      <c r="C80" s="5"/>
      <c r="D80" s="5"/>
      <c r="E80" s="5"/>
      <c r="F80" s="5"/>
      <c r="G80" s="5">
        <v>106</v>
      </c>
      <c r="H80" s="5">
        <f>196-G80</f>
        <v>90</v>
      </c>
      <c r="I80" s="5">
        <f>111-H80-G80</f>
        <v>-85</v>
      </c>
      <c r="J80" s="5">
        <f>104-I80-H80-G80</f>
        <v>-7</v>
      </c>
      <c r="K80" s="5">
        <v>-4</v>
      </c>
      <c r="L80" s="5">
        <f>26-K80</f>
        <v>30</v>
      </c>
      <c r="M80" s="5">
        <f>48-L80-K80</f>
        <v>22</v>
      </c>
      <c r="N80" s="5">
        <f>94-M80-L80-K80</f>
        <v>46</v>
      </c>
      <c r="O80" s="2">
        <v>75</v>
      </c>
    </row>
    <row r="81" spans="2:15" s="2" customFormat="1" x14ac:dyDescent="0.25">
      <c r="B81" s="2" t="s">
        <v>36</v>
      </c>
      <c r="C81" s="5"/>
      <c r="D81" s="5"/>
      <c r="E81" s="5"/>
      <c r="F81" s="5"/>
      <c r="G81" s="5">
        <v>-26</v>
      </c>
      <c r="H81" s="5">
        <f>-22-G81</f>
        <v>4</v>
      </c>
      <c r="I81" s="5">
        <f>-7-H81-G81</f>
        <v>15</v>
      </c>
      <c r="J81" s="5">
        <f>14-I81-H81-G81</f>
        <v>21</v>
      </c>
      <c r="K81" s="5">
        <v>11</v>
      </c>
      <c r="L81" s="5">
        <f>58-K81</f>
        <v>47</v>
      </c>
      <c r="M81" s="5">
        <f>122-L81-K81</f>
        <v>64</v>
      </c>
      <c r="N81" s="5">
        <f>136-M81-L81-K81</f>
        <v>14</v>
      </c>
      <c r="O81" s="2">
        <v>56</v>
      </c>
    </row>
    <row r="82" spans="2:15" s="2" customFormat="1" x14ac:dyDescent="0.25">
      <c r="B82" s="2" t="s">
        <v>51</v>
      </c>
      <c r="C82" s="5"/>
      <c r="D82" s="5"/>
      <c r="E82" s="5"/>
      <c r="F82" s="5"/>
      <c r="G82" s="5">
        <f>-54-60-2743+160-64+44-666+245</f>
        <v>-3138</v>
      </c>
      <c r="H82" s="5">
        <f>147-67-5521-77-48-493-1047+144-G82</f>
        <v>-3824</v>
      </c>
      <c r="I82" s="5">
        <f>-373-228-8188-66-51+114-34+87-H82-G82</f>
        <v>-1777</v>
      </c>
      <c r="J82" s="5">
        <f>-160-250-11014-24+34-194+1291+295-I82-H82-G82</f>
        <v>-1283</v>
      </c>
      <c r="K82" s="5">
        <f>-257-195-3601-204-18+313-877-283</f>
        <v>-5122</v>
      </c>
      <c r="L82" s="5">
        <f>-1335+34-7088-258-25+1143-1479+99-K82</f>
        <v>-3787</v>
      </c>
      <c r="M82" s="5">
        <f>92-214-10317-173-27-765-1216-66-L82-K82</f>
        <v>-3777</v>
      </c>
      <c r="N82" s="5">
        <f>-2175-237-14067-199+109+1841-676-28-M82-L82-K82</f>
        <v>-2746</v>
      </c>
      <c r="O82" s="2">
        <f>657-64-3649-10-54-673-303-72</f>
        <v>-4168</v>
      </c>
    </row>
    <row r="83" spans="2:15" s="2" customFormat="1" x14ac:dyDescent="0.25">
      <c r="B83" s="2" t="s">
        <v>50</v>
      </c>
      <c r="C83" s="5"/>
      <c r="D83" s="5"/>
      <c r="E83" s="5"/>
      <c r="F83" s="5"/>
      <c r="G83" s="2">
        <f t="shared" ref="G83" si="27">SUM(G74:G82)</f>
        <v>4171</v>
      </c>
      <c r="H83" s="2">
        <f t="shared" ref="H83" si="28">SUM(H74:H82)</f>
        <v>3860</v>
      </c>
      <c r="I83" s="2">
        <f t="shared" ref="I83" si="29">SUM(I74:I82)</f>
        <v>5797</v>
      </c>
      <c r="J83" s="2">
        <f t="shared" ref="J83" si="30">SUM(J74:J82)</f>
        <v>6927</v>
      </c>
      <c r="K83" s="2">
        <f t="shared" ref="K83:N83" si="31">SUM(K74:K82)</f>
        <v>3614</v>
      </c>
      <c r="L83" s="2">
        <f t="shared" si="31"/>
        <v>4538</v>
      </c>
      <c r="M83" s="2">
        <f t="shared" si="31"/>
        <v>5134</v>
      </c>
      <c r="N83" s="2">
        <f t="shared" si="31"/>
        <v>6664</v>
      </c>
      <c r="O83" s="2">
        <f>SUM(O74:O82)</f>
        <v>5396</v>
      </c>
    </row>
    <row r="85" spans="2:15" s="2" customFormat="1" x14ac:dyDescent="0.25">
      <c r="B85" s="2" t="s">
        <v>58</v>
      </c>
      <c r="C85" s="5"/>
      <c r="D85" s="5"/>
      <c r="E85" s="5"/>
      <c r="F85" s="5"/>
      <c r="G85" s="5">
        <v>-249</v>
      </c>
      <c r="H85" s="5">
        <f>-459-G85</f>
        <v>-210</v>
      </c>
      <c r="I85" s="5">
        <f>-754-H85-G85</f>
        <v>-295</v>
      </c>
      <c r="J85" s="5">
        <f>-1059-I85-H85-G85</f>
        <v>-305</v>
      </c>
      <c r="K85" s="5">
        <v>-267</v>
      </c>
      <c r="L85" s="5">
        <f>-548-K85</f>
        <v>-281</v>
      </c>
      <c r="M85" s="5">
        <f>-948-L85-K85</f>
        <v>-400</v>
      </c>
      <c r="N85" s="5">
        <f>-1257-M85-L85-K85</f>
        <v>-309</v>
      </c>
      <c r="O85" s="2">
        <v>-345</v>
      </c>
    </row>
    <row r="86" spans="2:15" s="2" customFormat="1" x14ac:dyDescent="0.25">
      <c r="B86" s="2" t="s">
        <v>59</v>
      </c>
      <c r="C86" s="5"/>
      <c r="D86" s="5"/>
      <c r="E86" s="5"/>
      <c r="F86" s="5"/>
      <c r="G86" s="5">
        <f>-1995+1310</f>
        <v>-685</v>
      </c>
      <c r="H86" s="5">
        <f>-2487+1760-G86</f>
        <v>-42</v>
      </c>
      <c r="I86" s="5">
        <f>-2817+2410-81-H86-G86</f>
        <v>239</v>
      </c>
      <c r="J86" s="5">
        <f>-4363+3160-I86-H86-G86</f>
        <v>-715</v>
      </c>
      <c r="K86" s="5">
        <f>-2743+1137-11</f>
        <v>-1617</v>
      </c>
      <c r="L86" s="5">
        <f>-3686+2145-K86</f>
        <v>76</v>
      </c>
      <c r="M86" s="5">
        <f>-4443+3866-L86-K86</f>
        <v>964</v>
      </c>
      <c r="N86" s="5">
        <f>-4443+5013-M86-L86-K86</f>
        <v>1147</v>
      </c>
      <c r="O86" s="2">
        <v>2042</v>
      </c>
    </row>
    <row r="87" spans="2:15" s="2" customFormat="1" x14ac:dyDescent="0.25">
      <c r="B87" s="2" t="s">
        <v>60</v>
      </c>
      <c r="C87" s="5"/>
      <c r="D87" s="5"/>
      <c r="E87" s="5"/>
      <c r="F87" s="5"/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-915</v>
      </c>
      <c r="M87" s="5">
        <f>-915-L87-K87</f>
        <v>0</v>
      </c>
      <c r="N87" s="5">
        <v>0</v>
      </c>
      <c r="O87" s="2">
        <v>-906</v>
      </c>
    </row>
    <row r="88" spans="2:15" s="2" customFormat="1" x14ac:dyDescent="0.25">
      <c r="B88" s="2" t="s">
        <v>36</v>
      </c>
      <c r="C88" s="5"/>
      <c r="D88" s="5"/>
      <c r="E88" s="5"/>
      <c r="F88" s="5"/>
      <c r="G88" s="5">
        <f>-20+402+42</f>
        <v>424</v>
      </c>
      <c r="H88" s="5">
        <f>-70+402+19-G88</f>
        <v>-73</v>
      </c>
      <c r="I88" s="5">
        <f>402+22-H88-G88</f>
        <v>73</v>
      </c>
      <c r="J88" s="5">
        <f>-121+402-25-I88-H88-G88</f>
        <v>-168</v>
      </c>
      <c r="K88" s="5">
        <v>-5</v>
      </c>
      <c r="L88" s="5">
        <f>-14-K88-47</f>
        <v>-56</v>
      </c>
      <c r="M88" s="5">
        <f>-19-51-L88-K88</f>
        <v>-9</v>
      </c>
      <c r="N88" s="5">
        <f>-231-93-M88-L88-K88</f>
        <v>-254</v>
      </c>
      <c r="O88" s="2">
        <f>-6+5</f>
        <v>-1</v>
      </c>
    </row>
    <row r="89" spans="2:15" s="2" customFormat="1" x14ac:dyDescent="0.25">
      <c r="B89" s="2" t="s">
        <v>57</v>
      </c>
      <c r="C89" s="5"/>
      <c r="D89" s="5"/>
      <c r="E89" s="5"/>
      <c r="F89" s="5"/>
      <c r="G89" s="2">
        <f t="shared" ref="G89:J89" si="32">SUM(G85:G88)</f>
        <v>-510</v>
      </c>
      <c r="H89" s="2">
        <f t="shared" si="32"/>
        <v>-325</v>
      </c>
      <c r="I89" s="2">
        <f t="shared" si="32"/>
        <v>17</v>
      </c>
      <c r="J89" s="2">
        <f t="shared" si="32"/>
        <v>-1188</v>
      </c>
      <c r="K89" s="2">
        <f>SUM(K85:K88)</f>
        <v>-1889</v>
      </c>
      <c r="L89" s="2">
        <f>SUM(L85:L88)</f>
        <v>-1176</v>
      </c>
      <c r="M89" s="2">
        <f>SUM(M85:M88)</f>
        <v>555</v>
      </c>
      <c r="N89" s="2">
        <f>SUM(N85:N88)</f>
        <v>584</v>
      </c>
      <c r="O89" s="2">
        <f>SUM(O85:O88)</f>
        <v>790</v>
      </c>
    </row>
    <row r="90" spans="2:15" s="2" customFormat="1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</row>
    <row r="91" spans="2:15" s="2" customFormat="1" x14ac:dyDescent="0.25">
      <c r="B91" s="2" t="s">
        <v>64</v>
      </c>
      <c r="C91" s="5"/>
      <c r="D91" s="5"/>
      <c r="E91" s="5"/>
      <c r="F91" s="5"/>
      <c r="G91" s="5">
        <v>-3115</v>
      </c>
      <c r="H91" s="5">
        <f>-5309-G91</f>
        <v>-2194</v>
      </c>
      <c r="I91" s="5">
        <f>-8350-H91-G91</f>
        <v>-3041</v>
      </c>
      <c r="J91" s="5">
        <f>-12101-I91-H91-G91</f>
        <v>-3751</v>
      </c>
      <c r="K91" s="5">
        <v>-3580</v>
      </c>
      <c r="L91" s="5">
        <f>-6338-K91</f>
        <v>-2758</v>
      </c>
      <c r="M91" s="5">
        <f>-10865-L91-K91</f>
        <v>-4527</v>
      </c>
      <c r="N91" s="5">
        <f>-16713-M91-L91-K91</f>
        <v>-5848</v>
      </c>
      <c r="O91" s="2">
        <v>-4011</v>
      </c>
    </row>
    <row r="92" spans="2:15" s="2" customFormat="1" x14ac:dyDescent="0.25">
      <c r="B92" s="2" t="s">
        <v>4</v>
      </c>
      <c r="C92" s="5"/>
      <c r="D92" s="5"/>
      <c r="E92" s="5"/>
      <c r="F92" s="5"/>
      <c r="G92" s="5">
        <v>-945</v>
      </c>
      <c r="H92" s="5">
        <f>-2250-G92</f>
        <v>-1305</v>
      </c>
      <c r="I92" s="5">
        <f>-2250-H92-G92</f>
        <v>0</v>
      </c>
      <c r="J92" s="5">
        <f>-2250-I92-H92-G92</f>
        <v>0</v>
      </c>
      <c r="K92" s="5">
        <v>0</v>
      </c>
      <c r="L92" s="5">
        <v>0</v>
      </c>
      <c r="M92" s="5">
        <v>0</v>
      </c>
      <c r="N92" s="5">
        <v>0</v>
      </c>
      <c r="O92" s="2">
        <v>0</v>
      </c>
    </row>
    <row r="93" spans="2:15" s="2" customFormat="1" x14ac:dyDescent="0.25">
      <c r="B93" s="2" t="s">
        <v>65</v>
      </c>
      <c r="C93" s="5"/>
      <c r="D93" s="5"/>
      <c r="E93" s="5"/>
      <c r="F93" s="5"/>
      <c r="G93" s="5">
        <v>-2250</v>
      </c>
      <c r="H93" s="5">
        <f>-1886-G93</f>
        <v>364</v>
      </c>
      <c r="I93" s="5">
        <f>-2823-H93-G93</f>
        <v>-937</v>
      </c>
      <c r="J93" s="5">
        <f>-3751-I93-H93-G93</f>
        <v>-928</v>
      </c>
      <c r="K93" s="5">
        <v>-1060</v>
      </c>
      <c r="L93" s="5">
        <f>-2120-K93</f>
        <v>-1060</v>
      </c>
      <c r="M93" s="5">
        <f>-3176-L93-K93</f>
        <v>-1056</v>
      </c>
      <c r="N93" s="5">
        <f>-4217-M93-L93-K93</f>
        <v>-1041</v>
      </c>
      <c r="O93" s="2">
        <v>-1170</v>
      </c>
    </row>
    <row r="94" spans="2:15" s="2" customFormat="1" x14ac:dyDescent="0.25">
      <c r="B94" s="2" t="s">
        <v>66</v>
      </c>
      <c r="C94" s="5"/>
      <c r="D94" s="5"/>
      <c r="E94" s="5"/>
      <c r="F94" s="5"/>
      <c r="G94" s="5">
        <f>56-112</f>
        <v>-56</v>
      </c>
      <c r="H94" s="5">
        <f>0-G94</f>
        <v>56</v>
      </c>
      <c r="I94" s="5">
        <f>189-125-H94-G94</f>
        <v>64</v>
      </c>
      <c r="J94" s="5">
        <f>260-130-I94-H94-G94</f>
        <v>66</v>
      </c>
      <c r="K94" s="5">
        <f>104-172</f>
        <v>-68</v>
      </c>
      <c r="L94" s="5">
        <f>183-181-K94</f>
        <v>70</v>
      </c>
      <c r="M94" s="5">
        <f>267-189-L94-K94</f>
        <v>76</v>
      </c>
      <c r="N94" s="5">
        <f>335-208-M94-L94-K94</f>
        <v>49</v>
      </c>
      <c r="O94" s="2">
        <f>-235+127</f>
        <v>-108</v>
      </c>
    </row>
    <row r="95" spans="2:15" s="2" customFormat="1" x14ac:dyDescent="0.25">
      <c r="B95" s="2" t="s">
        <v>36</v>
      </c>
      <c r="C95" s="5"/>
      <c r="D95" s="5"/>
      <c r="E95" s="5"/>
      <c r="F95" s="5"/>
      <c r="G95" s="5">
        <v>19</v>
      </c>
      <c r="H95" s="5">
        <f>172-G95</f>
        <v>153</v>
      </c>
      <c r="I95" s="5">
        <f>167-H95-G95</f>
        <v>-5</v>
      </c>
      <c r="J95" s="5">
        <f>200-I95-G95-H95</f>
        <v>33</v>
      </c>
      <c r="K95" s="5">
        <v>329</v>
      </c>
      <c r="L95" s="5">
        <f>203-K95</f>
        <v>-126</v>
      </c>
      <c r="M95" s="5">
        <f>399-L95-K95</f>
        <v>196</v>
      </c>
      <c r="N95" s="5">
        <f>170-M95-L95-K95</f>
        <v>-229</v>
      </c>
      <c r="O95" s="2">
        <v>-186</v>
      </c>
    </row>
    <row r="96" spans="2:15" s="2" customFormat="1" x14ac:dyDescent="0.25">
      <c r="B96" s="2" t="s">
        <v>63</v>
      </c>
      <c r="C96" s="5"/>
      <c r="D96" s="5"/>
      <c r="E96" s="5"/>
      <c r="F96" s="5"/>
      <c r="G96" s="2">
        <f t="shared" ref="G96:O96" si="33">SUM(G91:G95)</f>
        <v>-6347</v>
      </c>
      <c r="H96" s="2">
        <f t="shared" si="33"/>
        <v>-2926</v>
      </c>
      <c r="I96" s="2">
        <f t="shared" si="33"/>
        <v>-3919</v>
      </c>
      <c r="J96" s="2">
        <f t="shared" si="33"/>
        <v>-4580</v>
      </c>
      <c r="K96" s="2">
        <f t="shared" si="33"/>
        <v>-4379</v>
      </c>
      <c r="L96" s="2">
        <f t="shared" si="33"/>
        <v>-3874</v>
      </c>
      <c r="M96" s="2">
        <f t="shared" si="33"/>
        <v>-5311</v>
      </c>
      <c r="N96" s="2">
        <f t="shared" si="33"/>
        <v>-7069</v>
      </c>
      <c r="O96" s="2">
        <f t="shared" si="33"/>
        <v>-5475</v>
      </c>
    </row>
    <row r="97" spans="2:15" s="2" customFormat="1" x14ac:dyDescent="0.25">
      <c r="B97" s="2" t="s">
        <v>62</v>
      </c>
      <c r="C97" s="5"/>
      <c r="D97" s="5"/>
      <c r="E97" s="5"/>
      <c r="F97" s="5"/>
      <c r="G97" s="2">
        <v>692</v>
      </c>
      <c r="H97" s="5">
        <f>828-G97</f>
        <v>136</v>
      </c>
      <c r="I97" s="5">
        <f>844-H97-G97</f>
        <v>16</v>
      </c>
      <c r="J97" s="5">
        <f>636-I97-H97-G97</f>
        <v>-208</v>
      </c>
      <c r="K97" s="2">
        <v>300</v>
      </c>
      <c r="L97" s="5">
        <f>124-K97</f>
        <v>-176</v>
      </c>
      <c r="M97" s="5">
        <f>74-L97-K97</f>
        <v>-50</v>
      </c>
      <c r="N97" s="5">
        <f>382-M97-L97-K97</f>
        <v>308</v>
      </c>
      <c r="O97" s="2">
        <v>-508</v>
      </c>
    </row>
    <row r="98" spans="2:15" s="2" customFormat="1" x14ac:dyDescent="0.25">
      <c r="B98" s="2" t="s">
        <v>61</v>
      </c>
      <c r="C98" s="5"/>
      <c r="D98" s="5"/>
      <c r="E98" s="5"/>
      <c r="F98" s="5"/>
      <c r="G98" s="2">
        <f t="shared" ref="G98:O98" si="34">+G97+G96+G89+G83</f>
        <v>-1994</v>
      </c>
      <c r="H98" s="2">
        <f t="shared" si="34"/>
        <v>745</v>
      </c>
      <c r="I98" s="2">
        <f t="shared" si="34"/>
        <v>1911</v>
      </c>
      <c r="J98" s="2">
        <f t="shared" si="34"/>
        <v>951</v>
      </c>
      <c r="K98" s="2">
        <f t="shared" si="34"/>
        <v>-2354</v>
      </c>
      <c r="L98" s="2">
        <f t="shared" si="34"/>
        <v>-688</v>
      </c>
      <c r="M98" s="2">
        <f t="shared" si="34"/>
        <v>328</v>
      </c>
      <c r="N98" s="2">
        <f t="shared" si="34"/>
        <v>487</v>
      </c>
      <c r="O98" s="2">
        <f t="shared" si="34"/>
        <v>203</v>
      </c>
    </row>
    <row r="100" spans="2:15" x14ac:dyDescent="0.25">
      <c r="B100" s="2" t="s">
        <v>91</v>
      </c>
      <c r="G100" s="5">
        <f>+G83+G85</f>
        <v>3922</v>
      </c>
      <c r="H100" s="5">
        <f>+H83+H85</f>
        <v>3650</v>
      </c>
      <c r="I100" s="5">
        <f>+I83+I85</f>
        <v>5502</v>
      </c>
      <c r="J100" s="5">
        <f>+J83+J85</f>
        <v>6622</v>
      </c>
      <c r="K100" s="5">
        <f>+K83+K85</f>
        <v>3347</v>
      </c>
      <c r="L100" s="5">
        <f t="shared" ref="L100:O100" si="35">+L83+L85</f>
        <v>4257</v>
      </c>
      <c r="M100" s="5">
        <f t="shared" si="35"/>
        <v>4734</v>
      </c>
      <c r="N100" s="5">
        <f t="shared" si="35"/>
        <v>6355</v>
      </c>
      <c r="O100" s="5">
        <f t="shared" si="35"/>
        <v>5051</v>
      </c>
    </row>
    <row r="101" spans="2:15" x14ac:dyDescent="0.25">
      <c r="J101" s="2">
        <f t="shared" ref="J101:O101" si="36">SUM(G100:J100)</f>
        <v>19696</v>
      </c>
      <c r="K101" s="2">
        <f t="shared" si="36"/>
        <v>19121</v>
      </c>
      <c r="L101" s="2">
        <f t="shared" si="36"/>
        <v>19728</v>
      </c>
      <c r="M101" s="2">
        <f t="shared" si="36"/>
        <v>18960</v>
      </c>
      <c r="N101" s="2">
        <f t="shared" si="36"/>
        <v>18693</v>
      </c>
      <c r="O101" s="2">
        <f t="shared" si="36"/>
        <v>20397</v>
      </c>
    </row>
    <row r="103" spans="2:15" x14ac:dyDescent="0.25">
      <c r="J103" s="13"/>
      <c r="K103" s="13"/>
      <c r="L103" s="13"/>
      <c r="M103" s="13"/>
      <c r="N103" s="13"/>
      <c r="O103" s="13"/>
    </row>
  </sheetData>
  <hyperlinks>
    <hyperlink ref="A1" location="Main!A1" display="Main" xr:uid="{3524F6D3-CE33-47D0-957C-080365F2BEF1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2024-10-10T19:55:58Z</dcterms:created>
  <dcterms:modified xsi:type="dcterms:W3CDTF">2025-05-28T23:22:01Z</dcterms:modified>
</cp:coreProperties>
</file>