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F47EEA6-C08B-4E86-9414-CB154E40AF79}" xr6:coauthVersionLast="47" xr6:coauthVersionMax="47" xr10:uidLastSave="{00000000-0000-0000-0000-000000000000}"/>
  <bookViews>
    <workbookView xWindow="38530" yWindow="1360" windowWidth="17220" windowHeight="14080" activeTab="2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alogliptin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78" i="2" l="1"/>
  <c r="CH77" i="2"/>
  <c r="CH76" i="2"/>
  <c r="CH69" i="2"/>
  <c r="CH68" i="2"/>
  <c r="CH66" i="2"/>
  <c r="CH65" i="2"/>
  <c r="CH64" i="2"/>
  <c r="CH56" i="2"/>
  <c r="CH55" i="2"/>
  <c r="CH94" i="2"/>
  <c r="CH86" i="2"/>
  <c r="CH85" i="2"/>
  <c r="CI94" i="2"/>
  <c r="CI86" i="2"/>
  <c r="CI85" i="2"/>
  <c r="CI78" i="2"/>
  <c r="CI77" i="2"/>
  <c r="CI76" i="2"/>
  <c r="CI69" i="2"/>
  <c r="CI68" i="2"/>
  <c r="CI66" i="2"/>
  <c r="CI65" i="2"/>
  <c r="CI64" i="2"/>
  <c r="CI56" i="2"/>
  <c r="CI55" i="2"/>
  <c r="CF103" i="2"/>
  <c r="CE103" i="2"/>
  <c r="CG67" i="2"/>
  <c r="CG50" i="2"/>
  <c r="CG51" i="2"/>
  <c r="CG52" i="2"/>
  <c r="CG53" i="2"/>
  <c r="CG55" i="2"/>
  <c r="CG60" i="2"/>
  <c r="CG62" i="2"/>
  <c r="CG64" i="2"/>
  <c r="CG66" i="2"/>
  <c r="CG65" i="2"/>
  <c r="CG79" i="2"/>
  <c r="CG70" i="2"/>
  <c r="CG72" i="2"/>
  <c r="CG69" i="2"/>
  <c r="CG71" i="2"/>
  <c r="CG75" i="2"/>
  <c r="CG77" i="2"/>
  <c r="CG82" i="2"/>
  <c r="CG84" i="2"/>
  <c r="CG86" i="2"/>
  <c r="CG87" i="2"/>
  <c r="CG89" i="2"/>
  <c r="CG92" i="2"/>
  <c r="CC108" i="2"/>
  <c r="CC109" i="2" s="1"/>
  <c r="CB108" i="2"/>
  <c r="CB109" i="2" s="1"/>
  <c r="CA108" i="2"/>
  <c r="CA109" i="2" s="1"/>
  <c r="BZ108" i="2"/>
  <c r="BZ109" i="2" s="1"/>
  <c r="CD109" i="2"/>
  <c r="CD108" i="2"/>
  <c r="CD105" i="2"/>
  <c r="BZ105" i="2"/>
  <c r="CC45" i="2"/>
  <c r="CB45" i="2"/>
  <c r="CA45" i="2"/>
  <c r="BZ103" i="2"/>
  <c r="CD103" i="2"/>
  <c r="CZ117" i="2"/>
  <c r="CZ85" i="2"/>
  <c r="CY85" i="2"/>
  <c r="CZ83" i="2"/>
  <c r="CY83" i="2"/>
  <c r="CZ82" i="2"/>
  <c r="CY82" i="2"/>
  <c r="CZ81" i="2"/>
  <c r="CY81" i="2"/>
  <c r="CZ80" i="2"/>
  <c r="CY80" i="2"/>
  <c r="CZ79" i="2"/>
  <c r="CY79" i="2"/>
  <c r="CZ78" i="2"/>
  <c r="CY78" i="2"/>
  <c r="CZ77" i="2"/>
  <c r="CY77" i="2"/>
  <c r="CZ76" i="2"/>
  <c r="CY76" i="2"/>
  <c r="CZ75" i="2"/>
  <c r="CY75" i="2"/>
  <c r="CZ73" i="2"/>
  <c r="CY73" i="2"/>
  <c r="CZ72" i="2"/>
  <c r="CY72" i="2"/>
  <c r="CZ71" i="2"/>
  <c r="CY71" i="2"/>
  <c r="CZ70" i="2"/>
  <c r="CY70" i="2"/>
  <c r="CZ68" i="2"/>
  <c r="CY68" i="2"/>
  <c r="CZ67" i="2"/>
  <c r="CY67" i="2"/>
  <c r="CZ66" i="2"/>
  <c r="CY66" i="2"/>
  <c r="CZ65" i="2"/>
  <c r="CY65" i="2"/>
  <c r="CZ64" i="2"/>
  <c r="CY64" i="2"/>
  <c r="CZ63" i="2"/>
  <c r="CY63" i="2"/>
  <c r="CZ62" i="2"/>
  <c r="CY62" i="2"/>
  <c r="CZ60" i="2"/>
  <c r="CY60" i="2"/>
  <c r="CZ59" i="2"/>
  <c r="CY59" i="2"/>
  <c r="CZ58" i="2"/>
  <c r="CY58" i="2"/>
  <c r="CZ57" i="2"/>
  <c r="CY57" i="2"/>
  <c r="CZ56" i="2"/>
  <c r="CY56" i="2"/>
  <c r="CZ55" i="2"/>
  <c r="CY55" i="2"/>
  <c r="CZ54" i="2"/>
  <c r="CY54" i="2"/>
  <c r="CZ53" i="2"/>
  <c r="CY53" i="2"/>
  <c r="CZ52" i="2"/>
  <c r="CY52" i="2"/>
  <c r="CZ49" i="2"/>
  <c r="CY49" i="2"/>
  <c r="CZ48" i="2"/>
  <c r="CY48" i="2"/>
  <c r="CZ47" i="2"/>
  <c r="CY47" i="2"/>
  <c r="CZ46" i="2"/>
  <c r="CY46" i="2"/>
  <c r="CZ26" i="2"/>
  <c r="CY26" i="2"/>
  <c r="CZ23" i="2"/>
  <c r="CY23" i="2"/>
  <c r="CZ9" i="2"/>
  <c r="CY9" i="2"/>
  <c r="CZ4" i="2"/>
  <c r="CY4" i="2"/>
  <c r="DA9" i="2"/>
  <c r="DA23" i="2"/>
  <c r="DA52" i="2"/>
  <c r="DA68" i="2"/>
  <c r="CC67" i="2"/>
  <c r="CB67" i="2"/>
  <c r="CA67" i="2"/>
  <c r="DA67" i="2" s="1"/>
  <c r="DA60" i="2"/>
  <c r="DA72" i="2"/>
  <c r="DA85" i="2"/>
  <c r="CC93" i="2"/>
  <c r="CB93" i="2"/>
  <c r="BY103" i="2"/>
  <c r="BX103" i="2"/>
  <c r="BV103" i="2"/>
  <c r="BU103" i="2"/>
  <c r="BT103" i="2"/>
  <c r="BR103" i="2"/>
  <c r="BW87" i="2"/>
  <c r="BS87" i="2"/>
  <c r="CY87" i="2" s="1"/>
  <c r="BS88" i="2"/>
  <c r="CY88" i="2" s="1"/>
  <c r="BW88" i="2"/>
  <c r="CZ88" i="2" s="1"/>
  <c r="BS89" i="2"/>
  <c r="CY89" i="2" s="1"/>
  <c r="BW89" i="2"/>
  <c r="CZ89" i="2" s="1"/>
  <c r="BS91" i="2"/>
  <c r="CY91" i="2" s="1"/>
  <c r="BW91" i="2"/>
  <c r="CZ91" i="2" s="1"/>
  <c r="BW92" i="2"/>
  <c r="CZ92" i="2" s="1"/>
  <c r="BS92" i="2"/>
  <c r="CY92" i="2" s="1"/>
  <c r="BW93" i="2"/>
  <c r="CA93" i="2" s="1"/>
  <c r="BS93" i="2"/>
  <c r="CY93" i="2" s="1"/>
  <c r="BS94" i="2"/>
  <c r="CY94" i="2" s="1"/>
  <c r="BW94" i="2"/>
  <c r="CZ94" i="2" s="1"/>
  <c r="CZ148" i="2"/>
  <c r="CZ147" i="2"/>
  <c r="CZ145" i="2"/>
  <c r="CZ146" i="2"/>
  <c r="CZ135" i="2"/>
  <c r="CZ138" i="2"/>
  <c r="CZ142" i="2"/>
  <c r="CZ139" i="2"/>
  <c r="CG103" i="2" l="1"/>
  <c r="DA53" i="2"/>
  <c r="DA73" i="2"/>
  <c r="DA80" i="2"/>
  <c r="DA62" i="2"/>
  <c r="DA58" i="2"/>
  <c r="DA55" i="2"/>
  <c r="DA56" i="2"/>
  <c r="DA64" i="2"/>
  <c r="DA47" i="2"/>
  <c r="DA82" i="2"/>
  <c r="DA65" i="2"/>
  <c r="DA79" i="2"/>
  <c r="DA48" i="2"/>
  <c r="DA57" i="2"/>
  <c r="DA92" i="2"/>
  <c r="DA87" i="2"/>
  <c r="DA91" i="2"/>
  <c r="DA46" i="2"/>
  <c r="DA89" i="2"/>
  <c r="DA81" i="2"/>
  <c r="DA76" i="2"/>
  <c r="DA26" i="2"/>
  <c r="DA66" i="2"/>
  <c r="DA49" i="2"/>
  <c r="DA59" i="2"/>
  <c r="BX117" i="2"/>
  <c r="CZ143" i="2"/>
  <c r="DA78" i="2"/>
  <c r="DA77" i="2"/>
  <c r="DA83" i="2"/>
  <c r="DA70" i="2"/>
  <c r="DA63" i="2"/>
  <c r="DA54" i="2"/>
  <c r="DA4" i="2"/>
  <c r="DA93" i="2"/>
  <c r="CZ93" i="2"/>
  <c r="BV117" i="2"/>
  <c r="BY117" i="2"/>
  <c r="CC103" i="2"/>
  <c r="CC117" i="2" s="1"/>
  <c r="DA88" i="2"/>
  <c r="CZ87" i="2"/>
  <c r="DA75" i="2"/>
  <c r="DA94" i="2"/>
  <c r="BZ117" i="2"/>
  <c r="CZ153" i="2"/>
  <c r="CY110" i="2"/>
  <c r="CZ110" i="2"/>
  <c r="CY108" i="2"/>
  <c r="CY105" i="2"/>
  <c r="CZ108" i="2"/>
  <c r="CZ105" i="2"/>
  <c r="BW69" i="2"/>
  <c r="BS69" i="2"/>
  <c r="BW86" i="2"/>
  <c r="BS86" i="2"/>
  <c r="CY86" i="2" s="1"/>
  <c r="BW95" i="2"/>
  <c r="BS95" i="2"/>
  <c r="CY95" i="2" s="1"/>
  <c r="BW96" i="2"/>
  <c r="BS96" i="2"/>
  <c r="CY96" i="2" s="1"/>
  <c r="BS112" i="2"/>
  <c r="BS110" i="2"/>
  <c r="BS107" i="2"/>
  <c r="BS106" i="2"/>
  <c r="BS104" i="2"/>
  <c r="BW112" i="2"/>
  <c r="BW110" i="2"/>
  <c r="BW107" i="2"/>
  <c r="BW106" i="2"/>
  <c r="BW104" i="2"/>
  <c r="K5" i="1"/>
  <c r="Y115" i="2"/>
  <c r="X115" i="2"/>
  <c r="W115" i="2"/>
  <c r="V115" i="2"/>
  <c r="U115" i="2"/>
  <c r="N120" i="2"/>
  <c r="X30" i="2"/>
  <c r="V30" i="2"/>
  <c r="V24" i="2"/>
  <c r="X11" i="2"/>
  <c r="V11" i="2"/>
  <c r="V9" i="2"/>
  <c r="W9" i="2" s="1"/>
  <c r="X8" i="2"/>
  <c r="V8" i="2"/>
  <c r="X7" i="2"/>
  <c r="V7" i="2"/>
  <c r="X6" i="2"/>
  <c r="V6" i="2"/>
  <c r="X5" i="2"/>
  <c r="V5" i="2"/>
  <c r="T44" i="2"/>
  <c r="U44" i="2" s="1"/>
  <c r="V44" i="2" s="1"/>
  <c r="W44" i="2" s="1"/>
  <c r="X44" i="2" s="1"/>
  <c r="Y44" i="2" s="1"/>
  <c r="T43" i="2"/>
  <c r="U43" i="2" s="1"/>
  <c r="V43" i="2" s="1"/>
  <c r="W43" i="2" s="1"/>
  <c r="X43" i="2" s="1"/>
  <c r="Y43" i="2" s="1"/>
  <c r="T42" i="2"/>
  <c r="U42" i="2" s="1"/>
  <c r="V42" i="2" s="1"/>
  <c r="W42" i="2" s="1"/>
  <c r="X42" i="2" s="1"/>
  <c r="Y42" i="2" s="1"/>
  <c r="T41" i="2"/>
  <c r="U41" i="2" s="1"/>
  <c r="V41" i="2" s="1"/>
  <c r="W41" i="2" s="1"/>
  <c r="X41" i="2" s="1"/>
  <c r="Y41" i="2" s="1"/>
  <c r="T115" i="2"/>
  <c r="CN110" i="2"/>
  <c r="CM106" i="2"/>
  <c r="CM108" i="2" s="1"/>
  <c r="CL120" i="2"/>
  <c r="AV120" i="2"/>
  <c r="CM9" i="2"/>
  <c r="AW4" i="2"/>
  <c r="CM35" i="2"/>
  <c r="CN35" i="2" s="1"/>
  <c r="CO35" i="2" s="1"/>
  <c r="CP35" i="2" s="1"/>
  <c r="CQ35" i="2" s="1"/>
  <c r="CM31" i="2"/>
  <c r="CN31" i="2" s="1"/>
  <c r="CO31" i="2" s="1"/>
  <c r="CP31" i="2" s="1"/>
  <c r="CQ31" i="2" s="1"/>
  <c r="CM26" i="2"/>
  <c r="S115" i="2"/>
  <c r="R115" i="2"/>
  <c r="S107" i="2"/>
  <c r="T107" i="2" s="1"/>
  <c r="U107" i="2" s="1"/>
  <c r="V107" i="2" s="1"/>
  <c r="W107" i="2" s="1"/>
  <c r="X107" i="2" s="1"/>
  <c r="Y107" i="2" s="1"/>
  <c r="S106" i="2"/>
  <c r="T106" i="2" s="1"/>
  <c r="S104" i="2"/>
  <c r="T104" i="2" s="1"/>
  <c r="R41" i="2"/>
  <c r="R130" i="2" s="1"/>
  <c r="S9" i="2"/>
  <c r="S24" i="2"/>
  <c r="W24" i="2" s="1"/>
  <c r="S39" i="2"/>
  <c r="S38" i="2"/>
  <c r="S37" i="2"/>
  <c r="S36" i="2"/>
  <c r="S34" i="2"/>
  <c r="S33" i="2"/>
  <c r="S32" i="2"/>
  <c r="CM32" i="2" s="1"/>
  <c r="CN32" i="2" s="1"/>
  <c r="CO32" i="2" s="1"/>
  <c r="CP32" i="2" s="1"/>
  <c r="CQ32" i="2" s="1"/>
  <c r="S30" i="2"/>
  <c r="W30" i="2" s="1"/>
  <c r="S29" i="2"/>
  <c r="S28" i="2"/>
  <c r="S27" i="2"/>
  <c r="S25" i="2"/>
  <c r="CM25" i="2" s="1"/>
  <c r="S23" i="2"/>
  <c r="S22" i="2"/>
  <c r="S21" i="2"/>
  <c r="S20" i="2"/>
  <c r="S19" i="2"/>
  <c r="S17" i="2"/>
  <c r="S16" i="2"/>
  <c r="S14" i="2"/>
  <c r="S13" i="2"/>
  <c r="U13" i="2"/>
  <c r="V13" i="2" s="1"/>
  <c r="W13" i="2" s="1"/>
  <c r="X13" i="2" s="1"/>
  <c r="S12" i="2"/>
  <c r="S11" i="2"/>
  <c r="S8" i="2"/>
  <c r="W8" i="2" s="1"/>
  <c r="S7" i="2"/>
  <c r="W7" i="2" s="1"/>
  <c r="S6" i="2"/>
  <c r="W6" i="2" s="1"/>
  <c r="S5" i="2"/>
  <c r="W5" i="2" s="1"/>
  <c r="CQ115" i="2"/>
  <c r="CP115" i="2"/>
  <c r="CO115" i="2"/>
  <c r="CN115" i="2"/>
  <c r="C4" i="2"/>
  <c r="G4" i="2"/>
  <c r="H4" i="2" s="1"/>
  <c r="J4" i="2"/>
  <c r="K5" i="2"/>
  <c r="M5" i="2" s="1"/>
  <c r="K6" i="2"/>
  <c r="K7" i="2"/>
  <c r="M7" i="2" s="1"/>
  <c r="K8" i="2"/>
  <c r="M8" i="2" s="1"/>
  <c r="CL8" i="2" s="1"/>
  <c r="L4" i="2"/>
  <c r="N4" i="2"/>
  <c r="O5" i="2"/>
  <c r="P5" i="2" s="1"/>
  <c r="O6" i="2"/>
  <c r="P6" i="2" s="1"/>
  <c r="Q6" i="2" s="1"/>
  <c r="U6" i="2" s="1"/>
  <c r="O7" i="2"/>
  <c r="P7" i="2" s="1"/>
  <c r="O8" i="2"/>
  <c r="P8" i="2" s="1"/>
  <c r="Q8" i="2" s="1"/>
  <c r="U8" i="2" s="1"/>
  <c r="R4" i="2"/>
  <c r="AU4" i="2"/>
  <c r="G5" i="2"/>
  <c r="I5" i="2"/>
  <c r="G6" i="2"/>
  <c r="G7" i="2"/>
  <c r="G8" i="2"/>
  <c r="C10" i="2"/>
  <c r="G10" i="2"/>
  <c r="H10" i="2" s="1"/>
  <c r="J10" i="2"/>
  <c r="K11" i="2"/>
  <c r="K12" i="2"/>
  <c r="M12" i="2" s="1"/>
  <c r="K13" i="2"/>
  <c r="M13" i="2" s="1"/>
  <c r="K14" i="2"/>
  <c r="M14" i="2" s="1"/>
  <c r="L10" i="2"/>
  <c r="N10" i="2"/>
  <c r="O11" i="2"/>
  <c r="P11" i="2" s="1"/>
  <c r="Q11" i="2" s="1"/>
  <c r="U11" i="2" s="1"/>
  <c r="O12" i="2"/>
  <c r="P12" i="2" s="1"/>
  <c r="Q12" i="2" s="1"/>
  <c r="O13" i="2"/>
  <c r="P13" i="2" s="1"/>
  <c r="Q13" i="2" s="1"/>
  <c r="O14" i="2"/>
  <c r="P14" i="2" s="1"/>
  <c r="Q14" i="2" s="1"/>
  <c r="R10" i="2"/>
  <c r="U14" i="2"/>
  <c r="V14" i="2" s="1"/>
  <c r="AU10" i="2"/>
  <c r="G11" i="2"/>
  <c r="G12" i="2"/>
  <c r="G13" i="2"/>
  <c r="G14" i="2"/>
  <c r="C15" i="2"/>
  <c r="G15" i="2"/>
  <c r="H15" i="2" s="1"/>
  <c r="J15" i="2"/>
  <c r="K16" i="2"/>
  <c r="M16" i="2" s="1"/>
  <c r="K17" i="2"/>
  <c r="M17" i="2"/>
  <c r="L15" i="2"/>
  <c r="N15" i="2"/>
  <c r="O16" i="2"/>
  <c r="P16" i="2" s="1"/>
  <c r="O17" i="2"/>
  <c r="P17" i="2" s="1"/>
  <c r="Q17" i="2" s="1"/>
  <c r="R15" i="2"/>
  <c r="AU15" i="2"/>
  <c r="AW15" i="2"/>
  <c r="G16" i="2"/>
  <c r="G17" i="2"/>
  <c r="C18" i="2"/>
  <c r="G18" i="2"/>
  <c r="H18" i="2" s="1"/>
  <c r="J18" i="2"/>
  <c r="K19" i="2"/>
  <c r="K20" i="2"/>
  <c r="M20" i="2" s="1"/>
  <c r="K21" i="2"/>
  <c r="M21" i="2" s="1"/>
  <c r="K22" i="2"/>
  <c r="M22" i="2"/>
  <c r="L18" i="2"/>
  <c r="N18" i="2"/>
  <c r="O19" i="2"/>
  <c r="P19" i="2"/>
  <c r="Q19" i="2" s="1"/>
  <c r="U19" i="2" s="1"/>
  <c r="O20" i="2"/>
  <c r="P20" i="2" s="1"/>
  <c r="Q20" i="2" s="1"/>
  <c r="U20" i="2" s="1"/>
  <c r="O21" i="2"/>
  <c r="P21" i="2"/>
  <c r="Q21" i="2" s="1"/>
  <c r="U21" i="2" s="1"/>
  <c r="V21" i="2" s="1"/>
  <c r="O22" i="2"/>
  <c r="P22" i="2" s="1"/>
  <c r="Q22" i="2" s="1"/>
  <c r="U22" i="2" s="1"/>
  <c r="V22" i="2" s="1"/>
  <c r="W22" i="2" s="1"/>
  <c r="X22" i="2" s="1"/>
  <c r="Y22" i="2" s="1"/>
  <c r="CO22" i="2" s="1"/>
  <c r="CP22" i="2" s="1"/>
  <c r="CQ22" i="2" s="1"/>
  <c r="R18" i="2"/>
  <c r="AU18" i="2"/>
  <c r="G19" i="2"/>
  <c r="G20" i="2"/>
  <c r="G21" i="2"/>
  <c r="G22" i="2"/>
  <c r="C24" i="2"/>
  <c r="F24" i="2"/>
  <c r="G24" i="2" s="1"/>
  <c r="H24" i="2" s="1"/>
  <c r="AW24" i="2" s="1"/>
  <c r="CL24" i="2" s="1"/>
  <c r="J24" i="2"/>
  <c r="K24" i="2" s="1"/>
  <c r="L24" i="2" s="1"/>
  <c r="M24" i="2" s="1"/>
  <c r="N24" i="2"/>
  <c r="O24" i="2" s="1"/>
  <c r="G25" i="2"/>
  <c r="F25" i="2" s="1"/>
  <c r="G26" i="2"/>
  <c r="F26" i="2" s="1"/>
  <c r="F27" i="2"/>
  <c r="H27" i="2" s="1"/>
  <c r="K27" i="2"/>
  <c r="M27" i="2" s="1"/>
  <c r="O27" i="2"/>
  <c r="P27" i="2" s="1"/>
  <c r="Q27" i="2" s="1"/>
  <c r="U27" i="2" s="1"/>
  <c r="V27" i="2" s="1"/>
  <c r="W27" i="2" s="1"/>
  <c r="X27" i="2" s="1"/>
  <c r="Y27" i="2" s="1"/>
  <c r="K28" i="2"/>
  <c r="M28" i="2" s="1"/>
  <c r="O28" i="2"/>
  <c r="P28" i="2" s="1"/>
  <c r="Q28" i="2" s="1"/>
  <c r="U28" i="2" s="1"/>
  <c r="K29" i="2"/>
  <c r="M29" i="2" s="1"/>
  <c r="O29" i="2"/>
  <c r="P29" i="2" s="1"/>
  <c r="Q29" i="2" s="1"/>
  <c r="U29" i="2" s="1"/>
  <c r="K30" i="2"/>
  <c r="M30" i="2" s="1"/>
  <c r="O30" i="2"/>
  <c r="P30" i="2" s="1"/>
  <c r="Q30" i="2" s="1"/>
  <c r="U30" i="2" s="1"/>
  <c r="Y30" i="2" s="1"/>
  <c r="K31" i="2"/>
  <c r="K33" i="2"/>
  <c r="M33" i="2" s="1"/>
  <c r="O33" i="2"/>
  <c r="P33" i="2" s="1"/>
  <c r="Q33" i="2" s="1"/>
  <c r="U33" i="2" s="1"/>
  <c r="K34" i="2"/>
  <c r="M34" i="2" s="1"/>
  <c r="O34" i="2"/>
  <c r="P34" i="2" s="1"/>
  <c r="Q34" i="2" s="1"/>
  <c r="U34" i="2" s="1"/>
  <c r="V34" i="2" s="1"/>
  <c r="W34" i="2" s="1"/>
  <c r="X34" i="2" s="1"/>
  <c r="Y34" i="2" s="1"/>
  <c r="K35" i="2"/>
  <c r="M35" i="2" s="1"/>
  <c r="O35" i="2"/>
  <c r="P35" i="2" s="1"/>
  <c r="Q35" i="2" s="1"/>
  <c r="K36" i="2"/>
  <c r="M36" i="2" s="1"/>
  <c r="O36" i="2"/>
  <c r="P36" i="2" s="1"/>
  <c r="Q36" i="2" s="1"/>
  <c r="U36" i="2" s="1"/>
  <c r="V36" i="2" s="1"/>
  <c r="W36" i="2" s="1"/>
  <c r="X36" i="2" s="1"/>
  <c r="Y36" i="2" s="1"/>
  <c r="P37" i="2"/>
  <c r="U37" i="2"/>
  <c r="K38" i="2"/>
  <c r="M38" i="2" s="1"/>
  <c r="O38" i="2"/>
  <c r="P38" i="2" s="1"/>
  <c r="Q38" i="2" s="1"/>
  <c r="U38" i="2" s="1"/>
  <c r="V38" i="2" s="1"/>
  <c r="W38" i="2" s="1"/>
  <c r="X38" i="2" s="1"/>
  <c r="Y38" i="2" s="1"/>
  <c r="K39" i="2"/>
  <c r="M39" i="2" s="1"/>
  <c r="O39" i="2"/>
  <c r="P39" i="2" s="1"/>
  <c r="Q39" i="2" s="1"/>
  <c r="U39" i="2" s="1"/>
  <c r="L40" i="2"/>
  <c r="O40" i="2"/>
  <c r="G103" i="2"/>
  <c r="H103" i="2" s="1"/>
  <c r="N41" i="2"/>
  <c r="N42" i="2"/>
  <c r="R42" i="2"/>
  <c r="R131" i="2" s="1"/>
  <c r="N43" i="2"/>
  <c r="R43" i="2"/>
  <c r="N44" i="2"/>
  <c r="R44" i="2"/>
  <c r="R133" i="2" s="1"/>
  <c r="R45" i="2"/>
  <c r="S45" i="2" s="1"/>
  <c r="R98" i="2"/>
  <c r="CN98" i="2"/>
  <c r="K103" i="2"/>
  <c r="L103" i="2" s="1"/>
  <c r="O103" i="2"/>
  <c r="P103" i="2" s="1"/>
  <c r="G104" i="2"/>
  <c r="H104" i="2" s="1"/>
  <c r="I104" i="2" s="1"/>
  <c r="K104" i="2"/>
  <c r="L104" i="2" s="1"/>
  <c r="M104" i="2" s="1"/>
  <c r="O104" i="2"/>
  <c r="P104" i="2" s="1"/>
  <c r="Q104" i="2" s="1"/>
  <c r="AW105" i="2"/>
  <c r="AW104" i="2" s="1"/>
  <c r="F105" i="2"/>
  <c r="F119" i="2" s="1"/>
  <c r="J105" i="2"/>
  <c r="J119" i="2" s="1"/>
  <c r="N105" i="2"/>
  <c r="N119" i="2" s="1"/>
  <c r="AV105" i="2"/>
  <c r="AV109" i="2" s="1"/>
  <c r="AV113" i="2" s="1"/>
  <c r="AW118" i="2" s="1"/>
  <c r="CL105" i="2"/>
  <c r="CL119" i="2" s="1"/>
  <c r="CM105" i="2"/>
  <c r="CM119" i="2" s="1"/>
  <c r="G106" i="2"/>
  <c r="H106" i="2" s="1"/>
  <c r="K106" i="2"/>
  <c r="L106" i="2" s="1"/>
  <c r="O106" i="2"/>
  <c r="AW106" i="2"/>
  <c r="AW120" i="2" s="1"/>
  <c r="K107" i="2"/>
  <c r="L107" i="2" s="1"/>
  <c r="O107" i="2"/>
  <c r="P107" i="2" s="1"/>
  <c r="J108" i="2"/>
  <c r="N108" i="2"/>
  <c r="R108" i="2"/>
  <c r="H110" i="2"/>
  <c r="J110" i="2"/>
  <c r="K110" i="2" s="1"/>
  <c r="L110" i="2" s="1"/>
  <c r="M110" i="2" s="1"/>
  <c r="N110" i="2"/>
  <c r="O110" i="2" s="1"/>
  <c r="P110" i="2" s="1"/>
  <c r="Q110" i="2" s="1"/>
  <c r="R110" i="2"/>
  <c r="S110" i="2" s="1"/>
  <c r="T110" i="2" s="1"/>
  <c r="H112" i="2"/>
  <c r="J112" i="2"/>
  <c r="K112" i="2" s="1"/>
  <c r="N112" i="2"/>
  <c r="O112" i="2" s="1"/>
  <c r="P112" i="2" s="1"/>
  <c r="R112" i="2"/>
  <c r="S112" i="2" s="1"/>
  <c r="T112" i="2" s="1"/>
  <c r="Q115" i="2"/>
  <c r="CL115" i="2"/>
  <c r="CM115" i="2"/>
  <c r="N117" i="2"/>
  <c r="AV117" i="2"/>
  <c r="AW117" i="2"/>
  <c r="CL117" i="2"/>
  <c r="CM117" i="2"/>
  <c r="CL126" i="2"/>
  <c r="CM126" i="2"/>
  <c r="T15" i="2"/>
  <c r="T18" i="2"/>
  <c r="U17" i="2"/>
  <c r="V17" i="2" s="1"/>
  <c r="W17" i="2" s="1"/>
  <c r="X17" i="2" s="1"/>
  <c r="Y17" i="2" s="1"/>
  <c r="U23" i="2"/>
  <c r="V23" i="2"/>
  <c r="W23" i="2" s="1"/>
  <c r="X23" i="2" s="1"/>
  <c r="Y23" i="2" s="1"/>
  <c r="U12" i="2"/>
  <c r="V12" i="2" s="1"/>
  <c r="T10" i="2"/>
  <c r="T4" i="2"/>
  <c r="CB103" i="2" l="1"/>
  <c r="CB117" i="2" s="1"/>
  <c r="M15" i="2"/>
  <c r="K15" i="2"/>
  <c r="BS108" i="2"/>
  <c r="AV119" i="2"/>
  <c r="G117" i="2"/>
  <c r="CN8" i="2"/>
  <c r="CM109" i="2"/>
  <c r="CM111" i="2" s="1"/>
  <c r="CM112" i="2" s="1"/>
  <c r="CM113" i="2" s="1"/>
  <c r="F109" i="2"/>
  <c r="T24" i="2"/>
  <c r="X24" i="2" s="1"/>
  <c r="CM23" i="2"/>
  <c r="CN23" i="2" s="1"/>
  <c r="CO23" i="2" s="1"/>
  <c r="CP23" i="2" s="1"/>
  <c r="CQ23" i="2" s="1"/>
  <c r="DA95" i="2"/>
  <c r="CZ95" i="2"/>
  <c r="DA86" i="2"/>
  <c r="CZ86" i="2"/>
  <c r="BS103" i="2"/>
  <c r="BS105" i="2" s="1"/>
  <c r="BS109" i="2" s="1"/>
  <c r="BS111" i="2" s="1"/>
  <c r="BS113" i="2" s="1"/>
  <c r="BS114" i="2" s="1"/>
  <c r="CY69" i="2"/>
  <c r="CY98" i="2" s="1"/>
  <c r="DA71" i="2"/>
  <c r="BW103" i="2"/>
  <c r="BW105" i="2" s="1"/>
  <c r="BW109" i="2" s="1"/>
  <c r="BW111" i="2" s="1"/>
  <c r="BW113" i="2" s="1"/>
  <c r="BW114" i="2" s="1"/>
  <c r="CZ69" i="2"/>
  <c r="CZ96" i="2"/>
  <c r="DA96" i="2"/>
  <c r="CZ109" i="2"/>
  <c r="CZ111" i="2" s="1"/>
  <c r="CZ113" i="2" s="1"/>
  <c r="CZ114" i="2" s="1"/>
  <c r="M103" i="2"/>
  <c r="M105" i="2" s="1"/>
  <c r="M119" i="2" s="1"/>
  <c r="L105" i="2"/>
  <c r="L119" i="2" s="1"/>
  <c r="S108" i="2"/>
  <c r="CM30" i="2"/>
  <c r="CN30" i="2" s="1"/>
  <c r="CO30" i="2" s="1"/>
  <c r="CP30" i="2" s="1"/>
  <c r="CQ30" i="2" s="1"/>
  <c r="CN22" i="2"/>
  <c r="S4" i="2"/>
  <c r="CM27" i="2"/>
  <c r="CN27" i="2" s="1"/>
  <c r="CO27" i="2" s="1"/>
  <c r="CP27" i="2" s="1"/>
  <c r="CQ27" i="2" s="1"/>
  <c r="CM21" i="2"/>
  <c r="CN19" i="2"/>
  <c r="AW109" i="2"/>
  <c r="AW112" i="2" s="1"/>
  <c r="CM34" i="2"/>
  <c r="CN34" i="2" s="1"/>
  <c r="CO34" i="2" s="1"/>
  <c r="CP34" i="2" s="1"/>
  <c r="CQ34" i="2" s="1"/>
  <c r="K105" i="2"/>
  <c r="K119" i="2" s="1"/>
  <c r="BW108" i="2"/>
  <c r="CM8" i="2"/>
  <c r="N109" i="2"/>
  <c r="N111" i="2" s="1"/>
  <c r="N113" i="2" s="1"/>
  <c r="K10" i="2"/>
  <c r="O105" i="2"/>
  <c r="O119" i="2" s="1"/>
  <c r="O117" i="2"/>
  <c r="AW18" i="2"/>
  <c r="AW41" i="2" s="1"/>
  <c r="CL41" i="2" s="1"/>
  <c r="X4" i="2"/>
  <c r="O10" i="2"/>
  <c r="L108" i="2"/>
  <c r="K108" i="2"/>
  <c r="K18" i="2"/>
  <c r="CN12" i="2"/>
  <c r="Y11" i="2"/>
  <c r="U10" i="2"/>
  <c r="W21" i="2"/>
  <c r="X21" i="2" s="1"/>
  <c r="Y21" i="2" s="1"/>
  <c r="V28" i="2"/>
  <c r="W28" i="2" s="1"/>
  <c r="X28" i="2" s="1"/>
  <c r="Y28" i="2" s="1"/>
  <c r="CM28" i="2"/>
  <c r="CN28" i="2" s="1"/>
  <c r="CO28" i="2" s="1"/>
  <c r="CP28" i="2" s="1"/>
  <c r="CQ28" i="2" s="1"/>
  <c r="V10" i="2"/>
  <c r="W14" i="2"/>
  <c r="X14" i="2" s="1"/>
  <c r="Y14" i="2" s="1"/>
  <c r="I103" i="2"/>
  <c r="I105" i="2" s="1"/>
  <c r="I119" i="2" s="1"/>
  <c r="H105" i="2"/>
  <c r="H109" i="2" s="1"/>
  <c r="H111" i="2" s="1"/>
  <c r="H113" i="2" s="1"/>
  <c r="CM19" i="2"/>
  <c r="P10" i="2"/>
  <c r="J109" i="2"/>
  <c r="J111" i="2" s="1"/>
  <c r="J113" i="2" s="1"/>
  <c r="CL15" i="2"/>
  <c r="P105" i="2"/>
  <c r="P119" i="2" s="1"/>
  <c r="S42" i="2"/>
  <c r="CM42" i="2" s="1"/>
  <c r="CN42" i="2" s="1"/>
  <c r="CO42" i="2" s="1"/>
  <c r="CP42" i="2" s="1"/>
  <c r="CQ42" i="2" s="1"/>
  <c r="H41" i="2"/>
  <c r="O4" i="2"/>
  <c r="S130" i="2"/>
  <c r="CN17" i="2"/>
  <c r="M19" i="2"/>
  <c r="M18" i="2" s="1"/>
  <c r="M11" i="2"/>
  <c r="M10" i="2" s="1"/>
  <c r="CM38" i="2"/>
  <c r="CN38" i="2" s="1"/>
  <c r="CO38" i="2" s="1"/>
  <c r="CP38" i="2" s="1"/>
  <c r="CQ38" i="2" s="1"/>
  <c r="P18" i="2"/>
  <c r="CN14" i="2"/>
  <c r="CN13" i="2"/>
  <c r="CL7" i="2"/>
  <c r="F41" i="2"/>
  <c r="R103" i="2"/>
  <c r="R105" i="2" s="1"/>
  <c r="V4" i="2"/>
  <c r="M6" i="2"/>
  <c r="CL6" i="2" s="1"/>
  <c r="S18" i="2"/>
  <c r="P117" i="2"/>
  <c r="Q103" i="2"/>
  <c r="CM20" i="2"/>
  <c r="O15" i="2"/>
  <c r="Y8" i="2"/>
  <c r="CO8" i="2" s="1"/>
  <c r="Q7" i="2"/>
  <c r="U7" i="2" s="1"/>
  <c r="Y7" i="2" s="1"/>
  <c r="CO7" i="2" s="1"/>
  <c r="CN6" i="2"/>
  <c r="Y6" i="2"/>
  <c r="CO6" i="2" s="1"/>
  <c r="CM114" i="2"/>
  <c r="X9" i="2"/>
  <c r="Y13" i="2"/>
  <c r="CO13" i="2"/>
  <c r="CM39" i="2"/>
  <c r="CN39" i="2" s="1"/>
  <c r="CO39" i="2" s="1"/>
  <c r="CP39" i="2" s="1"/>
  <c r="CQ39" i="2" s="1"/>
  <c r="Q112" i="2"/>
  <c r="P4" i="2"/>
  <c r="CM33" i="2"/>
  <c r="CN33" i="2" s="1"/>
  <c r="CO33" i="2" s="1"/>
  <c r="CP33" i="2" s="1"/>
  <c r="CQ33" i="2" s="1"/>
  <c r="V33" i="2"/>
  <c r="W33" i="2" s="1"/>
  <c r="X33" i="2" s="1"/>
  <c r="Y33" i="2" s="1"/>
  <c r="CN20" i="2"/>
  <c r="V20" i="2"/>
  <c r="T108" i="2"/>
  <c r="V29" i="2"/>
  <c r="W29" i="2" s="1"/>
  <c r="X29" i="2" s="1"/>
  <c r="Y29" i="2" s="1"/>
  <c r="CM29" i="2"/>
  <c r="CN29" i="2" s="1"/>
  <c r="CO29" i="2" s="1"/>
  <c r="CP29" i="2" s="1"/>
  <c r="CQ29" i="2" s="1"/>
  <c r="O120" i="2"/>
  <c r="P106" i="2"/>
  <c r="L112" i="2"/>
  <c r="W12" i="2"/>
  <c r="X12" i="2" s="1"/>
  <c r="CM120" i="2"/>
  <c r="CN106" i="2"/>
  <c r="CL5" i="2"/>
  <c r="CM36" i="2"/>
  <c r="CN36" i="2" s="1"/>
  <c r="CO36" i="2" s="1"/>
  <c r="CP36" i="2" s="1"/>
  <c r="CQ36" i="2" s="1"/>
  <c r="J102" i="2"/>
  <c r="CL109" i="2"/>
  <c r="CL111" i="2" s="1"/>
  <c r="N102" i="2"/>
  <c r="P24" i="2"/>
  <c r="Q24" i="2" s="1"/>
  <c r="U24" i="2" s="1"/>
  <c r="P15" i="2"/>
  <c r="K4" i="2"/>
  <c r="Q16" i="2"/>
  <c r="U16" i="2" s="1"/>
  <c r="O18" i="2"/>
  <c r="R132" i="2"/>
  <c r="S43" i="2" s="1"/>
  <c r="S132" i="2" s="1"/>
  <c r="W4" i="2"/>
  <c r="U18" i="2"/>
  <c r="S41" i="2"/>
  <c r="CM41" i="2" s="1"/>
  <c r="CN41" i="2" s="1"/>
  <c r="CO41" i="2" s="1"/>
  <c r="CP41" i="2" s="1"/>
  <c r="CQ41" i="2" s="1"/>
  <c r="CM6" i="2"/>
  <c r="CO17" i="2"/>
  <c r="Q5" i="2"/>
  <c r="CN11" i="2"/>
  <c r="W11" i="2"/>
  <c r="CN21" i="2"/>
  <c r="V19" i="2"/>
  <c r="S15" i="2"/>
  <c r="S10" i="2"/>
  <c r="L117" i="2"/>
  <c r="O108" i="2"/>
  <c r="L102" i="2"/>
  <c r="S44" i="2"/>
  <c r="G41" i="2"/>
  <c r="G105" i="2"/>
  <c r="CM37" i="2"/>
  <c r="CN37" i="2" s="1"/>
  <c r="CO37" i="2" s="1"/>
  <c r="CP37" i="2" s="1"/>
  <c r="CQ37" i="2" s="1"/>
  <c r="CY109" i="2"/>
  <c r="CY111" i="2" s="1"/>
  <c r="CY113" i="2" s="1"/>
  <c r="K8" i="1"/>
  <c r="BW117" i="2" l="1"/>
  <c r="N121" i="2"/>
  <c r="DA69" i="2"/>
  <c r="CA103" i="2"/>
  <c r="CA117" i="2" s="1"/>
  <c r="CZ98" i="2"/>
  <c r="DA98" i="2" s="1"/>
  <c r="CM7" i="2"/>
  <c r="M108" i="2"/>
  <c r="M109" i="2" s="1"/>
  <c r="M111" i="2" s="1"/>
  <c r="R120" i="2"/>
  <c r="R117" i="2"/>
  <c r="CN18" i="2"/>
  <c r="CN7" i="2"/>
  <c r="L109" i="2"/>
  <c r="L111" i="2" s="1"/>
  <c r="L113" i="2" s="1"/>
  <c r="S131" i="2"/>
  <c r="O109" i="2"/>
  <c r="O111" i="2" s="1"/>
  <c r="O113" i="2" s="1"/>
  <c r="CL10" i="2"/>
  <c r="K109" i="2"/>
  <c r="K111" i="2" s="1"/>
  <c r="K113" i="2" s="1"/>
  <c r="CL18" i="2"/>
  <c r="CO21" i="2"/>
  <c r="CP21" i="2" s="1"/>
  <c r="CQ21" i="2" s="1"/>
  <c r="CN10" i="2"/>
  <c r="Q10" i="2"/>
  <c r="CM10" i="2" s="1"/>
  <c r="CM43" i="2"/>
  <c r="CN43" i="2" s="1"/>
  <c r="CO43" i="2" s="1"/>
  <c r="CP43" i="2" s="1"/>
  <c r="CQ43" i="2" s="1"/>
  <c r="H119" i="2"/>
  <c r="M4" i="2"/>
  <c r="CL4" i="2" s="1"/>
  <c r="M117" i="2"/>
  <c r="CO14" i="2"/>
  <c r="Q15" i="2"/>
  <c r="CM15" i="2" s="1"/>
  <c r="S98" i="2"/>
  <c r="S103" i="2" s="1"/>
  <c r="Q105" i="2"/>
  <c r="Q119" i="2" s="1"/>
  <c r="Q117" i="2"/>
  <c r="K102" i="2"/>
  <c r="X10" i="2"/>
  <c r="Y12" i="2"/>
  <c r="M112" i="2"/>
  <c r="CM24" i="2"/>
  <c r="CN24" i="2" s="1"/>
  <c r="CO24" i="2" s="1"/>
  <c r="CP24" i="2" s="1"/>
  <c r="CQ24" i="2" s="1"/>
  <c r="Y24" i="2"/>
  <c r="G109" i="2"/>
  <c r="G113" i="2" s="1"/>
  <c r="G119" i="2"/>
  <c r="O102" i="2"/>
  <c r="V16" i="2"/>
  <c r="U15" i="2"/>
  <c r="W10" i="2"/>
  <c r="CO11" i="2"/>
  <c r="U5" i="2"/>
  <c r="Q4" i="2"/>
  <c r="CM4" i="2" s="1"/>
  <c r="CM5" i="2"/>
  <c r="R119" i="2"/>
  <c r="R109" i="2"/>
  <c r="R111" i="2" s="1"/>
  <c r="Q18" i="2"/>
  <c r="CM18" i="2" s="1"/>
  <c r="CN16" i="2"/>
  <c r="CN15" i="2" s="1"/>
  <c r="W19" i="2"/>
  <c r="V18" i="2"/>
  <c r="CL112" i="2"/>
  <c r="CL113" i="2" s="1"/>
  <c r="CO9" i="2"/>
  <c r="W20" i="2"/>
  <c r="X20" i="2" s="1"/>
  <c r="Y20" i="2" s="1"/>
  <c r="CO106" i="2"/>
  <c r="S133" i="2"/>
  <c r="CM44" i="2"/>
  <c r="CN44" i="2" s="1"/>
  <c r="CO44" i="2" s="1"/>
  <c r="CP44" i="2" s="1"/>
  <c r="CQ44" i="2" s="1"/>
  <c r="P120" i="2"/>
  <c r="P108" i="2"/>
  <c r="M121" i="2" l="1"/>
  <c r="L121" i="2"/>
  <c r="DA103" i="2"/>
  <c r="DA117" i="2" s="1"/>
  <c r="O121" i="2"/>
  <c r="K121" i="2"/>
  <c r="M113" i="2"/>
  <c r="R121" i="2"/>
  <c r="R113" i="2"/>
  <c r="R114" i="2" s="1"/>
  <c r="V15" i="2"/>
  <c r="W16" i="2"/>
  <c r="W18" i="2"/>
  <c r="X19" i="2"/>
  <c r="CN5" i="2"/>
  <c r="Y5" i="2"/>
  <c r="U4" i="2"/>
  <c r="CL118" i="2"/>
  <c r="CL114" i="2"/>
  <c r="CM118" i="2"/>
  <c r="CO12" i="2"/>
  <c r="CO10" i="2" s="1"/>
  <c r="CP10" i="2" s="1"/>
  <c r="CQ10" i="2" s="1"/>
  <c r="Y10" i="2"/>
  <c r="Q108" i="2"/>
  <c r="Q109" i="2" s="1"/>
  <c r="Q111" i="2" s="1"/>
  <c r="P109" i="2"/>
  <c r="P111" i="2" s="1"/>
  <c r="CP106" i="2"/>
  <c r="CO20" i="2"/>
  <c r="CP20" i="2" s="1"/>
  <c r="CQ20" i="2" s="1"/>
  <c r="S105" i="2"/>
  <c r="T103" i="2"/>
  <c r="S120" i="2"/>
  <c r="S117" i="2"/>
  <c r="Q113" i="2" l="1"/>
  <c r="Q114" i="2" s="1"/>
  <c r="Q121" i="2"/>
  <c r="CN4" i="2"/>
  <c r="S109" i="2"/>
  <c r="S111" i="2" s="1"/>
  <c r="S119" i="2"/>
  <c r="P113" i="2"/>
  <c r="P114" i="2" s="1"/>
  <c r="P121" i="2"/>
  <c r="W15" i="2"/>
  <c r="X16" i="2"/>
  <c r="CQ106" i="2"/>
  <c r="Y4" i="2"/>
  <c r="CO5" i="2"/>
  <c r="CO4" i="2" s="1"/>
  <c r="X18" i="2"/>
  <c r="Y19" i="2"/>
  <c r="Y18" i="2" s="1"/>
  <c r="CO19" i="2"/>
  <c r="T117" i="2"/>
  <c r="T45" i="2"/>
  <c r="T105" i="2"/>
  <c r="T120" i="2"/>
  <c r="T109" i="2" l="1"/>
  <c r="T111" i="2" s="1"/>
  <c r="T119" i="2"/>
  <c r="CP4" i="2"/>
  <c r="Y16" i="2"/>
  <c r="X15" i="2"/>
  <c r="U45" i="2"/>
  <c r="CM45" i="2"/>
  <c r="CN45" i="2" s="1"/>
  <c r="CO45" i="2" s="1"/>
  <c r="CP45" i="2" s="1"/>
  <c r="CQ45" i="2" s="1"/>
  <c r="CO18" i="2"/>
  <c r="CP18" i="2" s="1"/>
  <c r="CQ18" i="2" s="1"/>
  <c r="CP19" i="2"/>
  <c r="CQ19" i="2" s="1"/>
  <c r="S113" i="2"/>
  <c r="S114" i="2" s="1"/>
  <c r="S121" i="2"/>
  <c r="CN103" i="2" l="1"/>
  <c r="CN105" i="2"/>
  <c r="CN109" i="2" s="1"/>
  <c r="CN111" i="2" s="1"/>
  <c r="CN112" i="2" s="1"/>
  <c r="CN113" i="2" s="1"/>
  <c r="CN117" i="2"/>
  <c r="CN120" i="2"/>
  <c r="V45" i="2"/>
  <c r="U103" i="2"/>
  <c r="Y15" i="2"/>
  <c r="CO16" i="2"/>
  <c r="CO15" i="2" s="1"/>
  <c r="CQ4" i="2"/>
  <c r="T113" i="2"/>
  <c r="T114" i="2" s="1"/>
  <c r="T121" i="2"/>
  <c r="U121" i="2" s="1"/>
  <c r="V121" i="2" s="1"/>
  <c r="W121" i="2" s="1"/>
  <c r="X121" i="2" s="1"/>
  <c r="Y121" i="2" s="1"/>
  <c r="CN104" i="2" l="1"/>
  <c r="CN118" i="2"/>
  <c r="CN122" i="2"/>
  <c r="CN114" i="2"/>
  <c r="CP15" i="2"/>
  <c r="CO103" i="2"/>
  <c r="U106" i="2"/>
  <c r="U108" i="2" s="1"/>
  <c r="U117" i="2"/>
  <c r="U104" i="2"/>
  <c r="U105" i="2" s="1"/>
  <c r="W45" i="2"/>
  <c r="V103" i="2"/>
  <c r="U109" i="2" l="1"/>
  <c r="U111" i="2" s="1"/>
  <c r="U112" i="2" s="1"/>
  <c r="U113" i="2" s="1"/>
  <c r="U114" i="2" s="1"/>
  <c r="X45" i="2"/>
  <c r="W103" i="2"/>
  <c r="V117" i="2"/>
  <c r="V104" i="2"/>
  <c r="V105" i="2" s="1"/>
  <c r="V106" i="2"/>
  <c r="V108" i="2" s="1"/>
  <c r="CO105" i="2"/>
  <c r="CO109" i="2" s="1"/>
  <c r="CO117" i="2"/>
  <c r="CO120" i="2"/>
  <c r="CQ15" i="2"/>
  <c r="CQ103" i="2" s="1"/>
  <c r="CP103" i="2"/>
  <c r="CO110" i="2"/>
  <c r="CO111" i="2" l="1"/>
  <c r="CO112" i="2" s="1"/>
  <c r="CO113" i="2" s="1"/>
  <c r="CP117" i="2"/>
  <c r="CP105" i="2"/>
  <c r="CP109" i="2" s="1"/>
  <c r="CP120" i="2"/>
  <c r="CQ105" i="2"/>
  <c r="CQ109" i="2" s="1"/>
  <c r="CQ117" i="2"/>
  <c r="CQ120" i="2"/>
  <c r="CO104" i="2"/>
  <c r="V109" i="2"/>
  <c r="V111" i="2" s="1"/>
  <c r="W104" i="2"/>
  <c r="W105" i="2" s="1"/>
  <c r="W117" i="2"/>
  <c r="W106" i="2"/>
  <c r="W108" i="2" s="1"/>
  <c r="Y45" i="2"/>
  <c r="Y103" i="2" s="1"/>
  <c r="X103" i="2"/>
  <c r="CP104" i="2" l="1"/>
  <c r="CQ104" i="2"/>
  <c r="CO118" i="2"/>
  <c r="CO114" i="2"/>
  <c r="CO122" i="2"/>
  <c r="X117" i="2"/>
  <c r="X106" i="2"/>
  <c r="X108" i="2" s="1"/>
  <c r="X104" i="2"/>
  <c r="X105" i="2" s="1"/>
  <c r="X109" i="2" s="1"/>
  <c r="X111" i="2" s="1"/>
  <c r="Y104" i="2"/>
  <c r="Y105" i="2" s="1"/>
  <c r="Y117" i="2"/>
  <c r="Y106" i="2"/>
  <c r="Y108" i="2" s="1"/>
  <c r="W109" i="2"/>
  <c r="W111" i="2" s="1"/>
  <c r="V112" i="2"/>
  <c r="V113" i="2" s="1"/>
  <c r="V114" i="2" s="1"/>
  <c r="X112" i="2" l="1"/>
  <c r="X113" i="2"/>
  <c r="X114" i="2" s="1"/>
  <c r="Y109" i="2"/>
  <c r="Y111" i="2" s="1"/>
  <c r="W112" i="2"/>
  <c r="W113" i="2" s="1"/>
  <c r="W114" i="2" s="1"/>
  <c r="CP110" i="2"/>
  <c r="CP111" i="2" s="1"/>
  <c r="CP112" i="2" l="1"/>
  <c r="CP113" i="2" s="1"/>
  <c r="Y112" i="2"/>
  <c r="Y113" i="2" s="1"/>
  <c r="Y114" i="2" s="1"/>
  <c r="CP118" i="2" l="1"/>
  <c r="CP114" i="2"/>
  <c r="CP122" i="2"/>
  <c r="CQ110" i="2" l="1"/>
  <c r="CQ111" i="2" s="1"/>
  <c r="CQ112" i="2" s="1"/>
  <c r="CQ113" i="2" s="1"/>
  <c r="CQ114" i="2" l="1"/>
  <c r="CQ118" i="2"/>
  <c r="CQ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P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P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O99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N103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10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103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N103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P103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R10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10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N10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<sst xmlns="http://schemas.openxmlformats.org/spreadsheetml/2006/main" count="674" uniqueCount="547">
  <si>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</si>
  <si>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</si>
  <si>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</si>
  <si>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</si>
  <si>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</si>
  <si>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</si>
  <si>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</si>
  <si>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</si>
  <si>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</si>
  <si>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</si>
  <si>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</si>
  <si>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</si>
  <si>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</si>
  <si>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</si>
  <si>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</si>
  <si>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</si>
  <si>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</si>
  <si>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</si>
  <si>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</si>
  <si>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</si>
  <si>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</si>
  <si>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</si>
  <si>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</si>
  <si>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</si>
  <si>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</si>
  <si>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</si>
  <si>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</si>
  <si>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Insomnia</t>
  </si>
  <si>
    <t>Class</t>
  </si>
  <si>
    <t>MT-1/MT-2 agonist</t>
  </si>
  <si>
    <t>TAK-013</t>
  </si>
  <si>
    <t>Endometriosis</t>
  </si>
  <si>
    <t>LHRH antagonist</t>
  </si>
  <si>
    <t>CHF</t>
  </si>
  <si>
    <t>Ca++ uptake enhancer</t>
  </si>
  <si>
    <t>GERD</t>
  </si>
  <si>
    <t>5-HT4 agonist</t>
  </si>
  <si>
    <t>TAK-428</t>
  </si>
  <si>
    <t>Diabetic neuropathy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</si>
  <si>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</si>
  <si>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</si>
  <si>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</si>
  <si>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</si>
  <si>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</si>
  <si>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</si>
  <si>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</si>
  <si>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</si>
  <si>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</si>
  <si>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</si>
  <si>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</si>
  <si>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</si>
  <si>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</si>
  <si>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</si>
  <si>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</si>
  <si>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</si>
  <si>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</si>
  <si>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</si>
  <si>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</si>
  <si>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</si>
  <si>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</si>
  <si>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</si>
  <si>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</si>
  <si>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</si>
  <si>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</si>
  <si>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III</t>
  </si>
  <si>
    <t>ARB</t>
  </si>
  <si>
    <t>Sepsis</t>
  </si>
  <si>
    <t>TLR4</t>
  </si>
  <si>
    <t>EPO</t>
  </si>
  <si>
    <t>SYR-322</t>
  </si>
  <si>
    <t>DPP4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</si>
  <si>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</si>
  <si>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</si>
  <si>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</si>
  <si>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</si>
  <si>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</si>
  <si>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</si>
  <si>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</si>
  <si>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</si>
  <si>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</si>
  <si>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</si>
  <si>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</si>
  <si>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</si>
  <si>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</si>
  <si>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</si>
  <si>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</si>
  <si>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</si>
  <si>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Takepron</t>
  </si>
  <si>
    <t>Leuplin</t>
  </si>
  <si>
    <t>R&amp;D</t>
  </si>
  <si>
    <t>Benet Japan</t>
  </si>
  <si>
    <t>TAK-242 (resatorvid)</t>
  </si>
  <si>
    <t>III JP</t>
  </si>
  <si>
    <t>II US/EU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</si>
  <si>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</si>
  <si>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</si>
  <si>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</si>
  <si>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</si>
  <si>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</si>
  <si>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</si>
  <si>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</si>
  <si>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</si>
  <si>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</si>
  <si>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</si>
  <si>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</si>
  <si>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</si>
  <si>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</si>
  <si>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</si>
  <si>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</si>
  <si>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</si>
  <si>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</si>
  <si>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</si>
  <si>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</si>
  <si>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</si>
  <si>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</si>
  <si>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</si>
  <si>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</si>
  <si>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</si>
  <si>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</si>
  <si>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</si>
  <si>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</si>
  <si>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</si>
  <si>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</si>
  <si>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</si>
  <si>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</si>
  <si>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</si>
  <si>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</si>
  <si>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</si>
  <si>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</si>
  <si>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</si>
  <si>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</si>
  <si>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</si>
  <si>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</si>
  <si>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</si>
  <si>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</si>
  <si>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</si>
  <si>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</si>
  <si>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</si>
  <si>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</si>
  <si>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</si>
  <si>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</si>
  <si>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</si>
  <si>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</si>
  <si>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Uloric (febuxostat)</t>
  </si>
  <si>
    <t>HRPC</t>
  </si>
  <si>
    <t>Glovenin-I</t>
  </si>
  <si>
    <t>Mepact (mifamurtide)</t>
  </si>
  <si>
    <t>Osteosarcoma</t>
  </si>
  <si>
    <t>EU 09</t>
  </si>
  <si>
    <t>Vectibix (panitumumab)</t>
  </si>
  <si>
    <t>SNT-MC17 (idebenone)</t>
  </si>
  <si>
    <t>Friedreich's Ataxia</t>
  </si>
  <si>
    <t>Santhera</t>
  </si>
  <si>
    <t>AMG706 (motesanib)</t>
  </si>
  <si>
    <t>UC/Crohn's</t>
  </si>
  <si>
    <t>a4b7 integrin</t>
  </si>
  <si>
    <t>ATL-692 (cetilistat)</t>
  </si>
  <si>
    <t>Obesity</t>
  </si>
  <si>
    <t>Norgine</t>
  </si>
  <si>
    <t>lipase inhibitor</t>
  </si>
  <si>
    <t>Thromboembolism</t>
  </si>
  <si>
    <t>Factor Xa</t>
  </si>
  <si>
    <t>Hypertriglyceridemia</t>
  </si>
  <si>
    <t>Pronova</t>
  </si>
  <si>
    <t>EPA/DHA</t>
  </si>
  <si>
    <t>II</t>
  </si>
  <si>
    <t>Glioblastoma</t>
  </si>
  <si>
    <t>FLT3</t>
  </si>
  <si>
    <t>NHL</t>
  </si>
  <si>
    <t>Aurora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</si>
  <si>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</si>
  <si>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</si>
  <si>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</si>
  <si>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</si>
  <si>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</si>
  <si>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</si>
  <si>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</si>
  <si>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</si>
  <si>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Angiopoietin</t>
  </si>
  <si>
    <t>TAK-100</t>
  </si>
  <si>
    <t>TAK-329</t>
  </si>
  <si>
    <t>Glucokinase</t>
  </si>
  <si>
    <t>TAK-591</t>
  </si>
  <si>
    <t>TAK-285</t>
  </si>
  <si>
    <t>HER2</t>
  </si>
  <si>
    <t>Operating Expenses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</si>
  <si>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</si>
  <si>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</si>
  <si>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</si>
  <si>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</si>
  <si>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</si>
  <si>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</si>
  <si>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</si>
  <si>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</si>
  <si>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</si>
  <si>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</si>
  <si>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</si>
  <si>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</si>
  <si>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</si>
  <si>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</si>
  <si>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</si>
  <si>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</si>
  <si>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</si>
  <si>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</si>
  <si>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</si>
  <si>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</si>
  <si>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</si>
  <si>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</si>
  <si>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</si>
  <si>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</si>
  <si>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</si>
  <si>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</si>
  <si>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</si>
  <si>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</si>
  <si>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</si>
  <si>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</si>
  <si>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</si>
  <si>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</si>
  <si>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</si>
  <si>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</si>
  <si>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</si>
  <si>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</si>
  <si>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</si>
  <si>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</si>
  <si>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</si>
  <si>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</si>
  <si>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</si>
  <si>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</si>
  <si>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</si>
  <si>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</si>
  <si>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</si>
  <si>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</si>
  <si>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</si>
  <si>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</si>
  <si>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</si>
  <si>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</si>
  <si>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</si>
  <si>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</si>
  <si>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</si>
  <si>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</si>
  <si>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</si>
  <si>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</si>
  <si>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</si>
  <si>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</si>
  <si>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193,300</t>
  </si>
  <si>
    <t>275,800</t>
  </si>
  <si>
    <t>453,000</t>
  </si>
  <si>
    <t>300,000</t>
  </si>
  <si>
    <t>Enbrel Japan</t>
  </si>
  <si>
    <t>Q111</t>
  </si>
  <si>
    <t>Q211</t>
  </si>
  <si>
    <t>Q311</t>
  </si>
  <si>
    <t>Q411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</si>
  <si>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</si>
  <si>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</si>
  <si>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</si>
  <si>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</si>
  <si>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</si>
  <si>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</si>
  <si>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</si>
  <si>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</si>
  <si>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</si>
  <si>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</si>
  <si>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</si>
  <si>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</si>
  <si>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</si>
  <si>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</si>
  <si>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</si>
  <si>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</si>
  <si>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</si>
  <si>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</si>
  <si>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</si>
  <si>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</si>
  <si>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</si>
  <si>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</si>
  <si>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</si>
  <si>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</si>
  <si>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</si>
  <si>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</si>
  <si>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</si>
  <si>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Proteasome</t>
  </si>
  <si>
    <t>GPR40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</si>
  <si>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</si>
  <si>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</si>
  <si>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</si>
  <si>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</si>
  <si>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</si>
  <si>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</si>
  <si>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</si>
  <si>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</si>
  <si>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</si>
  <si>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</si>
  <si>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</si>
  <si>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</si>
  <si>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</si>
  <si>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</si>
  <si>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</si>
  <si>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</si>
  <si>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</si>
  <si>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</si>
  <si>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</si>
  <si>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</si>
  <si>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</si>
  <si>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</si>
  <si>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</si>
  <si>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</si>
  <si>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</si>
  <si>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</si>
  <si>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</si>
  <si>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</si>
  <si>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</si>
  <si>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</si>
  <si>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</si>
  <si>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</si>
  <si>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</si>
  <si>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</si>
  <si>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</si>
  <si>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</si>
  <si>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</si>
  <si>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</si>
  <si>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</si>
  <si>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</si>
  <si>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</si>
  <si>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</si>
  <si>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</si>
  <si>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</si>
  <si>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</si>
  <si>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</si>
  <si>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</si>
  <si>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</si>
  <si>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</si>
  <si>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</si>
  <si>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</si>
  <si>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</si>
  <si>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</si>
  <si>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</si>
  <si>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</si>
  <si>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</si>
  <si>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</si>
  <si>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</si>
  <si>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</si>
  <si>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</si>
  <si>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</si>
  <si>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</si>
  <si>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</si>
  <si>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</si>
  <si>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</si>
  <si>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</si>
  <si>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</si>
  <si>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</si>
  <si>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</si>
  <si>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</si>
  <si>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</si>
  <si>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</si>
  <si>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</si>
  <si>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</si>
  <si>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</si>
  <si>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</si>
  <si>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</si>
  <si>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</si>
  <si>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</si>
  <si>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</si>
  <si>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</si>
  <si>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</si>
  <si>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</si>
  <si>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</si>
  <si>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</si>
  <si>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</si>
  <si>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</si>
  <si>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</si>
  <si>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</si>
  <si>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</si>
  <si>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</si>
  <si>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</si>
  <si>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</si>
  <si>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</si>
  <si>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</si>
  <si>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</si>
  <si>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</si>
  <si>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</si>
  <si>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</si>
  <si>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</si>
  <si>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</si>
  <si>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</si>
  <si>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</si>
  <si>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</si>
  <si>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</si>
  <si>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</si>
  <si>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</si>
  <si>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</si>
  <si>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</si>
  <si>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</si>
  <si>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</si>
  <si>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</si>
  <si>
    <t>Nesina, Vipidia SYR-322</t>
  </si>
  <si>
    <t>Nesina (alogliptin)</t>
  </si>
  <si>
    <t>Rozerem (ramelteon, fka TAK-375)</t>
  </si>
  <si>
    <t>cTTP</t>
  </si>
  <si>
    <t>ADAMTS13</t>
  </si>
  <si>
    <t>Affymxa</t>
  </si>
  <si>
    <t>Omontys (fka Hematide, peginesatide)</t>
  </si>
  <si>
    <t>Trintellix/Lu AA21004 (vortioxetine)</t>
  </si>
  <si>
    <t>SSRI</t>
  </si>
  <si>
    <t>CEO: Christophe Weber</t>
  </si>
  <si>
    <t>CFO: Costa Saroukos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</si>
  <si>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</si>
  <si>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</si>
  <si>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</si>
  <si>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</si>
  <si>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</si>
  <si>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</si>
  <si>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</si>
  <si>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</si>
  <si>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</si>
  <si>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</si>
  <si>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</si>
  <si>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</si>
  <si>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</si>
  <si>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</si>
  <si>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</si>
  <si>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</si>
  <si>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</si>
  <si>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</si>
  <si>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</si>
  <si>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</si>
  <si>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</si>
  <si>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AR</t>
  </si>
  <si>
    <t>Inventories</t>
  </si>
  <si>
    <t>OCA</t>
  </si>
  <si>
    <t>Assets</t>
  </si>
  <si>
    <t>Goodwill</t>
  </si>
  <si>
    <t>PP&amp;E</t>
  </si>
  <si>
    <t>ONCA</t>
  </si>
  <si>
    <t>OCL</t>
  </si>
  <si>
    <t>Provisions</t>
  </si>
  <si>
    <t>AP</t>
  </si>
  <si>
    <t>ONCL</t>
  </si>
  <si>
    <t>Pension</t>
  </si>
  <si>
    <t>SE</t>
  </si>
  <si>
    <t>L+SE</t>
  </si>
  <si>
    <t>fazirsiran (TAK-999)</t>
  </si>
  <si>
    <t>ARWR</t>
  </si>
  <si>
    <t>Alpha-1 Antitypsin</t>
  </si>
  <si>
    <t>RNAi</t>
  </si>
  <si>
    <t>TAK-279</t>
  </si>
  <si>
    <t>Psoriasis</t>
  </si>
  <si>
    <t>SDGR</t>
  </si>
  <si>
    <t>Tyk2</t>
  </si>
  <si>
    <t>TAK-861</t>
  </si>
  <si>
    <t>orexin-2 agonist</t>
  </si>
  <si>
    <t>TAK-925 (danavorexton)</t>
  </si>
  <si>
    <t>CD30 ADC</t>
  </si>
  <si>
    <t>mCRC</t>
  </si>
  <si>
    <t>VEGF mab</t>
  </si>
  <si>
    <t>Iclusig (ponatinib)</t>
  </si>
  <si>
    <t>CML/ALL</t>
  </si>
  <si>
    <t>Exkivity (mobocertinib)</t>
  </si>
  <si>
    <t>Takhzyro (lanadelumab)</t>
  </si>
  <si>
    <t>HAE</t>
  </si>
  <si>
    <t>Livtencity (maribavir)</t>
  </si>
  <si>
    <t>CMV</t>
  </si>
  <si>
    <t>Firazyr (icatibant)</t>
  </si>
  <si>
    <t>TAK-755 (apadamtase alfa/cinaxadamtase alfa)</t>
  </si>
  <si>
    <t>Qdenga</t>
  </si>
  <si>
    <t>Dengue</t>
  </si>
  <si>
    <t>Zafatek (fka SYR-472) (trelagliptin)</t>
  </si>
  <si>
    <t>Approved in Japan</t>
  </si>
  <si>
    <t>100% (Furiex acquisition)</t>
  </si>
  <si>
    <t>AMAG; deal terminated</t>
  </si>
  <si>
    <t>Japan rights only</t>
  </si>
  <si>
    <t>discontinued in 2008</t>
  </si>
  <si>
    <t>MCC-135 (caldaret)</t>
  </si>
  <si>
    <t>TAK-370 (mosapride)</t>
  </si>
  <si>
    <t>approved in some Asian countries?</t>
  </si>
  <si>
    <t>oral NGF agonist</t>
  </si>
  <si>
    <t>TAK-442 (letaxaban)</t>
  </si>
  <si>
    <t>TAK-654 (sipoglitazar)</t>
  </si>
  <si>
    <t>Lotriga (TAK-085)</t>
  </si>
  <si>
    <t>TAK-700 (orteronel)</t>
  </si>
  <si>
    <t>MLN0518 (tandutinib)</t>
  </si>
  <si>
    <t>Edarbi (TAK-491 (azilsartan)) TAK-536?</t>
  </si>
  <si>
    <t>Lu AA24530 (tedatioxetine)</t>
  </si>
  <si>
    <t>Ninlaro (fka MLN 9708) (ixazomib)</t>
  </si>
  <si>
    <t>MLN8237 (alisertib)</t>
  </si>
  <si>
    <t>calmodulin</t>
  </si>
  <si>
    <t>AMG386 (trebananib)</t>
  </si>
  <si>
    <t>AMG479 (ganitumab)</t>
  </si>
  <si>
    <t>IGF-1R</t>
  </si>
  <si>
    <t>Takecab (vonoprazan), fka TAK-438</t>
  </si>
  <si>
    <t>TAK-683 (metastin)</t>
  </si>
  <si>
    <t>KISS1R agonist</t>
  </si>
  <si>
    <t>TAK-448 (metastin)</t>
  </si>
  <si>
    <t>KISS1R</t>
  </si>
  <si>
    <t>acetylcholinesterase</t>
  </si>
  <si>
    <t>TAK-141 (pabinafusp)</t>
  </si>
  <si>
    <t>Hunter Syndrome</t>
  </si>
  <si>
    <t>ERT</t>
  </si>
  <si>
    <t>Narcolepsy</t>
  </si>
  <si>
    <t>TAK-071</t>
  </si>
  <si>
    <t>Parkinson's</t>
  </si>
  <si>
    <t>M1 pam</t>
  </si>
  <si>
    <t>TAK-041/NBI-846</t>
  </si>
  <si>
    <t>NBIX</t>
  </si>
  <si>
    <t>GPR139</t>
  </si>
  <si>
    <t>TAK-653/NBI-845</t>
  </si>
  <si>
    <t>AMPA</t>
  </si>
  <si>
    <t>TAK-341/MEDI1341</t>
  </si>
  <si>
    <t>MSA</t>
  </si>
  <si>
    <t>AZN</t>
  </si>
  <si>
    <t>alpha-synuclein mab</t>
  </si>
  <si>
    <t>TAK-594/DNL593</t>
  </si>
  <si>
    <t>DNLI</t>
  </si>
  <si>
    <t>FTD</t>
  </si>
  <si>
    <t>progranulin</t>
  </si>
  <si>
    <t>postanesthesia recovery</t>
  </si>
  <si>
    <t>TAK-920/DNL919</t>
  </si>
  <si>
    <t>TREM2 mab</t>
  </si>
  <si>
    <t>TAK-935 (soticlestat)</t>
  </si>
  <si>
    <t>Dravet/LGS</t>
  </si>
  <si>
    <t>CH24H</t>
  </si>
  <si>
    <t>TAK-113 (fruquintinib)</t>
  </si>
  <si>
    <t>TAK-981 (subasumstat)</t>
  </si>
  <si>
    <t>Oncology</t>
  </si>
  <si>
    <t>SUMO</t>
  </si>
  <si>
    <t>TAK-573 (modakafusp)</t>
  </si>
  <si>
    <t>CD38 fusion</t>
  </si>
  <si>
    <t>TAK-007</t>
  </si>
  <si>
    <t>CD19 CAR-NK</t>
  </si>
  <si>
    <t>B cell lymphoma</t>
  </si>
  <si>
    <t>TAK-102</t>
  </si>
  <si>
    <t>GPC3 CART</t>
  </si>
  <si>
    <t>TAK-103</t>
  </si>
  <si>
    <t>Mesothelin CART</t>
  </si>
  <si>
    <t>TAK-676</t>
  </si>
  <si>
    <t>STING agonist</t>
  </si>
  <si>
    <t>Protonix/Pantoloc/Controloc (pantoprazole)</t>
  </si>
  <si>
    <t>Tax Rate</t>
  </si>
  <si>
    <t>Q224</t>
  </si>
  <si>
    <t>Q124</t>
  </si>
  <si>
    <t>Q324</t>
  </si>
  <si>
    <t>Q424</t>
  </si>
  <si>
    <t>Eohilia</t>
  </si>
  <si>
    <t>Vonvendi</t>
  </si>
  <si>
    <t>Adzynma</t>
  </si>
  <si>
    <t>Fruzaqla</t>
  </si>
  <si>
    <t>Other Vaccines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</si>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</sst>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3" fontId="1" fillId="2" borderId="0" xfId="0" applyNumberFormat="1" applyFont="1" applyFill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9" fontId="4" fillId="2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129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58469</xdr:colOff>
      <xdr:row>0</xdr:row>
      <xdr:rowOff>77519</xdr:rowOff>
    </xdr:from>
    <xdr:to>
      <xdr:col>104</xdr:col>
      <xdr:colOff>58469</xdr:colOff>
      <xdr:row>159</xdr:row>
      <xdr:rowOff>13137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>
          <a:off x="57011400" y="77519"/>
          <a:ext cx="0" cy="25554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61309</xdr:colOff>
      <xdr:row>0</xdr:row>
      <xdr:rowOff>0</xdr:rowOff>
    </xdr:from>
    <xdr:to>
      <xdr:col>85</xdr:col>
      <xdr:colOff>61309</xdr:colOff>
      <xdr:row>118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9652619" y="0"/>
          <a:ext cx="0" cy="18638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444499</xdr:colOff>
      <xdr:row>4</xdr:row>
      <xdr:rowOff>7938</xdr:rowOff>
    </xdr:from>
    <xdr:to>
      <xdr:col>19</xdr:col>
      <xdr:colOff>429254</xdr:colOff>
      <xdr:row>30</xdr:row>
      <xdr:rowOff>144461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85D2-A4CF-7F96-4C17-93EF68A5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437" y="642938"/>
          <a:ext cx="4874255" cy="42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3" zoomScale="160" zoomScaleNormal="160" workbookViewId="0">
      <selection activeCell="B41" sqref="B41:E41"/>
    </sheetView>
  </sheetViews>
  <sheetFormatPr defaultRowHeight="12.5" x14ac:dyDescent="0.25"/>
  <cols>
    <col min="1" max="1" width="5" bestFit="1" customWidth="1"/>
    <col min="2" max="2" width="33.453125" bestFit="1" customWidth="1"/>
    <col min="3" max="3" width="16.453125" bestFit="1" customWidth="1"/>
    <col min="4" max="4" width="22.453125" bestFit="1" customWidth="1"/>
    <col min="5" max="5" width="15.1796875" bestFit="1" customWidth="1"/>
    <col min="6" max="6" width="16.453125" bestFit="1" customWidth="1"/>
  </cols>
  <sheetData>
    <row r="1" spans="1:8" x14ac:dyDescent="0.25">
      <c r="A1" s="17" t="s">
        <v>10</v>
      </c>
    </row>
    <row r="3" spans="1:8" x14ac:dyDescent="0.25">
      <c r="B3" s="5" t="s">
        <v>91</v>
      </c>
      <c r="C3" s="6" t="s">
        <v>66</v>
      </c>
      <c r="D3" s="7">
        <v>1</v>
      </c>
      <c r="E3" s="7" t="s">
        <v>67</v>
      </c>
    </row>
    <row r="4" spans="1:8" x14ac:dyDescent="0.25">
      <c r="B4" s="25" t="s">
        <v>150</v>
      </c>
      <c r="C4" s="26" t="s">
        <v>151</v>
      </c>
      <c r="D4" s="41" t="s">
        <v>152</v>
      </c>
      <c r="E4" s="7"/>
      <c r="F4" s="26" t="s">
        <v>64</v>
      </c>
    </row>
    <row r="5" spans="1:8" x14ac:dyDescent="0.25">
      <c r="B5" s="25" t="s">
        <v>153</v>
      </c>
      <c r="C5" s="6" t="s">
        <v>98</v>
      </c>
      <c r="D5" s="7" t="s">
        <v>97</v>
      </c>
      <c r="E5" s="7" t="s">
        <v>99</v>
      </c>
      <c r="F5" s="26" t="s">
        <v>64</v>
      </c>
    </row>
    <row r="6" spans="1:8" x14ac:dyDescent="0.25">
      <c r="B6" s="23" t="s">
        <v>222</v>
      </c>
    </row>
    <row r="7" spans="1:8" x14ac:dyDescent="0.25">
      <c r="B7" s="56" t="s">
        <v>30</v>
      </c>
      <c r="C7" s="6" t="s">
        <v>31</v>
      </c>
      <c r="D7" s="7"/>
      <c r="E7" s="7" t="s">
        <v>32</v>
      </c>
    </row>
    <row r="8" spans="1:8" x14ac:dyDescent="0.25">
      <c r="B8" s="55" t="s">
        <v>400</v>
      </c>
      <c r="C8" s="6" t="s">
        <v>8</v>
      </c>
      <c r="D8" s="54" t="s">
        <v>399</v>
      </c>
      <c r="E8" s="7" t="s">
        <v>68</v>
      </c>
    </row>
    <row r="9" spans="1:8" x14ac:dyDescent="0.25">
      <c r="B9" s="56" t="s">
        <v>465</v>
      </c>
      <c r="C9" s="26" t="s">
        <v>24</v>
      </c>
      <c r="D9" s="58" t="s">
        <v>467</v>
      </c>
      <c r="E9" s="41" t="s">
        <v>70</v>
      </c>
      <c r="F9" s="57" t="s">
        <v>466</v>
      </c>
    </row>
    <row r="10" spans="1:8" x14ac:dyDescent="0.25">
      <c r="B10" s="25" t="s">
        <v>146</v>
      </c>
      <c r="C10" s="26" t="s">
        <v>147</v>
      </c>
      <c r="D10" s="7">
        <v>1</v>
      </c>
      <c r="E10" s="7"/>
      <c r="F10" s="26" t="s">
        <v>148</v>
      </c>
    </row>
    <row r="11" spans="1:8" x14ac:dyDescent="0.25">
      <c r="B11" s="25" t="s">
        <v>223</v>
      </c>
      <c r="C11" s="26" t="s">
        <v>24</v>
      </c>
      <c r="D11" s="7">
        <v>1</v>
      </c>
      <c r="E11" s="7"/>
      <c r="F11" s="6"/>
      <c r="G11" s="6"/>
      <c r="H11" s="8"/>
    </row>
    <row r="12" spans="1:8" x14ac:dyDescent="0.25">
      <c r="B12" s="56" t="s">
        <v>480</v>
      </c>
      <c r="C12" s="6" t="s">
        <v>41</v>
      </c>
      <c r="D12" s="7">
        <v>1</v>
      </c>
      <c r="E12" s="7" t="s">
        <v>65</v>
      </c>
      <c r="F12" s="26" t="s">
        <v>197</v>
      </c>
      <c r="G12" s="6" t="s">
        <v>201</v>
      </c>
    </row>
    <row r="13" spans="1:8" x14ac:dyDescent="0.25">
      <c r="B13" s="25" t="s">
        <v>291</v>
      </c>
      <c r="C13" s="26" t="s">
        <v>8</v>
      </c>
      <c r="D13" s="58" t="s">
        <v>468</v>
      </c>
      <c r="E13" s="41"/>
      <c r="F13" s="57" t="s">
        <v>469</v>
      </c>
    </row>
    <row r="14" spans="1:8" x14ac:dyDescent="0.25">
      <c r="B14" s="56" t="s">
        <v>477</v>
      </c>
      <c r="C14" s="26" t="s">
        <v>162</v>
      </c>
      <c r="D14" s="41" t="s">
        <v>163</v>
      </c>
      <c r="E14" s="41" t="s">
        <v>164</v>
      </c>
      <c r="F14" s="26"/>
    </row>
    <row r="15" spans="1:8" x14ac:dyDescent="0.25">
      <c r="B15" s="25" t="s">
        <v>194</v>
      </c>
      <c r="C15" s="26" t="s">
        <v>195</v>
      </c>
      <c r="D15" s="41" t="s">
        <v>196</v>
      </c>
      <c r="E15" s="41"/>
      <c r="F15" s="26"/>
    </row>
    <row r="16" spans="1:8" x14ac:dyDescent="0.25">
      <c r="B16" s="56"/>
      <c r="C16" s="26"/>
      <c r="D16" s="41"/>
      <c r="E16" s="41"/>
      <c r="F16" s="26"/>
    </row>
    <row r="17" spans="2:6" x14ac:dyDescent="0.25">
      <c r="B17" s="5" t="s">
        <v>71</v>
      </c>
      <c r="C17" s="6" t="s">
        <v>72</v>
      </c>
      <c r="D17" s="7"/>
      <c r="E17" s="7"/>
      <c r="F17" s="57" t="s">
        <v>470</v>
      </c>
    </row>
    <row r="18" spans="2:6" x14ac:dyDescent="0.25">
      <c r="B18" s="25" t="s">
        <v>156</v>
      </c>
      <c r="C18" s="26" t="s">
        <v>157</v>
      </c>
      <c r="D18" s="41" t="s">
        <v>158</v>
      </c>
      <c r="E18" s="41" t="s">
        <v>159</v>
      </c>
      <c r="F18" s="26" t="s">
        <v>92</v>
      </c>
    </row>
    <row r="19" spans="2:6" x14ac:dyDescent="0.25">
      <c r="B19" s="56" t="s">
        <v>471</v>
      </c>
      <c r="C19" s="6" t="s">
        <v>33</v>
      </c>
      <c r="D19" s="7"/>
      <c r="E19" s="7" t="s">
        <v>34</v>
      </c>
    </row>
    <row r="20" spans="2:6" x14ac:dyDescent="0.25">
      <c r="B20" s="56" t="s">
        <v>472</v>
      </c>
      <c r="C20" s="6" t="s">
        <v>35</v>
      </c>
      <c r="D20" s="7"/>
      <c r="E20" s="7" t="s">
        <v>36</v>
      </c>
      <c r="F20" s="57" t="s">
        <v>473</v>
      </c>
    </row>
    <row r="21" spans="2:6" x14ac:dyDescent="0.25">
      <c r="B21" s="56" t="s">
        <v>108</v>
      </c>
      <c r="C21" s="6"/>
      <c r="D21" s="7"/>
      <c r="E21" s="7" t="s">
        <v>43</v>
      </c>
    </row>
    <row r="22" spans="2:6" x14ac:dyDescent="0.25">
      <c r="B22" s="5" t="s">
        <v>37</v>
      </c>
      <c r="C22" s="6" t="s">
        <v>38</v>
      </c>
      <c r="D22" s="7">
        <v>1</v>
      </c>
      <c r="E22" s="58" t="s">
        <v>474</v>
      </c>
      <c r="F22" s="6" t="s">
        <v>93</v>
      </c>
    </row>
    <row r="23" spans="2:6" x14ac:dyDescent="0.25">
      <c r="B23" s="56" t="s">
        <v>475</v>
      </c>
      <c r="C23" s="26" t="s">
        <v>160</v>
      </c>
      <c r="D23" s="7">
        <v>1</v>
      </c>
      <c r="E23" s="41" t="s">
        <v>161</v>
      </c>
      <c r="F23" s="26" t="s">
        <v>93</v>
      </c>
    </row>
    <row r="24" spans="2:6" x14ac:dyDescent="0.25">
      <c r="B24" s="56" t="s">
        <v>476</v>
      </c>
      <c r="C24" s="57" t="s">
        <v>24</v>
      </c>
      <c r="D24" s="7"/>
      <c r="E24" s="58" t="s">
        <v>44</v>
      </c>
    </row>
    <row r="25" spans="2:6" x14ac:dyDescent="0.25">
      <c r="B25" s="56" t="s">
        <v>478</v>
      </c>
      <c r="C25" s="26" t="s">
        <v>144</v>
      </c>
      <c r="D25" s="7">
        <v>1</v>
      </c>
      <c r="E25" s="41" t="s">
        <v>173</v>
      </c>
      <c r="F25" s="26" t="s">
        <v>165</v>
      </c>
    </row>
    <row r="26" spans="2:6" x14ac:dyDescent="0.25">
      <c r="B26" s="56" t="s">
        <v>479</v>
      </c>
      <c r="C26" s="26" t="s">
        <v>166</v>
      </c>
      <c r="D26" s="7">
        <v>1</v>
      </c>
      <c r="E26" s="41" t="s">
        <v>167</v>
      </c>
      <c r="F26" s="26" t="s">
        <v>165</v>
      </c>
    </row>
    <row r="27" spans="2:6" x14ac:dyDescent="0.25">
      <c r="B27" s="56" t="s">
        <v>481</v>
      </c>
      <c r="C27" s="26" t="s">
        <v>85</v>
      </c>
      <c r="D27" s="41" t="s">
        <v>86</v>
      </c>
      <c r="E27" s="41"/>
      <c r="F27" s="26" t="s">
        <v>165</v>
      </c>
    </row>
    <row r="28" spans="2:6" x14ac:dyDescent="0.25">
      <c r="B28" s="56" t="s">
        <v>483</v>
      </c>
      <c r="C28" s="26" t="s">
        <v>168</v>
      </c>
      <c r="D28" s="7">
        <v>1</v>
      </c>
      <c r="E28" s="41" t="s">
        <v>169</v>
      </c>
      <c r="F28" s="26" t="s">
        <v>165</v>
      </c>
    </row>
    <row r="29" spans="2:6" x14ac:dyDescent="0.25">
      <c r="B29" s="25" t="s">
        <v>170</v>
      </c>
      <c r="C29" s="26" t="s">
        <v>171</v>
      </c>
      <c r="D29" s="41" t="s">
        <v>172</v>
      </c>
      <c r="E29" s="58" t="s">
        <v>484</v>
      </c>
      <c r="F29" s="26" t="s">
        <v>165</v>
      </c>
    </row>
    <row r="30" spans="2:6" x14ac:dyDescent="0.25">
      <c r="B30" s="25" t="s">
        <v>175</v>
      </c>
      <c r="C30" s="26" t="s">
        <v>98</v>
      </c>
      <c r="D30" s="41" t="s">
        <v>97</v>
      </c>
      <c r="E30" s="41" t="s">
        <v>177</v>
      </c>
      <c r="F30" s="26" t="s">
        <v>176</v>
      </c>
    </row>
    <row r="31" spans="2:6" x14ac:dyDescent="0.25">
      <c r="B31" s="56" t="s">
        <v>485</v>
      </c>
      <c r="C31" s="26" t="s">
        <v>98</v>
      </c>
      <c r="D31" s="41" t="s">
        <v>97</v>
      </c>
      <c r="E31" s="41" t="s">
        <v>178</v>
      </c>
      <c r="F31" s="26" t="s">
        <v>176</v>
      </c>
    </row>
    <row r="32" spans="2:6" x14ac:dyDescent="0.25">
      <c r="B32" s="56" t="s">
        <v>486</v>
      </c>
      <c r="C32" s="26" t="s">
        <v>98</v>
      </c>
      <c r="D32" s="41" t="s">
        <v>97</v>
      </c>
      <c r="E32" s="58" t="s">
        <v>487</v>
      </c>
      <c r="F32" s="26" t="s">
        <v>176</v>
      </c>
    </row>
    <row r="33" spans="2:8" x14ac:dyDescent="0.25">
      <c r="B33" s="25" t="s">
        <v>179</v>
      </c>
      <c r="C33" s="26" t="s">
        <v>24</v>
      </c>
      <c r="D33" s="41">
        <v>1</v>
      </c>
      <c r="E33" s="41" t="s">
        <v>70</v>
      </c>
      <c r="F33" s="26" t="s">
        <v>176</v>
      </c>
    </row>
    <row r="34" spans="2:8" x14ac:dyDescent="0.25">
      <c r="B34" s="25" t="s">
        <v>182</v>
      </c>
      <c r="C34" s="26" t="s">
        <v>41</v>
      </c>
      <c r="D34" s="7">
        <v>1</v>
      </c>
      <c r="E34" s="41" t="s">
        <v>65</v>
      </c>
      <c r="F34" s="26" t="s">
        <v>176</v>
      </c>
    </row>
    <row r="35" spans="2:8" x14ac:dyDescent="0.25">
      <c r="B35" s="25" t="s">
        <v>180</v>
      </c>
      <c r="C35" s="26" t="s">
        <v>181</v>
      </c>
      <c r="D35" s="41">
        <v>1</v>
      </c>
      <c r="E35" s="41"/>
      <c r="F35" s="26" t="s">
        <v>176</v>
      </c>
    </row>
    <row r="36" spans="2:8" x14ac:dyDescent="0.25">
      <c r="B36" s="25" t="s">
        <v>174</v>
      </c>
      <c r="C36" s="26" t="s">
        <v>24</v>
      </c>
      <c r="D36" s="41">
        <v>1</v>
      </c>
      <c r="E36" s="41" t="s">
        <v>281</v>
      </c>
      <c r="F36" s="26" t="s">
        <v>165</v>
      </c>
    </row>
    <row r="37" spans="2:8" x14ac:dyDescent="0.25">
      <c r="B37" s="5" t="s">
        <v>94</v>
      </c>
      <c r="C37" s="6" t="s">
        <v>95</v>
      </c>
      <c r="D37" s="7">
        <v>1</v>
      </c>
      <c r="E37" s="7"/>
      <c r="F37" s="6" t="s">
        <v>93</v>
      </c>
      <c r="G37" s="6"/>
      <c r="H37" s="8" t="s">
        <v>96</v>
      </c>
    </row>
    <row r="38" spans="2:8" x14ac:dyDescent="0.25">
      <c r="B38" s="56" t="s">
        <v>489</v>
      </c>
      <c r="C38" s="26" t="s">
        <v>144</v>
      </c>
      <c r="D38" s="7">
        <v>1</v>
      </c>
      <c r="E38" s="58" t="s">
        <v>490</v>
      </c>
      <c r="F38" s="26" t="s">
        <v>176</v>
      </c>
    </row>
    <row r="39" spans="2:8" x14ac:dyDescent="0.25">
      <c r="B39" s="56" t="s">
        <v>491</v>
      </c>
      <c r="C39" s="26" t="s">
        <v>144</v>
      </c>
      <c r="D39" s="7">
        <v>1</v>
      </c>
      <c r="E39" s="58" t="s">
        <v>492</v>
      </c>
      <c r="F39" s="26" t="s">
        <v>176</v>
      </c>
    </row>
    <row r="40" spans="2:8" x14ac:dyDescent="0.25">
      <c r="B40" s="25" t="s">
        <v>183</v>
      </c>
      <c r="C40" s="26" t="s">
        <v>98</v>
      </c>
      <c r="D40" s="7">
        <v>1</v>
      </c>
      <c r="E40" s="41" t="s">
        <v>184</v>
      </c>
      <c r="F40" s="26" t="s">
        <v>176</v>
      </c>
    </row>
    <row r="41" spans="2:8" x14ac:dyDescent="0.25">
      <c r="B41" s="5" t="s">
        <v>39</v>
      </c>
      <c r="C41" s="6" t="s">
        <v>40</v>
      </c>
      <c r="D41" s="7"/>
      <c r="E41" s="58" t="s">
        <v>493</v>
      </c>
    </row>
  </sheetData>
  <hyperlinks>
    <hyperlink ref="A1" location="Main!A1" display="Main" xr:uid="{4B12D7F8-7966-4150-BC59-25B5DF4CFFD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7" t="s">
        <v>10</v>
      </c>
    </row>
    <row r="2" spans="1:3" x14ac:dyDescent="0.25">
      <c r="B2" s="27" t="s">
        <v>11</v>
      </c>
      <c r="C2" s="27" t="s">
        <v>142</v>
      </c>
    </row>
    <row r="3" spans="1:3" x14ac:dyDescent="0.25">
      <c r="B3" s="27" t="s">
        <v>12</v>
      </c>
      <c r="C3" s="27" t="s">
        <v>131</v>
      </c>
    </row>
    <row r="4" spans="1:3" x14ac:dyDescent="0.25">
      <c r="B4" s="27" t="s">
        <v>134</v>
      </c>
      <c r="C4" s="27" t="s">
        <v>135</v>
      </c>
    </row>
    <row r="5" spans="1:3" x14ac:dyDescent="0.25">
      <c r="B5" s="27" t="s">
        <v>13</v>
      </c>
      <c r="C5" s="27" t="s">
        <v>136</v>
      </c>
    </row>
    <row r="6" spans="1:3" x14ac:dyDescent="0.25">
      <c r="B6" s="27" t="s">
        <v>132</v>
      </c>
      <c r="C6" s="27" t="s">
        <v>133</v>
      </c>
    </row>
    <row r="7" spans="1:3" x14ac:dyDescent="0.25">
      <c r="B7" s="27" t="s">
        <v>54</v>
      </c>
      <c r="C7" s="27" t="s">
        <v>139</v>
      </c>
    </row>
    <row r="8" spans="1:3" x14ac:dyDescent="0.25">
      <c r="B8" s="27" t="s">
        <v>140</v>
      </c>
      <c r="C8" s="27" t="s">
        <v>141</v>
      </c>
    </row>
    <row r="9" spans="1:3" x14ac:dyDescent="0.25">
      <c r="B9" s="27" t="s">
        <v>122</v>
      </c>
      <c r="C9" s="27"/>
    </row>
    <row r="11" spans="1:3" ht="13" x14ac:dyDescent="0.3">
      <c r="C11" s="28" t="s">
        <v>137</v>
      </c>
    </row>
    <row r="12" spans="1:3" x14ac:dyDescent="0.25">
      <c r="C12" s="27" t="s">
        <v>138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7" t="s">
        <v>10</v>
      </c>
    </row>
    <row r="2" spans="1:3" x14ac:dyDescent="0.25">
      <c r="B2" t="s">
        <v>11</v>
      </c>
      <c r="C2" t="s">
        <v>18</v>
      </c>
    </row>
    <row r="3" spans="1:3" x14ac:dyDescent="0.25">
      <c r="B3" t="s">
        <v>12</v>
      </c>
    </row>
    <row r="4" spans="1:3" x14ac:dyDescent="0.25">
      <c r="B4" t="s">
        <v>54</v>
      </c>
      <c r="C4" t="s">
        <v>231</v>
      </c>
    </row>
    <row r="5" spans="1:3" x14ac:dyDescent="0.25">
      <c r="A5" t="s">
        <v>230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5" x14ac:dyDescent="0.25"/>
  <sheetData>
    <row r="3" spans="2:2" ht="13" x14ac:dyDescent="0.3">
      <c r="B3" s="28" t="s">
        <v>253</v>
      </c>
    </row>
    <row r="4" spans="2:2" x14ac:dyDescent="0.25">
      <c r="B4" t="s">
        <v>254</v>
      </c>
    </row>
    <row r="5" spans="2:2" x14ac:dyDescent="0.25">
      <c r="B5" s="27" t="s">
        <v>255</v>
      </c>
    </row>
    <row r="6" spans="2:2" x14ac:dyDescent="0.25">
      <c r="B6" s="27" t="s">
        <v>256</v>
      </c>
    </row>
    <row r="7" spans="2:2" x14ac:dyDescent="0.25">
      <c r="B7" s="27" t="s">
        <v>257</v>
      </c>
    </row>
    <row r="8" spans="2:2" x14ac:dyDescent="0.25">
      <c r="B8" s="27" t="s">
        <v>258</v>
      </c>
    </row>
    <row r="9" spans="2:2" x14ac:dyDescent="0.25">
      <c r="B9" s="27" t="s">
        <v>260</v>
      </c>
    </row>
    <row r="10" spans="2:2" x14ac:dyDescent="0.25">
      <c r="B10" s="27" t="s">
        <v>259</v>
      </c>
    </row>
    <row r="12" spans="2:2" ht="13" x14ac:dyDescent="0.3">
      <c r="B12" s="28" t="s">
        <v>264</v>
      </c>
    </row>
    <row r="13" spans="2:2" x14ac:dyDescent="0.25">
      <c r="B13" s="27" t="s">
        <v>265</v>
      </c>
    </row>
    <row r="14" spans="2:2" x14ac:dyDescent="0.25">
      <c r="B14" s="27" t="s">
        <v>266</v>
      </c>
    </row>
    <row r="15" spans="2:2" x14ac:dyDescent="0.25">
      <c r="B15" s="27" t="s">
        <v>267</v>
      </c>
    </row>
    <row r="16" spans="2:2" x14ac:dyDescent="0.25">
      <c r="B16" s="27" t="s">
        <v>268</v>
      </c>
    </row>
    <row r="17" spans="2:2" x14ac:dyDescent="0.25">
      <c r="B17" s="27" t="s">
        <v>269</v>
      </c>
    </row>
    <row r="18" spans="2:2" x14ac:dyDescent="0.25">
      <c r="B18" s="27" t="s">
        <v>270</v>
      </c>
    </row>
    <row r="19" spans="2:2" x14ac:dyDescent="0.25">
      <c r="B19" s="27" t="s">
        <v>271</v>
      </c>
    </row>
    <row r="20" spans="2:2" x14ac:dyDescent="0.25">
      <c r="B20" s="27" t="s">
        <v>272</v>
      </c>
    </row>
    <row r="21" spans="2:2" x14ac:dyDescent="0.25">
      <c r="B21" s="27" t="s">
        <v>273</v>
      </c>
    </row>
    <row r="23" spans="2:2" ht="13" x14ac:dyDescent="0.3">
      <c r="B23" s="28" t="s">
        <v>261</v>
      </c>
    </row>
    <row r="24" spans="2:2" x14ac:dyDescent="0.25">
      <c r="B24" s="27" t="s">
        <v>262</v>
      </c>
    </row>
    <row r="25" spans="2:2" x14ac:dyDescent="0.25">
      <c r="B25" s="27" t="s">
        <v>263</v>
      </c>
    </row>
    <row r="28" spans="2:2" ht="13" x14ac:dyDescent="0.3">
      <c r="B28" s="28" t="s">
        <v>274</v>
      </c>
    </row>
    <row r="29" spans="2:2" x14ac:dyDescent="0.25">
      <c r="B29" s="27" t="s">
        <v>275</v>
      </c>
    </row>
    <row r="30" spans="2:2" x14ac:dyDescent="0.25">
      <c r="B30" s="27" t="s">
        <v>276</v>
      </c>
    </row>
    <row r="31" spans="2:2" x14ac:dyDescent="0.25">
      <c r="B31" s="27" t="s">
        <v>277</v>
      </c>
    </row>
    <row r="32" spans="2:2" x14ac:dyDescent="0.25">
      <c r="B32" s="27" t="s">
        <v>278</v>
      </c>
    </row>
    <row r="33" spans="2:2" x14ac:dyDescent="0.25">
      <c r="B33" s="27" t="s">
        <v>279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2"/>
  <sheetViews>
    <sheetView zoomScale="145" zoomScaleNormal="145" workbookViewId="0">
      <selection activeCell="L6" sqref="L6"/>
    </sheetView>
  </sheetViews>
  <sheetFormatPr defaultColWidth="9.1796875" defaultRowHeight="12.5" x14ac:dyDescent="0.25"/>
  <cols>
    <col min="1" max="1" width="3.1796875" style="1" customWidth="1"/>
    <col min="2" max="2" width="32.81640625" style="1" customWidth="1"/>
    <col min="3" max="3" width="20.81640625" style="1" customWidth="1"/>
    <col min="4" max="5" width="17.453125" style="1" customWidth="1"/>
    <col min="6" max="6" width="8.54296875" style="1" bestFit="1" customWidth="1"/>
    <col min="7" max="7" width="17.1796875" style="1" customWidth="1"/>
    <col min="8" max="8" width="3.81640625" style="1" customWidth="1"/>
    <col min="9" max="9" width="4.7265625" style="1" customWidth="1"/>
    <col min="10" max="10" width="9.26953125" style="1" customWidth="1"/>
    <col min="11" max="11" width="10.7265625" style="1" customWidth="1"/>
    <col min="12" max="12" width="7.453125" style="1" customWidth="1"/>
    <col min="13" max="16384" width="9.1796875" style="1"/>
  </cols>
  <sheetData>
    <row r="2" spans="2:12" x14ac:dyDescent="0.25">
      <c r="B2" s="2" t="s">
        <v>0</v>
      </c>
      <c r="C2" s="3" t="s">
        <v>1</v>
      </c>
      <c r="D2" s="3" t="s">
        <v>2</v>
      </c>
      <c r="E2" s="3" t="s">
        <v>28</v>
      </c>
      <c r="F2" s="3" t="s">
        <v>25</v>
      </c>
      <c r="G2" s="3" t="s">
        <v>7</v>
      </c>
      <c r="H2" s="4"/>
      <c r="J2" s="1" t="s">
        <v>293</v>
      </c>
      <c r="K2" s="47">
        <v>15.03</v>
      </c>
    </row>
    <row r="3" spans="2:12" x14ac:dyDescent="0.25">
      <c r="B3" s="20" t="s">
        <v>6</v>
      </c>
      <c r="C3" s="6" t="s">
        <v>4</v>
      </c>
      <c r="D3" s="7">
        <v>1</v>
      </c>
      <c r="E3" s="7" t="s">
        <v>43</v>
      </c>
      <c r="F3" s="6"/>
      <c r="G3" s="12">
        <v>40118</v>
      </c>
      <c r="H3" s="8"/>
      <c r="J3" s="1" t="s">
        <v>292</v>
      </c>
      <c r="K3" s="14">
        <v>4333</v>
      </c>
    </row>
    <row r="4" spans="2:12" x14ac:dyDescent="0.25">
      <c r="B4" s="5" t="s">
        <v>73</v>
      </c>
      <c r="C4" s="6" t="s">
        <v>41</v>
      </c>
      <c r="D4" s="7">
        <v>1</v>
      </c>
      <c r="E4" s="7" t="s">
        <v>65</v>
      </c>
      <c r="F4" s="6">
        <v>1999</v>
      </c>
      <c r="G4" s="6"/>
      <c r="H4" s="8"/>
      <c r="J4" s="1" t="s">
        <v>48</v>
      </c>
      <c r="K4" s="14">
        <v>1569</v>
      </c>
      <c r="L4" s="53" t="s">
        <v>537</v>
      </c>
    </row>
    <row r="5" spans="2:12" x14ac:dyDescent="0.25">
      <c r="B5" s="25" t="s">
        <v>129</v>
      </c>
      <c r="C5" s="26" t="s">
        <v>130</v>
      </c>
      <c r="D5" s="41" t="s">
        <v>196</v>
      </c>
      <c r="E5" s="7"/>
      <c r="F5" s="6"/>
      <c r="G5" s="6"/>
      <c r="H5" s="8"/>
      <c r="J5" s="1" t="s">
        <v>49</v>
      </c>
      <c r="K5" s="14">
        <f>K3*K4</f>
        <v>6798477</v>
      </c>
    </row>
    <row r="6" spans="2:12" x14ac:dyDescent="0.25">
      <c r="B6" s="25" t="s">
        <v>143</v>
      </c>
      <c r="C6" s="26" t="s">
        <v>109</v>
      </c>
      <c r="D6" s="7" t="s">
        <v>193</v>
      </c>
      <c r="E6" s="7"/>
      <c r="F6" s="6"/>
      <c r="G6" s="6"/>
      <c r="H6" s="8"/>
      <c r="J6" s="1" t="s">
        <v>50</v>
      </c>
      <c r="K6" s="14">
        <v>0</v>
      </c>
      <c r="L6" s="53" t="s">
        <v>546</v>
      </c>
    </row>
    <row r="7" spans="2:12" x14ac:dyDescent="0.25">
      <c r="B7" s="20" t="s">
        <v>23</v>
      </c>
      <c r="C7" s="6" t="s">
        <v>24</v>
      </c>
      <c r="D7" s="7" t="s">
        <v>26</v>
      </c>
      <c r="E7" s="7" t="s">
        <v>44</v>
      </c>
      <c r="F7" s="6">
        <v>1999</v>
      </c>
      <c r="G7" s="26" t="s">
        <v>200</v>
      </c>
      <c r="H7" s="8"/>
      <c r="J7" s="1" t="s">
        <v>51</v>
      </c>
      <c r="K7" s="14">
        <v>3975500</v>
      </c>
      <c r="L7" s="53" t="s">
        <v>546</v>
      </c>
    </row>
    <row r="8" spans="2:12" x14ac:dyDescent="0.25">
      <c r="B8" s="20" t="s">
        <v>189</v>
      </c>
      <c r="C8" s="6" t="s">
        <v>190</v>
      </c>
      <c r="D8" s="41" t="s">
        <v>286</v>
      </c>
      <c r="E8" s="7" t="s">
        <v>42</v>
      </c>
      <c r="F8" s="6"/>
      <c r="G8" s="6"/>
      <c r="H8" s="8"/>
      <c r="J8" s="1" t="s">
        <v>52</v>
      </c>
      <c r="K8" s="14">
        <f>K5-K6+K7</f>
        <v>10773977</v>
      </c>
    </row>
    <row r="9" spans="2:12" x14ac:dyDescent="0.25">
      <c r="B9" s="56" t="s">
        <v>344</v>
      </c>
      <c r="C9" s="26"/>
      <c r="D9" s="7"/>
      <c r="E9" s="7"/>
      <c r="F9" s="6"/>
      <c r="G9" s="6"/>
      <c r="H9" s="8"/>
    </row>
    <row r="10" spans="2:12" x14ac:dyDescent="0.25">
      <c r="B10" s="56" t="s">
        <v>535</v>
      </c>
      <c r="C10" s="57" t="s">
        <v>35</v>
      </c>
      <c r="D10" s="7"/>
      <c r="E10" s="58" t="s">
        <v>43</v>
      </c>
      <c r="F10" s="6"/>
      <c r="G10" s="6"/>
      <c r="H10" s="8"/>
    </row>
    <row r="11" spans="2:12" x14ac:dyDescent="0.25">
      <c r="B11" s="56" t="s">
        <v>488</v>
      </c>
      <c r="C11" s="57" t="s">
        <v>35</v>
      </c>
      <c r="D11" s="7">
        <v>1</v>
      </c>
      <c r="E11" s="7" t="s">
        <v>343</v>
      </c>
      <c r="F11" s="6"/>
      <c r="G11" s="6"/>
      <c r="H11" s="8"/>
    </row>
    <row r="12" spans="2:12" x14ac:dyDescent="0.25">
      <c r="B12" s="20" t="s">
        <v>392</v>
      </c>
      <c r="C12" s="26" t="s">
        <v>154</v>
      </c>
      <c r="D12" s="41">
        <v>1</v>
      </c>
      <c r="E12" s="41" t="s">
        <v>155</v>
      </c>
      <c r="F12" s="26"/>
      <c r="G12" s="6"/>
      <c r="H12" s="8"/>
    </row>
    <row r="13" spans="2:12" x14ac:dyDescent="0.25">
      <c r="B13" s="25" t="s">
        <v>289</v>
      </c>
      <c r="C13" s="26" t="s">
        <v>282</v>
      </c>
      <c r="D13" s="41" t="s">
        <v>283</v>
      </c>
      <c r="E13" s="58" t="s">
        <v>451</v>
      </c>
      <c r="F13" s="26"/>
      <c r="G13" s="6"/>
      <c r="H13" s="8"/>
    </row>
    <row r="14" spans="2:12" x14ac:dyDescent="0.25">
      <c r="B14" s="5" t="s">
        <v>21</v>
      </c>
      <c r="C14" s="6" t="s">
        <v>22</v>
      </c>
      <c r="D14" s="41" t="s">
        <v>287</v>
      </c>
      <c r="E14" s="7" t="s">
        <v>45</v>
      </c>
      <c r="F14" s="6"/>
      <c r="G14" s="6"/>
      <c r="H14" s="8"/>
      <c r="J14" s="55" t="s">
        <v>403</v>
      </c>
    </row>
    <row r="15" spans="2:12" x14ac:dyDescent="0.25">
      <c r="B15" s="20" t="s">
        <v>236</v>
      </c>
      <c r="C15" s="57" t="s">
        <v>4</v>
      </c>
      <c r="D15" s="58">
        <v>1</v>
      </c>
      <c r="E15" s="58" t="s">
        <v>43</v>
      </c>
      <c r="F15" s="59">
        <v>39814</v>
      </c>
      <c r="G15" s="6"/>
      <c r="H15" s="8"/>
      <c r="J15" s="55" t="s">
        <v>404</v>
      </c>
    </row>
    <row r="16" spans="2:12" ht="13" x14ac:dyDescent="0.3">
      <c r="B16" s="56" t="s">
        <v>149</v>
      </c>
      <c r="C16" s="57" t="s">
        <v>452</v>
      </c>
      <c r="D16" s="41" t="s">
        <v>97</v>
      </c>
      <c r="E16" s="58" t="s">
        <v>453</v>
      </c>
      <c r="F16" s="42"/>
      <c r="G16" s="6"/>
      <c r="H16" s="8"/>
      <c r="K16" s="15"/>
    </row>
    <row r="17" spans="2:11" x14ac:dyDescent="0.25">
      <c r="B17" s="56" t="s">
        <v>396</v>
      </c>
      <c r="C17" s="6" t="s">
        <v>27</v>
      </c>
      <c r="D17" s="7">
        <v>1</v>
      </c>
      <c r="E17" s="58" t="s">
        <v>29</v>
      </c>
      <c r="F17" s="26"/>
      <c r="G17" s="6"/>
      <c r="H17" s="8"/>
      <c r="K17" s="15"/>
    </row>
    <row r="18" spans="2:11" x14ac:dyDescent="0.25">
      <c r="B18" s="56" t="s">
        <v>456</v>
      </c>
      <c r="C18" s="57" t="s">
        <v>171</v>
      </c>
      <c r="D18" s="7"/>
      <c r="E18" s="7"/>
      <c r="F18" s="26"/>
      <c r="G18" s="6"/>
      <c r="H18" s="8"/>
    </row>
    <row r="19" spans="2:11" x14ac:dyDescent="0.25">
      <c r="B19" s="56" t="s">
        <v>459</v>
      </c>
      <c r="C19" s="57" t="s">
        <v>460</v>
      </c>
      <c r="D19" s="7"/>
      <c r="E19" s="7"/>
      <c r="F19" s="26"/>
      <c r="G19" s="6"/>
      <c r="H19" s="8"/>
    </row>
    <row r="20" spans="2:11" x14ac:dyDescent="0.25">
      <c r="B20" s="56" t="s">
        <v>457</v>
      </c>
      <c r="C20" s="57" t="s">
        <v>458</v>
      </c>
      <c r="D20" s="7"/>
      <c r="E20" s="7"/>
      <c r="F20" s="26"/>
      <c r="G20" s="6"/>
      <c r="H20" s="8"/>
    </row>
    <row r="21" spans="2:11" x14ac:dyDescent="0.25">
      <c r="B21" s="56" t="s">
        <v>461</v>
      </c>
      <c r="C21" s="57" t="s">
        <v>458</v>
      </c>
      <c r="D21" s="7"/>
      <c r="E21" s="7"/>
      <c r="F21" s="26"/>
      <c r="G21" s="6"/>
      <c r="H21" s="8"/>
    </row>
    <row r="22" spans="2:11" x14ac:dyDescent="0.25">
      <c r="B22" s="56" t="s">
        <v>454</v>
      </c>
      <c r="C22" s="57" t="s">
        <v>455</v>
      </c>
      <c r="D22" s="7"/>
      <c r="E22" s="7"/>
      <c r="F22" s="26"/>
      <c r="G22" s="6"/>
      <c r="H22" s="8"/>
    </row>
    <row r="23" spans="2:11" x14ac:dyDescent="0.25">
      <c r="B23" s="56" t="s">
        <v>463</v>
      </c>
      <c r="C23" s="57" t="s">
        <v>464</v>
      </c>
      <c r="D23" s="7"/>
      <c r="E23" s="7"/>
      <c r="F23" s="26"/>
      <c r="G23" s="6"/>
      <c r="H23" s="8"/>
    </row>
    <row r="24" spans="2:11" x14ac:dyDescent="0.25">
      <c r="B24" s="56" t="s">
        <v>482</v>
      </c>
      <c r="C24" s="26" t="s">
        <v>130</v>
      </c>
      <c r="D24" s="41">
        <v>1</v>
      </c>
      <c r="E24" s="41" t="s">
        <v>280</v>
      </c>
      <c r="F24" s="26"/>
      <c r="G24" s="6"/>
      <c r="H24" s="8"/>
    </row>
    <row r="25" spans="2:11" x14ac:dyDescent="0.25">
      <c r="B25" s="56" t="s">
        <v>401</v>
      </c>
      <c r="C25" s="26" t="s">
        <v>85</v>
      </c>
      <c r="D25" s="41" t="s">
        <v>86</v>
      </c>
      <c r="E25" s="58" t="s">
        <v>402</v>
      </c>
      <c r="F25" s="26"/>
      <c r="G25" s="6"/>
      <c r="H25" s="8"/>
    </row>
    <row r="26" spans="2:11" ht="13" x14ac:dyDescent="0.3">
      <c r="B26" s="20" t="s">
        <v>395</v>
      </c>
      <c r="C26" s="57" t="s">
        <v>24</v>
      </c>
      <c r="D26" s="58" t="s">
        <v>288</v>
      </c>
      <c r="E26" s="58" t="s">
        <v>70</v>
      </c>
      <c r="F26" s="18"/>
      <c r="G26" s="6"/>
      <c r="H26" s="8"/>
    </row>
    <row r="27" spans="2:11" x14ac:dyDescent="0.25">
      <c r="B27" s="2"/>
      <c r="C27" s="3"/>
      <c r="D27" s="3"/>
      <c r="E27" s="3"/>
      <c r="F27" s="3" t="s">
        <v>5</v>
      </c>
      <c r="G27" s="3"/>
      <c r="H27" s="4"/>
      <c r="K27" s="14"/>
    </row>
    <row r="28" spans="2:11" x14ac:dyDescent="0.25">
      <c r="B28" s="56" t="s">
        <v>462</v>
      </c>
      <c r="C28" s="57" t="s">
        <v>397</v>
      </c>
      <c r="D28" s="41"/>
      <c r="E28" s="58" t="s">
        <v>398</v>
      </c>
      <c r="F28" s="57" t="s">
        <v>284</v>
      </c>
      <c r="G28" s="6"/>
      <c r="H28" s="8"/>
      <c r="J28" s="1" t="s">
        <v>20</v>
      </c>
      <c r="K28" s="14"/>
    </row>
    <row r="29" spans="2:11" x14ac:dyDescent="0.25">
      <c r="B29" s="56" t="s">
        <v>444</v>
      </c>
      <c r="C29" s="57" t="s">
        <v>445</v>
      </c>
      <c r="D29" s="58" t="s">
        <v>446</v>
      </c>
      <c r="E29" s="58" t="s">
        <v>447</v>
      </c>
      <c r="F29" s="57" t="s">
        <v>64</v>
      </c>
      <c r="G29" s="6"/>
      <c r="H29" s="8"/>
    </row>
    <row r="30" spans="2:11" x14ac:dyDescent="0.25">
      <c r="B30" s="56" t="s">
        <v>448</v>
      </c>
      <c r="C30" s="57" t="s">
        <v>497</v>
      </c>
      <c r="D30" s="58"/>
      <c r="E30" s="58" t="s">
        <v>449</v>
      </c>
      <c r="F30" s="57"/>
      <c r="G30" s="6"/>
      <c r="H30" s="8"/>
    </row>
    <row r="31" spans="2:11" x14ac:dyDescent="0.25">
      <c r="B31" s="56" t="s">
        <v>517</v>
      </c>
      <c r="C31" s="57" t="s">
        <v>518</v>
      </c>
      <c r="D31" s="58"/>
      <c r="E31" s="58" t="s">
        <v>519</v>
      </c>
      <c r="F31" s="57"/>
      <c r="G31" s="6"/>
      <c r="H31" s="8"/>
    </row>
    <row r="32" spans="2:11" x14ac:dyDescent="0.25">
      <c r="B32" s="56" t="s">
        <v>498</v>
      </c>
      <c r="C32" s="57" t="s">
        <v>499</v>
      </c>
      <c r="D32" s="58"/>
      <c r="E32" s="58" t="s">
        <v>500</v>
      </c>
      <c r="F32" s="57"/>
      <c r="G32" s="6"/>
      <c r="H32" s="8"/>
    </row>
    <row r="33" spans="2:8" x14ac:dyDescent="0.25">
      <c r="B33" s="56" t="s">
        <v>515</v>
      </c>
      <c r="C33" s="57" t="s">
        <v>195</v>
      </c>
      <c r="D33" s="58" t="s">
        <v>511</v>
      </c>
      <c r="E33" s="58" t="s">
        <v>516</v>
      </c>
      <c r="F33" s="57" t="s">
        <v>176</v>
      </c>
      <c r="G33" s="6"/>
      <c r="H33" s="8"/>
    </row>
    <row r="34" spans="2:8" x14ac:dyDescent="0.25">
      <c r="B34" s="56" t="s">
        <v>520</v>
      </c>
      <c r="C34" s="57" t="s">
        <v>452</v>
      </c>
      <c r="D34" s="58"/>
      <c r="E34" s="58" t="s">
        <v>452</v>
      </c>
      <c r="F34" s="57"/>
      <c r="G34" s="6"/>
      <c r="H34" s="8"/>
    </row>
    <row r="35" spans="2:8" x14ac:dyDescent="0.25">
      <c r="B35" s="56" t="s">
        <v>504</v>
      </c>
      <c r="C35" s="57" t="s">
        <v>85</v>
      </c>
      <c r="D35" s="58" t="s">
        <v>502</v>
      </c>
      <c r="E35" s="58" t="s">
        <v>505</v>
      </c>
      <c r="F35" s="57" t="s">
        <v>165</v>
      </c>
      <c r="G35" s="6"/>
      <c r="H35" s="8"/>
    </row>
    <row r="36" spans="2:8" x14ac:dyDescent="0.25">
      <c r="B36" s="56" t="s">
        <v>501</v>
      </c>
      <c r="C36" s="57" t="s">
        <v>85</v>
      </c>
      <c r="D36" s="58" t="s">
        <v>502</v>
      </c>
      <c r="E36" s="58" t="s">
        <v>503</v>
      </c>
      <c r="F36" s="57" t="s">
        <v>165</v>
      </c>
      <c r="G36" s="6"/>
      <c r="H36" s="8"/>
    </row>
    <row r="37" spans="2:8" x14ac:dyDescent="0.25">
      <c r="B37" s="56" t="s">
        <v>450</v>
      </c>
      <c r="C37" s="57" t="s">
        <v>514</v>
      </c>
      <c r="D37" s="58">
        <v>1</v>
      </c>
      <c r="E37" s="58" t="s">
        <v>449</v>
      </c>
      <c r="F37" s="57" t="s">
        <v>176</v>
      </c>
      <c r="G37" s="6"/>
      <c r="H37" s="8"/>
    </row>
    <row r="38" spans="2:8" x14ac:dyDescent="0.25">
      <c r="B38" s="56" t="s">
        <v>506</v>
      </c>
      <c r="C38" s="57" t="s">
        <v>507</v>
      </c>
      <c r="D38" s="58" t="s">
        <v>508</v>
      </c>
      <c r="E38" s="58" t="s">
        <v>509</v>
      </c>
      <c r="F38" s="57" t="s">
        <v>165</v>
      </c>
      <c r="G38" s="6"/>
      <c r="H38" s="8"/>
    </row>
    <row r="39" spans="2:8" x14ac:dyDescent="0.25">
      <c r="B39" s="56" t="s">
        <v>510</v>
      </c>
      <c r="C39" s="57" t="s">
        <v>512</v>
      </c>
      <c r="D39" s="58" t="s">
        <v>511</v>
      </c>
      <c r="E39" s="58" t="s">
        <v>513</v>
      </c>
      <c r="F39" s="57" t="s">
        <v>165</v>
      </c>
      <c r="G39" s="6"/>
      <c r="H39" s="8"/>
    </row>
    <row r="40" spans="2:8" x14ac:dyDescent="0.25">
      <c r="B40" s="56" t="s">
        <v>521</v>
      </c>
      <c r="C40" s="57" t="s">
        <v>522</v>
      </c>
      <c r="D40" s="58">
        <v>1</v>
      </c>
      <c r="E40" s="58" t="s">
        <v>523</v>
      </c>
      <c r="F40" s="57"/>
      <c r="G40" s="6"/>
      <c r="H40" s="8"/>
    </row>
    <row r="41" spans="2:8" x14ac:dyDescent="0.25">
      <c r="B41" s="56" t="s">
        <v>524</v>
      </c>
      <c r="C41" s="57" t="s">
        <v>130</v>
      </c>
      <c r="D41" s="58"/>
      <c r="E41" s="58" t="s">
        <v>525</v>
      </c>
      <c r="F41" s="57"/>
      <c r="G41" s="6"/>
      <c r="H41" s="8"/>
    </row>
    <row r="42" spans="2:8" x14ac:dyDescent="0.25">
      <c r="B42" s="56" t="s">
        <v>526</v>
      </c>
      <c r="C42" s="57" t="s">
        <v>528</v>
      </c>
      <c r="D42" s="58"/>
      <c r="E42" s="58" t="s">
        <v>527</v>
      </c>
      <c r="F42" s="57"/>
      <c r="G42" s="6"/>
      <c r="H42" s="8"/>
    </row>
    <row r="43" spans="2:8" x14ac:dyDescent="0.25">
      <c r="B43" s="56" t="s">
        <v>531</v>
      </c>
      <c r="C43" s="57" t="s">
        <v>522</v>
      </c>
      <c r="D43" s="58"/>
      <c r="E43" s="58" t="s">
        <v>532</v>
      </c>
      <c r="F43" s="57"/>
      <c r="G43" s="6"/>
      <c r="H43" s="8"/>
    </row>
    <row r="44" spans="2:8" x14ac:dyDescent="0.25">
      <c r="B44" s="56" t="s">
        <v>529</v>
      </c>
      <c r="C44" s="57" t="s">
        <v>522</v>
      </c>
      <c r="D44" s="58"/>
      <c r="E44" s="58" t="s">
        <v>530</v>
      </c>
      <c r="F44" s="57"/>
      <c r="G44" s="6"/>
      <c r="H44" s="8"/>
    </row>
    <row r="45" spans="2:8" x14ac:dyDescent="0.25">
      <c r="B45" s="56" t="s">
        <v>533</v>
      </c>
      <c r="C45" s="57" t="s">
        <v>522</v>
      </c>
      <c r="D45" s="58"/>
      <c r="E45" s="58" t="s">
        <v>534</v>
      </c>
      <c r="F45" s="57"/>
      <c r="G45" s="6"/>
      <c r="H45" s="8"/>
    </row>
    <row r="46" spans="2:8" x14ac:dyDescent="0.25">
      <c r="B46" s="56" t="s">
        <v>440</v>
      </c>
      <c r="C46" s="57" t="s">
        <v>442</v>
      </c>
      <c r="D46" s="58" t="s">
        <v>441</v>
      </c>
      <c r="E46" s="58" t="s">
        <v>443</v>
      </c>
      <c r="F46" s="57" t="s">
        <v>64</v>
      </c>
      <c r="G46" s="6"/>
      <c r="H46" s="8"/>
    </row>
    <row r="47" spans="2:8" x14ac:dyDescent="0.25">
      <c r="B47" s="63" t="s">
        <v>494</v>
      </c>
      <c r="C47" s="64" t="s">
        <v>495</v>
      </c>
      <c r="D47" s="10">
        <v>1</v>
      </c>
      <c r="E47" s="65" t="s">
        <v>496</v>
      </c>
      <c r="F47" s="29"/>
      <c r="G47" s="9"/>
      <c r="H47" s="11"/>
    </row>
    <row r="49" spans="6:6" ht="13" x14ac:dyDescent="0.3">
      <c r="F49" s="19" t="s">
        <v>83</v>
      </c>
    </row>
    <row r="50" spans="6:6" ht="13" x14ac:dyDescent="0.3">
      <c r="F50" s="19" t="s">
        <v>84</v>
      </c>
    </row>
    <row r="51" spans="6:6" ht="13" x14ac:dyDescent="0.3">
      <c r="F51" s="19" t="s">
        <v>285</v>
      </c>
    </row>
    <row r="52" spans="6:6" ht="13" x14ac:dyDescent="0.3">
      <c r="F52" s="19" t="s">
        <v>290</v>
      </c>
    </row>
  </sheetData>
  <phoneticPr fontId="3" type="noConversion"/>
  <hyperlinks>
    <hyperlink ref="B26" location="'SYR-322'!A1" display="SYR-322 (alogliptin)" xr:uid="{00000000-0004-0000-0100-000000000000}"/>
    <hyperlink ref="B3" location="Prevacid!A1" display="Prevacid/Takepron" xr:uid="{00000000-0004-0000-0100-000001000000}"/>
    <hyperlink ref="B8" location="Lupron!A1" display="Lupron" xr:uid="{00000000-0004-0000-0100-000002000000}"/>
    <hyperlink ref="B15" location="Dexilant!A1" display="Dexilant" xr:uid="{00000000-0004-0000-0100-000003000000}"/>
    <hyperlink ref="B7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153"/>
  <sheetViews>
    <sheetView tabSelected="1" zoomScale="145" zoomScaleNormal="145" workbookViewId="0">
      <pane xSplit="2" ySplit="3" topLeftCell="CB87" activePane="bottomRight" state="frozen"/>
      <selection pane="topRight" activeCell="C1" sqref="C1"/>
      <selection pane="bottomLeft" activeCell="A5" sqref="A5"/>
      <selection pane="bottomRight" activeCell="CH94" sqref="CH94"/>
    </sheetView>
  </sheetViews>
  <sheetFormatPr defaultColWidth="9.1796875" defaultRowHeight="12.5" x14ac:dyDescent="0.25"/>
  <cols>
    <col min="1" max="1" width="5" style="1" bestFit="1" customWidth="1"/>
    <col min="2" max="2" width="18.54296875" style="1" customWidth="1"/>
    <col min="3" max="41" width="9.1796875" style="30"/>
    <col min="42" max="49" width="8.81640625" style="30" hidden="1" customWidth="1"/>
    <col min="50" max="68" width="8.81640625" style="30" customWidth="1"/>
    <col min="69" max="76" width="9.54296875" style="30" customWidth="1"/>
    <col min="77" max="85" width="9.453125" style="30" customWidth="1"/>
    <col min="86" max="89" width="8.81640625" style="30" customWidth="1"/>
    <col min="90" max="95" width="9.7265625" style="30" customWidth="1"/>
    <col min="96" max="96" width="8.81640625" style="30" customWidth="1"/>
    <col min="97" max="98" width="9.7265625" style="30" customWidth="1"/>
    <col min="99" max="101" width="9.7265625" style="1" customWidth="1"/>
    <col min="102" max="106" width="10.54296875" style="1" customWidth="1"/>
    <col min="107" max="16384" width="9.1796875" style="1"/>
  </cols>
  <sheetData>
    <row r="1" spans="1:118" x14ac:dyDescent="0.25">
      <c r="A1" s="13" t="s">
        <v>10</v>
      </c>
      <c r="CB1" s="30">
        <v>144</v>
      </c>
      <c r="CF1" s="30">
        <v>152</v>
      </c>
    </row>
    <row r="2" spans="1:118" x14ac:dyDescent="0.25">
      <c r="F2" s="30" t="s">
        <v>235</v>
      </c>
      <c r="G2" s="30" t="s">
        <v>234</v>
      </c>
      <c r="H2" s="30" t="s">
        <v>233</v>
      </c>
      <c r="I2" s="30" t="s">
        <v>232</v>
      </c>
      <c r="J2" s="30" t="s">
        <v>215</v>
      </c>
      <c r="K2" s="30" t="s">
        <v>216</v>
      </c>
      <c r="L2" s="30" t="s">
        <v>217</v>
      </c>
      <c r="M2" s="30" t="s">
        <v>218</v>
      </c>
      <c r="N2" s="30" t="s">
        <v>214</v>
      </c>
      <c r="O2" s="30" t="s">
        <v>213</v>
      </c>
      <c r="P2" s="30" t="s">
        <v>212</v>
      </c>
      <c r="Q2" s="30" t="s">
        <v>211</v>
      </c>
      <c r="R2" s="30" t="s">
        <v>188</v>
      </c>
      <c r="S2" s="30" t="s">
        <v>187</v>
      </c>
      <c r="T2" s="30" t="s">
        <v>198</v>
      </c>
      <c r="U2" s="30" t="s">
        <v>199</v>
      </c>
      <c r="V2" s="30" t="s">
        <v>249</v>
      </c>
      <c r="W2" s="30" t="s">
        <v>250</v>
      </c>
      <c r="X2" s="30" t="s">
        <v>251</v>
      </c>
      <c r="Y2" s="30" t="s">
        <v>252</v>
      </c>
      <c r="Z2" s="30" t="s">
        <v>295</v>
      </c>
      <c r="AA2" s="30" t="s">
        <v>296</v>
      </c>
      <c r="AB2" s="30" t="s">
        <v>297</v>
      </c>
      <c r="AC2" s="30" t="s">
        <v>298</v>
      </c>
      <c r="AD2" s="30" t="s">
        <v>299</v>
      </c>
      <c r="AE2" s="30" t="s">
        <v>300</v>
      </c>
      <c r="AF2" s="30" t="s">
        <v>301</v>
      </c>
      <c r="AG2" s="30" t="s">
        <v>302</v>
      </c>
      <c r="AH2" s="30" t="s">
        <v>303</v>
      </c>
      <c r="AI2" s="30" t="s">
        <v>304</v>
      </c>
      <c r="AJ2" s="30" t="s">
        <v>305</v>
      </c>
      <c r="AK2" s="30" t="s">
        <v>306</v>
      </c>
      <c r="AL2" s="30" t="s">
        <v>307</v>
      </c>
      <c r="AM2" s="30" t="s">
        <v>308</v>
      </c>
      <c r="AN2" s="30" t="s">
        <v>309</v>
      </c>
      <c r="AO2" s="30" t="s">
        <v>310</v>
      </c>
      <c r="AX2" s="30" t="s">
        <v>311</v>
      </c>
      <c r="AY2" s="30" t="s">
        <v>312</v>
      </c>
      <c r="AZ2" s="30" t="s">
        <v>313</v>
      </c>
      <c r="BA2" s="30" t="s">
        <v>314</v>
      </c>
      <c r="BB2" s="30" t="s">
        <v>315</v>
      </c>
      <c r="BC2" s="30" t="s">
        <v>316</v>
      </c>
      <c r="BD2" s="30" t="s">
        <v>317</v>
      </c>
      <c r="BE2" s="30" t="s">
        <v>318</v>
      </c>
      <c r="BF2" s="30" t="s">
        <v>319</v>
      </c>
      <c r="BG2" s="30" t="s">
        <v>320</v>
      </c>
      <c r="BH2" s="30" t="s">
        <v>321</v>
      </c>
      <c r="BI2" s="30" t="s">
        <v>322</v>
      </c>
      <c r="BJ2" s="30" t="s">
        <v>323</v>
      </c>
      <c r="BK2" s="30" t="s">
        <v>324</v>
      </c>
      <c r="BL2" s="30" t="s">
        <v>325</v>
      </c>
      <c r="BM2" s="30" t="s">
        <v>326</v>
      </c>
      <c r="BN2" s="30" t="s">
        <v>327</v>
      </c>
      <c r="BO2" s="30" t="s">
        <v>328</v>
      </c>
      <c r="BP2" s="30" t="s">
        <v>329</v>
      </c>
      <c r="BQ2" s="30" t="s">
        <v>330</v>
      </c>
      <c r="BR2" s="30" t="s">
        <v>331</v>
      </c>
      <c r="BS2" s="30" t="s">
        <v>332</v>
      </c>
      <c r="BT2" s="30" t="s">
        <v>333</v>
      </c>
      <c r="BU2" s="30" t="s">
        <v>334</v>
      </c>
      <c r="BV2" s="30" t="s">
        <v>335</v>
      </c>
      <c r="BW2" s="30" t="s">
        <v>294</v>
      </c>
      <c r="BX2" s="30" t="s">
        <v>336</v>
      </c>
      <c r="BY2" s="30" t="s">
        <v>337</v>
      </c>
      <c r="BZ2" s="30" t="s">
        <v>339</v>
      </c>
      <c r="CA2" s="30" t="s">
        <v>340</v>
      </c>
      <c r="CB2" s="30" t="s">
        <v>341</v>
      </c>
      <c r="CC2" s="30" t="s">
        <v>342</v>
      </c>
      <c r="CD2" s="53" t="s">
        <v>538</v>
      </c>
      <c r="CE2" s="53" t="s">
        <v>537</v>
      </c>
      <c r="CF2" s="53" t="s">
        <v>539</v>
      </c>
      <c r="CG2" s="53" t="s">
        <v>540</v>
      </c>
      <c r="CH2" s="30">
        <v>2023</v>
      </c>
      <c r="CI2" s="30">
        <v>2024</v>
      </c>
      <c r="CL2" s="30" t="s">
        <v>242</v>
      </c>
      <c r="CM2" s="30" t="s">
        <v>241</v>
      </c>
      <c r="CN2" s="24" t="s">
        <v>224</v>
      </c>
      <c r="CO2" s="24" t="s">
        <v>225</v>
      </c>
      <c r="CP2" s="24" t="s">
        <v>226</v>
      </c>
      <c r="CQ2" s="24" t="s">
        <v>227</v>
      </c>
      <c r="CR2" s="24" t="s">
        <v>228</v>
      </c>
      <c r="CS2" s="24" t="s">
        <v>229</v>
      </c>
      <c r="CT2" s="53" t="s">
        <v>405</v>
      </c>
      <c r="CU2" s="24" t="s">
        <v>406</v>
      </c>
      <c r="CV2" s="24" t="s">
        <v>407</v>
      </c>
      <c r="CW2" s="24" t="s">
        <v>408</v>
      </c>
      <c r="CX2" s="24" t="s">
        <v>409</v>
      </c>
      <c r="CY2" s="24" t="s">
        <v>410</v>
      </c>
      <c r="CZ2" s="24" t="s">
        <v>411</v>
      </c>
      <c r="DA2" s="24" t="s">
        <v>412</v>
      </c>
      <c r="DB2" s="24" t="s">
        <v>413</v>
      </c>
      <c r="DC2" s="24" t="s">
        <v>414</v>
      </c>
      <c r="DD2" s="24" t="s">
        <v>415</v>
      </c>
      <c r="DE2" s="24" t="s">
        <v>416</v>
      </c>
      <c r="DF2" s="24" t="s">
        <v>417</v>
      </c>
      <c r="DG2" s="24" t="s">
        <v>418</v>
      </c>
      <c r="DH2" s="24" t="s">
        <v>419</v>
      </c>
      <c r="DI2" s="24" t="s">
        <v>420</v>
      </c>
      <c r="DJ2" s="24" t="s">
        <v>421</v>
      </c>
      <c r="DK2" s="24" t="s">
        <v>422</v>
      </c>
      <c r="DL2" s="24" t="s">
        <v>423</v>
      </c>
      <c r="DM2" s="24" t="s">
        <v>424</v>
      </c>
      <c r="DN2" s="24" t="s">
        <v>425</v>
      </c>
    </row>
    <row r="3" spans="1:118" x14ac:dyDescent="0.25">
      <c r="C3" s="31">
        <v>38961</v>
      </c>
      <c r="D3" s="44">
        <v>39052</v>
      </c>
      <c r="E3" s="44">
        <v>39142</v>
      </c>
      <c r="F3" s="31">
        <v>39263</v>
      </c>
      <c r="G3" s="31">
        <v>39326</v>
      </c>
      <c r="H3" s="31">
        <v>39417</v>
      </c>
      <c r="I3" s="31">
        <v>39508</v>
      </c>
      <c r="J3" s="31">
        <v>39629</v>
      </c>
      <c r="K3" s="31">
        <v>39692</v>
      </c>
      <c r="L3" s="31">
        <v>39783</v>
      </c>
      <c r="M3" s="31">
        <v>39873</v>
      </c>
      <c r="N3" s="31">
        <v>39994</v>
      </c>
      <c r="O3" s="31">
        <v>40086</v>
      </c>
      <c r="P3" s="31">
        <v>40148</v>
      </c>
      <c r="Q3" s="31">
        <v>40238</v>
      </c>
      <c r="R3" s="31">
        <v>40330</v>
      </c>
      <c r="S3" s="31">
        <v>40451</v>
      </c>
      <c r="T3" s="31">
        <v>40513</v>
      </c>
      <c r="U3" s="31">
        <v>40633</v>
      </c>
      <c r="V3" s="31">
        <v>40705</v>
      </c>
      <c r="W3" s="31">
        <v>40797</v>
      </c>
      <c r="X3" s="31">
        <v>40888</v>
      </c>
      <c r="Y3" s="31">
        <v>40980</v>
      </c>
      <c r="Z3" s="31">
        <v>41090</v>
      </c>
      <c r="AA3" s="31">
        <v>41182</v>
      </c>
      <c r="AB3" s="31">
        <v>41274</v>
      </c>
      <c r="AC3" s="31">
        <v>41364</v>
      </c>
      <c r="AD3" s="31">
        <v>41455</v>
      </c>
      <c r="AE3" s="31">
        <v>41547</v>
      </c>
      <c r="AF3" s="31">
        <v>41639</v>
      </c>
      <c r="AG3" s="31">
        <v>41729</v>
      </c>
      <c r="AH3" s="31">
        <v>41820</v>
      </c>
      <c r="AI3" s="31">
        <v>41912</v>
      </c>
      <c r="AJ3" s="31">
        <v>42004</v>
      </c>
      <c r="AK3" s="31">
        <v>42094</v>
      </c>
      <c r="AL3" s="31">
        <v>42185</v>
      </c>
      <c r="AM3" s="31">
        <v>42277</v>
      </c>
      <c r="AN3" s="31">
        <v>42369</v>
      </c>
      <c r="AO3" s="31">
        <v>42460</v>
      </c>
      <c r="AP3" s="31">
        <v>36951</v>
      </c>
      <c r="AQ3" s="31">
        <v>37316</v>
      </c>
      <c r="AR3" s="31">
        <v>37681</v>
      </c>
      <c r="AS3" s="31">
        <v>38047</v>
      </c>
      <c r="AT3" s="31">
        <v>38412</v>
      </c>
      <c r="AU3" s="31">
        <v>38777</v>
      </c>
      <c r="AV3" s="31">
        <v>39142</v>
      </c>
      <c r="AW3" s="31">
        <v>39508</v>
      </c>
      <c r="AX3" s="31">
        <v>42551</v>
      </c>
      <c r="AY3" s="31">
        <v>42643</v>
      </c>
      <c r="AZ3" s="31">
        <v>42735</v>
      </c>
      <c r="BA3" s="31">
        <v>42825</v>
      </c>
      <c r="BB3" s="31">
        <v>42916</v>
      </c>
      <c r="BC3" s="31">
        <v>43008</v>
      </c>
      <c r="BD3" s="31">
        <v>43100</v>
      </c>
      <c r="BE3" s="31">
        <v>43190</v>
      </c>
      <c r="BF3" s="31">
        <v>43281</v>
      </c>
      <c r="BG3" s="31">
        <v>43373</v>
      </c>
      <c r="BH3" s="31">
        <v>43465</v>
      </c>
      <c r="BI3" s="31">
        <v>43555</v>
      </c>
      <c r="BJ3" s="31">
        <v>43646</v>
      </c>
      <c r="BK3" s="31">
        <v>43738</v>
      </c>
      <c r="BL3" s="31">
        <v>43830</v>
      </c>
      <c r="BM3" s="31">
        <v>43921</v>
      </c>
      <c r="BN3" s="31">
        <v>44012</v>
      </c>
      <c r="BO3" s="31">
        <v>44104</v>
      </c>
      <c r="BP3" s="31">
        <v>44196</v>
      </c>
      <c r="BQ3" s="31">
        <v>44286</v>
      </c>
      <c r="BR3" s="31">
        <v>44377</v>
      </c>
      <c r="BS3" s="31">
        <v>44469</v>
      </c>
      <c r="BT3" s="31">
        <v>44561</v>
      </c>
      <c r="BU3" s="31">
        <v>44651</v>
      </c>
      <c r="BV3" s="31">
        <v>44742</v>
      </c>
      <c r="BW3" s="31">
        <v>44834</v>
      </c>
      <c r="BX3" s="31">
        <v>44926</v>
      </c>
      <c r="BY3" s="31">
        <v>45016</v>
      </c>
      <c r="BZ3" s="31">
        <v>45107</v>
      </c>
      <c r="CA3" s="31">
        <v>45199</v>
      </c>
      <c r="CB3" s="31">
        <v>45291</v>
      </c>
      <c r="CC3" s="31">
        <v>45382</v>
      </c>
      <c r="CD3" s="31">
        <v>45473</v>
      </c>
      <c r="CE3" s="31">
        <v>45565</v>
      </c>
      <c r="CF3" s="31">
        <v>45657</v>
      </c>
      <c r="CG3" s="31">
        <v>45747</v>
      </c>
      <c r="CH3" s="31"/>
      <c r="CI3" s="31"/>
      <c r="CJ3" s="31"/>
      <c r="CK3" s="31"/>
      <c r="CL3" s="31">
        <v>39873</v>
      </c>
      <c r="CM3" s="31">
        <v>40238</v>
      </c>
      <c r="CN3" s="31">
        <v>40603</v>
      </c>
      <c r="CO3" s="31">
        <v>40969</v>
      </c>
      <c r="CP3" s="31">
        <v>41334</v>
      </c>
      <c r="CQ3" s="31">
        <v>41699</v>
      </c>
      <c r="CR3" s="31">
        <v>42065</v>
      </c>
      <c r="CS3" s="31">
        <v>42432</v>
      </c>
      <c r="CT3" s="31">
        <v>42795</v>
      </c>
      <c r="CU3" s="31">
        <v>43161</v>
      </c>
      <c r="CV3" s="31">
        <v>43527</v>
      </c>
      <c r="CW3" s="31">
        <v>43921</v>
      </c>
      <c r="CX3" s="31">
        <v>44286</v>
      </c>
      <c r="CY3" s="31">
        <v>44651</v>
      </c>
      <c r="CZ3" s="31">
        <v>45016</v>
      </c>
      <c r="DA3" s="31">
        <v>45382</v>
      </c>
      <c r="DB3" s="31">
        <v>45747</v>
      </c>
      <c r="DC3" s="31">
        <v>46112</v>
      </c>
      <c r="DD3" s="31">
        <v>46477</v>
      </c>
      <c r="DE3" s="31">
        <v>46843</v>
      </c>
      <c r="DF3" s="31">
        <v>47208</v>
      </c>
      <c r="DG3" s="31">
        <v>47573</v>
      </c>
      <c r="DH3" s="31">
        <v>47938</v>
      </c>
      <c r="DI3" s="31">
        <v>48304</v>
      </c>
      <c r="DJ3" s="31">
        <v>48669</v>
      </c>
      <c r="DK3" s="31">
        <v>49034</v>
      </c>
      <c r="DL3" s="31">
        <v>49399</v>
      </c>
      <c r="DM3" s="31">
        <v>49765</v>
      </c>
      <c r="DN3" s="61">
        <v>50130</v>
      </c>
    </row>
    <row r="4" spans="1:118" s="55" customFormat="1" x14ac:dyDescent="0.25">
      <c r="B4" s="55" t="s">
        <v>88</v>
      </c>
      <c r="C4" s="66">
        <f>64500-2000</f>
        <v>62500</v>
      </c>
      <c r="D4" s="53"/>
      <c r="E4" s="53"/>
      <c r="F4" s="66">
        <v>33800</v>
      </c>
      <c r="G4" s="66">
        <f>64500-F4</f>
        <v>30700</v>
      </c>
      <c r="H4" s="66">
        <f>95000-G4-F4</f>
        <v>30500</v>
      </c>
      <c r="I4" s="66"/>
      <c r="J4" s="66">
        <f t="shared" ref="J4:U4" si="0">SUM(J5:J8)</f>
        <v>32700</v>
      </c>
      <c r="K4" s="66">
        <f t="shared" si="0"/>
        <v>32300</v>
      </c>
      <c r="L4" s="66">
        <f t="shared" si="0"/>
        <v>32900</v>
      </c>
      <c r="M4" s="66">
        <f t="shared" si="0"/>
        <v>28200</v>
      </c>
      <c r="N4" s="66">
        <f t="shared" si="0"/>
        <v>30200</v>
      </c>
      <c r="O4" s="66">
        <f t="shared" si="0"/>
        <v>29100</v>
      </c>
      <c r="P4" s="66">
        <f t="shared" si="0"/>
        <v>33500</v>
      </c>
      <c r="Q4" s="66">
        <f t="shared" si="0"/>
        <v>29400</v>
      </c>
      <c r="R4" s="66">
        <f t="shared" si="0"/>
        <v>27900</v>
      </c>
      <c r="S4" s="66">
        <f t="shared" si="0"/>
        <v>28100</v>
      </c>
      <c r="T4" s="66">
        <f t="shared" si="0"/>
        <v>32200</v>
      </c>
      <c r="U4" s="66">
        <f t="shared" si="0"/>
        <v>29400</v>
      </c>
      <c r="V4" s="66">
        <f>SUM(V5:V8)</f>
        <v>27900</v>
      </c>
      <c r="W4" s="66">
        <f>SUM(W5:W8)</f>
        <v>28100</v>
      </c>
      <c r="X4" s="66">
        <f>SUM(X5:X8)</f>
        <v>32200</v>
      </c>
      <c r="Y4" s="66">
        <f>SUM(Y5:Y8)</f>
        <v>29400</v>
      </c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53"/>
      <c r="AP4" s="66">
        <v>155</v>
      </c>
      <c r="AQ4" s="66">
        <v>180</v>
      </c>
      <c r="AR4" s="66">
        <v>194</v>
      </c>
      <c r="AS4" s="66">
        <v>181</v>
      </c>
      <c r="AT4" s="66"/>
      <c r="AU4" s="66">
        <f>AV4-5200</f>
        <v>122300</v>
      </c>
      <c r="AV4" s="66">
        <v>127500</v>
      </c>
      <c r="AW4" s="66">
        <f>AV4</f>
        <v>127500</v>
      </c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>
        <v>26200</v>
      </c>
      <c r="BS4" s="66">
        <v>27600</v>
      </c>
      <c r="BT4" s="66">
        <v>28400</v>
      </c>
      <c r="BU4" s="66">
        <v>24200</v>
      </c>
      <c r="BV4" s="66">
        <v>28000</v>
      </c>
      <c r="BW4" s="66">
        <v>25700</v>
      </c>
      <c r="BX4" s="66">
        <v>31500</v>
      </c>
      <c r="BY4" s="66">
        <v>26100</v>
      </c>
      <c r="BZ4" s="34">
        <v>24600</v>
      </c>
      <c r="CA4" s="34">
        <v>24200</v>
      </c>
      <c r="CB4" s="34">
        <v>30900</v>
      </c>
      <c r="CC4" s="34">
        <v>27700</v>
      </c>
      <c r="CD4" s="34">
        <v>29400</v>
      </c>
      <c r="CE4" s="34"/>
      <c r="CF4" s="34"/>
      <c r="CG4" s="34"/>
      <c r="CH4" s="66"/>
      <c r="CI4" s="66"/>
      <c r="CJ4" s="66"/>
      <c r="CK4" s="66"/>
      <c r="CL4" s="66">
        <f>SUM(J4:M4)</f>
        <v>126100</v>
      </c>
      <c r="CM4" s="66">
        <f t="shared" ref="CM4:CM10" si="1">SUM(N4:Q4)</f>
        <v>122200</v>
      </c>
      <c r="CN4" s="66">
        <f>SUM(R4:U4)</f>
        <v>117600</v>
      </c>
      <c r="CO4" s="66">
        <f>SUM(CO5:CO8)</f>
        <v>117600</v>
      </c>
      <c r="CP4" s="66">
        <f>CO4*0.9</f>
        <v>105840</v>
      </c>
      <c r="CQ4" s="66">
        <f>CP4*0.9</f>
        <v>95256</v>
      </c>
      <c r="CR4" s="53"/>
      <c r="CS4" s="53"/>
      <c r="CT4" s="53"/>
      <c r="CY4" s="62">
        <f>SUM(BR4:BU4)</f>
        <v>106400</v>
      </c>
      <c r="CZ4" s="62">
        <f>SUM(BV4:BY4)</f>
        <v>111300</v>
      </c>
      <c r="DA4" s="62">
        <f>SUM(BZ4:CC4)</f>
        <v>107400</v>
      </c>
    </row>
    <row r="5" spans="1:118" x14ac:dyDescent="0.25">
      <c r="B5" s="1" t="s">
        <v>110</v>
      </c>
      <c r="C5" s="34"/>
      <c r="F5" s="34">
        <v>17500</v>
      </c>
      <c r="G5" s="34">
        <f>33300-F5</f>
        <v>15800</v>
      </c>
      <c r="H5" s="34">
        <v>18900</v>
      </c>
      <c r="I5" s="34">
        <f>66400-H5-G5-F5</f>
        <v>14200</v>
      </c>
      <c r="J5" s="34">
        <v>16500</v>
      </c>
      <c r="K5" s="34">
        <f>32900-J5</f>
        <v>16400</v>
      </c>
      <c r="L5" s="39">
        <v>18400</v>
      </c>
      <c r="M5" s="34">
        <f>66300-L5-K5-J5</f>
        <v>15000</v>
      </c>
      <c r="N5" s="34">
        <v>16400</v>
      </c>
      <c r="O5" s="34">
        <f>33800-N5</f>
        <v>17400</v>
      </c>
      <c r="P5" s="34">
        <f>53000-O5-N5</f>
        <v>19200</v>
      </c>
      <c r="Q5" s="34">
        <f>67100-P5-O5-N5</f>
        <v>14100</v>
      </c>
      <c r="R5" s="34">
        <v>16200</v>
      </c>
      <c r="S5" s="34">
        <f>32600-R5</f>
        <v>16400</v>
      </c>
      <c r="T5" s="34">
        <v>18200</v>
      </c>
      <c r="U5" s="34">
        <f t="shared" ref="U5:Y8" si="2">Q5</f>
        <v>14100</v>
      </c>
      <c r="V5" s="34">
        <f t="shared" si="2"/>
        <v>16200</v>
      </c>
      <c r="W5" s="34">
        <f t="shared" si="2"/>
        <v>16400</v>
      </c>
      <c r="X5" s="34">
        <f t="shared" si="2"/>
        <v>18200</v>
      </c>
      <c r="Y5" s="34">
        <f t="shared" si="2"/>
        <v>14100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P5" s="34"/>
      <c r="AQ5" s="34"/>
      <c r="AR5" s="34"/>
      <c r="AS5" s="34"/>
      <c r="AT5" s="34"/>
      <c r="AU5" s="34"/>
      <c r="AV5" s="34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>
        <f>SUM(J5:M5)</f>
        <v>66300</v>
      </c>
      <c r="CM5" s="39">
        <f t="shared" si="1"/>
        <v>67100</v>
      </c>
      <c r="CN5" s="39">
        <f>SUM(R5:U5)</f>
        <v>64900</v>
      </c>
      <c r="CO5" s="34">
        <f>SUM(V5:Y5)</f>
        <v>64900</v>
      </c>
      <c r="CP5" s="34"/>
      <c r="CQ5" s="34"/>
    </row>
    <row r="6" spans="1:118" x14ac:dyDescent="0.25">
      <c r="B6" s="1" t="s">
        <v>112</v>
      </c>
      <c r="C6" s="34"/>
      <c r="F6" s="34">
        <v>19100</v>
      </c>
      <c r="G6" s="34">
        <f>37300-F6</f>
        <v>18200</v>
      </c>
      <c r="H6" s="34">
        <v>19700</v>
      </c>
      <c r="I6" s="34"/>
      <c r="J6" s="34">
        <v>4400</v>
      </c>
      <c r="K6" s="34">
        <f>9700-J6</f>
        <v>5300</v>
      </c>
      <c r="L6" s="34">
        <v>3700</v>
      </c>
      <c r="M6" s="34">
        <f>17200-L6-K6-J6</f>
        <v>3800</v>
      </c>
      <c r="N6" s="34">
        <v>4000</v>
      </c>
      <c r="O6" s="34">
        <f>6700-N6</f>
        <v>2700</v>
      </c>
      <c r="P6" s="34">
        <f>10300-O6-N6</f>
        <v>3600</v>
      </c>
      <c r="Q6" s="34">
        <f>15800-P6-O6-N6</f>
        <v>5500</v>
      </c>
      <c r="R6" s="34">
        <v>2600</v>
      </c>
      <c r="S6" s="34">
        <f>5700-R6</f>
        <v>3100</v>
      </c>
      <c r="T6" s="34">
        <v>5000</v>
      </c>
      <c r="U6" s="34">
        <f t="shared" si="2"/>
        <v>5500</v>
      </c>
      <c r="V6" s="34">
        <f t="shared" si="2"/>
        <v>2600</v>
      </c>
      <c r="W6" s="34">
        <f t="shared" si="2"/>
        <v>3100</v>
      </c>
      <c r="X6" s="34">
        <f t="shared" si="2"/>
        <v>5000</v>
      </c>
      <c r="Y6" s="34">
        <f t="shared" si="2"/>
        <v>5500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P6" s="34"/>
      <c r="AQ6" s="34"/>
      <c r="AR6" s="34"/>
      <c r="AS6" s="34"/>
      <c r="AT6" s="34"/>
      <c r="AU6" s="34"/>
      <c r="AV6" s="34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>
        <f>SUM(J6:M6)</f>
        <v>17200</v>
      </c>
      <c r="CM6" s="39">
        <f t="shared" si="1"/>
        <v>15800</v>
      </c>
      <c r="CN6" s="39">
        <f>SUM(R6:U6)</f>
        <v>16200</v>
      </c>
      <c r="CO6" s="34">
        <f>SUM(V6:Y6)</f>
        <v>16200</v>
      </c>
      <c r="CP6" s="34"/>
      <c r="CQ6" s="34"/>
    </row>
    <row r="7" spans="1:118" x14ac:dyDescent="0.25">
      <c r="B7" s="1" t="s">
        <v>113</v>
      </c>
      <c r="C7" s="34"/>
      <c r="F7" s="34">
        <v>9900</v>
      </c>
      <c r="G7" s="34">
        <f>20200-F7</f>
        <v>10300</v>
      </c>
      <c r="H7" s="34">
        <v>10200</v>
      </c>
      <c r="I7" s="34"/>
      <c r="J7" s="34">
        <v>11100</v>
      </c>
      <c r="K7" s="34">
        <f>21100-J7</f>
        <v>10000</v>
      </c>
      <c r="L7" s="34">
        <v>10000</v>
      </c>
      <c r="M7" s="34">
        <f>39800-L7-K7-J7</f>
        <v>8700</v>
      </c>
      <c r="N7" s="34">
        <v>9000</v>
      </c>
      <c r="O7" s="34">
        <f>17200-N7</f>
        <v>8200</v>
      </c>
      <c r="P7" s="34">
        <f>27100-O7-N7</f>
        <v>9900</v>
      </c>
      <c r="Q7" s="34">
        <f>36200-P7-O7-N7</f>
        <v>9100</v>
      </c>
      <c r="R7" s="34">
        <v>8000</v>
      </c>
      <c r="S7" s="34">
        <f>15500-R7</f>
        <v>7500</v>
      </c>
      <c r="T7" s="34">
        <v>7700</v>
      </c>
      <c r="U7" s="34">
        <f t="shared" si="2"/>
        <v>9100</v>
      </c>
      <c r="V7" s="34">
        <f t="shared" si="2"/>
        <v>8000</v>
      </c>
      <c r="W7" s="34">
        <f t="shared" si="2"/>
        <v>7500</v>
      </c>
      <c r="X7" s="34">
        <f t="shared" si="2"/>
        <v>7700</v>
      </c>
      <c r="Y7" s="34">
        <f t="shared" si="2"/>
        <v>9100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P7" s="34"/>
      <c r="AQ7" s="34"/>
      <c r="AR7" s="34"/>
      <c r="AS7" s="34"/>
      <c r="AT7" s="34"/>
      <c r="AU7" s="34"/>
      <c r="AV7" s="34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>
        <f>SUM(J7:M7)</f>
        <v>39800</v>
      </c>
      <c r="CM7" s="39">
        <f t="shared" si="1"/>
        <v>36200</v>
      </c>
      <c r="CN7" s="39">
        <f>SUM(R7:U7)</f>
        <v>32300</v>
      </c>
      <c r="CO7" s="34">
        <f>SUM(V7:Y7)</f>
        <v>32300</v>
      </c>
      <c r="CP7" s="34"/>
      <c r="CQ7" s="34"/>
    </row>
    <row r="8" spans="1:118" x14ac:dyDescent="0.25">
      <c r="B8" s="1" t="s">
        <v>114</v>
      </c>
      <c r="C8" s="34"/>
      <c r="F8" s="34">
        <v>1000</v>
      </c>
      <c r="G8" s="34">
        <f>2000-F8</f>
        <v>1000</v>
      </c>
      <c r="H8" s="34">
        <v>900</v>
      </c>
      <c r="I8" s="34"/>
      <c r="J8" s="34">
        <v>700</v>
      </c>
      <c r="K8" s="34">
        <f>1300-J8</f>
        <v>600</v>
      </c>
      <c r="L8" s="34">
        <v>800</v>
      </c>
      <c r="M8" s="34">
        <f>2800-L8-K8-J8</f>
        <v>700</v>
      </c>
      <c r="N8" s="34">
        <v>800</v>
      </c>
      <c r="O8" s="34">
        <f>1600-N8</f>
        <v>800</v>
      </c>
      <c r="P8" s="34">
        <f>2400-O8-N8</f>
        <v>800</v>
      </c>
      <c r="Q8" s="34">
        <f>3100-P8-O8-N8</f>
        <v>700</v>
      </c>
      <c r="R8" s="34">
        <v>1100</v>
      </c>
      <c r="S8" s="34">
        <f>2200-R8</f>
        <v>1100</v>
      </c>
      <c r="T8" s="34">
        <v>1300</v>
      </c>
      <c r="U8" s="34">
        <f t="shared" si="2"/>
        <v>700</v>
      </c>
      <c r="V8" s="34">
        <f t="shared" si="2"/>
        <v>1100</v>
      </c>
      <c r="W8" s="34">
        <f t="shared" si="2"/>
        <v>1100</v>
      </c>
      <c r="X8" s="34">
        <f t="shared" si="2"/>
        <v>1300</v>
      </c>
      <c r="Y8" s="34">
        <f t="shared" si="2"/>
        <v>700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P8" s="34"/>
      <c r="AQ8" s="34"/>
      <c r="AR8" s="34"/>
      <c r="AS8" s="34"/>
      <c r="AT8" s="34"/>
      <c r="AU8" s="34"/>
      <c r="AV8" s="34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>
        <f>SUM(J8:M8)</f>
        <v>2800</v>
      </c>
      <c r="CM8" s="39">
        <f t="shared" si="1"/>
        <v>3100</v>
      </c>
      <c r="CN8" s="39">
        <f>SUM(R8:U8)</f>
        <v>4200</v>
      </c>
      <c r="CO8" s="34">
        <f>SUM(V8:Y8)</f>
        <v>4200</v>
      </c>
      <c r="CP8" s="34"/>
      <c r="CQ8" s="34"/>
    </row>
    <row r="9" spans="1:118" s="19" customFormat="1" ht="13" x14ac:dyDescent="0.3">
      <c r="B9" s="23" t="s">
        <v>236</v>
      </c>
      <c r="C9" s="35"/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9">
        <f>7700-R9</f>
        <v>7700</v>
      </c>
      <c r="T9" s="50">
        <v>7800</v>
      </c>
      <c r="U9" s="39">
        <v>12000</v>
      </c>
      <c r="V9" s="39">
        <f>U9</f>
        <v>12000</v>
      </c>
      <c r="W9" s="39">
        <f>V9</f>
        <v>12000</v>
      </c>
      <c r="X9" s="39">
        <f>W9</f>
        <v>12000</v>
      </c>
      <c r="Y9" s="39">
        <v>11900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6"/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>
        <v>10800</v>
      </c>
      <c r="BS9" s="39">
        <v>14900</v>
      </c>
      <c r="BT9" s="39">
        <v>14400</v>
      </c>
      <c r="BU9" s="39">
        <v>10600</v>
      </c>
      <c r="BV9" s="39">
        <v>22300</v>
      </c>
      <c r="BW9" s="39">
        <v>15700</v>
      </c>
      <c r="BX9" s="39">
        <v>17100</v>
      </c>
      <c r="BY9" s="39">
        <v>14300</v>
      </c>
      <c r="BZ9" s="34">
        <v>12000</v>
      </c>
      <c r="CA9" s="34">
        <v>11100</v>
      </c>
      <c r="CB9" s="34">
        <v>13000</v>
      </c>
      <c r="CC9" s="34">
        <v>9200</v>
      </c>
      <c r="CD9" s="34">
        <v>11900</v>
      </c>
      <c r="CE9" s="34"/>
      <c r="CF9" s="34"/>
      <c r="CG9" s="34"/>
      <c r="CH9" s="39"/>
      <c r="CI9" s="39"/>
      <c r="CJ9" s="39"/>
      <c r="CK9" s="39"/>
      <c r="CL9" s="39">
        <v>0</v>
      </c>
      <c r="CM9" s="39">
        <f t="shared" si="1"/>
        <v>0</v>
      </c>
      <c r="CN9" s="39">
        <v>40000</v>
      </c>
      <c r="CO9" s="39">
        <f>SUM(V9:Y9)</f>
        <v>47900</v>
      </c>
      <c r="CP9" s="39">
        <v>60000</v>
      </c>
      <c r="CQ9" s="39">
        <v>70000</v>
      </c>
      <c r="CR9" s="36"/>
      <c r="CS9" s="36"/>
      <c r="CT9" s="36"/>
      <c r="CY9" s="62">
        <f>SUM(BR9:BU9)</f>
        <v>50700</v>
      </c>
      <c r="CZ9" s="62">
        <f>SUM(BV9:BY9)</f>
        <v>69400</v>
      </c>
      <c r="DA9" s="62">
        <f>SUM(BZ9:CC9)</f>
        <v>45300</v>
      </c>
    </row>
    <row r="10" spans="1:118" s="55" customFormat="1" x14ac:dyDescent="0.25">
      <c r="B10" s="55" t="s">
        <v>87</v>
      </c>
      <c r="C10" s="66">
        <f>77600-1000</f>
        <v>76600</v>
      </c>
      <c r="D10" s="53"/>
      <c r="E10" s="53"/>
      <c r="F10" s="66">
        <v>40800</v>
      </c>
      <c r="G10" s="66">
        <f>77600-F10</f>
        <v>36800</v>
      </c>
      <c r="H10" s="66">
        <f>113800-G10-F10</f>
        <v>36200</v>
      </c>
      <c r="I10" s="66"/>
      <c r="J10" s="66">
        <f t="shared" ref="J10:P10" si="3">SUM(J11:J14)</f>
        <v>72500</v>
      </c>
      <c r="K10" s="66">
        <f t="shared" si="3"/>
        <v>76600</v>
      </c>
      <c r="L10" s="66">
        <f t="shared" si="3"/>
        <v>75200</v>
      </c>
      <c r="M10" s="66">
        <f t="shared" si="3"/>
        <v>47000</v>
      </c>
      <c r="N10" s="66">
        <f t="shared" si="3"/>
        <v>70500</v>
      </c>
      <c r="O10" s="66">
        <f t="shared" si="3"/>
        <v>61500</v>
      </c>
      <c r="P10" s="66">
        <f t="shared" si="3"/>
        <v>48300</v>
      </c>
      <c r="Q10" s="66">
        <f>218100-P10-O10-N10</f>
        <v>37800</v>
      </c>
      <c r="R10" s="66">
        <f t="shared" ref="R10:Y10" si="4">SUM(R11:R14)</f>
        <v>38800</v>
      </c>
      <c r="S10" s="66">
        <f t="shared" si="4"/>
        <v>36400</v>
      </c>
      <c r="T10" s="67">
        <f t="shared" si="4"/>
        <v>30800</v>
      </c>
      <c r="U10" s="66">
        <f t="shared" si="4"/>
        <v>22190</v>
      </c>
      <c r="V10" s="66">
        <f t="shared" si="4"/>
        <v>23027.5</v>
      </c>
      <c r="W10" s="66">
        <f t="shared" si="4"/>
        <v>21428.125</v>
      </c>
      <c r="X10" s="66">
        <f t="shared" si="4"/>
        <v>23553.59375</v>
      </c>
      <c r="Y10" s="66">
        <f t="shared" si="4"/>
        <v>17452.6953125</v>
      </c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53"/>
      <c r="AP10" s="66">
        <v>338</v>
      </c>
      <c r="AQ10" s="66">
        <v>421</v>
      </c>
      <c r="AR10" s="66">
        <v>471</v>
      </c>
      <c r="AS10" s="66">
        <v>459</v>
      </c>
      <c r="AT10" s="66"/>
      <c r="AU10" s="66">
        <f>AV10+9100</f>
        <v>159800</v>
      </c>
      <c r="AV10" s="66">
        <v>150700</v>
      </c>
      <c r="AW10" s="66">
        <v>125000</v>
      </c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>
        <f>SUM(J10:M10)</f>
        <v>271300</v>
      </c>
      <c r="CM10" s="66">
        <f t="shared" si="1"/>
        <v>218100</v>
      </c>
      <c r="CN10" s="66">
        <f>SUM(CN11:CN14)</f>
        <v>128190</v>
      </c>
      <c r="CO10" s="66">
        <f>SUM(CO11:CO14)</f>
        <v>85461.9140625</v>
      </c>
      <c r="CP10" s="66">
        <f>CO10*0.5</f>
        <v>42730.95703125</v>
      </c>
      <c r="CQ10" s="66">
        <f>CP10*0.5</f>
        <v>21365.478515625</v>
      </c>
      <c r="CR10" s="53"/>
      <c r="CS10" s="53"/>
      <c r="CT10" s="53"/>
      <c r="CY10" s="62"/>
      <c r="CZ10" s="62"/>
      <c r="DA10" s="62"/>
    </row>
    <row r="11" spans="1:118" x14ac:dyDescent="0.25">
      <c r="B11" s="1" t="s">
        <v>110</v>
      </c>
      <c r="C11" s="34"/>
      <c r="F11" s="34">
        <v>16100</v>
      </c>
      <c r="G11" s="34">
        <f>31500-F11</f>
        <v>15400</v>
      </c>
      <c r="H11" s="34">
        <v>19000</v>
      </c>
      <c r="I11" s="34"/>
      <c r="J11" s="34">
        <v>17500</v>
      </c>
      <c r="K11" s="34">
        <f>34200-J11</f>
        <v>16700</v>
      </c>
      <c r="L11" s="34">
        <v>20200</v>
      </c>
      <c r="M11" s="34">
        <f>70700-L11-K11-J11</f>
        <v>16300</v>
      </c>
      <c r="N11" s="34">
        <v>18800</v>
      </c>
      <c r="O11" s="34">
        <f>37500-N11</f>
        <v>18700</v>
      </c>
      <c r="P11" s="34">
        <f>58900-O11-N11</f>
        <v>21400</v>
      </c>
      <c r="Q11" s="34">
        <f>74300-P11-O11-N11</f>
        <v>15400</v>
      </c>
      <c r="R11" s="34">
        <v>17200</v>
      </c>
      <c r="S11" s="34">
        <f>34100-R11</f>
        <v>16900</v>
      </c>
      <c r="T11" s="51">
        <v>20000</v>
      </c>
      <c r="U11" s="34">
        <f>Q11*0.95</f>
        <v>14630</v>
      </c>
      <c r="V11" s="34">
        <f>R11</f>
        <v>17200</v>
      </c>
      <c r="W11" s="34">
        <f>S11</f>
        <v>16900</v>
      </c>
      <c r="X11" s="34">
        <f>T11</f>
        <v>20000</v>
      </c>
      <c r="Y11" s="34">
        <f>U11</f>
        <v>14630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>
        <f>SUM(R11:U11)</f>
        <v>68730</v>
      </c>
      <c r="CO11" s="34">
        <f>SUM(V11:Y11)</f>
        <v>68730</v>
      </c>
      <c r="CP11" s="34"/>
      <c r="CQ11" s="34"/>
      <c r="CY11" s="62"/>
      <c r="CZ11" s="62"/>
      <c r="DA11" s="62"/>
    </row>
    <row r="12" spans="1:118" x14ac:dyDescent="0.25">
      <c r="B12" s="1" t="s">
        <v>112</v>
      </c>
      <c r="C12" s="34"/>
      <c r="F12" s="34">
        <v>71000</v>
      </c>
      <c r="G12" s="34">
        <f>137800-F12</f>
        <v>66800</v>
      </c>
      <c r="H12" s="34">
        <v>62300</v>
      </c>
      <c r="I12" s="34"/>
      <c r="J12" s="34">
        <v>46200</v>
      </c>
      <c r="K12" s="34">
        <f>98600-J12</f>
        <v>52400</v>
      </c>
      <c r="L12" s="34">
        <v>49300</v>
      </c>
      <c r="M12" s="34">
        <f>173100-L12-K12-J12</f>
        <v>25200</v>
      </c>
      <c r="N12" s="34">
        <v>45000</v>
      </c>
      <c r="O12" s="34">
        <f>81900-N12</f>
        <v>36900</v>
      </c>
      <c r="P12" s="34">
        <f>102600-O12-N12</f>
        <v>20700</v>
      </c>
      <c r="Q12" s="34">
        <f>119000-P12-O12-N12</f>
        <v>16400</v>
      </c>
      <c r="R12" s="34">
        <v>16500</v>
      </c>
      <c r="S12" s="34">
        <f>31500-R12</f>
        <v>15000</v>
      </c>
      <c r="T12" s="51">
        <v>5700</v>
      </c>
      <c r="U12" s="34">
        <f>T12*0.7</f>
        <v>3989.9999999999995</v>
      </c>
      <c r="V12" s="34">
        <f t="shared" ref="V12:Y13" si="5">U12*0.75</f>
        <v>2992.4999999999995</v>
      </c>
      <c r="W12" s="34">
        <f t="shared" si="5"/>
        <v>2244.3749999999995</v>
      </c>
      <c r="X12" s="34">
        <f t="shared" si="5"/>
        <v>1683.2812499999995</v>
      </c>
      <c r="Y12" s="34">
        <f t="shared" si="5"/>
        <v>1262.4609374999995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>
        <f>SUM(R12:U12)</f>
        <v>41190</v>
      </c>
      <c r="CO12" s="34">
        <f>SUM(V12:Y12)</f>
        <v>8182.6171874999982</v>
      </c>
      <c r="CP12" s="34"/>
      <c r="CQ12" s="34"/>
      <c r="CY12" s="62"/>
      <c r="CZ12" s="62"/>
      <c r="DA12" s="62"/>
    </row>
    <row r="13" spans="1:118" x14ac:dyDescent="0.25">
      <c r="B13" s="1" t="s">
        <v>113</v>
      </c>
      <c r="C13" s="34"/>
      <c r="F13" s="34">
        <v>10300</v>
      </c>
      <c r="G13" s="34">
        <f>19300-F13</f>
        <v>9000</v>
      </c>
      <c r="H13" s="34">
        <v>9400</v>
      </c>
      <c r="I13" s="34"/>
      <c r="J13" s="34">
        <v>8000</v>
      </c>
      <c r="K13" s="34">
        <f>14600-J13</f>
        <v>6600</v>
      </c>
      <c r="L13" s="34">
        <v>5000</v>
      </c>
      <c r="M13" s="34">
        <f>24300-L13-K13-J13</f>
        <v>4700</v>
      </c>
      <c r="N13" s="34">
        <v>5800</v>
      </c>
      <c r="O13" s="34">
        <f>10800-N13</f>
        <v>5000</v>
      </c>
      <c r="P13" s="34">
        <f>16000-O13-N13</f>
        <v>5200</v>
      </c>
      <c r="Q13" s="34">
        <f>21200-P13-O13-N13</f>
        <v>5200</v>
      </c>
      <c r="R13" s="34">
        <v>4200</v>
      </c>
      <c r="S13" s="34">
        <f>7800-R13</f>
        <v>3600</v>
      </c>
      <c r="T13" s="51">
        <v>4200</v>
      </c>
      <c r="U13" s="34">
        <f>T13*0.7</f>
        <v>2940</v>
      </c>
      <c r="V13" s="34">
        <f t="shared" si="5"/>
        <v>2205</v>
      </c>
      <c r="W13" s="34">
        <f t="shared" si="5"/>
        <v>1653.75</v>
      </c>
      <c r="X13" s="34">
        <f t="shared" si="5"/>
        <v>1240.3125</v>
      </c>
      <c r="Y13" s="34">
        <f t="shared" si="5"/>
        <v>930.234375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>
        <f>SUM(R13:U13)</f>
        <v>14940</v>
      </c>
      <c r="CO13" s="34">
        <f>SUM(V13:Y13)</f>
        <v>6029.296875</v>
      </c>
      <c r="CP13" s="34"/>
      <c r="CQ13" s="34"/>
      <c r="CY13" s="62"/>
      <c r="CZ13" s="62"/>
      <c r="DA13" s="62"/>
    </row>
    <row r="14" spans="1:118" x14ac:dyDescent="0.25">
      <c r="B14" s="1" t="s">
        <v>114</v>
      </c>
      <c r="C14" s="34"/>
      <c r="F14" s="34">
        <v>1100</v>
      </c>
      <c r="G14" s="34">
        <f>2000-F14</f>
        <v>900</v>
      </c>
      <c r="H14" s="34">
        <v>1000</v>
      </c>
      <c r="I14" s="34"/>
      <c r="J14" s="34">
        <v>800</v>
      </c>
      <c r="K14" s="34">
        <f>1700-J14</f>
        <v>900</v>
      </c>
      <c r="L14" s="34">
        <v>700</v>
      </c>
      <c r="M14" s="34">
        <f>3200-L14-K14-J14</f>
        <v>800</v>
      </c>
      <c r="N14" s="34">
        <v>900</v>
      </c>
      <c r="O14" s="34">
        <f>1800-N14</f>
        <v>900</v>
      </c>
      <c r="P14" s="34">
        <f>2800-O14-N14</f>
        <v>1000</v>
      </c>
      <c r="Q14" s="34">
        <f>3700-P14-O14-N14</f>
        <v>900</v>
      </c>
      <c r="R14" s="34">
        <v>900</v>
      </c>
      <c r="S14" s="34">
        <f>1800-R14</f>
        <v>900</v>
      </c>
      <c r="T14" s="51">
        <v>900</v>
      </c>
      <c r="U14" s="34">
        <f>T14*0.7</f>
        <v>630</v>
      </c>
      <c r="V14" s="34">
        <f>U14</f>
        <v>630</v>
      </c>
      <c r="W14" s="34">
        <f>V14</f>
        <v>630</v>
      </c>
      <c r="X14" s="34">
        <f>W14</f>
        <v>630</v>
      </c>
      <c r="Y14" s="34">
        <f>X14</f>
        <v>630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>
        <f>SUM(R14:U14)</f>
        <v>3330</v>
      </c>
      <c r="CO14" s="34">
        <f>SUM(V14:Y14)</f>
        <v>2520</v>
      </c>
      <c r="CP14" s="34"/>
      <c r="CQ14" s="34"/>
      <c r="CY14" s="62"/>
      <c r="CZ14" s="62"/>
      <c r="DA14" s="62"/>
    </row>
    <row r="15" spans="1:118" s="55" customFormat="1" x14ac:dyDescent="0.25">
      <c r="B15" s="55" t="s">
        <v>17</v>
      </c>
      <c r="C15" s="66">
        <f>112800-12300</f>
        <v>100500</v>
      </c>
      <c r="D15" s="53"/>
      <c r="E15" s="53"/>
      <c r="F15" s="66">
        <v>55400</v>
      </c>
      <c r="G15" s="66">
        <f>112800-F15</f>
        <v>57400</v>
      </c>
      <c r="H15" s="66">
        <f>173000-G15-F15</f>
        <v>60200</v>
      </c>
      <c r="I15" s="66"/>
      <c r="J15" s="66">
        <f t="shared" ref="J15:P15" si="6">J16+J17</f>
        <v>60000</v>
      </c>
      <c r="K15" s="66">
        <f t="shared" si="6"/>
        <v>59400</v>
      </c>
      <c r="L15" s="66">
        <f t="shared" si="6"/>
        <v>58500</v>
      </c>
      <c r="M15" s="66">
        <f t="shared" si="6"/>
        <v>52500</v>
      </c>
      <c r="N15" s="66">
        <f t="shared" si="6"/>
        <v>56700</v>
      </c>
      <c r="O15" s="66">
        <f t="shared" si="6"/>
        <v>55800</v>
      </c>
      <c r="P15" s="66">
        <f t="shared" si="6"/>
        <v>57700</v>
      </c>
      <c r="Q15" s="66">
        <f>222000-P15-O15-N15</f>
        <v>51800</v>
      </c>
      <c r="R15" s="66">
        <f>+R16+R17</f>
        <v>56500</v>
      </c>
      <c r="S15" s="66">
        <f>+S16+S17</f>
        <v>52500</v>
      </c>
      <c r="T15" s="66">
        <f>+T16+T17</f>
        <v>57600</v>
      </c>
      <c r="U15" s="66">
        <f>+U16+U17</f>
        <v>40310</v>
      </c>
      <c r="V15" s="66">
        <f>V16+V17</f>
        <v>34831</v>
      </c>
      <c r="W15" s="66">
        <f>W16+W17</f>
        <v>30189.5</v>
      </c>
      <c r="X15" s="66">
        <f>X16+X17</f>
        <v>26243.83</v>
      </c>
      <c r="Y15" s="66">
        <f>Y16+Y17</f>
        <v>22878.071000000004</v>
      </c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53"/>
      <c r="AP15" s="66">
        <v>51000</v>
      </c>
      <c r="AQ15" s="66">
        <v>82000</v>
      </c>
      <c r="AR15" s="66">
        <v>106000</v>
      </c>
      <c r="AS15" s="66">
        <v>141300</v>
      </c>
      <c r="AT15" s="66">
        <v>152400</v>
      </c>
      <c r="AU15" s="66">
        <f>AV15-15300</f>
        <v>190900</v>
      </c>
      <c r="AV15" s="66">
        <v>206200</v>
      </c>
      <c r="AW15" s="66">
        <f>AV15*1.1</f>
        <v>226820.00000000003</v>
      </c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>
        <f>SUM(J15:M15)</f>
        <v>230400</v>
      </c>
      <c r="CM15" s="66">
        <f>SUM(N15:Q15)</f>
        <v>222000</v>
      </c>
      <c r="CN15" s="66">
        <f>CN16+CN17</f>
        <v>206910</v>
      </c>
      <c r="CO15" s="66">
        <f>CO16+CO17</f>
        <v>114142.40100000001</v>
      </c>
      <c r="CP15" s="66">
        <f>CO15*0.5</f>
        <v>57071.200500000006</v>
      </c>
      <c r="CQ15" s="66">
        <f>CP15*0.5</f>
        <v>28535.600250000003</v>
      </c>
      <c r="CR15" s="53"/>
      <c r="CS15" s="53"/>
      <c r="CT15" s="53"/>
      <c r="CY15" s="62"/>
      <c r="CZ15" s="62"/>
      <c r="DA15" s="62"/>
    </row>
    <row r="16" spans="1:118" x14ac:dyDescent="0.25">
      <c r="B16" s="1" t="s">
        <v>110</v>
      </c>
      <c r="C16" s="34"/>
      <c r="F16" s="34">
        <v>36000</v>
      </c>
      <c r="G16" s="34">
        <f>68600-F16</f>
        <v>32600</v>
      </c>
      <c r="H16" s="34">
        <v>40200</v>
      </c>
      <c r="I16" s="34"/>
      <c r="J16" s="34">
        <v>34700</v>
      </c>
      <c r="K16" s="34">
        <f>67600-J16</f>
        <v>32900</v>
      </c>
      <c r="L16" s="34">
        <v>38100</v>
      </c>
      <c r="M16" s="34">
        <f>137900-L16-K16-J16</f>
        <v>32200</v>
      </c>
      <c r="N16" s="34">
        <v>34200</v>
      </c>
      <c r="O16" s="34">
        <f>68400-N16</f>
        <v>34200</v>
      </c>
      <c r="P16" s="34">
        <f>107500-O16-N16</f>
        <v>39100</v>
      </c>
      <c r="Q16" s="34">
        <f>136200-P16-O16-N16</f>
        <v>28700</v>
      </c>
      <c r="R16" s="34">
        <v>34600</v>
      </c>
      <c r="S16" s="34">
        <f>67700-R16</f>
        <v>33100</v>
      </c>
      <c r="T16" s="34">
        <v>39500</v>
      </c>
      <c r="U16" s="34">
        <f>Q16*0.9</f>
        <v>25830</v>
      </c>
      <c r="V16" s="34">
        <f>U16*0.9</f>
        <v>23247</v>
      </c>
      <c r="W16" s="34">
        <f>V16*0.9</f>
        <v>20922.3</v>
      </c>
      <c r="X16" s="34">
        <f>W16*0.9</f>
        <v>18830.07</v>
      </c>
      <c r="Y16" s="34">
        <f>X16*0.9</f>
        <v>16947.063000000002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>
        <f>SUM(R16:U16)</f>
        <v>133030</v>
      </c>
      <c r="CO16" s="34">
        <f>SUM(V16:Y16)</f>
        <v>79946.433000000005</v>
      </c>
      <c r="CP16" s="34"/>
      <c r="CQ16" s="34"/>
      <c r="CY16" s="62"/>
      <c r="CZ16" s="62"/>
      <c r="DA16" s="62"/>
    </row>
    <row r="17" spans="2:105" x14ac:dyDescent="0.25">
      <c r="B17" s="1" t="s">
        <v>112</v>
      </c>
      <c r="C17" s="34"/>
      <c r="F17" s="34">
        <v>19700</v>
      </c>
      <c r="G17" s="34">
        <f>44700-F17</f>
        <v>25000</v>
      </c>
      <c r="H17" s="34">
        <v>20200</v>
      </c>
      <c r="I17" s="34"/>
      <c r="J17" s="34">
        <v>25300</v>
      </c>
      <c r="K17" s="34">
        <f>51800-J17</f>
        <v>26500</v>
      </c>
      <c r="L17" s="34">
        <v>20400</v>
      </c>
      <c r="M17" s="34">
        <f>92500-L17-K17-J17</f>
        <v>20300</v>
      </c>
      <c r="N17" s="34">
        <v>22500</v>
      </c>
      <c r="O17" s="34">
        <f>44100-N17</f>
        <v>21600</v>
      </c>
      <c r="P17" s="34">
        <f>62700-O17-N17</f>
        <v>18600</v>
      </c>
      <c r="Q17" s="34">
        <f>85800-P17-O17-N17</f>
        <v>23100</v>
      </c>
      <c r="R17" s="34">
        <v>21900</v>
      </c>
      <c r="S17" s="34">
        <f>41300-R17</f>
        <v>19400</v>
      </c>
      <c r="T17" s="34">
        <v>18100</v>
      </c>
      <c r="U17" s="34">
        <f>T17*0.8</f>
        <v>14480</v>
      </c>
      <c r="V17" s="34">
        <f>U17*0.8</f>
        <v>11584</v>
      </c>
      <c r="W17" s="34">
        <f>V17*0.8</f>
        <v>9267.2000000000007</v>
      </c>
      <c r="X17" s="34">
        <f>W17*0.8</f>
        <v>7413.7600000000011</v>
      </c>
      <c r="Y17" s="34">
        <f>X17*0.8</f>
        <v>5931.0080000000016</v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>
        <f>SUM(R17:U17)</f>
        <v>73880</v>
      </c>
      <c r="CO17" s="34">
        <f>SUM(V17:Y17)</f>
        <v>34195.968000000008</v>
      </c>
      <c r="CP17" s="34"/>
      <c r="CQ17" s="34"/>
      <c r="CY17" s="62"/>
      <c r="CZ17" s="62"/>
      <c r="DA17" s="62"/>
    </row>
    <row r="18" spans="2:105" s="55" customFormat="1" x14ac:dyDescent="0.25">
      <c r="B18" s="55" t="s">
        <v>18</v>
      </c>
      <c r="C18" s="66">
        <f>207100-46000</f>
        <v>161100</v>
      </c>
      <c r="D18" s="53"/>
      <c r="E18" s="53"/>
      <c r="F18" s="66">
        <v>106600</v>
      </c>
      <c r="G18" s="66">
        <f>207100-F18</f>
        <v>100500</v>
      </c>
      <c r="H18" s="66">
        <f>312700-G18-F18</f>
        <v>105600</v>
      </c>
      <c r="I18" s="66"/>
      <c r="J18" s="66">
        <f t="shared" ref="J18:P18" si="7">SUM(J19:J22)</f>
        <v>103200</v>
      </c>
      <c r="K18" s="66">
        <f t="shared" si="7"/>
        <v>100000</v>
      </c>
      <c r="L18" s="66">
        <f t="shared" si="7"/>
        <v>94500</v>
      </c>
      <c r="M18" s="66">
        <f t="shared" si="7"/>
        <v>89300</v>
      </c>
      <c r="N18" s="66">
        <f t="shared" si="7"/>
        <v>96400</v>
      </c>
      <c r="O18" s="66">
        <f t="shared" si="7"/>
        <v>98300</v>
      </c>
      <c r="P18" s="66">
        <f t="shared" si="7"/>
        <v>97400</v>
      </c>
      <c r="Q18" s="66">
        <f>384700-P18-O18-N18</f>
        <v>92600</v>
      </c>
      <c r="R18" s="66">
        <f t="shared" ref="R18:Y18" si="8">SUM(R19:R22)</f>
        <v>99500</v>
      </c>
      <c r="S18" s="66">
        <f t="shared" si="8"/>
        <v>96100</v>
      </c>
      <c r="T18" s="66">
        <f t="shared" si="8"/>
        <v>97400</v>
      </c>
      <c r="U18" s="66">
        <f t="shared" si="8"/>
        <v>88902</v>
      </c>
      <c r="V18" s="66">
        <f t="shared" si="8"/>
        <v>86789.16</v>
      </c>
      <c r="W18" s="66">
        <f t="shared" si="8"/>
        <v>84773.296799999996</v>
      </c>
      <c r="X18" s="66">
        <f t="shared" si="8"/>
        <v>82846.998864000008</v>
      </c>
      <c r="Y18" s="66">
        <f t="shared" si="8"/>
        <v>81003.550086720003</v>
      </c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53"/>
      <c r="AP18" s="66">
        <v>69</v>
      </c>
      <c r="AQ18" s="66">
        <v>122</v>
      </c>
      <c r="AR18" s="66">
        <v>155</v>
      </c>
      <c r="AS18" s="66">
        <v>178</v>
      </c>
      <c r="AT18" s="66"/>
      <c r="AU18" s="66">
        <f>AV18-92400</f>
        <v>243900</v>
      </c>
      <c r="AV18" s="66">
        <v>336300</v>
      </c>
      <c r="AW18" s="66">
        <f>SUM(F18:I18)</f>
        <v>312700</v>
      </c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>
        <f>SUM(J18:M18)</f>
        <v>387000</v>
      </c>
      <c r="CM18" s="66">
        <f>SUM(N18:Q18)</f>
        <v>384700</v>
      </c>
      <c r="CN18" s="66">
        <f>SUM(CN19:CN22)</f>
        <v>381902</v>
      </c>
      <c r="CO18" s="66">
        <f>SUM(CO19:CO22)</f>
        <v>335413.00575072004</v>
      </c>
      <c r="CP18" s="66">
        <f>CO18*0.5</f>
        <v>167706.50287536002</v>
      </c>
      <c r="CQ18" s="66">
        <f>CP18*0.5</f>
        <v>83853.25143768001</v>
      </c>
      <c r="CR18" s="53">
        <v>0</v>
      </c>
      <c r="CS18" s="53"/>
      <c r="CT18" s="53"/>
      <c r="CY18" s="62"/>
      <c r="CZ18" s="62"/>
      <c r="DA18" s="62"/>
    </row>
    <row r="19" spans="2:105" x14ac:dyDescent="0.25">
      <c r="B19" s="1" t="s">
        <v>110</v>
      </c>
      <c r="C19" s="34"/>
      <c r="F19" s="34">
        <v>10300</v>
      </c>
      <c r="G19" s="34">
        <f>20100-F19</f>
        <v>9800</v>
      </c>
      <c r="H19" s="34">
        <v>12000</v>
      </c>
      <c r="I19" s="34"/>
      <c r="J19" s="34">
        <v>12000</v>
      </c>
      <c r="K19" s="34">
        <f>23700-J19</f>
        <v>11700</v>
      </c>
      <c r="L19" s="34">
        <v>13900</v>
      </c>
      <c r="M19" s="34">
        <f>48800-L19-K19-J19</f>
        <v>11200</v>
      </c>
      <c r="N19" s="34">
        <v>13300</v>
      </c>
      <c r="O19" s="34">
        <f>26500-N19</f>
        <v>13200</v>
      </c>
      <c r="P19" s="34">
        <f>41900-O19-N19</f>
        <v>15400</v>
      </c>
      <c r="Q19" s="34">
        <f>52700-P19-O19-N19</f>
        <v>10800</v>
      </c>
      <c r="R19" s="34">
        <v>12300</v>
      </c>
      <c r="S19" s="34">
        <f>24400-R19</f>
        <v>12100</v>
      </c>
      <c r="T19" s="34">
        <v>13100</v>
      </c>
      <c r="U19" s="34">
        <f>Q19*0.9</f>
        <v>9720</v>
      </c>
      <c r="V19" s="34">
        <f>U19</f>
        <v>9720</v>
      </c>
      <c r="W19" s="34">
        <f>V19</f>
        <v>9720</v>
      </c>
      <c r="X19" s="34">
        <f>W19</f>
        <v>9720</v>
      </c>
      <c r="Y19" s="34">
        <f>X19</f>
        <v>9720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9">
        <f>SUM(N19:Q19)</f>
        <v>52700</v>
      </c>
      <c r="CN19" s="39">
        <f>SUM(R19:U19)</f>
        <v>47220</v>
      </c>
      <c r="CO19" s="34">
        <f>SUM(V19:Y19)</f>
        <v>38880</v>
      </c>
      <c r="CP19" s="34">
        <f>CO19*0.9</f>
        <v>34992</v>
      </c>
      <c r="CQ19" s="34">
        <f>CP19*0.9</f>
        <v>31492.799999999999</v>
      </c>
      <c r="CY19" s="62"/>
      <c r="CZ19" s="62"/>
      <c r="DA19" s="62"/>
    </row>
    <row r="20" spans="2:105" x14ac:dyDescent="0.25">
      <c r="B20" s="1" t="s">
        <v>112</v>
      </c>
      <c r="C20" s="34"/>
      <c r="F20" s="34">
        <v>88000</v>
      </c>
      <c r="G20" s="34">
        <f>170600-F20</f>
        <v>82600</v>
      </c>
      <c r="H20" s="34">
        <v>83500</v>
      </c>
      <c r="I20" s="34"/>
      <c r="J20" s="34">
        <v>80600</v>
      </c>
      <c r="K20" s="34">
        <f>159300-J20</f>
        <v>78700</v>
      </c>
      <c r="L20" s="34">
        <v>72100</v>
      </c>
      <c r="M20" s="34">
        <f>301700-L20-K20-J20</f>
        <v>70300</v>
      </c>
      <c r="N20" s="34">
        <v>74200</v>
      </c>
      <c r="O20" s="34">
        <f>150900-N20</f>
        <v>76700</v>
      </c>
      <c r="P20" s="34">
        <f>224100-O20-N20</f>
        <v>73200</v>
      </c>
      <c r="Q20" s="34">
        <f>297000-P20-O20-N20</f>
        <v>72900</v>
      </c>
      <c r="R20" s="34">
        <v>78800</v>
      </c>
      <c r="S20" s="34">
        <f>155100-R20</f>
        <v>76300</v>
      </c>
      <c r="T20" s="34">
        <v>74500</v>
      </c>
      <c r="U20" s="34">
        <f>Q20*0.98</f>
        <v>71442</v>
      </c>
      <c r="V20" s="34">
        <f>U20*0.98</f>
        <v>70013.16</v>
      </c>
      <c r="W20" s="34">
        <f>V20*0.98</f>
        <v>68612.896800000002</v>
      </c>
      <c r="X20" s="34">
        <f>W20*0.98</f>
        <v>67240.638864000008</v>
      </c>
      <c r="Y20" s="34">
        <f>X20*0.98</f>
        <v>65895.826086720001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9">
        <f>SUM(N20:Q20)</f>
        <v>297000</v>
      </c>
      <c r="CN20" s="39">
        <f>SUM(R20:U20)</f>
        <v>301042</v>
      </c>
      <c r="CO20" s="34">
        <f>SUM(V20:Y20)</f>
        <v>271762.52175072004</v>
      </c>
      <c r="CP20" s="34">
        <f>0.5*CO20</f>
        <v>135881.26087536002</v>
      </c>
      <c r="CQ20" s="34">
        <f>CP20*0.25</f>
        <v>33970.315218840005</v>
      </c>
      <c r="CY20" s="62"/>
      <c r="CZ20" s="62"/>
      <c r="DA20" s="62"/>
    </row>
    <row r="21" spans="2:105" x14ac:dyDescent="0.25">
      <c r="B21" s="1" t="s">
        <v>113</v>
      </c>
      <c r="C21" s="34"/>
      <c r="F21" s="34">
        <v>7500</v>
      </c>
      <c r="G21" s="34">
        <f>14800-F21</f>
        <v>7300</v>
      </c>
      <c r="H21" s="34">
        <v>9300</v>
      </c>
      <c r="I21" s="34"/>
      <c r="J21" s="34">
        <v>9400</v>
      </c>
      <c r="K21" s="34">
        <f>18000-J21</f>
        <v>8600</v>
      </c>
      <c r="L21" s="34">
        <v>7800</v>
      </c>
      <c r="M21" s="34">
        <f>32800-L21-K21-J21</f>
        <v>7000</v>
      </c>
      <c r="N21" s="34">
        <v>7900</v>
      </c>
      <c r="O21" s="34">
        <f>15500-N21</f>
        <v>7600</v>
      </c>
      <c r="P21" s="34">
        <f>23600-O21-N21</f>
        <v>8100</v>
      </c>
      <c r="Q21" s="34">
        <f>31200-P21-O21-N21</f>
        <v>7600</v>
      </c>
      <c r="R21" s="34">
        <v>7400</v>
      </c>
      <c r="S21" s="34">
        <f>13900-R21</f>
        <v>6500</v>
      </c>
      <c r="T21" s="34">
        <v>8600</v>
      </c>
      <c r="U21" s="34">
        <f>Q21*0.9</f>
        <v>6840</v>
      </c>
      <c r="V21" s="34">
        <f>U21*0.9</f>
        <v>6156</v>
      </c>
      <c r="W21" s="34">
        <f>V21*0.9</f>
        <v>5540.4000000000005</v>
      </c>
      <c r="X21" s="34">
        <f>W21*0.9</f>
        <v>4986.3600000000006</v>
      </c>
      <c r="Y21" s="34">
        <f>X21*0.9</f>
        <v>4487.7240000000011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9">
        <f>SUM(N21:Q21)</f>
        <v>31200</v>
      </c>
      <c r="CN21" s="39">
        <f>SUM(R21:U21)</f>
        <v>29340</v>
      </c>
      <c r="CO21" s="34">
        <f>SUM(V21:Y21)</f>
        <v>21170.484000000004</v>
      </c>
      <c r="CP21" s="34">
        <f>CO21*0.75</f>
        <v>15877.863000000003</v>
      </c>
      <c r="CQ21" s="34">
        <f>CP21*0.5</f>
        <v>7938.9315000000015</v>
      </c>
      <c r="CY21" s="62"/>
      <c r="CZ21" s="62"/>
      <c r="DA21" s="62"/>
    </row>
    <row r="22" spans="2:105" x14ac:dyDescent="0.25">
      <c r="B22" s="1" t="s">
        <v>114</v>
      </c>
      <c r="C22" s="34"/>
      <c r="F22" s="34">
        <v>1200</v>
      </c>
      <c r="G22" s="34">
        <f>2300-F22</f>
        <v>1100</v>
      </c>
      <c r="H22" s="34">
        <v>1100</v>
      </c>
      <c r="I22" s="34"/>
      <c r="J22" s="34">
        <v>1200</v>
      </c>
      <c r="K22" s="34">
        <f>2200-J22</f>
        <v>1000</v>
      </c>
      <c r="L22" s="34">
        <v>700</v>
      </c>
      <c r="M22" s="34">
        <f>3700-L22-K22-J22</f>
        <v>800</v>
      </c>
      <c r="N22" s="34">
        <v>1000</v>
      </c>
      <c r="O22" s="34">
        <f>1800-N22</f>
        <v>800</v>
      </c>
      <c r="P22" s="34">
        <f>2500-O22-N22</f>
        <v>700</v>
      </c>
      <c r="Q22" s="34">
        <f>3500-P22-O22-N22</f>
        <v>1000</v>
      </c>
      <c r="R22" s="34">
        <v>1000</v>
      </c>
      <c r="S22" s="34">
        <f>2200-R22</f>
        <v>1200</v>
      </c>
      <c r="T22" s="34">
        <v>1200</v>
      </c>
      <c r="U22" s="34">
        <f>Q22*0.9</f>
        <v>900</v>
      </c>
      <c r="V22" s="34">
        <f t="shared" ref="V22:Y23" si="9">U22</f>
        <v>900</v>
      </c>
      <c r="W22" s="34">
        <f t="shared" si="9"/>
        <v>900</v>
      </c>
      <c r="X22" s="34">
        <f t="shared" si="9"/>
        <v>900</v>
      </c>
      <c r="Y22" s="34">
        <f t="shared" si="9"/>
        <v>900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9">
        <f>SUM(R22:U22)</f>
        <v>4300</v>
      </c>
      <c r="CO22" s="34">
        <f>SUM(V22:Y22)</f>
        <v>3600</v>
      </c>
      <c r="CP22" s="34">
        <f>CO22</f>
        <v>3600</v>
      </c>
      <c r="CQ22" s="34">
        <f>CP22*0.75</f>
        <v>2700</v>
      </c>
      <c r="CY22" s="62"/>
      <c r="CZ22" s="62"/>
      <c r="DA22" s="62"/>
    </row>
    <row r="23" spans="2:105" x14ac:dyDescent="0.25">
      <c r="B23" s="1" t="s">
        <v>202</v>
      </c>
      <c r="C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9">
        <v>13200</v>
      </c>
      <c r="S23" s="34">
        <f>25600-R23</f>
        <v>12400</v>
      </c>
      <c r="T23" s="34">
        <v>12600</v>
      </c>
      <c r="U23" s="34">
        <f>T23</f>
        <v>12600</v>
      </c>
      <c r="V23" s="34">
        <f t="shared" si="9"/>
        <v>12600</v>
      </c>
      <c r="W23" s="34">
        <f t="shared" si="9"/>
        <v>12600</v>
      </c>
      <c r="X23" s="34">
        <f t="shared" si="9"/>
        <v>12600</v>
      </c>
      <c r="Y23" s="34">
        <f t="shared" si="9"/>
        <v>12600</v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P23" s="34"/>
      <c r="AQ23" s="34"/>
      <c r="AR23" s="34"/>
      <c r="AS23" s="34"/>
      <c r="AT23" s="34"/>
      <c r="AU23" s="34"/>
      <c r="AV23" s="34"/>
      <c r="AW23" s="34">
        <v>37700</v>
      </c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>
        <v>30100</v>
      </c>
      <c r="BS23" s="34">
        <v>25000</v>
      </c>
      <c r="BT23" s="34">
        <v>29300</v>
      </c>
      <c r="BU23" s="34">
        <v>25600</v>
      </c>
      <c r="BV23" s="34">
        <v>16500</v>
      </c>
      <c r="BW23" s="34">
        <v>4300</v>
      </c>
      <c r="BX23" s="34">
        <v>3900</v>
      </c>
      <c r="BY23" s="34">
        <v>3000</v>
      </c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>
        <v>46200</v>
      </c>
      <c r="CM23" s="39">
        <f t="shared" ref="CM23:CM39" si="10">SUM(R23:U23)</f>
        <v>50800</v>
      </c>
      <c r="CN23" s="34">
        <f>CM23</f>
        <v>50800</v>
      </c>
      <c r="CO23" s="34">
        <f>CN23</f>
        <v>50800</v>
      </c>
      <c r="CP23" s="34">
        <f>CO23</f>
        <v>50800</v>
      </c>
      <c r="CQ23" s="34">
        <f>CP23</f>
        <v>50800</v>
      </c>
      <c r="CY23" s="62">
        <f>SUM(BR23:BU23)</f>
        <v>110000</v>
      </c>
      <c r="CZ23" s="62">
        <f>SUM(BV23:BY23)</f>
        <v>27700</v>
      </c>
      <c r="DA23" s="62">
        <f>SUM(BZ23:CC23)</f>
        <v>0</v>
      </c>
    </row>
    <row r="24" spans="2:105" x14ac:dyDescent="0.25">
      <c r="B24" s="1" t="s">
        <v>62</v>
      </c>
      <c r="C24" s="34">
        <f>81000-500</f>
        <v>80500</v>
      </c>
      <c r="F24" s="34">
        <f>13400+24100</f>
        <v>37500</v>
      </c>
      <c r="G24" s="34">
        <f>F24-30500+50500</f>
        <v>57500</v>
      </c>
      <c r="H24" s="34">
        <f>48534+75792-G24-F24</f>
        <v>29326</v>
      </c>
      <c r="I24" s="34"/>
      <c r="J24" s="34">
        <f>14100+23500</f>
        <v>37600</v>
      </c>
      <c r="K24" s="34">
        <f>33900+46800-J24</f>
        <v>43100</v>
      </c>
      <c r="L24" s="34">
        <f>50104+68566-K24-J24</f>
        <v>37970</v>
      </c>
      <c r="M24" s="34">
        <f>64400+89900-L24-K24-J24</f>
        <v>35630</v>
      </c>
      <c r="N24" s="34">
        <f>13300+20800</f>
        <v>34100</v>
      </c>
      <c r="O24" s="34">
        <f>32400+42400-N24</f>
        <v>40700</v>
      </c>
      <c r="P24" s="34">
        <f>47000+65000-N24-O24</f>
        <v>37200</v>
      </c>
      <c r="Q24" s="34">
        <f>58200+90100-P24-O24-N24</f>
        <v>36300</v>
      </c>
      <c r="R24" s="34">
        <v>13834</v>
      </c>
      <c r="S24" s="34">
        <f>31200-R24</f>
        <v>17366</v>
      </c>
      <c r="T24" s="51">
        <f>48400-S24-R24</f>
        <v>17200</v>
      </c>
      <c r="U24" s="34">
        <f>Q24</f>
        <v>36300</v>
      </c>
      <c r="V24" s="34">
        <f>R24</f>
        <v>13834</v>
      </c>
      <c r="W24" s="34">
        <f>S24</f>
        <v>17366</v>
      </c>
      <c r="X24" s="34">
        <f>T24</f>
        <v>17200</v>
      </c>
      <c r="Y24" s="34">
        <f>U24</f>
        <v>36300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W24" s="34">
        <f>H24+G24*2</f>
        <v>144326</v>
      </c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>
        <f>AW24*1.03</f>
        <v>148655.78</v>
      </c>
      <c r="CM24" s="39">
        <f t="shared" si="10"/>
        <v>84700</v>
      </c>
      <c r="CN24" s="34">
        <f>CM24*1.03</f>
        <v>87241</v>
      </c>
      <c r="CO24" s="34">
        <f>CN24*1.03</f>
        <v>89858.23</v>
      </c>
      <c r="CP24" s="34">
        <f>CO24*1.03</f>
        <v>92553.976899999994</v>
      </c>
      <c r="CQ24" s="34">
        <f>CP24*1.03</f>
        <v>95330.596206999995</v>
      </c>
      <c r="CY24" s="62"/>
      <c r="CZ24" s="62"/>
      <c r="DA24" s="62"/>
    </row>
    <row r="25" spans="2:105" x14ac:dyDescent="0.25">
      <c r="B25" s="1" t="s">
        <v>74</v>
      </c>
      <c r="F25" s="34">
        <f>G25</f>
        <v>5625</v>
      </c>
      <c r="G25" s="34">
        <f>90*125/2</f>
        <v>5625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4800</v>
      </c>
      <c r="S25" s="34">
        <f>9800-R25</f>
        <v>5000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U25" s="34">
        <v>5700</v>
      </c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M25" s="39">
        <f t="shared" si="10"/>
        <v>9800</v>
      </c>
      <c r="CY25" s="62"/>
      <c r="CZ25" s="62"/>
      <c r="DA25" s="62"/>
    </row>
    <row r="26" spans="2:105" x14ac:dyDescent="0.25">
      <c r="B26" s="1" t="s">
        <v>75</v>
      </c>
      <c r="F26" s="34">
        <f>G26</f>
        <v>3562.5</v>
      </c>
      <c r="G26" s="34">
        <f>57*125/2</f>
        <v>3562.5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U26" s="34">
        <v>10300</v>
      </c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>
        <v>3200</v>
      </c>
      <c r="BS26" s="34">
        <v>3100</v>
      </c>
      <c r="BT26" s="34">
        <v>3100</v>
      </c>
      <c r="BU26" s="34">
        <v>2200</v>
      </c>
      <c r="BV26" s="34">
        <v>3300</v>
      </c>
      <c r="BW26" s="34">
        <v>3200</v>
      </c>
      <c r="BX26" s="34">
        <v>1300</v>
      </c>
      <c r="BY26" s="34">
        <v>900</v>
      </c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M26" s="39">
        <f t="shared" si="10"/>
        <v>0</v>
      </c>
      <c r="CY26" s="62">
        <f t="shared" ref="CY26" si="11">SUM(BR26:BU26)</f>
        <v>11600</v>
      </c>
      <c r="CZ26" s="62">
        <f t="shared" ref="CZ26" si="12">SUM(BV26:BY26)</f>
        <v>8700</v>
      </c>
      <c r="DA26" s="62">
        <f t="shared" ref="DA26" si="13">SUM(BZ26:CC26)</f>
        <v>0</v>
      </c>
    </row>
    <row r="27" spans="2:105" x14ac:dyDescent="0.25">
      <c r="B27" s="1" t="s">
        <v>76</v>
      </c>
      <c r="F27" s="34">
        <f>G27</f>
        <v>13550</v>
      </c>
      <c r="G27" s="34">
        <v>13550</v>
      </c>
      <c r="H27" s="34">
        <f>42100-G27-F27</f>
        <v>15000</v>
      </c>
      <c r="I27" s="34"/>
      <c r="J27" s="34">
        <v>12600</v>
      </c>
      <c r="K27" s="34">
        <f>24100-J27</f>
        <v>11500</v>
      </c>
      <c r="L27" s="34">
        <v>13000</v>
      </c>
      <c r="M27" s="34">
        <f>47100-L27-K27-J27</f>
        <v>10000</v>
      </c>
      <c r="N27" s="34">
        <v>11500</v>
      </c>
      <c r="O27" s="34">
        <f>22600-N27</f>
        <v>11100</v>
      </c>
      <c r="P27" s="34">
        <f>34900-O27-N27</f>
        <v>12300</v>
      </c>
      <c r="Q27" s="34">
        <f>43000-P27-O27-N27</f>
        <v>8100</v>
      </c>
      <c r="R27" s="34">
        <v>8800</v>
      </c>
      <c r="S27" s="34">
        <f>16900-R27</f>
        <v>8100</v>
      </c>
      <c r="T27" s="34">
        <v>8900</v>
      </c>
      <c r="U27" s="34">
        <f t="shared" ref="U27:U39" si="14">Q27*0.9</f>
        <v>7290</v>
      </c>
      <c r="V27" s="34">
        <f t="shared" ref="V27:Y29" si="15">U27</f>
        <v>7290</v>
      </c>
      <c r="W27" s="34">
        <f t="shared" si="15"/>
        <v>7290</v>
      </c>
      <c r="X27" s="34">
        <f t="shared" si="15"/>
        <v>7290</v>
      </c>
      <c r="Y27" s="34">
        <f t="shared" si="15"/>
        <v>7290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CM27" s="39">
        <f t="shared" si="10"/>
        <v>33090</v>
      </c>
      <c r="CN27" s="34">
        <f>CM27</f>
        <v>33090</v>
      </c>
      <c r="CO27" s="34">
        <f>CN27</f>
        <v>33090</v>
      </c>
      <c r="CP27" s="34">
        <f>CO27</f>
        <v>33090</v>
      </c>
      <c r="CQ27" s="34">
        <f>CP27</f>
        <v>33090</v>
      </c>
      <c r="CY27" s="62"/>
      <c r="CZ27" s="62"/>
      <c r="DA27" s="62"/>
    </row>
    <row r="28" spans="2:105" x14ac:dyDescent="0.25">
      <c r="B28" s="1" t="s">
        <v>248</v>
      </c>
      <c r="F28" s="34"/>
      <c r="G28" s="34"/>
      <c r="H28" s="34">
        <v>5800</v>
      </c>
      <c r="I28" s="34"/>
      <c r="J28" s="34">
        <v>6700</v>
      </c>
      <c r="K28" s="34">
        <f>13000-J28</f>
        <v>6300</v>
      </c>
      <c r="L28" s="34">
        <v>7300</v>
      </c>
      <c r="M28" s="34">
        <f>26300-L28-K28-J28</f>
        <v>6000</v>
      </c>
      <c r="N28" s="34">
        <v>7600</v>
      </c>
      <c r="O28" s="34">
        <f>15600-N28</f>
        <v>8000</v>
      </c>
      <c r="P28" s="34">
        <f>24500-O28-N28</f>
        <v>8900</v>
      </c>
      <c r="Q28" s="34">
        <f>32300-P28-O28-N28</f>
        <v>7800</v>
      </c>
      <c r="R28" s="34">
        <v>9100</v>
      </c>
      <c r="S28" s="34">
        <f>18400-R28</f>
        <v>9300</v>
      </c>
      <c r="T28" s="34">
        <v>11100</v>
      </c>
      <c r="U28" s="34">
        <f t="shared" si="14"/>
        <v>7020</v>
      </c>
      <c r="V28" s="34">
        <f t="shared" si="15"/>
        <v>7020</v>
      </c>
      <c r="W28" s="34">
        <f t="shared" si="15"/>
        <v>7020</v>
      </c>
      <c r="X28" s="34">
        <f t="shared" si="15"/>
        <v>7020</v>
      </c>
      <c r="Y28" s="34">
        <f t="shared" si="15"/>
        <v>7020</v>
      </c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CM28" s="39">
        <f t="shared" si="10"/>
        <v>36520</v>
      </c>
      <c r="CN28" s="34">
        <f t="shared" ref="CN28:CQ39" si="16">CM28</f>
        <v>36520</v>
      </c>
      <c r="CO28" s="34">
        <f t="shared" si="16"/>
        <v>36520</v>
      </c>
      <c r="CP28" s="34">
        <f t="shared" si="16"/>
        <v>36520</v>
      </c>
      <c r="CQ28" s="34">
        <f t="shared" si="16"/>
        <v>36520</v>
      </c>
      <c r="CY28" s="62"/>
      <c r="CZ28" s="62"/>
      <c r="DA28" s="62"/>
    </row>
    <row r="29" spans="2:105" x14ac:dyDescent="0.25">
      <c r="B29" s="1" t="s">
        <v>90</v>
      </c>
      <c r="F29" s="34"/>
      <c r="G29" s="34"/>
      <c r="H29" s="34">
        <v>4400</v>
      </c>
      <c r="I29" s="34"/>
      <c r="J29" s="34">
        <v>4000</v>
      </c>
      <c r="K29" s="34">
        <f>8000-J29</f>
        <v>4000</v>
      </c>
      <c r="L29" s="34">
        <v>4700</v>
      </c>
      <c r="M29" s="34">
        <f>16300-L29-K29-J29</f>
        <v>3600</v>
      </c>
      <c r="N29" s="34">
        <v>4400</v>
      </c>
      <c r="O29" s="34">
        <f>8900-N29</f>
        <v>4500</v>
      </c>
      <c r="P29" s="34">
        <f>14000-O29-N29</f>
        <v>5100</v>
      </c>
      <c r="Q29" s="34">
        <f>17900-P29-O29-N29</f>
        <v>3900</v>
      </c>
      <c r="R29" s="34">
        <v>4500</v>
      </c>
      <c r="S29" s="34">
        <f>8800-R29</f>
        <v>4300</v>
      </c>
      <c r="T29" s="34">
        <v>5000</v>
      </c>
      <c r="U29" s="34">
        <f t="shared" si="14"/>
        <v>3510</v>
      </c>
      <c r="V29" s="34">
        <f t="shared" si="15"/>
        <v>3510</v>
      </c>
      <c r="W29" s="34">
        <f t="shared" si="15"/>
        <v>3510</v>
      </c>
      <c r="X29" s="34">
        <f t="shared" si="15"/>
        <v>3510</v>
      </c>
      <c r="Y29" s="34">
        <f t="shared" si="15"/>
        <v>3510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CM29" s="39">
        <f t="shared" si="10"/>
        <v>17310</v>
      </c>
      <c r="CN29" s="34">
        <f t="shared" si="16"/>
        <v>17310</v>
      </c>
      <c r="CO29" s="34">
        <f t="shared" si="16"/>
        <v>17310</v>
      </c>
      <c r="CP29" s="34">
        <f t="shared" si="16"/>
        <v>17310</v>
      </c>
      <c r="CQ29" s="34">
        <f t="shared" si="16"/>
        <v>17310</v>
      </c>
      <c r="CY29" s="62"/>
      <c r="CZ29" s="62"/>
      <c r="DA29" s="62"/>
    </row>
    <row r="30" spans="2:105" x14ac:dyDescent="0.25">
      <c r="B30" s="23" t="s">
        <v>186</v>
      </c>
      <c r="F30" s="34"/>
      <c r="G30" s="34"/>
      <c r="H30" s="34"/>
      <c r="I30" s="34"/>
      <c r="J30" s="34">
        <v>3200</v>
      </c>
      <c r="K30" s="34">
        <f>4900-J30</f>
        <v>1700</v>
      </c>
      <c r="L30" s="34">
        <v>1300</v>
      </c>
      <c r="M30" s="34">
        <f>8400-L30-K30-J30</f>
        <v>2200</v>
      </c>
      <c r="N30" s="34">
        <v>3100</v>
      </c>
      <c r="O30" s="34">
        <f>5200-N30</f>
        <v>2100</v>
      </c>
      <c r="P30" s="34">
        <f>5900-O30-N30</f>
        <v>700</v>
      </c>
      <c r="Q30" s="34">
        <f>8200-P30-O30-N30</f>
        <v>2300</v>
      </c>
      <c r="R30" s="34">
        <v>3100</v>
      </c>
      <c r="S30" s="34">
        <f>5000-R30</f>
        <v>1900</v>
      </c>
      <c r="T30" s="51">
        <v>1100</v>
      </c>
      <c r="U30" s="34">
        <f t="shared" si="14"/>
        <v>2070</v>
      </c>
      <c r="V30" s="34">
        <f>R30</f>
        <v>3100</v>
      </c>
      <c r="W30" s="34">
        <f>S30</f>
        <v>1900</v>
      </c>
      <c r="X30" s="34">
        <f>T30</f>
        <v>1100</v>
      </c>
      <c r="Y30" s="34">
        <f>U30</f>
        <v>2070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CM30" s="39">
        <f t="shared" si="10"/>
        <v>8170</v>
      </c>
      <c r="CN30" s="34">
        <f t="shared" si="16"/>
        <v>8170</v>
      </c>
      <c r="CO30" s="34">
        <f t="shared" si="16"/>
        <v>8170</v>
      </c>
      <c r="CP30" s="34">
        <f t="shared" si="16"/>
        <v>8170</v>
      </c>
      <c r="CQ30" s="34">
        <f t="shared" si="16"/>
        <v>8170</v>
      </c>
      <c r="CY30" s="62"/>
      <c r="CZ30" s="62"/>
      <c r="DA30" s="62"/>
    </row>
    <row r="31" spans="2:105" x14ac:dyDescent="0.25">
      <c r="B31" s="1" t="s">
        <v>115</v>
      </c>
      <c r="F31" s="34"/>
      <c r="G31" s="34"/>
      <c r="H31" s="34">
        <v>3600</v>
      </c>
      <c r="I31" s="34"/>
      <c r="J31" s="34">
        <v>2400</v>
      </c>
      <c r="K31" s="34">
        <f>4800-J31</f>
        <v>2400</v>
      </c>
      <c r="L31" s="34">
        <v>1600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CM31" s="39">
        <f t="shared" si="10"/>
        <v>0</v>
      </c>
      <c r="CN31" s="34">
        <f t="shared" si="16"/>
        <v>0</v>
      </c>
      <c r="CO31" s="34">
        <f t="shared" si="16"/>
        <v>0</v>
      </c>
      <c r="CP31" s="34">
        <f t="shared" si="16"/>
        <v>0</v>
      </c>
      <c r="CQ31" s="34">
        <f t="shared" si="16"/>
        <v>0</v>
      </c>
      <c r="CY31" s="62"/>
      <c r="CZ31" s="62"/>
      <c r="DA31" s="62"/>
    </row>
    <row r="32" spans="2:105" x14ac:dyDescent="0.25">
      <c r="B32" s="23" t="s">
        <v>203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>
        <v>2200</v>
      </c>
      <c r="S32" s="34">
        <f>5300-R32</f>
        <v>3100</v>
      </c>
      <c r="T32" s="34">
        <v>3500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CM32" s="39">
        <f t="shared" si="10"/>
        <v>8800</v>
      </c>
      <c r="CN32" s="34">
        <f t="shared" si="16"/>
        <v>8800</v>
      </c>
      <c r="CO32" s="34">
        <f t="shared" si="16"/>
        <v>8800</v>
      </c>
      <c r="CP32" s="34">
        <f t="shared" si="16"/>
        <v>8800</v>
      </c>
      <c r="CQ32" s="34">
        <f t="shared" si="16"/>
        <v>8800</v>
      </c>
      <c r="CY32" s="62"/>
      <c r="CZ32" s="62"/>
      <c r="DA32" s="62"/>
    </row>
    <row r="33" spans="2:105" x14ac:dyDescent="0.25">
      <c r="B33" s="23" t="s">
        <v>145</v>
      </c>
      <c r="F33" s="34"/>
      <c r="G33" s="34"/>
      <c r="H33" s="34"/>
      <c r="I33" s="34"/>
      <c r="J33" s="34">
        <v>2100</v>
      </c>
      <c r="K33" s="34">
        <f>4400-J33</f>
        <v>2300</v>
      </c>
      <c r="L33" s="34">
        <v>2800</v>
      </c>
      <c r="M33" s="34">
        <f>9300-L33-K33-J33</f>
        <v>2100</v>
      </c>
      <c r="N33" s="34">
        <v>2600</v>
      </c>
      <c r="O33" s="34">
        <f>5300-N33</f>
        <v>2700</v>
      </c>
      <c r="P33" s="34">
        <f>8200-O33-N33</f>
        <v>2900</v>
      </c>
      <c r="Q33" s="34">
        <f>10300-P33-O33-N33</f>
        <v>2100</v>
      </c>
      <c r="R33" s="34">
        <v>2700</v>
      </c>
      <c r="S33" s="34">
        <f>5300-R33</f>
        <v>2600</v>
      </c>
      <c r="T33" s="34">
        <v>3000</v>
      </c>
      <c r="U33" s="34">
        <f t="shared" si="14"/>
        <v>1890</v>
      </c>
      <c r="V33" s="34">
        <f t="shared" ref="V33:Y34" si="17">U33</f>
        <v>1890</v>
      </c>
      <c r="W33" s="34">
        <f t="shared" si="17"/>
        <v>1890</v>
      </c>
      <c r="X33" s="34">
        <f t="shared" si="17"/>
        <v>1890</v>
      </c>
      <c r="Y33" s="34">
        <f t="shared" si="17"/>
        <v>1890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CM33" s="39">
        <f t="shared" si="10"/>
        <v>10190</v>
      </c>
      <c r="CN33" s="34">
        <f t="shared" si="16"/>
        <v>10190</v>
      </c>
      <c r="CO33" s="34">
        <f t="shared" si="16"/>
        <v>10190</v>
      </c>
      <c r="CP33" s="34">
        <f t="shared" si="16"/>
        <v>10190</v>
      </c>
      <c r="CQ33" s="34">
        <f t="shared" si="16"/>
        <v>10190</v>
      </c>
      <c r="CY33" s="62"/>
      <c r="CZ33" s="62"/>
      <c r="DA33" s="62"/>
    </row>
    <row r="34" spans="2:105" x14ac:dyDescent="0.25">
      <c r="B34" s="1" t="s">
        <v>116</v>
      </c>
      <c r="F34" s="34"/>
      <c r="G34" s="34"/>
      <c r="H34" s="34">
        <v>2600</v>
      </c>
      <c r="I34" s="34"/>
      <c r="J34" s="34">
        <v>3100</v>
      </c>
      <c r="K34" s="34">
        <f>6100-J34</f>
        <v>3000</v>
      </c>
      <c r="L34" s="34">
        <v>3100</v>
      </c>
      <c r="M34" s="34">
        <f>11300-L34-K34-J34</f>
        <v>2100</v>
      </c>
      <c r="N34" s="34">
        <v>2900</v>
      </c>
      <c r="O34" s="34">
        <f>5700-N34</f>
        <v>2800</v>
      </c>
      <c r="P34" s="34">
        <f>8500-O34-N34</f>
        <v>2800</v>
      </c>
      <c r="Q34" s="34">
        <f>10500-P34-O34-N34</f>
        <v>2000</v>
      </c>
      <c r="R34" s="34">
        <v>2400</v>
      </c>
      <c r="S34" s="34">
        <f>4600-R34</f>
        <v>2200</v>
      </c>
      <c r="T34" s="34">
        <v>2200</v>
      </c>
      <c r="U34" s="34">
        <f t="shared" si="14"/>
        <v>1800</v>
      </c>
      <c r="V34" s="34">
        <f t="shared" si="17"/>
        <v>1800</v>
      </c>
      <c r="W34" s="34">
        <f t="shared" si="17"/>
        <v>1800</v>
      </c>
      <c r="X34" s="34">
        <f t="shared" si="17"/>
        <v>1800</v>
      </c>
      <c r="Y34" s="34">
        <f t="shared" si="17"/>
        <v>1800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CM34" s="39">
        <f t="shared" si="10"/>
        <v>8600</v>
      </c>
      <c r="CN34" s="34">
        <f t="shared" si="16"/>
        <v>8600</v>
      </c>
      <c r="CO34" s="34">
        <f t="shared" si="16"/>
        <v>8600</v>
      </c>
      <c r="CP34" s="34">
        <f t="shared" si="16"/>
        <v>8600</v>
      </c>
      <c r="CQ34" s="34">
        <f t="shared" si="16"/>
        <v>8600</v>
      </c>
      <c r="CY34" s="62"/>
      <c r="CZ34" s="62"/>
      <c r="DA34" s="62"/>
    </row>
    <row r="35" spans="2:105" x14ac:dyDescent="0.25">
      <c r="B35" s="1" t="s">
        <v>117</v>
      </c>
      <c r="F35" s="34"/>
      <c r="G35" s="34"/>
      <c r="H35" s="34">
        <v>2400</v>
      </c>
      <c r="I35" s="34"/>
      <c r="J35" s="34">
        <v>2000</v>
      </c>
      <c r="K35" s="34">
        <f>3800-J35</f>
        <v>1800</v>
      </c>
      <c r="L35" s="34">
        <v>2100</v>
      </c>
      <c r="M35" s="34">
        <f>7200-L35-K35-J35</f>
        <v>1300</v>
      </c>
      <c r="N35" s="34">
        <v>1500</v>
      </c>
      <c r="O35" s="34">
        <f>2900-N35</f>
        <v>1400</v>
      </c>
      <c r="P35" s="34">
        <f>4300-O35-N35</f>
        <v>1400</v>
      </c>
      <c r="Q35" s="34">
        <f>5200-P35-O35-N35</f>
        <v>900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CM35" s="39">
        <f t="shared" si="10"/>
        <v>0</v>
      </c>
      <c r="CN35" s="34">
        <f t="shared" si="16"/>
        <v>0</v>
      </c>
      <c r="CO35" s="34">
        <f t="shared" si="16"/>
        <v>0</v>
      </c>
      <c r="CP35" s="34">
        <f t="shared" si="16"/>
        <v>0</v>
      </c>
      <c r="CQ35" s="34">
        <f t="shared" si="16"/>
        <v>0</v>
      </c>
      <c r="CY35" s="62"/>
      <c r="CZ35" s="62"/>
      <c r="DA35" s="62"/>
    </row>
    <row r="36" spans="2:105" x14ac:dyDescent="0.25">
      <c r="B36" s="1" t="s">
        <v>118</v>
      </c>
      <c r="F36" s="34"/>
      <c r="G36" s="34"/>
      <c r="H36" s="34">
        <v>2200</v>
      </c>
      <c r="I36" s="34"/>
      <c r="J36" s="34">
        <v>2100</v>
      </c>
      <c r="K36" s="34">
        <f>4200-J36</f>
        <v>2100</v>
      </c>
      <c r="L36" s="34">
        <v>2300</v>
      </c>
      <c r="M36" s="34">
        <f>8500-L36-K36-J36</f>
        <v>2000</v>
      </c>
      <c r="N36" s="34">
        <v>2300</v>
      </c>
      <c r="O36" s="34">
        <f>4600-N36</f>
        <v>2300</v>
      </c>
      <c r="P36" s="34">
        <f>7200-O36-N36</f>
        <v>2600</v>
      </c>
      <c r="Q36" s="34">
        <f>9000-P36-O36-N36</f>
        <v>1800</v>
      </c>
      <c r="R36" s="34">
        <v>2400</v>
      </c>
      <c r="S36" s="34">
        <f>4600-R36</f>
        <v>2200</v>
      </c>
      <c r="T36" s="34">
        <v>2500</v>
      </c>
      <c r="U36" s="34">
        <f t="shared" si="14"/>
        <v>1620</v>
      </c>
      <c r="V36" s="34">
        <f>U36</f>
        <v>1620</v>
      </c>
      <c r="W36" s="34">
        <f>V36</f>
        <v>1620</v>
      </c>
      <c r="X36" s="34">
        <f>W36</f>
        <v>1620</v>
      </c>
      <c r="Y36" s="34">
        <f>X36</f>
        <v>1620</v>
      </c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CM36" s="39">
        <f t="shared" si="10"/>
        <v>8720</v>
      </c>
      <c r="CN36" s="34">
        <f t="shared" si="16"/>
        <v>8720</v>
      </c>
      <c r="CO36" s="34">
        <f t="shared" si="16"/>
        <v>8720</v>
      </c>
      <c r="CP36" s="34">
        <f t="shared" si="16"/>
        <v>8720</v>
      </c>
      <c r="CQ36" s="34">
        <f t="shared" si="16"/>
        <v>8720</v>
      </c>
      <c r="CY36" s="62"/>
      <c r="CZ36" s="62"/>
      <c r="DA36" s="62"/>
    </row>
    <row r="37" spans="2:105" x14ac:dyDescent="0.25">
      <c r="B37" s="23" t="s">
        <v>204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>
        <f>3600-O37-N37</f>
        <v>3600</v>
      </c>
      <c r="Q37" s="34"/>
      <c r="R37" s="34">
        <v>1300</v>
      </c>
      <c r="S37" s="34">
        <f>2400-R37</f>
        <v>1100</v>
      </c>
      <c r="T37" s="51"/>
      <c r="U37" s="34">
        <f t="shared" si="14"/>
        <v>0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CM37" s="39">
        <f t="shared" si="10"/>
        <v>2400</v>
      </c>
      <c r="CN37" s="34">
        <f t="shared" si="16"/>
        <v>2400</v>
      </c>
      <c r="CO37" s="34">
        <f t="shared" si="16"/>
        <v>2400</v>
      </c>
      <c r="CP37" s="34">
        <f t="shared" si="16"/>
        <v>2400</v>
      </c>
      <c r="CQ37" s="34">
        <f t="shared" si="16"/>
        <v>2400</v>
      </c>
      <c r="CY37" s="62"/>
      <c r="CZ37" s="62"/>
      <c r="DA37" s="62"/>
    </row>
    <row r="38" spans="2:105" x14ac:dyDescent="0.25">
      <c r="B38" s="1" t="s">
        <v>119</v>
      </c>
      <c r="F38" s="34"/>
      <c r="G38" s="34"/>
      <c r="H38" s="34">
        <v>2400</v>
      </c>
      <c r="I38" s="34"/>
      <c r="J38" s="34">
        <v>1800</v>
      </c>
      <c r="K38" s="34">
        <f>3100-J38</f>
        <v>1300</v>
      </c>
      <c r="L38" s="34">
        <v>2200</v>
      </c>
      <c r="M38" s="34">
        <f>7200-L38-K38-J38</f>
        <v>1900</v>
      </c>
      <c r="N38" s="34">
        <v>1700</v>
      </c>
      <c r="O38" s="34">
        <f>3100-N38</f>
        <v>1400</v>
      </c>
      <c r="P38" s="34">
        <f>5200-O38-N38</f>
        <v>2100</v>
      </c>
      <c r="Q38" s="34">
        <f>6700-P38-O38-N38</f>
        <v>1500</v>
      </c>
      <c r="R38" s="34">
        <v>1500</v>
      </c>
      <c r="S38" s="34">
        <f>2700-R38</f>
        <v>1200</v>
      </c>
      <c r="T38" s="34">
        <v>1800</v>
      </c>
      <c r="U38" s="34">
        <f t="shared" si="14"/>
        <v>1350</v>
      </c>
      <c r="V38" s="34">
        <f>U38</f>
        <v>1350</v>
      </c>
      <c r="W38" s="34">
        <f>V38</f>
        <v>1350</v>
      </c>
      <c r="X38" s="34">
        <f>W38</f>
        <v>1350</v>
      </c>
      <c r="Y38" s="34">
        <f>X38</f>
        <v>1350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CM38" s="39">
        <f t="shared" si="10"/>
        <v>5850</v>
      </c>
      <c r="CN38" s="34">
        <f t="shared" si="16"/>
        <v>5850</v>
      </c>
      <c r="CO38" s="34">
        <f t="shared" si="16"/>
        <v>5850</v>
      </c>
      <c r="CP38" s="34">
        <f t="shared" si="16"/>
        <v>5850</v>
      </c>
      <c r="CQ38" s="34">
        <f t="shared" si="16"/>
        <v>5850</v>
      </c>
      <c r="CY38" s="62"/>
      <c r="CZ38" s="62"/>
      <c r="DA38" s="62"/>
    </row>
    <row r="39" spans="2:105" x14ac:dyDescent="0.25">
      <c r="B39" s="1" t="s">
        <v>120</v>
      </c>
      <c r="F39" s="34"/>
      <c r="G39" s="34"/>
      <c r="H39" s="34">
        <v>1800</v>
      </c>
      <c r="I39" s="34"/>
      <c r="J39" s="34">
        <v>1500</v>
      </c>
      <c r="K39" s="34">
        <f>3000-J39</f>
        <v>1500</v>
      </c>
      <c r="L39" s="34">
        <v>1700</v>
      </c>
      <c r="M39" s="34">
        <f>5900-L39-K39-J39</f>
        <v>1200</v>
      </c>
      <c r="N39" s="34">
        <v>1400</v>
      </c>
      <c r="O39" s="34">
        <f>2800-N39</f>
        <v>1400</v>
      </c>
      <c r="P39" s="34">
        <f>4300-O39-N39</f>
        <v>1500</v>
      </c>
      <c r="Q39" s="34">
        <f>5300-P39-O39-N39</f>
        <v>1000</v>
      </c>
      <c r="R39" s="34">
        <v>1400</v>
      </c>
      <c r="S39" s="34">
        <f>2700-R39</f>
        <v>1300</v>
      </c>
      <c r="T39" s="51"/>
      <c r="U39" s="34">
        <f t="shared" si="14"/>
        <v>900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CM39" s="39">
        <f t="shared" si="10"/>
        <v>3600</v>
      </c>
      <c r="CN39" s="34">
        <f t="shared" si="16"/>
        <v>3600</v>
      </c>
      <c r="CO39" s="34">
        <f t="shared" si="16"/>
        <v>3600</v>
      </c>
      <c r="CP39" s="34">
        <f t="shared" si="16"/>
        <v>3600</v>
      </c>
      <c r="CQ39" s="34">
        <f t="shared" si="16"/>
        <v>3600</v>
      </c>
      <c r="CY39" s="62"/>
      <c r="CZ39" s="62"/>
      <c r="DA39" s="62"/>
    </row>
    <row r="40" spans="2:105" x14ac:dyDescent="0.25">
      <c r="B40" s="1" t="s">
        <v>121</v>
      </c>
      <c r="F40" s="34"/>
      <c r="G40" s="34"/>
      <c r="H40" s="34">
        <v>1500</v>
      </c>
      <c r="I40" s="34"/>
      <c r="J40" s="34">
        <v>1300</v>
      </c>
      <c r="K40" s="34">
        <v>1300</v>
      </c>
      <c r="L40" s="34">
        <f>+K40</f>
        <v>1300</v>
      </c>
      <c r="M40" s="34"/>
      <c r="N40" s="34">
        <v>1200</v>
      </c>
      <c r="O40" s="34">
        <f>2400-N40</f>
        <v>1200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CM40" s="39"/>
      <c r="CY40" s="62"/>
      <c r="CZ40" s="62"/>
      <c r="DA40" s="62"/>
    </row>
    <row r="41" spans="2:105" x14ac:dyDescent="0.25">
      <c r="B41" s="23" t="s">
        <v>205</v>
      </c>
      <c r="F41" s="34">
        <f>F103-SUM(F4:F27)</f>
        <v>-239204.5</v>
      </c>
      <c r="G41" s="34">
        <f>G103-SUM(G4:G27)</f>
        <v>-259302.5</v>
      </c>
      <c r="H41" s="34">
        <f>H103-SUM(H15:H29)+H4+H10</f>
        <v>47606</v>
      </c>
      <c r="I41" s="34"/>
      <c r="J41" s="34"/>
      <c r="K41" s="34"/>
      <c r="L41" s="34"/>
      <c r="M41" s="34"/>
      <c r="N41" s="34">
        <f>138900-SUM(N27:N40)-N5-N11-N16-N19</f>
        <v>16000</v>
      </c>
      <c r="O41" s="34"/>
      <c r="P41" s="34"/>
      <c r="Q41" s="34"/>
      <c r="R41" s="34">
        <f>140448-SUM(R27:R40)-R5-R11-R16-R19</f>
        <v>20748</v>
      </c>
      <c r="S41" s="34">
        <f>283600-SUM(S27:S40)-S5-S11-S16-S19-R130</f>
        <v>27352</v>
      </c>
      <c r="T41" s="34">
        <f>T130-T5-T11-T16-T19-SUM(T27:T40)</f>
        <v>32400</v>
      </c>
      <c r="U41" s="34">
        <f t="shared" ref="U41:Y45" si="18">T41</f>
        <v>32400</v>
      </c>
      <c r="V41" s="34">
        <f t="shared" si="18"/>
        <v>32400</v>
      </c>
      <c r="W41" s="34">
        <f t="shared" si="18"/>
        <v>32400</v>
      </c>
      <c r="X41" s="34">
        <f t="shared" si="18"/>
        <v>32400</v>
      </c>
      <c r="Y41" s="34">
        <f t="shared" si="18"/>
        <v>32400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W41" s="34">
        <f>AW103-SUM(AW4:AW24)</f>
        <v>400754</v>
      </c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>
        <f>AW41*1.05</f>
        <v>420791.7</v>
      </c>
      <c r="CM41" s="39">
        <f>SUM(R41:U41)</f>
        <v>112900</v>
      </c>
      <c r="CN41" s="34">
        <f>CM41*1.05</f>
        <v>118545</v>
      </c>
      <c r="CO41" s="34">
        <f>CN41*1.05</f>
        <v>124472.25</v>
      </c>
      <c r="CP41" s="34">
        <f>CO41*1.05</f>
        <v>130695.8625</v>
      </c>
      <c r="CQ41" s="34">
        <f>CP41*1.05</f>
        <v>137230.65562500001</v>
      </c>
      <c r="CY41" s="62"/>
      <c r="CZ41" s="62"/>
      <c r="DA41" s="62"/>
    </row>
    <row r="42" spans="2:105" x14ac:dyDescent="0.25">
      <c r="B42" s="23" t="s">
        <v>206</v>
      </c>
      <c r="F42" s="34"/>
      <c r="G42" s="34"/>
      <c r="H42" s="34"/>
      <c r="I42" s="34"/>
      <c r="J42" s="34"/>
      <c r="K42" s="34"/>
      <c r="L42" s="34"/>
      <c r="M42" s="34"/>
      <c r="N42" s="34">
        <f>148100-N20-N17-N12-N6</f>
        <v>2400</v>
      </c>
      <c r="O42" s="34"/>
      <c r="P42" s="34"/>
      <c r="Q42" s="34"/>
      <c r="R42" s="34">
        <f>126000-R20-R17-R12-R6</f>
        <v>6200</v>
      </c>
      <c r="S42" s="34">
        <f>248000-R131-S6-S12-S17-S20</f>
        <v>8200</v>
      </c>
      <c r="T42" s="34">
        <f>T131-T6-T12-T17-T20</f>
        <v>9500</v>
      </c>
      <c r="U42" s="34">
        <f t="shared" si="18"/>
        <v>9500</v>
      </c>
      <c r="V42" s="34">
        <f t="shared" si="18"/>
        <v>9500</v>
      </c>
      <c r="W42" s="34">
        <f t="shared" si="18"/>
        <v>9500</v>
      </c>
      <c r="X42" s="34">
        <f t="shared" si="18"/>
        <v>9500</v>
      </c>
      <c r="Y42" s="34">
        <f t="shared" si="18"/>
        <v>9500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9">
        <f>SUM(R42:U42)</f>
        <v>33400</v>
      </c>
      <c r="CN42" s="34">
        <f t="shared" ref="CN42:CQ45" si="19">CM42</f>
        <v>33400</v>
      </c>
      <c r="CO42" s="34">
        <f t="shared" si="19"/>
        <v>33400</v>
      </c>
      <c r="CP42" s="34">
        <f t="shared" si="19"/>
        <v>33400</v>
      </c>
      <c r="CQ42" s="34">
        <f t="shared" si="19"/>
        <v>33400</v>
      </c>
      <c r="CY42" s="62"/>
      <c r="CZ42" s="62"/>
      <c r="DA42" s="62"/>
    </row>
    <row r="43" spans="2:105" x14ac:dyDescent="0.25">
      <c r="B43" s="23" t="s">
        <v>207</v>
      </c>
      <c r="F43" s="34"/>
      <c r="G43" s="34"/>
      <c r="H43" s="34"/>
      <c r="I43" s="34"/>
      <c r="J43" s="34"/>
      <c r="K43" s="34"/>
      <c r="L43" s="34"/>
      <c r="M43" s="34"/>
      <c r="N43" s="34">
        <f>31300-N7-N13-N21</f>
        <v>8600</v>
      </c>
      <c r="O43" s="34"/>
      <c r="P43" s="34"/>
      <c r="Q43" s="34"/>
      <c r="R43" s="34">
        <f>38800-R7-R13-R21</f>
        <v>19200</v>
      </c>
      <c r="S43" s="34">
        <f>73100-R132-S7-S13-S21</f>
        <v>16700</v>
      </c>
      <c r="T43" s="34">
        <f>T132-T7-T13-T21</f>
        <v>16200</v>
      </c>
      <c r="U43" s="34">
        <f t="shared" si="18"/>
        <v>16200</v>
      </c>
      <c r="V43" s="34">
        <f t="shared" si="18"/>
        <v>16200</v>
      </c>
      <c r="W43" s="34">
        <f t="shared" si="18"/>
        <v>16200</v>
      </c>
      <c r="X43" s="34">
        <f t="shared" si="18"/>
        <v>16200</v>
      </c>
      <c r="Y43" s="34">
        <f t="shared" si="18"/>
        <v>16200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9">
        <f>SUM(R43:U43)</f>
        <v>68300</v>
      </c>
      <c r="CN43" s="34">
        <f t="shared" si="19"/>
        <v>68300</v>
      </c>
      <c r="CO43" s="34">
        <f t="shared" si="19"/>
        <v>68300</v>
      </c>
      <c r="CP43" s="34">
        <f t="shared" si="19"/>
        <v>68300</v>
      </c>
      <c r="CQ43" s="34">
        <f t="shared" si="19"/>
        <v>68300</v>
      </c>
      <c r="CY43" s="62"/>
      <c r="CZ43" s="62"/>
      <c r="DA43" s="62"/>
    </row>
    <row r="44" spans="2:105" x14ac:dyDescent="0.25">
      <c r="B44" s="23" t="s">
        <v>208</v>
      </c>
      <c r="F44" s="34"/>
      <c r="G44" s="34"/>
      <c r="H44" s="34"/>
      <c r="I44" s="34"/>
      <c r="J44" s="34"/>
      <c r="K44" s="34"/>
      <c r="L44" s="34"/>
      <c r="M44" s="34"/>
      <c r="N44" s="34">
        <f>2700-N8-N14-N22</f>
        <v>0</v>
      </c>
      <c r="O44" s="34"/>
      <c r="P44" s="34"/>
      <c r="Q44" s="34"/>
      <c r="R44" s="34">
        <f>5200-R8-R14-R22</f>
        <v>2200</v>
      </c>
      <c r="S44" s="34">
        <f>11400-R133-S8-S14-S22</f>
        <v>3000</v>
      </c>
      <c r="T44" s="34">
        <f>T133-T8-T14-T22</f>
        <v>2700</v>
      </c>
      <c r="U44" s="34">
        <f t="shared" si="18"/>
        <v>2700</v>
      </c>
      <c r="V44" s="34">
        <f t="shared" si="18"/>
        <v>2700</v>
      </c>
      <c r="W44" s="34">
        <f t="shared" si="18"/>
        <v>2700</v>
      </c>
      <c r="X44" s="34">
        <f t="shared" si="18"/>
        <v>2700</v>
      </c>
      <c r="Y44" s="34">
        <f t="shared" si="18"/>
        <v>2700</v>
      </c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9">
        <f>SUM(R44:U44)</f>
        <v>10600</v>
      </c>
      <c r="CN44" s="34">
        <f t="shared" si="19"/>
        <v>10600</v>
      </c>
      <c r="CO44" s="34">
        <f t="shared" si="19"/>
        <v>10600</v>
      </c>
      <c r="CP44" s="34">
        <f t="shared" si="19"/>
        <v>10600</v>
      </c>
      <c r="CQ44" s="34">
        <f t="shared" si="19"/>
        <v>10600</v>
      </c>
      <c r="CY44" s="62"/>
      <c r="CZ44" s="62"/>
      <c r="DA44" s="62"/>
    </row>
    <row r="45" spans="2:105" x14ac:dyDescent="0.25">
      <c r="B45" s="23" t="s">
        <v>209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>
        <f>23962-1167-6667</f>
        <v>16128</v>
      </c>
      <c r="S45" s="34">
        <f>47000-2300-R45</f>
        <v>28572</v>
      </c>
      <c r="T45" s="34">
        <f>T103-T4-T10-T15-T18-SUM(T23:T44)</f>
        <v>19405</v>
      </c>
      <c r="U45" s="34">
        <f t="shared" si="18"/>
        <v>19405</v>
      </c>
      <c r="V45" s="34">
        <f t="shared" si="18"/>
        <v>19405</v>
      </c>
      <c r="W45" s="34">
        <f t="shared" si="18"/>
        <v>19405</v>
      </c>
      <c r="X45" s="34">
        <f t="shared" si="18"/>
        <v>19405</v>
      </c>
      <c r="Y45" s="34">
        <f t="shared" si="18"/>
        <v>19405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>
        <v>51700</v>
      </c>
      <c r="CA45" s="34">
        <f>+BZ45</f>
        <v>51700</v>
      </c>
      <c r="CB45" s="34">
        <f>+CA45</f>
        <v>51700</v>
      </c>
      <c r="CC45" s="34">
        <f>+CB45</f>
        <v>51700</v>
      </c>
      <c r="CD45" s="34">
        <v>46500</v>
      </c>
      <c r="CE45" s="34"/>
      <c r="CF45" s="34"/>
      <c r="CG45" s="34"/>
      <c r="CH45" s="34"/>
      <c r="CI45" s="34"/>
      <c r="CJ45" s="34"/>
      <c r="CK45" s="34"/>
      <c r="CL45" s="34"/>
      <c r="CM45" s="39">
        <f>SUM(R45:U45)</f>
        <v>83510</v>
      </c>
      <c r="CN45" s="34">
        <f t="shared" si="19"/>
        <v>83510</v>
      </c>
      <c r="CO45" s="34">
        <f t="shared" si="19"/>
        <v>83510</v>
      </c>
      <c r="CP45" s="34">
        <f t="shared" si="19"/>
        <v>83510</v>
      </c>
      <c r="CQ45" s="34">
        <f t="shared" si="19"/>
        <v>83510</v>
      </c>
      <c r="CY45" s="62"/>
      <c r="CZ45" s="62"/>
      <c r="DA45" s="62"/>
    </row>
    <row r="46" spans="2:105" x14ac:dyDescent="0.25">
      <c r="B46" s="23" t="s">
        <v>387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>
        <v>3200</v>
      </c>
      <c r="BS46" s="34">
        <v>3500</v>
      </c>
      <c r="BT46" s="34">
        <v>4300</v>
      </c>
      <c r="BU46" s="34">
        <v>2400</v>
      </c>
      <c r="BV46" s="34">
        <v>3200</v>
      </c>
      <c r="BW46" s="34">
        <v>4400</v>
      </c>
      <c r="BX46" s="34">
        <v>4000</v>
      </c>
      <c r="BY46" s="34">
        <v>4200</v>
      </c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9"/>
      <c r="CN46" s="34"/>
      <c r="CO46" s="34"/>
      <c r="CP46" s="34"/>
      <c r="CQ46" s="34"/>
      <c r="CY46" s="62">
        <f t="shared" ref="CY46" si="20">SUM(BR46:BU46)</f>
        <v>13400</v>
      </c>
      <c r="CZ46" s="62">
        <f t="shared" ref="CZ46" si="21">SUM(BV46:BY46)</f>
        <v>15800</v>
      </c>
      <c r="DA46" s="62">
        <f t="shared" ref="DA46" si="22">SUM(BZ46:CC46)</f>
        <v>0</v>
      </c>
    </row>
    <row r="47" spans="2:105" x14ac:dyDescent="0.25">
      <c r="B47" s="23" t="s">
        <v>386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>
        <v>3400</v>
      </c>
      <c r="BS47" s="34">
        <v>3600</v>
      </c>
      <c r="BT47" s="34">
        <v>3200</v>
      </c>
      <c r="BU47" s="34">
        <v>3400</v>
      </c>
      <c r="BV47" s="34">
        <v>4200</v>
      </c>
      <c r="BW47" s="34">
        <v>3300</v>
      </c>
      <c r="BX47" s="34">
        <v>3400</v>
      </c>
      <c r="BY47" s="34">
        <v>2600</v>
      </c>
      <c r="BZ47" s="34">
        <v>4200</v>
      </c>
      <c r="CA47" s="34">
        <v>4000</v>
      </c>
      <c r="CB47" s="34">
        <v>3000</v>
      </c>
      <c r="CC47" s="34">
        <v>2400</v>
      </c>
      <c r="CD47" s="34">
        <v>1800</v>
      </c>
      <c r="CE47" s="34">
        <v>2200</v>
      </c>
      <c r="CF47" s="34">
        <v>2000</v>
      </c>
      <c r="CG47" s="34">
        <v>2000</v>
      </c>
      <c r="CH47" s="34"/>
      <c r="CI47" s="34"/>
      <c r="CJ47" s="34"/>
      <c r="CK47" s="34"/>
      <c r="CL47" s="34"/>
      <c r="CM47" s="39"/>
      <c r="CN47" s="34"/>
      <c r="CO47" s="34"/>
      <c r="CP47" s="34"/>
      <c r="CQ47" s="34"/>
      <c r="CY47" s="62">
        <f t="shared" ref="CY47:CY53" si="23">SUM(BR47:BU47)</f>
        <v>13600</v>
      </c>
      <c r="CZ47" s="62">
        <f t="shared" ref="CZ47:CZ53" si="24">SUM(BV47:BY47)</f>
        <v>13500</v>
      </c>
      <c r="DA47" s="62">
        <f t="shared" ref="DA47:DA53" si="25">SUM(BZ47:CC47)</f>
        <v>13600</v>
      </c>
    </row>
    <row r="48" spans="2:105" x14ac:dyDescent="0.25">
      <c r="B48" s="23" t="s">
        <v>385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>
        <v>7800</v>
      </c>
      <c r="BS48" s="34">
        <v>8200</v>
      </c>
      <c r="BT48" s="34">
        <v>8700</v>
      </c>
      <c r="BU48" s="34">
        <v>7900</v>
      </c>
      <c r="BV48" s="34">
        <v>8400</v>
      </c>
      <c r="BW48" s="34">
        <v>2100</v>
      </c>
      <c r="BX48" s="34">
        <v>2800</v>
      </c>
      <c r="BY48" s="34">
        <v>3400</v>
      </c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9"/>
      <c r="CN48" s="34"/>
      <c r="CO48" s="34"/>
      <c r="CP48" s="34"/>
      <c r="CQ48" s="34"/>
      <c r="CY48" s="62">
        <f t="shared" si="23"/>
        <v>32600</v>
      </c>
      <c r="CZ48" s="62">
        <f t="shared" si="24"/>
        <v>16700</v>
      </c>
      <c r="DA48" s="62">
        <f t="shared" si="25"/>
        <v>0</v>
      </c>
    </row>
    <row r="49" spans="2:105" x14ac:dyDescent="0.25">
      <c r="B49" s="23" t="s">
        <v>384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>
        <v>22600</v>
      </c>
      <c r="BS49" s="34">
        <v>17700</v>
      </c>
      <c r="BT49" s="34">
        <v>19700</v>
      </c>
      <c r="BU49" s="34">
        <v>16200</v>
      </c>
      <c r="BV49" s="34">
        <v>19600</v>
      </c>
      <c r="BW49" s="34">
        <v>17600</v>
      </c>
      <c r="BX49" s="34">
        <v>19400</v>
      </c>
      <c r="BY49" s="34">
        <v>16300</v>
      </c>
      <c r="BZ49" s="34">
        <v>18700</v>
      </c>
      <c r="CA49" s="34">
        <v>5000</v>
      </c>
      <c r="CB49" s="34">
        <v>5400</v>
      </c>
      <c r="CC49" s="34">
        <v>4600</v>
      </c>
      <c r="CD49" s="34">
        <v>3200</v>
      </c>
      <c r="CE49" s="34">
        <v>2600</v>
      </c>
      <c r="CF49" s="34">
        <v>2900</v>
      </c>
      <c r="CG49" s="34">
        <v>3000</v>
      </c>
      <c r="CH49" s="34"/>
      <c r="CI49" s="34"/>
      <c r="CJ49" s="34"/>
      <c r="CK49" s="34"/>
      <c r="CL49" s="34"/>
      <c r="CM49" s="39"/>
      <c r="CN49" s="34"/>
      <c r="CO49" s="34"/>
      <c r="CP49" s="34"/>
      <c r="CQ49" s="34"/>
      <c r="CY49" s="62">
        <f t="shared" si="23"/>
        <v>76200</v>
      </c>
      <c r="CZ49" s="62">
        <f t="shared" si="24"/>
        <v>72900</v>
      </c>
      <c r="DA49" s="62">
        <f t="shared" si="25"/>
        <v>33700</v>
      </c>
    </row>
    <row r="50" spans="2:105" x14ac:dyDescent="0.25">
      <c r="B50" s="55" t="s">
        <v>463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>
        <v>700</v>
      </c>
      <c r="CA50" s="34">
        <v>1200</v>
      </c>
      <c r="CB50" s="34">
        <v>3800</v>
      </c>
      <c r="CC50" s="34">
        <v>3800</v>
      </c>
      <c r="CD50" s="34">
        <v>9500</v>
      </c>
      <c r="CE50" s="34">
        <v>10400</v>
      </c>
      <c r="CF50" s="34">
        <v>10100</v>
      </c>
      <c r="CG50" s="34">
        <f>35600-CF50-CE50-CD50</f>
        <v>5600</v>
      </c>
      <c r="CH50" s="34"/>
      <c r="CI50" s="34"/>
      <c r="CJ50" s="34"/>
      <c r="CK50" s="34"/>
      <c r="CL50" s="34"/>
      <c r="CM50" s="39"/>
      <c r="CN50" s="34"/>
      <c r="CO50" s="34"/>
      <c r="CP50" s="34"/>
      <c r="CQ50" s="34"/>
      <c r="CY50" s="62"/>
      <c r="CZ50" s="62"/>
      <c r="DA50" s="62"/>
    </row>
    <row r="51" spans="2:105" x14ac:dyDescent="0.25">
      <c r="B51" s="55" t="s">
        <v>545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>
        <v>9800</v>
      </c>
      <c r="CA51" s="34">
        <v>6000</v>
      </c>
      <c r="CB51" s="34">
        <v>7900</v>
      </c>
      <c r="CC51" s="34">
        <v>17100</v>
      </c>
      <c r="CD51" s="34">
        <v>3000</v>
      </c>
      <c r="CE51" s="34">
        <v>15200</v>
      </c>
      <c r="CF51" s="34">
        <v>1700</v>
      </c>
      <c r="CG51" s="34">
        <f>19800-CF51-CE51-CD51</f>
        <v>-100</v>
      </c>
      <c r="CH51" s="34"/>
      <c r="CI51" s="34"/>
      <c r="CJ51" s="34"/>
      <c r="CK51" s="34"/>
      <c r="CL51" s="34"/>
      <c r="CM51" s="39"/>
      <c r="CN51" s="34"/>
      <c r="CO51" s="34"/>
      <c r="CP51" s="34"/>
      <c r="CQ51" s="34"/>
      <c r="CY51" s="62"/>
      <c r="CZ51" s="62"/>
      <c r="DA51" s="62"/>
    </row>
    <row r="52" spans="2:105" x14ac:dyDescent="0.25">
      <c r="B52" s="23" t="s">
        <v>383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>
        <v>5900</v>
      </c>
      <c r="BS52" s="34">
        <v>5100</v>
      </c>
      <c r="BT52" s="34">
        <v>5700</v>
      </c>
      <c r="BU52" s="34">
        <v>4700</v>
      </c>
      <c r="BV52" s="34">
        <v>6400</v>
      </c>
      <c r="BW52" s="34">
        <v>5400</v>
      </c>
      <c r="BX52" s="34">
        <v>6700</v>
      </c>
      <c r="BY52" s="34">
        <v>6300</v>
      </c>
      <c r="BZ52" s="34">
        <v>8200</v>
      </c>
      <c r="CA52" s="34">
        <v>6400</v>
      </c>
      <c r="CB52" s="34">
        <v>6500</v>
      </c>
      <c r="CC52" s="34">
        <v>2600</v>
      </c>
      <c r="CD52" s="34">
        <v>5500</v>
      </c>
      <c r="CE52" s="34">
        <v>5200</v>
      </c>
      <c r="CF52" s="34">
        <v>5500</v>
      </c>
      <c r="CG52" s="34">
        <f>20700-CF52-CE52-CD52</f>
        <v>4500</v>
      </c>
      <c r="CH52" s="34"/>
      <c r="CI52" s="34"/>
      <c r="CJ52" s="34"/>
      <c r="CK52" s="34"/>
      <c r="CL52" s="34"/>
      <c r="CM52" s="39"/>
      <c r="CN52" s="34"/>
      <c r="CO52" s="34"/>
      <c r="CP52" s="34"/>
      <c r="CQ52" s="34"/>
      <c r="CY52" s="62">
        <f t="shared" si="23"/>
        <v>21400</v>
      </c>
      <c r="CZ52" s="62">
        <f t="shared" si="24"/>
        <v>24800</v>
      </c>
      <c r="DA52" s="62">
        <f t="shared" si="25"/>
        <v>23700</v>
      </c>
    </row>
    <row r="53" spans="2:105" x14ac:dyDescent="0.25">
      <c r="B53" s="23" t="s">
        <v>382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>
        <v>3900</v>
      </c>
      <c r="BS53" s="34">
        <v>5700</v>
      </c>
      <c r="BT53" s="34">
        <v>6300</v>
      </c>
      <c r="BU53" s="34">
        <v>4900</v>
      </c>
      <c r="BV53" s="34">
        <v>6200</v>
      </c>
      <c r="BW53" s="34">
        <v>6300</v>
      </c>
      <c r="BX53" s="34">
        <v>6500</v>
      </c>
      <c r="BY53" s="34">
        <v>9500</v>
      </c>
      <c r="BZ53" s="34">
        <v>13500</v>
      </c>
      <c r="CA53" s="34">
        <v>9100</v>
      </c>
      <c r="CB53" s="34">
        <v>12600</v>
      </c>
      <c r="CC53" s="34">
        <v>6500</v>
      </c>
      <c r="CD53" s="34">
        <v>7700</v>
      </c>
      <c r="CE53" s="34">
        <v>9100</v>
      </c>
      <c r="CF53" s="34">
        <v>7100</v>
      </c>
      <c r="CG53" s="34">
        <f>28400-CF53-CE53-CD53</f>
        <v>4500</v>
      </c>
      <c r="CH53" s="34"/>
      <c r="CI53" s="34"/>
      <c r="CJ53" s="34"/>
      <c r="CK53" s="34"/>
      <c r="CL53" s="34"/>
      <c r="CM53" s="39"/>
      <c r="CN53" s="34"/>
      <c r="CO53" s="34"/>
      <c r="CP53" s="34"/>
      <c r="CQ53" s="34"/>
      <c r="CY53" s="62">
        <f t="shared" si="23"/>
        <v>20800</v>
      </c>
      <c r="CZ53" s="62">
        <f t="shared" si="24"/>
        <v>28500</v>
      </c>
      <c r="DA53" s="62">
        <f t="shared" si="25"/>
        <v>41700</v>
      </c>
    </row>
    <row r="54" spans="2:105" x14ac:dyDescent="0.25">
      <c r="B54" s="23" t="s">
        <v>381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>
        <v>3300</v>
      </c>
      <c r="BS54" s="34">
        <v>4200</v>
      </c>
      <c r="BT54" s="34">
        <v>5000</v>
      </c>
      <c r="BU54" s="34">
        <v>6400</v>
      </c>
      <c r="BV54" s="34">
        <v>5100</v>
      </c>
      <c r="BW54" s="34">
        <v>5300</v>
      </c>
      <c r="BX54" s="34">
        <v>6200</v>
      </c>
      <c r="BY54" s="34">
        <v>-300</v>
      </c>
      <c r="BZ54" s="34">
        <v>7900</v>
      </c>
      <c r="CA54" s="34">
        <v>8300</v>
      </c>
      <c r="CB54" s="34">
        <v>9200</v>
      </c>
      <c r="CC54" s="34">
        <v>8100</v>
      </c>
      <c r="CD54" s="34">
        <v>10200</v>
      </c>
      <c r="CE54" s="34">
        <v>9600</v>
      </c>
      <c r="CF54" s="34">
        <v>10900</v>
      </c>
      <c r="CG54" s="34">
        <v>9600</v>
      </c>
      <c r="CH54" s="34"/>
      <c r="CI54" s="34"/>
      <c r="CJ54" s="34"/>
      <c r="CK54" s="34"/>
      <c r="CL54" s="34"/>
      <c r="CM54" s="39"/>
      <c r="CN54" s="34"/>
      <c r="CO54" s="34"/>
      <c r="CP54" s="34"/>
      <c r="CQ54" s="34"/>
      <c r="CY54" s="62">
        <f t="shared" ref="CY54:CY57" si="26">SUM(BR54:BU54)</f>
        <v>18900</v>
      </c>
      <c r="CZ54" s="62">
        <f t="shared" ref="CZ54:CZ57" si="27">SUM(BV54:BY54)</f>
        <v>16300</v>
      </c>
      <c r="DA54" s="62">
        <f t="shared" ref="DA54:DA57" si="28">SUM(BZ54:CC54)</f>
        <v>33500</v>
      </c>
    </row>
    <row r="55" spans="2:105" x14ac:dyDescent="0.25">
      <c r="B55" s="23" t="s">
        <v>380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>
        <v>17900</v>
      </c>
      <c r="BS55" s="34">
        <v>22200</v>
      </c>
      <c r="BT55" s="34">
        <v>23000</v>
      </c>
      <c r="BU55" s="34">
        <v>19300</v>
      </c>
      <c r="BV55" s="34">
        <v>21400</v>
      </c>
      <c r="BW55" s="34">
        <v>28400</v>
      </c>
      <c r="BX55" s="34">
        <v>29900</v>
      </c>
      <c r="BY55" s="34">
        <v>20400</v>
      </c>
      <c r="BZ55" s="34">
        <v>24300</v>
      </c>
      <c r="CA55" s="34">
        <v>26600</v>
      </c>
      <c r="CB55" s="34">
        <v>29300</v>
      </c>
      <c r="CC55" s="34">
        <v>24600</v>
      </c>
      <c r="CD55" s="34">
        <v>31000</v>
      </c>
      <c r="CE55" s="34">
        <v>33100</v>
      </c>
      <c r="CF55" s="34">
        <v>34000</v>
      </c>
      <c r="CG55" s="34">
        <f>125700-CF55-CE55-CD55</f>
        <v>27600</v>
      </c>
      <c r="CH55" s="34">
        <f t="shared" ref="CH47:CH80" si="29">SUM(BY55:CB55)/$CB$1</f>
        <v>698.61111111111109</v>
      </c>
      <c r="CI55" s="34">
        <f t="shared" ref="CI49:CI96" si="30">SUM(CD55:CG55)/$CF$1</f>
        <v>826.97368421052636</v>
      </c>
      <c r="CJ55" s="34"/>
      <c r="CK55" s="34"/>
      <c r="CL55" s="34"/>
      <c r="CM55" s="39"/>
      <c r="CN55" s="34"/>
      <c r="CO55" s="34"/>
      <c r="CP55" s="34"/>
      <c r="CQ55" s="34"/>
      <c r="CY55" s="62">
        <f t="shared" si="26"/>
        <v>82400</v>
      </c>
      <c r="CZ55" s="62">
        <f t="shared" si="27"/>
        <v>100100</v>
      </c>
      <c r="DA55" s="62">
        <f t="shared" si="28"/>
        <v>104800</v>
      </c>
    </row>
    <row r="56" spans="2:105" x14ac:dyDescent="0.25">
      <c r="B56" s="23" t="s">
        <v>379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>
        <v>79200</v>
      </c>
      <c r="BS56" s="34">
        <v>80100</v>
      </c>
      <c r="BT56" s="34">
        <v>85700</v>
      </c>
      <c r="BU56" s="34">
        <v>82100</v>
      </c>
      <c r="BV56" s="34">
        <v>100000</v>
      </c>
      <c r="BW56" s="34">
        <v>111300</v>
      </c>
      <c r="BX56" s="34">
        <v>124200</v>
      </c>
      <c r="BY56" s="34">
        <v>123800</v>
      </c>
      <c r="BZ56" s="34">
        <v>123200</v>
      </c>
      <c r="CA56" s="34">
        <v>103100</v>
      </c>
      <c r="CB56" s="34">
        <v>86600</v>
      </c>
      <c r="CC56" s="34">
        <v>110300</v>
      </c>
      <c r="CD56" s="34">
        <v>114600</v>
      </c>
      <c r="CE56" s="34">
        <v>88500</v>
      </c>
      <c r="CF56" s="34">
        <v>84400</v>
      </c>
      <c r="CG56" s="34">
        <v>63000</v>
      </c>
      <c r="CH56" s="34">
        <f t="shared" si="29"/>
        <v>3032.6388888888887</v>
      </c>
      <c r="CI56" s="34">
        <f t="shared" si="30"/>
        <v>2305.9210526315787</v>
      </c>
      <c r="CJ56" s="34"/>
      <c r="CK56" s="34"/>
      <c r="CL56" s="34"/>
      <c r="CM56" s="39"/>
      <c r="CN56" s="34"/>
      <c r="CO56" s="34"/>
      <c r="CP56" s="34"/>
      <c r="CQ56" s="34"/>
      <c r="CY56" s="62">
        <f t="shared" si="26"/>
        <v>327100</v>
      </c>
      <c r="CZ56" s="62">
        <f t="shared" si="27"/>
        <v>459300</v>
      </c>
      <c r="DA56" s="62">
        <f t="shared" si="28"/>
        <v>423200</v>
      </c>
    </row>
    <row r="57" spans="2:105" x14ac:dyDescent="0.25">
      <c r="B57" s="23" t="s">
        <v>378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>
        <v>600</v>
      </c>
      <c r="BS57" s="34">
        <v>700</v>
      </c>
      <c r="BT57" s="34">
        <v>1400</v>
      </c>
      <c r="BU57" s="34">
        <v>600</v>
      </c>
      <c r="BV57" s="34">
        <v>1000</v>
      </c>
      <c r="BW57" s="34">
        <v>1300</v>
      </c>
      <c r="BX57" s="34">
        <v>1400</v>
      </c>
      <c r="BY57" s="34">
        <v>1200</v>
      </c>
      <c r="BZ57" s="34">
        <v>5700</v>
      </c>
      <c r="CA57" s="34">
        <v>4100</v>
      </c>
      <c r="CB57" s="34">
        <v>2900</v>
      </c>
      <c r="CC57" s="34">
        <v>3300</v>
      </c>
      <c r="CD57" s="34">
        <v>3600</v>
      </c>
      <c r="CE57" s="34">
        <v>3600</v>
      </c>
      <c r="CF57" s="34">
        <v>4200</v>
      </c>
      <c r="CG57" s="34">
        <v>5500</v>
      </c>
      <c r="CH57" s="34"/>
      <c r="CI57" s="34"/>
      <c r="CJ57" s="34"/>
      <c r="CK57" s="34"/>
      <c r="CL57" s="34"/>
      <c r="CM57" s="39"/>
      <c r="CN57" s="34"/>
      <c r="CO57" s="34"/>
      <c r="CP57" s="34"/>
      <c r="CQ57" s="34"/>
      <c r="CY57" s="62">
        <f t="shared" si="26"/>
        <v>3300</v>
      </c>
      <c r="CZ57" s="62">
        <f t="shared" si="27"/>
        <v>4900</v>
      </c>
      <c r="DA57" s="62">
        <f t="shared" si="28"/>
        <v>16000</v>
      </c>
    </row>
    <row r="58" spans="2:105" x14ac:dyDescent="0.25">
      <c r="B58" s="23" t="s">
        <v>377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>
        <v>0</v>
      </c>
      <c r="BS58" s="34">
        <v>200</v>
      </c>
      <c r="BT58" s="34">
        <v>200</v>
      </c>
      <c r="BU58" s="34">
        <v>500</v>
      </c>
      <c r="BV58" s="34">
        <v>700</v>
      </c>
      <c r="BW58" s="34">
        <v>700</v>
      </c>
      <c r="BX58" s="34">
        <v>800</v>
      </c>
      <c r="BY58" s="34">
        <v>1500</v>
      </c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9"/>
      <c r="CN58" s="34"/>
      <c r="CO58" s="34"/>
      <c r="CP58" s="34"/>
      <c r="CQ58" s="34"/>
      <c r="CY58" s="62">
        <f t="shared" ref="CY58:CY75" si="31">SUM(BR58:BU58)</f>
        <v>900</v>
      </c>
      <c r="CZ58" s="62">
        <f t="shared" ref="CZ58:CZ75" si="32">SUM(BV58:BY58)</f>
        <v>3700</v>
      </c>
      <c r="DA58" s="62">
        <f t="shared" ref="DA58:DA75" si="33">SUM(BZ58:CC58)</f>
        <v>0</v>
      </c>
    </row>
    <row r="59" spans="2:105" x14ac:dyDescent="0.25">
      <c r="B59" s="23" t="s">
        <v>376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>
        <v>1600</v>
      </c>
      <c r="BS59" s="34">
        <v>1500</v>
      </c>
      <c r="BT59" s="34">
        <v>1800</v>
      </c>
      <c r="BU59" s="34">
        <v>1600</v>
      </c>
      <c r="BV59" s="34">
        <v>2100</v>
      </c>
      <c r="BW59" s="34">
        <v>1900</v>
      </c>
      <c r="BX59" s="34">
        <v>2100</v>
      </c>
      <c r="BY59" s="34">
        <v>1700</v>
      </c>
      <c r="BZ59" s="34">
        <v>2200</v>
      </c>
      <c r="CA59" s="34">
        <v>2000</v>
      </c>
      <c r="CB59" s="34">
        <v>2300</v>
      </c>
      <c r="CC59" s="34">
        <v>1900</v>
      </c>
      <c r="CD59" s="34">
        <v>2300</v>
      </c>
      <c r="CE59" s="34">
        <v>2100</v>
      </c>
      <c r="CF59" s="34">
        <v>2200</v>
      </c>
      <c r="CG59" s="34">
        <v>1700</v>
      </c>
      <c r="CH59" s="34"/>
      <c r="CI59" s="34"/>
      <c r="CJ59" s="34"/>
      <c r="CK59" s="34"/>
      <c r="CL59" s="34"/>
      <c r="CM59" s="39"/>
      <c r="CN59" s="34"/>
      <c r="CO59" s="34"/>
      <c r="CP59" s="34"/>
      <c r="CQ59" s="34"/>
      <c r="CY59" s="62">
        <f t="shared" si="31"/>
        <v>6500</v>
      </c>
      <c r="CZ59" s="62">
        <f t="shared" si="32"/>
        <v>7800</v>
      </c>
      <c r="DA59" s="62">
        <f t="shared" si="33"/>
        <v>8400</v>
      </c>
    </row>
    <row r="60" spans="2:105" x14ac:dyDescent="0.25">
      <c r="B60" s="23" t="s">
        <v>375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>
        <v>1600</v>
      </c>
      <c r="BS60" s="34">
        <v>1800</v>
      </c>
      <c r="BT60" s="34">
        <v>2400</v>
      </c>
      <c r="BU60" s="34">
        <v>2200</v>
      </c>
      <c r="BV60" s="34">
        <v>3000</v>
      </c>
      <c r="BW60" s="34">
        <v>3300</v>
      </c>
      <c r="BX60" s="34">
        <v>3500</v>
      </c>
      <c r="BY60" s="34">
        <v>3100</v>
      </c>
      <c r="BZ60" s="34">
        <v>3800</v>
      </c>
      <c r="CA60" s="34">
        <v>3600</v>
      </c>
      <c r="CB60" s="34">
        <v>3700</v>
      </c>
      <c r="CC60" s="34">
        <v>3100</v>
      </c>
      <c r="CD60" s="34">
        <v>3700</v>
      </c>
      <c r="CE60" s="34">
        <v>3500</v>
      </c>
      <c r="CF60" s="34">
        <v>3800</v>
      </c>
      <c r="CG60" s="34">
        <f>14300-CF60-CE60-CD60</f>
        <v>3300</v>
      </c>
      <c r="CH60" s="34"/>
      <c r="CI60" s="34"/>
      <c r="CJ60" s="34"/>
      <c r="CK60" s="34"/>
      <c r="CL60" s="34"/>
      <c r="CM60" s="39"/>
      <c r="CN60" s="34"/>
      <c r="CO60" s="34"/>
      <c r="CP60" s="34"/>
      <c r="CQ60" s="34"/>
      <c r="CY60" s="62">
        <f t="shared" si="31"/>
        <v>8000</v>
      </c>
      <c r="CZ60" s="62">
        <f t="shared" si="32"/>
        <v>12900</v>
      </c>
      <c r="DA60" s="62">
        <f t="shared" si="33"/>
        <v>14200</v>
      </c>
    </row>
    <row r="61" spans="2:105" x14ac:dyDescent="0.25">
      <c r="B61" s="55" t="s">
        <v>544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>
        <v>0</v>
      </c>
      <c r="CA61" s="34">
        <v>0</v>
      </c>
      <c r="CB61" s="34">
        <v>2200</v>
      </c>
      <c r="CC61" s="34">
        <v>7800</v>
      </c>
      <c r="CD61" s="34">
        <v>11900</v>
      </c>
      <c r="CE61" s="34">
        <v>11100</v>
      </c>
      <c r="CF61" s="34">
        <v>13000</v>
      </c>
      <c r="CG61" s="34">
        <v>11900</v>
      </c>
      <c r="CH61" s="34"/>
      <c r="CI61" s="34"/>
      <c r="CJ61" s="34"/>
      <c r="CK61" s="34"/>
      <c r="CL61" s="34"/>
      <c r="CM61" s="39"/>
      <c r="CN61" s="34"/>
      <c r="CO61" s="34"/>
      <c r="CP61" s="34"/>
      <c r="CQ61" s="34"/>
      <c r="CY61" s="62"/>
      <c r="CZ61" s="62"/>
      <c r="DA61" s="62"/>
    </row>
    <row r="62" spans="2:105" x14ac:dyDescent="0.25">
      <c r="B62" s="23" t="s">
        <v>374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>
        <v>3100</v>
      </c>
      <c r="BS62" s="34">
        <v>3100</v>
      </c>
      <c r="BT62" s="34">
        <v>3900</v>
      </c>
      <c r="BU62" s="34">
        <v>3500</v>
      </c>
      <c r="BV62" s="34">
        <v>4500</v>
      </c>
      <c r="BW62" s="34">
        <v>5200</v>
      </c>
      <c r="BX62" s="34">
        <v>6100</v>
      </c>
      <c r="BY62" s="34">
        <v>4800</v>
      </c>
      <c r="BZ62" s="34">
        <v>6600</v>
      </c>
      <c r="CA62" s="34">
        <v>7100</v>
      </c>
      <c r="CB62" s="34">
        <v>7400</v>
      </c>
      <c r="CC62" s="34">
        <v>7400</v>
      </c>
      <c r="CD62" s="34">
        <v>9400</v>
      </c>
      <c r="CE62" s="34">
        <v>8800</v>
      </c>
      <c r="CF62" s="34">
        <v>9300</v>
      </c>
      <c r="CG62" s="34">
        <f>36400-CF62-CE62-CD62</f>
        <v>8900</v>
      </c>
      <c r="CH62" s="34"/>
      <c r="CI62" s="34"/>
      <c r="CJ62" s="34"/>
      <c r="CK62" s="34"/>
      <c r="CL62" s="34"/>
      <c r="CM62" s="39"/>
      <c r="CN62" s="34"/>
      <c r="CO62" s="34"/>
      <c r="CP62" s="34"/>
      <c r="CQ62" s="34"/>
      <c r="CY62" s="62">
        <f t="shared" si="31"/>
        <v>13600</v>
      </c>
      <c r="CZ62" s="62">
        <f t="shared" si="32"/>
        <v>20600</v>
      </c>
      <c r="DA62" s="62">
        <f t="shared" si="33"/>
        <v>28500</v>
      </c>
    </row>
    <row r="63" spans="2:105" x14ac:dyDescent="0.25">
      <c r="B63" s="23" t="s">
        <v>373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>
        <v>6200</v>
      </c>
      <c r="BS63" s="34">
        <v>6600</v>
      </c>
      <c r="BT63" s="34">
        <v>6600</v>
      </c>
      <c r="BU63" s="34">
        <v>5300</v>
      </c>
      <c r="BV63" s="34">
        <v>6700</v>
      </c>
      <c r="BW63" s="34">
        <v>6600</v>
      </c>
      <c r="BX63" s="34">
        <v>6800</v>
      </c>
      <c r="BY63" s="34">
        <v>5700</v>
      </c>
      <c r="BZ63" s="34">
        <v>6800</v>
      </c>
      <c r="CA63" s="34">
        <v>6800</v>
      </c>
      <c r="CB63" s="34">
        <v>6900</v>
      </c>
      <c r="CC63" s="34">
        <v>5900</v>
      </c>
      <c r="CD63" s="34">
        <v>6600</v>
      </c>
      <c r="CE63" s="34">
        <v>6900</v>
      </c>
      <c r="CF63" s="34">
        <v>7300</v>
      </c>
      <c r="CG63" s="34">
        <v>5500</v>
      </c>
      <c r="CH63" s="34"/>
      <c r="CI63" s="34"/>
      <c r="CJ63" s="34"/>
      <c r="CK63" s="34"/>
      <c r="CL63" s="34"/>
      <c r="CM63" s="39"/>
      <c r="CN63" s="34"/>
      <c r="CO63" s="34"/>
      <c r="CP63" s="34"/>
      <c r="CQ63" s="34"/>
      <c r="CY63" s="62">
        <f t="shared" si="31"/>
        <v>24700</v>
      </c>
      <c r="CZ63" s="62">
        <f t="shared" si="32"/>
        <v>25800</v>
      </c>
      <c r="DA63" s="62">
        <f t="shared" si="33"/>
        <v>26400</v>
      </c>
    </row>
    <row r="64" spans="2:105" x14ac:dyDescent="0.25">
      <c r="B64" s="23" t="s">
        <v>372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>
        <v>10400</v>
      </c>
      <c r="BS64" s="34">
        <v>7500</v>
      </c>
      <c r="BT64" s="34">
        <v>8800</v>
      </c>
      <c r="BU64" s="34">
        <v>8200</v>
      </c>
      <c r="BV64" s="34">
        <v>11300</v>
      </c>
      <c r="BW64" s="34">
        <v>12000</v>
      </c>
      <c r="BX64" s="34">
        <v>12300</v>
      </c>
      <c r="BY64" s="34">
        <v>11700</v>
      </c>
      <c r="BZ64" s="34">
        <v>12600</v>
      </c>
      <c r="CA64" s="34">
        <v>14400</v>
      </c>
      <c r="CB64" s="34">
        <v>14400</v>
      </c>
      <c r="CC64" s="34">
        <v>13200</v>
      </c>
      <c r="CD64" s="34">
        <v>16800</v>
      </c>
      <c r="CE64" s="34">
        <v>18600</v>
      </c>
      <c r="CF64" s="34">
        <v>19400</v>
      </c>
      <c r="CG64" s="34">
        <f>70700-CF64-CE64-CD64</f>
        <v>15900</v>
      </c>
      <c r="CH64" s="34">
        <f t="shared" si="29"/>
        <v>368.75</v>
      </c>
      <c r="CI64" s="34">
        <f t="shared" si="30"/>
        <v>465.13157894736844</v>
      </c>
      <c r="CJ64" s="34"/>
      <c r="CK64" s="34"/>
      <c r="CL64" s="34"/>
      <c r="CM64" s="39"/>
      <c r="CN64" s="34"/>
      <c r="CO64" s="34"/>
      <c r="CP64" s="34"/>
      <c r="CQ64" s="34"/>
      <c r="CY64" s="62">
        <f t="shared" si="31"/>
        <v>34900</v>
      </c>
      <c r="CZ64" s="62">
        <f t="shared" si="32"/>
        <v>47300</v>
      </c>
      <c r="DA64" s="62">
        <f t="shared" si="33"/>
        <v>54600</v>
      </c>
    </row>
    <row r="65" spans="2:105" x14ac:dyDescent="0.25">
      <c r="B65" s="23" t="s">
        <v>371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>
        <v>17200</v>
      </c>
      <c r="BS65" s="34">
        <v>16900</v>
      </c>
      <c r="BT65" s="34">
        <v>17600</v>
      </c>
      <c r="BU65" s="34">
        <v>17400</v>
      </c>
      <c r="BV65" s="34">
        <v>20000</v>
      </c>
      <c r="BW65" s="34">
        <v>21800</v>
      </c>
      <c r="BX65" s="34">
        <v>24100</v>
      </c>
      <c r="BY65" s="34">
        <v>18200</v>
      </c>
      <c r="BZ65" s="34">
        <v>27100</v>
      </c>
      <c r="CA65" s="34">
        <v>27200</v>
      </c>
      <c r="CB65" s="34">
        <v>30000</v>
      </c>
      <c r="CC65" s="34">
        <v>25200</v>
      </c>
      <c r="CD65" s="34">
        <v>34500</v>
      </c>
      <c r="CE65" s="34">
        <v>33700</v>
      </c>
      <c r="CF65" s="34">
        <v>31400</v>
      </c>
      <c r="CG65" s="34">
        <f>129000-CF65-CE65-CD65</f>
        <v>29400</v>
      </c>
      <c r="CH65" s="34">
        <f t="shared" si="29"/>
        <v>711.80555555555554</v>
      </c>
      <c r="CI65" s="34">
        <f t="shared" si="30"/>
        <v>848.68421052631584</v>
      </c>
      <c r="CJ65" s="34"/>
      <c r="CK65" s="34"/>
      <c r="CL65" s="34"/>
      <c r="CM65" s="39"/>
      <c r="CN65" s="34"/>
      <c r="CO65" s="34"/>
      <c r="CP65" s="34"/>
      <c r="CQ65" s="34"/>
      <c r="CY65" s="62">
        <f t="shared" si="31"/>
        <v>69100</v>
      </c>
      <c r="CZ65" s="62">
        <f t="shared" si="32"/>
        <v>84100</v>
      </c>
      <c r="DA65" s="62">
        <f t="shared" si="33"/>
        <v>109500</v>
      </c>
    </row>
    <row r="66" spans="2:105" x14ac:dyDescent="0.25">
      <c r="B66" s="23" t="s">
        <v>370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>
        <v>24400</v>
      </c>
      <c r="BS66" s="34">
        <v>21400</v>
      </c>
      <c r="BT66" s="34">
        <v>24900</v>
      </c>
      <c r="BU66" s="34">
        <v>20500</v>
      </c>
      <c r="BV66" s="34">
        <v>23700</v>
      </c>
      <c r="BW66" s="34">
        <v>25100</v>
      </c>
      <c r="BX66" s="34">
        <v>27100</v>
      </c>
      <c r="BY66" s="34">
        <v>16800</v>
      </c>
      <c r="BZ66" s="34">
        <v>21000</v>
      </c>
      <c r="CA66" s="34">
        <v>25300</v>
      </c>
      <c r="CB66" s="34">
        <v>20400</v>
      </c>
      <c r="CC66" s="34">
        <v>20600</v>
      </c>
      <c r="CD66" s="34">
        <v>23900</v>
      </c>
      <c r="CE66" s="34">
        <v>23500</v>
      </c>
      <c r="CF66" s="34">
        <v>24000</v>
      </c>
      <c r="CG66" s="34">
        <f>91200-CF66-CE66-CD66</f>
        <v>19800</v>
      </c>
      <c r="CH66" s="34">
        <f t="shared" si="29"/>
        <v>579.86111111111109</v>
      </c>
      <c r="CI66" s="34">
        <f t="shared" si="30"/>
        <v>600</v>
      </c>
      <c r="CJ66" s="34"/>
      <c r="CK66" s="34"/>
      <c r="CL66" s="34"/>
      <c r="CM66" s="39"/>
      <c r="CN66" s="34"/>
      <c r="CO66" s="34"/>
      <c r="CP66" s="34"/>
      <c r="CQ66" s="34"/>
      <c r="CY66" s="62">
        <f t="shared" si="31"/>
        <v>91200</v>
      </c>
      <c r="CZ66" s="62">
        <f t="shared" si="32"/>
        <v>92700</v>
      </c>
      <c r="DA66" s="62">
        <f t="shared" si="33"/>
        <v>87300</v>
      </c>
    </row>
    <row r="67" spans="2:105" x14ac:dyDescent="0.25">
      <c r="B67" s="23" t="s">
        <v>369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>
        <v>7800</v>
      </c>
      <c r="BS67" s="34">
        <v>7100</v>
      </c>
      <c r="BT67" s="34">
        <v>8500</v>
      </c>
      <c r="BU67" s="34">
        <v>7600</v>
      </c>
      <c r="BV67" s="34">
        <v>8000</v>
      </c>
      <c r="BW67" s="34">
        <v>9100</v>
      </c>
      <c r="BX67" s="34">
        <v>9300</v>
      </c>
      <c r="BY67" s="34">
        <v>8400</v>
      </c>
      <c r="BZ67" s="34">
        <v>12300</v>
      </c>
      <c r="CA67" s="34">
        <f t="shared" ref="CA67" si="34">BW67</f>
        <v>9100</v>
      </c>
      <c r="CB67" s="34">
        <f t="shared" ref="CB67" si="35">BX67</f>
        <v>9300</v>
      </c>
      <c r="CC67" s="34">
        <f t="shared" ref="CC67" si="36">BY67</f>
        <v>8400</v>
      </c>
      <c r="CD67" s="34">
        <v>13600</v>
      </c>
      <c r="CE67" s="34">
        <v>14300</v>
      </c>
      <c r="CF67" s="34">
        <v>12000</v>
      </c>
      <c r="CG67" s="34">
        <f>52100-CF67-CE67-CD67</f>
        <v>12200</v>
      </c>
      <c r="CH67" s="34"/>
      <c r="CI67" s="34"/>
      <c r="CJ67" s="34"/>
      <c r="CK67" s="34"/>
      <c r="CL67" s="34"/>
      <c r="CM67" s="39"/>
      <c r="CN67" s="34"/>
      <c r="CO67" s="34"/>
      <c r="CP67" s="34"/>
      <c r="CQ67" s="34"/>
      <c r="CY67" s="62">
        <f t="shared" si="31"/>
        <v>31000</v>
      </c>
      <c r="CZ67" s="62">
        <f t="shared" si="32"/>
        <v>34800</v>
      </c>
      <c r="DA67" s="62">
        <f t="shared" si="33"/>
        <v>39100</v>
      </c>
    </row>
    <row r="68" spans="2:105" x14ac:dyDescent="0.25">
      <c r="B68" s="23" t="s">
        <v>368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>
        <v>17800</v>
      </c>
      <c r="BS68" s="34">
        <v>24000</v>
      </c>
      <c r="BT68" s="34">
        <v>19700</v>
      </c>
      <c r="BU68" s="34">
        <v>28500</v>
      </c>
      <c r="BV68" s="34">
        <v>22000</v>
      </c>
      <c r="BW68" s="34">
        <v>29800</v>
      </c>
      <c r="BX68" s="34">
        <v>33700</v>
      </c>
      <c r="BY68" s="34">
        <v>35900</v>
      </c>
      <c r="BZ68" s="34">
        <v>30800</v>
      </c>
      <c r="CA68" s="34">
        <v>28200</v>
      </c>
      <c r="CB68" s="34">
        <v>35300</v>
      </c>
      <c r="CC68" s="34">
        <v>39700</v>
      </c>
      <c r="CD68" s="34">
        <v>29400</v>
      </c>
      <c r="CE68" s="34">
        <v>40900</v>
      </c>
      <c r="CF68" s="34">
        <v>30900</v>
      </c>
      <c r="CG68" s="34">
        <v>40100</v>
      </c>
      <c r="CH68" s="34">
        <f t="shared" si="29"/>
        <v>904.16666666666663</v>
      </c>
      <c r="CI68" s="34">
        <f t="shared" si="30"/>
        <v>929.60526315789468</v>
      </c>
      <c r="CJ68" s="34"/>
      <c r="CK68" s="34"/>
      <c r="CL68" s="34"/>
      <c r="CM68" s="39"/>
      <c r="CN68" s="34"/>
      <c r="CO68" s="34"/>
      <c r="CP68" s="34"/>
      <c r="CQ68" s="34"/>
      <c r="CY68" s="62">
        <f t="shared" si="31"/>
        <v>90000</v>
      </c>
      <c r="CZ68" s="62">
        <f t="shared" si="32"/>
        <v>121400</v>
      </c>
      <c r="DA68" s="62">
        <f t="shared" si="33"/>
        <v>134000</v>
      </c>
    </row>
    <row r="69" spans="2:105" x14ac:dyDescent="0.25">
      <c r="B69" s="23" t="s">
        <v>367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>
        <v>81600</v>
      </c>
      <c r="BS69" s="34">
        <f>181300-BR69</f>
        <v>99700</v>
      </c>
      <c r="BT69" s="34">
        <v>97000</v>
      </c>
      <c r="BU69" s="34">
        <v>107600</v>
      </c>
      <c r="BV69" s="34">
        <v>111800</v>
      </c>
      <c r="BW69" s="34">
        <f>245100-BV69</f>
        <v>133300</v>
      </c>
      <c r="BX69" s="34">
        <v>145400</v>
      </c>
      <c r="BY69" s="34">
        <v>131700</v>
      </c>
      <c r="BZ69" s="34">
        <v>145600</v>
      </c>
      <c r="CA69" s="34">
        <v>163600</v>
      </c>
      <c r="CB69" s="34">
        <v>176500</v>
      </c>
      <c r="CC69" s="34">
        <v>158900</v>
      </c>
      <c r="CD69" s="34">
        <v>201500</v>
      </c>
      <c r="CE69" s="34">
        <v>189600</v>
      </c>
      <c r="CF69" s="34">
        <v>185000</v>
      </c>
      <c r="CG69" s="34">
        <f>757800-CF69-CE69-CD69</f>
        <v>181700</v>
      </c>
      <c r="CH69" s="34">
        <f t="shared" si="29"/>
        <v>4287.5</v>
      </c>
      <c r="CI69" s="34">
        <f t="shared" si="30"/>
        <v>4985.5263157894733</v>
      </c>
      <c r="CJ69" s="34"/>
      <c r="CK69" s="34"/>
      <c r="CL69" s="34"/>
      <c r="CM69" s="39"/>
      <c r="CN69" s="34"/>
      <c r="CO69" s="34"/>
      <c r="CP69" s="34"/>
      <c r="CQ69" s="34"/>
      <c r="CY69" s="62">
        <f t="shared" si="31"/>
        <v>385900</v>
      </c>
      <c r="CZ69" s="62">
        <f t="shared" si="32"/>
        <v>522200</v>
      </c>
      <c r="DA69" s="62">
        <f t="shared" si="33"/>
        <v>644600</v>
      </c>
    </row>
    <row r="70" spans="2:105" x14ac:dyDescent="0.25">
      <c r="B70" s="23" t="s">
        <v>366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>
        <v>2200</v>
      </c>
      <c r="BS70" s="34">
        <v>2400</v>
      </c>
      <c r="BT70" s="34">
        <v>2400</v>
      </c>
      <c r="BU70" s="34">
        <v>2600</v>
      </c>
      <c r="BV70" s="34">
        <v>3200</v>
      </c>
      <c r="BW70" s="34">
        <v>3300</v>
      </c>
      <c r="BX70" s="34">
        <v>3800</v>
      </c>
      <c r="BY70" s="34">
        <v>2700</v>
      </c>
      <c r="BZ70" s="34">
        <v>9200</v>
      </c>
      <c r="CA70" s="34">
        <v>8700</v>
      </c>
      <c r="CB70" s="34">
        <v>8600</v>
      </c>
      <c r="CC70" s="34">
        <v>8600</v>
      </c>
      <c r="CD70" s="34">
        <v>9200</v>
      </c>
      <c r="CE70" s="34">
        <v>10500</v>
      </c>
      <c r="CF70" s="34">
        <v>8200</v>
      </c>
      <c r="CG70" s="34">
        <f>34100-CF70-CE70-CD70</f>
        <v>6200</v>
      </c>
      <c r="CH70" s="34"/>
      <c r="CI70" s="34"/>
      <c r="CJ70" s="34"/>
      <c r="CK70" s="34"/>
      <c r="CL70" s="34"/>
      <c r="CM70" s="39"/>
      <c r="CN70" s="34"/>
      <c r="CO70" s="34"/>
      <c r="CP70" s="34"/>
      <c r="CQ70" s="34"/>
      <c r="CY70" s="62">
        <f t="shared" si="31"/>
        <v>9600</v>
      </c>
      <c r="CZ70" s="62">
        <f t="shared" si="32"/>
        <v>13000</v>
      </c>
      <c r="DA70" s="62">
        <f t="shared" si="33"/>
        <v>35100</v>
      </c>
    </row>
    <row r="71" spans="2:105" x14ac:dyDescent="0.25">
      <c r="B71" s="23" t="s">
        <v>365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>
        <v>0</v>
      </c>
      <c r="BS71" s="34">
        <v>0</v>
      </c>
      <c r="BT71" s="34">
        <v>200</v>
      </c>
      <c r="BU71" s="34">
        <v>1100</v>
      </c>
      <c r="BV71" s="34">
        <v>2200</v>
      </c>
      <c r="BW71" s="34">
        <v>2000</v>
      </c>
      <c r="BX71" s="34">
        <v>3100</v>
      </c>
      <c r="BY71" s="34">
        <v>3200</v>
      </c>
      <c r="BZ71" s="34">
        <v>4100</v>
      </c>
      <c r="CA71" s="34">
        <v>4300</v>
      </c>
      <c r="CB71" s="34">
        <v>5600</v>
      </c>
      <c r="CC71" s="34">
        <v>5100</v>
      </c>
      <c r="CD71" s="34">
        <v>7600</v>
      </c>
      <c r="CE71" s="34">
        <v>7900</v>
      </c>
      <c r="CF71" s="34">
        <v>9000</v>
      </c>
      <c r="CG71" s="34">
        <f>33000-CF71-CE71-CD71</f>
        <v>8500</v>
      </c>
      <c r="CH71" s="34"/>
      <c r="CI71" s="34"/>
      <c r="CJ71" s="34"/>
      <c r="CK71" s="34"/>
      <c r="CL71" s="34"/>
      <c r="CM71" s="39"/>
      <c r="CN71" s="34"/>
      <c r="CO71" s="34"/>
      <c r="CP71" s="34"/>
      <c r="CQ71" s="34"/>
      <c r="CY71" s="62">
        <f t="shared" si="31"/>
        <v>1300</v>
      </c>
      <c r="CZ71" s="62">
        <f t="shared" si="32"/>
        <v>10500</v>
      </c>
      <c r="DA71" s="62">
        <f t="shared" si="33"/>
        <v>19100</v>
      </c>
    </row>
    <row r="72" spans="2:105" x14ac:dyDescent="0.25">
      <c r="B72" s="23" t="s">
        <v>364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>
        <v>5600</v>
      </c>
      <c r="BS72" s="34">
        <v>4600</v>
      </c>
      <c r="BT72" s="34">
        <v>4500</v>
      </c>
      <c r="BU72" s="34">
        <v>4600</v>
      </c>
      <c r="BV72" s="34">
        <v>4700</v>
      </c>
      <c r="BW72" s="34">
        <v>4900</v>
      </c>
      <c r="BX72" s="34">
        <v>5300</v>
      </c>
      <c r="BY72" s="34">
        <v>3600</v>
      </c>
      <c r="BZ72" s="34">
        <v>4500</v>
      </c>
      <c r="CA72" s="34">
        <v>3900</v>
      </c>
      <c r="CB72" s="34">
        <v>5000</v>
      </c>
      <c r="CC72" s="34">
        <v>3700</v>
      </c>
      <c r="CD72" s="34">
        <v>4300</v>
      </c>
      <c r="CE72" s="34">
        <v>3900</v>
      </c>
      <c r="CF72" s="34">
        <v>4600</v>
      </c>
      <c r="CG72" s="34">
        <f>16400-CF72-CE72-CD72</f>
        <v>3600</v>
      </c>
      <c r="CH72" s="34"/>
      <c r="CI72" s="34"/>
      <c r="CJ72" s="34"/>
      <c r="CK72" s="34"/>
      <c r="CL72" s="34"/>
      <c r="CM72" s="39"/>
      <c r="CN72" s="34"/>
      <c r="CO72" s="34"/>
      <c r="CP72" s="34"/>
      <c r="CQ72" s="34"/>
      <c r="CY72" s="62">
        <f t="shared" si="31"/>
        <v>19300</v>
      </c>
      <c r="CZ72" s="62">
        <f t="shared" si="32"/>
        <v>18500</v>
      </c>
      <c r="DA72" s="62">
        <f t="shared" si="33"/>
        <v>17100</v>
      </c>
    </row>
    <row r="73" spans="2:105" x14ac:dyDescent="0.25">
      <c r="B73" s="23" t="s">
        <v>363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>
        <v>6900</v>
      </c>
      <c r="BS73" s="34">
        <v>7500</v>
      </c>
      <c r="BT73" s="34">
        <v>7100</v>
      </c>
      <c r="BU73" s="34">
        <v>5200</v>
      </c>
      <c r="BV73" s="34">
        <v>6800</v>
      </c>
      <c r="BW73" s="34">
        <v>6600</v>
      </c>
      <c r="BX73" s="34">
        <v>6400</v>
      </c>
      <c r="BY73" s="34">
        <v>4800</v>
      </c>
      <c r="BZ73" s="34">
        <v>5500</v>
      </c>
      <c r="CA73" s="34">
        <v>6200</v>
      </c>
      <c r="CB73" s="34">
        <v>5500</v>
      </c>
      <c r="CC73" s="34">
        <v>4000</v>
      </c>
      <c r="CD73" s="34">
        <v>5000</v>
      </c>
      <c r="CE73" s="34">
        <v>4800</v>
      </c>
      <c r="CF73" s="34">
        <v>4300</v>
      </c>
      <c r="CG73" s="34">
        <v>4000</v>
      </c>
      <c r="CH73" s="34"/>
      <c r="CI73" s="34"/>
      <c r="CJ73" s="34"/>
      <c r="CK73" s="34"/>
      <c r="CL73" s="34"/>
      <c r="CM73" s="39"/>
      <c r="CN73" s="34"/>
      <c r="CO73" s="34"/>
      <c r="CP73" s="34"/>
      <c r="CQ73" s="34"/>
      <c r="CY73" s="62">
        <f t="shared" si="31"/>
        <v>26700</v>
      </c>
      <c r="CZ73" s="62">
        <f t="shared" si="32"/>
        <v>24600</v>
      </c>
      <c r="DA73" s="62">
        <f t="shared" si="33"/>
        <v>21200</v>
      </c>
    </row>
    <row r="74" spans="2:105" x14ac:dyDescent="0.25">
      <c r="B74" s="55" t="s">
        <v>542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>
        <v>3800</v>
      </c>
      <c r="CA74" s="34">
        <v>3700</v>
      </c>
      <c r="CB74" s="34">
        <v>4600</v>
      </c>
      <c r="CC74" s="34">
        <v>4200</v>
      </c>
      <c r="CD74" s="34">
        <v>5300</v>
      </c>
      <c r="CE74" s="34">
        <v>5100</v>
      </c>
      <c r="CF74" s="34">
        <v>5100</v>
      </c>
      <c r="CG74" s="34">
        <v>5500</v>
      </c>
      <c r="CH74" s="34"/>
      <c r="CI74" s="34"/>
      <c r="CJ74" s="34"/>
      <c r="CK74" s="34"/>
      <c r="CL74" s="34"/>
      <c r="CM74" s="39"/>
      <c r="CN74" s="34"/>
      <c r="CO74" s="34"/>
      <c r="CP74" s="34"/>
      <c r="CQ74" s="34"/>
      <c r="CY74" s="62"/>
      <c r="CZ74" s="62"/>
      <c r="DA74" s="62"/>
    </row>
    <row r="75" spans="2:105" x14ac:dyDescent="0.25">
      <c r="B75" s="23" t="s">
        <v>362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>
        <v>10500</v>
      </c>
      <c r="BS75" s="34">
        <v>10500</v>
      </c>
      <c r="BT75" s="34">
        <v>11200</v>
      </c>
      <c r="BU75" s="34">
        <v>10200</v>
      </c>
      <c r="BV75" s="34">
        <v>11900</v>
      </c>
      <c r="BW75" s="34">
        <v>11500</v>
      </c>
      <c r="BX75" s="34">
        <v>13000</v>
      </c>
      <c r="BY75" s="34">
        <v>12000</v>
      </c>
      <c r="BZ75" s="34">
        <v>11900</v>
      </c>
      <c r="CA75" s="34">
        <v>12400</v>
      </c>
      <c r="CB75" s="34">
        <v>14600</v>
      </c>
      <c r="CC75" s="34">
        <v>12300</v>
      </c>
      <c r="CD75" s="34">
        <v>13700</v>
      </c>
      <c r="CE75" s="34">
        <v>13300</v>
      </c>
      <c r="CF75" s="34">
        <v>14300</v>
      </c>
      <c r="CG75" s="34">
        <f>53500-CF75-CE75-CD75</f>
        <v>12200</v>
      </c>
      <c r="CH75" s="34"/>
      <c r="CI75" s="34"/>
      <c r="CJ75" s="34"/>
      <c r="CK75" s="34"/>
      <c r="CL75" s="34"/>
      <c r="CM75" s="39"/>
      <c r="CN75" s="34"/>
      <c r="CO75" s="34"/>
      <c r="CP75" s="34"/>
      <c r="CQ75" s="34"/>
      <c r="CY75" s="62">
        <f t="shared" si="31"/>
        <v>42400</v>
      </c>
      <c r="CZ75" s="62">
        <f t="shared" si="32"/>
        <v>48400</v>
      </c>
      <c r="DA75" s="62">
        <f t="shared" si="33"/>
        <v>51200</v>
      </c>
    </row>
    <row r="76" spans="2:105" x14ac:dyDescent="0.25">
      <c r="B76" s="23" t="s">
        <v>361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>
        <v>14100</v>
      </c>
      <c r="BS76" s="34">
        <v>11900</v>
      </c>
      <c r="BT76" s="34">
        <v>13600</v>
      </c>
      <c r="BU76" s="34">
        <v>12100</v>
      </c>
      <c r="BV76" s="34">
        <v>17600</v>
      </c>
      <c r="BW76" s="34">
        <v>16700</v>
      </c>
      <c r="BX76" s="34">
        <v>16300</v>
      </c>
      <c r="BY76" s="34">
        <v>16200</v>
      </c>
      <c r="BZ76" s="34">
        <v>18000</v>
      </c>
      <c r="CA76" s="34">
        <v>18200</v>
      </c>
      <c r="CB76" s="34">
        <v>18900</v>
      </c>
      <c r="CC76" s="34">
        <v>18500</v>
      </c>
      <c r="CD76" s="34">
        <v>21400</v>
      </c>
      <c r="CE76" s="34">
        <v>19900</v>
      </c>
      <c r="CF76" s="34">
        <v>18900</v>
      </c>
      <c r="CG76" s="34">
        <v>17600</v>
      </c>
      <c r="CH76" s="34">
        <f t="shared" si="29"/>
        <v>495.13888888888891</v>
      </c>
      <c r="CI76" s="34">
        <f t="shared" si="30"/>
        <v>511.84210526315792</v>
      </c>
      <c r="CJ76" s="34"/>
      <c r="CK76" s="34"/>
      <c r="CL76" s="34"/>
      <c r="CM76" s="39"/>
      <c r="CN76" s="34"/>
      <c r="CO76" s="34"/>
      <c r="CP76" s="34"/>
      <c r="CQ76" s="34"/>
      <c r="CY76" s="62">
        <f t="shared" ref="CY76:CY88" si="37">SUM(BR76:BU76)</f>
        <v>51700</v>
      </c>
      <c r="CZ76" s="62">
        <f t="shared" ref="CZ76:CZ88" si="38">SUM(BV76:BY76)</f>
        <v>66800</v>
      </c>
      <c r="DA76" s="62">
        <f t="shared" ref="DA76:DA88" si="39">SUM(BZ76:CC76)</f>
        <v>73600</v>
      </c>
    </row>
    <row r="77" spans="2:105" x14ac:dyDescent="0.25">
      <c r="B77" s="23" t="s">
        <v>360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>
        <v>18600</v>
      </c>
      <c r="BS77" s="34">
        <v>16200</v>
      </c>
      <c r="BT77" s="34">
        <v>22900</v>
      </c>
      <c r="BU77" s="34">
        <v>15400</v>
      </c>
      <c r="BV77" s="34">
        <v>22200</v>
      </c>
      <c r="BW77" s="34">
        <v>20200</v>
      </c>
      <c r="BX77" s="34">
        <v>22600</v>
      </c>
      <c r="BY77" s="34">
        <v>20300</v>
      </c>
      <c r="BZ77" s="34">
        <v>22800</v>
      </c>
      <c r="CA77" s="34">
        <v>22800</v>
      </c>
      <c r="CB77" s="34">
        <v>24300</v>
      </c>
      <c r="CC77" s="34">
        <v>21600</v>
      </c>
      <c r="CD77" s="34">
        <v>28000</v>
      </c>
      <c r="CE77" s="34">
        <v>25100</v>
      </c>
      <c r="CF77" s="34">
        <v>24000</v>
      </c>
      <c r="CG77" s="34">
        <f>97200-CF77-CE77-CD77</f>
        <v>20100</v>
      </c>
      <c r="CH77" s="34">
        <f t="shared" si="29"/>
        <v>626.38888888888891</v>
      </c>
      <c r="CI77" s="34">
        <f t="shared" si="30"/>
        <v>639.47368421052636</v>
      </c>
      <c r="CJ77" s="34"/>
      <c r="CK77" s="34"/>
      <c r="CL77" s="34"/>
      <c r="CM77" s="39"/>
      <c r="CN77" s="34"/>
      <c r="CO77" s="34"/>
      <c r="CP77" s="34"/>
      <c r="CQ77" s="34"/>
      <c r="CY77" s="62">
        <f t="shared" si="37"/>
        <v>73100</v>
      </c>
      <c r="CZ77" s="62">
        <f t="shared" si="38"/>
        <v>85300</v>
      </c>
      <c r="DA77" s="62">
        <f t="shared" si="39"/>
        <v>91500</v>
      </c>
    </row>
    <row r="78" spans="2:105" x14ac:dyDescent="0.25">
      <c r="B78" s="23" t="s">
        <v>359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>
        <v>25500</v>
      </c>
      <c r="BS78" s="34">
        <v>22100</v>
      </c>
      <c r="BT78" s="34">
        <v>30900</v>
      </c>
      <c r="BU78" s="34">
        <v>24800</v>
      </c>
      <c r="BV78" s="34">
        <v>34000</v>
      </c>
      <c r="BW78" s="34">
        <v>38800</v>
      </c>
      <c r="BX78" s="34">
        <v>44100</v>
      </c>
      <c r="BY78" s="34">
        <v>34900</v>
      </c>
      <c r="BZ78" s="34">
        <v>41300</v>
      </c>
      <c r="CA78" s="34">
        <v>45800</v>
      </c>
      <c r="CB78" s="34">
        <v>49300</v>
      </c>
      <c r="CC78" s="34">
        <v>42200</v>
      </c>
      <c r="CD78" s="34">
        <v>56000</v>
      </c>
      <c r="CE78" s="34">
        <v>55000</v>
      </c>
      <c r="CF78" s="34">
        <v>57000</v>
      </c>
      <c r="CG78" s="34">
        <v>55100</v>
      </c>
      <c r="CH78" s="34">
        <f t="shared" si="29"/>
        <v>1189.5833333333333</v>
      </c>
      <c r="CI78" s="34">
        <f t="shared" si="30"/>
        <v>1467.7631578947369</v>
      </c>
      <c r="CJ78" s="34"/>
      <c r="CK78" s="34"/>
      <c r="CL78" s="34"/>
      <c r="CM78" s="39"/>
      <c r="CN78" s="34"/>
      <c r="CO78" s="34"/>
      <c r="CP78" s="34"/>
      <c r="CQ78" s="34"/>
      <c r="CY78" s="62">
        <f t="shared" si="37"/>
        <v>103300</v>
      </c>
      <c r="CZ78" s="62">
        <f t="shared" si="38"/>
        <v>151800</v>
      </c>
      <c r="DA78" s="62">
        <f t="shared" si="39"/>
        <v>178600</v>
      </c>
    </row>
    <row r="79" spans="2:105" x14ac:dyDescent="0.25">
      <c r="B79" s="23" t="s">
        <v>358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>
        <v>6900</v>
      </c>
      <c r="BS79" s="34">
        <v>6600</v>
      </c>
      <c r="BT79" s="34">
        <v>7700</v>
      </c>
      <c r="BU79" s="34">
        <v>10100</v>
      </c>
      <c r="BV79" s="34">
        <v>9200</v>
      </c>
      <c r="BW79" s="34">
        <v>9500</v>
      </c>
      <c r="BX79" s="34">
        <v>11500</v>
      </c>
      <c r="BY79" s="34">
        <v>11700</v>
      </c>
      <c r="BZ79" s="34">
        <v>12300</v>
      </c>
      <c r="CA79" s="34">
        <v>12100</v>
      </c>
      <c r="CB79" s="34">
        <v>13100</v>
      </c>
      <c r="CC79" s="34">
        <v>10300</v>
      </c>
      <c r="CD79" s="34">
        <v>13600</v>
      </c>
      <c r="CE79" s="34">
        <v>14300</v>
      </c>
      <c r="CF79" s="34">
        <v>12000</v>
      </c>
      <c r="CG79" s="34">
        <f>52100-CF79-CE79-CD79</f>
        <v>12200</v>
      </c>
      <c r="CH79" s="34"/>
      <c r="CI79" s="34"/>
      <c r="CJ79" s="34"/>
      <c r="CK79" s="34"/>
      <c r="CL79" s="34"/>
      <c r="CM79" s="39"/>
      <c r="CN79" s="34"/>
      <c r="CO79" s="34"/>
      <c r="CP79" s="34"/>
      <c r="CQ79" s="34"/>
      <c r="CY79" s="62">
        <f t="shared" si="37"/>
        <v>31300</v>
      </c>
      <c r="CZ79" s="62">
        <f t="shared" si="38"/>
        <v>41900</v>
      </c>
      <c r="DA79" s="62">
        <f t="shared" si="39"/>
        <v>47800</v>
      </c>
    </row>
    <row r="80" spans="2:105" x14ac:dyDescent="0.25">
      <c r="B80" s="23" t="s">
        <v>357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>
        <v>900</v>
      </c>
      <c r="BS80" s="34">
        <v>1100</v>
      </c>
      <c r="BT80" s="34">
        <v>1100</v>
      </c>
      <c r="BU80" s="34">
        <v>900</v>
      </c>
      <c r="BV80" s="34">
        <v>1100</v>
      </c>
      <c r="BW80" s="34">
        <v>1000</v>
      </c>
      <c r="BX80" s="34">
        <v>1200</v>
      </c>
      <c r="BY80" s="34">
        <v>1100</v>
      </c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9"/>
      <c r="CN80" s="34"/>
      <c r="CO80" s="34"/>
      <c r="CP80" s="34"/>
      <c r="CQ80" s="34"/>
      <c r="CY80" s="62">
        <f t="shared" si="37"/>
        <v>4000</v>
      </c>
      <c r="CZ80" s="62">
        <f t="shared" si="38"/>
        <v>4400</v>
      </c>
      <c r="DA80" s="62">
        <f t="shared" si="39"/>
        <v>0</v>
      </c>
    </row>
    <row r="81" spans="2:105" x14ac:dyDescent="0.25">
      <c r="B81" s="23" t="s">
        <v>356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>
        <v>3300</v>
      </c>
      <c r="BS81" s="34">
        <v>5100</v>
      </c>
      <c r="BT81" s="34">
        <v>5200</v>
      </c>
      <c r="BU81" s="34">
        <v>4200</v>
      </c>
      <c r="BV81" s="34">
        <v>5400</v>
      </c>
      <c r="BW81" s="34">
        <v>5300</v>
      </c>
      <c r="BX81" s="34">
        <v>4200</v>
      </c>
      <c r="BY81" s="34">
        <v>4700</v>
      </c>
      <c r="BZ81" s="34">
        <v>4200</v>
      </c>
      <c r="CA81" s="34">
        <v>5100</v>
      </c>
      <c r="CB81" s="34">
        <v>5200</v>
      </c>
      <c r="CC81" s="34">
        <v>5000</v>
      </c>
      <c r="CD81" s="34">
        <v>8700</v>
      </c>
      <c r="CE81" s="34">
        <v>5800</v>
      </c>
      <c r="CF81" s="34">
        <v>6800</v>
      </c>
      <c r="CG81" s="34">
        <v>4200</v>
      </c>
      <c r="CH81" s="34"/>
      <c r="CI81" s="34"/>
      <c r="CJ81" s="34"/>
      <c r="CK81" s="34"/>
      <c r="CL81" s="34"/>
      <c r="CM81" s="39"/>
      <c r="CN81" s="34"/>
      <c r="CO81" s="34"/>
      <c r="CP81" s="34"/>
      <c r="CQ81" s="34"/>
      <c r="CY81" s="62">
        <f t="shared" si="37"/>
        <v>17800</v>
      </c>
      <c r="CZ81" s="62">
        <f t="shared" si="38"/>
        <v>19600</v>
      </c>
      <c r="DA81" s="62">
        <f t="shared" si="39"/>
        <v>19500</v>
      </c>
    </row>
    <row r="82" spans="2:105" x14ac:dyDescent="0.25">
      <c r="B82" s="23" t="s">
        <v>355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>
        <v>3700</v>
      </c>
      <c r="BS82" s="34">
        <v>2600</v>
      </c>
      <c r="BT82" s="34">
        <v>3300</v>
      </c>
      <c r="BU82" s="34">
        <v>2700</v>
      </c>
      <c r="BV82" s="34">
        <v>3200</v>
      </c>
      <c r="BW82" s="34">
        <v>3000</v>
      </c>
      <c r="BX82" s="34">
        <v>3500</v>
      </c>
      <c r="BY82" s="34">
        <v>3100</v>
      </c>
      <c r="BZ82" s="34">
        <v>3000</v>
      </c>
      <c r="CA82" s="34">
        <v>3000</v>
      </c>
      <c r="CB82" s="34">
        <v>3000</v>
      </c>
      <c r="CC82" s="34">
        <v>3100</v>
      </c>
      <c r="CD82" s="34">
        <v>2700</v>
      </c>
      <c r="CE82" s="34">
        <v>2500</v>
      </c>
      <c r="CF82" s="34">
        <v>3300</v>
      </c>
      <c r="CG82" s="34">
        <f>11600-CF82-CE82-CD82</f>
        <v>3100</v>
      </c>
      <c r="CH82" s="34"/>
      <c r="CI82" s="34"/>
      <c r="CJ82" s="34"/>
      <c r="CK82" s="34"/>
      <c r="CL82" s="34"/>
      <c r="CM82" s="39"/>
      <c r="CN82" s="34"/>
      <c r="CO82" s="34"/>
      <c r="CP82" s="34"/>
      <c r="CQ82" s="34"/>
      <c r="CY82" s="62">
        <f t="shared" si="37"/>
        <v>12300</v>
      </c>
      <c r="CZ82" s="62">
        <f t="shared" si="38"/>
        <v>12800</v>
      </c>
      <c r="DA82" s="62">
        <f t="shared" si="39"/>
        <v>12100</v>
      </c>
    </row>
    <row r="83" spans="2:105" x14ac:dyDescent="0.25">
      <c r="B83" s="23" t="s">
        <v>354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>
        <v>11400</v>
      </c>
      <c r="BS83" s="34">
        <v>8800</v>
      </c>
      <c r="BT83" s="34">
        <v>8800</v>
      </c>
      <c r="BU83" s="34">
        <v>10200</v>
      </c>
      <c r="BV83" s="34">
        <v>10500</v>
      </c>
      <c r="BW83" s="34">
        <v>10800</v>
      </c>
      <c r="BX83" s="34">
        <v>11300</v>
      </c>
      <c r="BY83" s="34">
        <v>8700</v>
      </c>
      <c r="BZ83" s="34">
        <v>11900</v>
      </c>
      <c r="CA83" s="34">
        <v>8000</v>
      </c>
      <c r="CB83" s="34">
        <v>9100</v>
      </c>
      <c r="CC83" s="34">
        <v>11600</v>
      </c>
      <c r="CD83" s="34">
        <v>13900</v>
      </c>
      <c r="CE83" s="34">
        <v>9700</v>
      </c>
      <c r="CF83" s="34">
        <v>9200</v>
      </c>
      <c r="CG83" s="34">
        <v>6500</v>
      </c>
      <c r="CH83" s="34"/>
      <c r="CI83" s="34"/>
      <c r="CJ83" s="34"/>
      <c r="CK83" s="34"/>
      <c r="CL83" s="34"/>
      <c r="CM83" s="39"/>
      <c r="CN83" s="34"/>
      <c r="CO83" s="34"/>
      <c r="CP83" s="34"/>
      <c r="CQ83" s="34"/>
      <c r="CY83" s="62">
        <f t="shared" si="37"/>
        <v>39200</v>
      </c>
      <c r="CZ83" s="62">
        <f t="shared" si="38"/>
        <v>41300</v>
      </c>
      <c r="DA83" s="62">
        <f t="shared" si="39"/>
        <v>40600</v>
      </c>
    </row>
    <row r="84" spans="2:105" x14ac:dyDescent="0.25">
      <c r="B84" s="55" t="s">
        <v>543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>
        <v>0</v>
      </c>
      <c r="CA84" s="34">
        <v>0</v>
      </c>
      <c r="CB84" s="34">
        <v>0</v>
      </c>
      <c r="CC84" s="34">
        <v>400</v>
      </c>
      <c r="CD84" s="34">
        <v>1100</v>
      </c>
      <c r="CE84" s="34">
        <v>1400</v>
      </c>
      <c r="CF84" s="34">
        <v>2300</v>
      </c>
      <c r="CG84" s="34">
        <f>7100-CF84-CE84-CD84</f>
        <v>2300</v>
      </c>
      <c r="CH84" s="34"/>
      <c r="CI84" s="34"/>
      <c r="CJ84" s="34"/>
      <c r="CK84" s="34"/>
      <c r="CL84" s="34"/>
      <c r="CM84" s="39"/>
      <c r="CN84" s="34"/>
      <c r="CO84" s="34"/>
      <c r="CP84" s="34"/>
      <c r="CQ84" s="34"/>
      <c r="CY84" s="62"/>
      <c r="CZ84" s="62"/>
      <c r="DA84" s="62"/>
    </row>
    <row r="85" spans="2:105" x14ac:dyDescent="0.25">
      <c r="B85" s="23" t="s">
        <v>353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>
        <v>15400</v>
      </c>
      <c r="BS85" s="34">
        <v>14600</v>
      </c>
      <c r="BT85" s="34">
        <v>15900</v>
      </c>
      <c r="BU85" s="34">
        <v>14900</v>
      </c>
      <c r="BV85" s="34">
        <v>17500</v>
      </c>
      <c r="BW85" s="34">
        <v>16900</v>
      </c>
      <c r="BX85" s="34">
        <v>15500</v>
      </c>
      <c r="BY85" s="34">
        <v>16700</v>
      </c>
      <c r="BZ85" s="34">
        <v>17400</v>
      </c>
      <c r="CA85" s="34">
        <v>16100</v>
      </c>
      <c r="CB85" s="34">
        <v>17800</v>
      </c>
      <c r="CC85" s="34">
        <v>15100</v>
      </c>
      <c r="CD85" s="34">
        <v>17600</v>
      </c>
      <c r="CE85" s="34">
        <v>16900</v>
      </c>
      <c r="CF85" s="34">
        <v>15900</v>
      </c>
      <c r="CG85" s="34">
        <v>14300</v>
      </c>
      <c r="CH85" s="34">
        <f t="shared" ref="CH80:CH96" si="40">SUM(BY85:CB85)/$CB$1</f>
        <v>472.22222222222223</v>
      </c>
      <c r="CI85" s="34">
        <f t="shared" si="30"/>
        <v>425.65789473684208</v>
      </c>
      <c r="CJ85" s="34"/>
      <c r="CK85" s="34"/>
      <c r="CL85" s="34"/>
      <c r="CM85" s="39"/>
      <c r="CN85" s="34"/>
      <c r="CO85" s="34"/>
      <c r="CP85" s="34"/>
      <c r="CQ85" s="34"/>
      <c r="CY85" s="62">
        <f t="shared" si="37"/>
        <v>60800</v>
      </c>
      <c r="CZ85" s="62">
        <f t="shared" si="38"/>
        <v>66600</v>
      </c>
      <c r="DA85" s="62">
        <f t="shared" si="39"/>
        <v>66400</v>
      </c>
    </row>
    <row r="86" spans="2:105" x14ac:dyDescent="0.25">
      <c r="B86" s="23" t="s">
        <v>352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>
        <v>30700</v>
      </c>
      <c r="BS86" s="34">
        <f>61300-BR86</f>
        <v>30600</v>
      </c>
      <c r="BT86" s="34">
        <v>28000</v>
      </c>
      <c r="BU86" s="34">
        <v>29200</v>
      </c>
      <c r="BV86" s="34">
        <v>32100</v>
      </c>
      <c r="BW86" s="34">
        <f>62400-BV86</f>
        <v>30300</v>
      </c>
      <c r="BX86" s="34">
        <v>29700</v>
      </c>
      <c r="BY86" s="34">
        <v>26100</v>
      </c>
      <c r="BZ86" s="34">
        <v>33800</v>
      </c>
      <c r="CA86" s="34">
        <v>28900</v>
      </c>
      <c r="CB86" s="34">
        <v>31200</v>
      </c>
      <c r="CC86" s="34">
        <v>29000</v>
      </c>
      <c r="CD86" s="34">
        <v>31900</v>
      </c>
      <c r="CE86" s="34">
        <v>26900</v>
      </c>
      <c r="CF86" s="34">
        <v>28100</v>
      </c>
      <c r="CG86" s="34">
        <f>111800-CF86-CE86-CD86</f>
        <v>24900</v>
      </c>
      <c r="CH86" s="34">
        <f t="shared" si="40"/>
        <v>833.33333333333337</v>
      </c>
      <c r="CI86" s="34">
        <f t="shared" si="30"/>
        <v>735.52631578947364</v>
      </c>
      <c r="CJ86" s="34"/>
      <c r="CK86" s="34"/>
      <c r="CL86" s="34"/>
      <c r="CM86" s="39"/>
      <c r="CN86" s="34"/>
      <c r="CO86" s="34"/>
      <c r="CP86" s="34"/>
      <c r="CQ86" s="34"/>
      <c r="CY86" s="62">
        <f t="shared" si="37"/>
        <v>118500</v>
      </c>
      <c r="CZ86" s="62">
        <f t="shared" si="38"/>
        <v>118200</v>
      </c>
      <c r="DA86" s="62">
        <f t="shared" si="39"/>
        <v>122900</v>
      </c>
    </row>
    <row r="87" spans="2:105" x14ac:dyDescent="0.25">
      <c r="B87" s="23" t="s">
        <v>351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>
        <v>6700</v>
      </c>
      <c r="BS87" s="34">
        <f>12700-BR87</f>
        <v>6000</v>
      </c>
      <c r="BT87" s="34">
        <v>6100</v>
      </c>
      <c r="BU87" s="34">
        <v>4400</v>
      </c>
      <c r="BV87" s="34">
        <v>6100</v>
      </c>
      <c r="BW87" s="34">
        <f>11600-BV87</f>
        <v>5500</v>
      </c>
      <c r="BX87" s="34">
        <v>6100</v>
      </c>
      <c r="BY87" s="34">
        <v>4300</v>
      </c>
      <c r="BZ87" s="34">
        <v>9300</v>
      </c>
      <c r="CA87" s="34">
        <v>8600</v>
      </c>
      <c r="CB87" s="34">
        <v>9700</v>
      </c>
      <c r="CC87" s="34">
        <v>8000</v>
      </c>
      <c r="CD87" s="34">
        <v>8200</v>
      </c>
      <c r="CE87" s="34">
        <v>6800</v>
      </c>
      <c r="CF87" s="34">
        <v>8500</v>
      </c>
      <c r="CG87" s="34">
        <f>30500-CF87-CE87-CD87</f>
        <v>7000</v>
      </c>
      <c r="CH87" s="34"/>
      <c r="CI87" s="34"/>
      <c r="CJ87" s="34"/>
      <c r="CK87" s="34"/>
      <c r="CL87" s="34"/>
      <c r="CM87" s="39"/>
      <c r="CN87" s="34"/>
      <c r="CO87" s="34"/>
      <c r="CP87" s="34"/>
      <c r="CQ87" s="34"/>
      <c r="CY87" s="62">
        <f t="shared" si="37"/>
        <v>23200</v>
      </c>
      <c r="CZ87" s="62">
        <f t="shared" si="38"/>
        <v>22000</v>
      </c>
      <c r="DA87" s="62">
        <f t="shared" si="39"/>
        <v>35600</v>
      </c>
    </row>
    <row r="88" spans="2:105" x14ac:dyDescent="0.25">
      <c r="B88" s="23" t="s">
        <v>350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>
        <v>400</v>
      </c>
      <c r="BS88" s="34">
        <f>800-BR88</f>
        <v>400</v>
      </c>
      <c r="BT88" s="34">
        <v>600</v>
      </c>
      <c r="BU88" s="34">
        <v>500</v>
      </c>
      <c r="BV88" s="34">
        <v>600</v>
      </c>
      <c r="BW88" s="34">
        <f>1100-BV88</f>
        <v>500</v>
      </c>
      <c r="BX88" s="34">
        <v>800</v>
      </c>
      <c r="BY88" s="34">
        <v>700</v>
      </c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9"/>
      <c r="CN88" s="34"/>
      <c r="CO88" s="34"/>
      <c r="CP88" s="34"/>
      <c r="CQ88" s="34"/>
      <c r="CY88" s="62">
        <f t="shared" si="37"/>
        <v>1900</v>
      </c>
      <c r="CZ88" s="62">
        <f t="shared" si="38"/>
        <v>2600</v>
      </c>
      <c r="DA88" s="62">
        <f t="shared" si="39"/>
        <v>0</v>
      </c>
    </row>
    <row r="89" spans="2:105" x14ac:dyDescent="0.25">
      <c r="B89" s="23" t="s">
        <v>349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>
        <v>3200</v>
      </c>
      <c r="BS89" s="34">
        <f>6400-BR89</f>
        <v>3200</v>
      </c>
      <c r="BT89" s="34">
        <v>3700</v>
      </c>
      <c r="BU89" s="34">
        <v>2900</v>
      </c>
      <c r="BV89" s="34">
        <v>3900</v>
      </c>
      <c r="BW89" s="34">
        <f>7700-BV89</f>
        <v>3800</v>
      </c>
      <c r="BX89" s="34">
        <v>5600</v>
      </c>
      <c r="BY89" s="34">
        <v>4800</v>
      </c>
      <c r="BZ89" s="34">
        <v>4700</v>
      </c>
      <c r="CA89" s="34">
        <v>5400</v>
      </c>
      <c r="CB89" s="34">
        <v>5500</v>
      </c>
      <c r="CC89" s="34">
        <v>5300</v>
      </c>
      <c r="CD89" s="34">
        <v>5500</v>
      </c>
      <c r="CE89" s="34">
        <v>5800</v>
      </c>
      <c r="CF89" s="34">
        <v>5700</v>
      </c>
      <c r="CG89" s="34">
        <f>19500-CF89-CE89-CD89</f>
        <v>2500</v>
      </c>
      <c r="CH89" s="34"/>
      <c r="CI89" s="34"/>
      <c r="CJ89" s="34"/>
      <c r="CK89" s="34"/>
      <c r="CL89" s="34"/>
      <c r="CM89" s="39"/>
      <c r="CN89" s="34"/>
      <c r="CO89" s="34"/>
      <c r="CP89" s="34"/>
      <c r="CQ89" s="34"/>
      <c r="CY89" s="62">
        <f t="shared" ref="CY89" si="41">SUM(BR89:BU89)</f>
        <v>13000</v>
      </c>
      <c r="CZ89" s="62">
        <f t="shared" ref="CZ89" si="42">SUM(BV89:BY89)</f>
        <v>18100</v>
      </c>
      <c r="DA89" s="62">
        <f t="shared" ref="DA89" si="43">SUM(BZ89:CC89)</f>
        <v>20900</v>
      </c>
    </row>
    <row r="90" spans="2:105" x14ac:dyDescent="0.25">
      <c r="B90" s="55" t="s">
        <v>541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>
        <v>0</v>
      </c>
      <c r="CA90" s="34">
        <v>0</v>
      </c>
      <c r="CB90" s="34">
        <v>0</v>
      </c>
      <c r="CC90" s="34">
        <v>200</v>
      </c>
      <c r="CD90" s="34">
        <v>900</v>
      </c>
      <c r="CE90" s="34">
        <v>1300</v>
      </c>
      <c r="CF90" s="34">
        <v>1700</v>
      </c>
      <c r="CG90" s="34">
        <v>1500</v>
      </c>
      <c r="CH90" s="34"/>
      <c r="CI90" s="34"/>
      <c r="CJ90" s="34"/>
      <c r="CK90" s="34"/>
      <c r="CL90" s="34"/>
      <c r="CM90" s="39"/>
      <c r="CN90" s="34"/>
      <c r="CO90" s="34"/>
      <c r="CP90" s="34"/>
      <c r="CQ90" s="34"/>
      <c r="CY90" s="62"/>
      <c r="CZ90" s="62"/>
      <c r="DA90" s="62"/>
    </row>
    <row r="91" spans="2:105" x14ac:dyDescent="0.25">
      <c r="B91" s="23" t="s">
        <v>348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>
        <v>4800</v>
      </c>
      <c r="BS91" s="34">
        <f>10000-BR91</f>
        <v>5200</v>
      </c>
      <c r="BT91" s="34">
        <v>5700</v>
      </c>
      <c r="BU91" s="34">
        <v>4400</v>
      </c>
      <c r="BV91" s="34">
        <v>2600</v>
      </c>
      <c r="BW91" s="34">
        <f>4700-BV91</f>
        <v>2100</v>
      </c>
      <c r="BX91" s="34">
        <v>2600</v>
      </c>
      <c r="BY91" s="34">
        <v>1100</v>
      </c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9"/>
      <c r="CN91" s="34"/>
      <c r="CO91" s="34"/>
      <c r="CP91" s="34"/>
      <c r="CQ91" s="34"/>
      <c r="CY91" s="62">
        <f t="shared" ref="CY91" si="44">SUM(BR91:BU91)</f>
        <v>20100</v>
      </c>
      <c r="CZ91" s="62">
        <f t="shared" ref="CZ91" si="45">SUM(BV91:BY91)</f>
        <v>8400</v>
      </c>
      <c r="DA91" s="62">
        <f t="shared" ref="DA91" si="46">SUM(BZ91:CC91)</f>
        <v>0</v>
      </c>
    </row>
    <row r="92" spans="2:105" x14ac:dyDescent="0.25">
      <c r="B92" s="23" t="s">
        <v>347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>
        <v>6400</v>
      </c>
      <c r="BS92" s="34">
        <f>11700-BR92</f>
        <v>5300</v>
      </c>
      <c r="BT92" s="34">
        <v>7300</v>
      </c>
      <c r="BU92" s="34">
        <v>7400</v>
      </c>
      <c r="BV92" s="34">
        <v>5700</v>
      </c>
      <c r="BW92" s="34">
        <f>11300-BV92</f>
        <v>5600</v>
      </c>
      <c r="BX92" s="34">
        <v>6300</v>
      </c>
      <c r="BY92" s="34">
        <v>6100</v>
      </c>
      <c r="BZ92" s="34">
        <v>7500</v>
      </c>
      <c r="CA92" s="34">
        <v>6000</v>
      </c>
      <c r="CB92" s="34">
        <v>8200</v>
      </c>
      <c r="CC92" s="34">
        <v>7400</v>
      </c>
      <c r="CD92" s="34">
        <v>6600</v>
      </c>
      <c r="CE92" s="34">
        <v>6800</v>
      </c>
      <c r="CF92" s="34">
        <v>8000</v>
      </c>
      <c r="CG92" s="34">
        <f>27300-CF92-CE92-CD92</f>
        <v>5900</v>
      </c>
      <c r="CH92" s="34"/>
      <c r="CI92" s="34"/>
      <c r="CJ92" s="34"/>
      <c r="CK92" s="34"/>
      <c r="CL92" s="34"/>
      <c r="CM92" s="39"/>
      <c r="CN92" s="34"/>
      <c r="CO92" s="34"/>
      <c r="CP92" s="34"/>
      <c r="CQ92" s="34"/>
      <c r="CY92" s="62">
        <f t="shared" ref="CY92" si="47">SUM(BR92:BU92)</f>
        <v>26400</v>
      </c>
      <c r="CZ92" s="62">
        <f t="shared" ref="CZ92" si="48">SUM(BV92:BY92)</f>
        <v>23700</v>
      </c>
      <c r="DA92" s="62">
        <f t="shared" ref="DA92" si="49">SUM(BZ92:CC92)</f>
        <v>29100</v>
      </c>
    </row>
    <row r="93" spans="2:105" x14ac:dyDescent="0.25">
      <c r="B93" s="23" t="s">
        <v>346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>
        <v>10400</v>
      </c>
      <c r="BS93" s="34">
        <f>19900-BR93</f>
        <v>9500</v>
      </c>
      <c r="BT93" s="34">
        <v>10200</v>
      </c>
      <c r="BU93" s="34">
        <v>10200</v>
      </c>
      <c r="BV93" s="34">
        <v>11300</v>
      </c>
      <c r="BW93" s="34">
        <f>22200-BV93</f>
        <v>10900</v>
      </c>
      <c r="BX93" s="34">
        <v>11600</v>
      </c>
      <c r="BY93" s="34">
        <v>11700</v>
      </c>
      <c r="BZ93" s="34">
        <v>11200</v>
      </c>
      <c r="CA93" s="34">
        <f t="shared" ref="CA93" si="50">BW93</f>
        <v>10900</v>
      </c>
      <c r="CB93" s="34">
        <f t="shared" ref="CB93" si="51">BX93</f>
        <v>11600</v>
      </c>
      <c r="CC93" s="34">
        <f t="shared" ref="CC93" si="52">BY93</f>
        <v>11700</v>
      </c>
      <c r="CD93" s="34">
        <v>10900</v>
      </c>
      <c r="CE93" s="34">
        <v>11600</v>
      </c>
      <c r="CF93" s="34">
        <v>10500</v>
      </c>
      <c r="CG93" s="34">
        <v>11500</v>
      </c>
      <c r="CH93" s="34"/>
      <c r="CI93" s="34"/>
      <c r="CJ93" s="34"/>
      <c r="CK93" s="34"/>
      <c r="CL93" s="34"/>
      <c r="CM93" s="39"/>
      <c r="CN93" s="34"/>
      <c r="CO93" s="34"/>
      <c r="CP93" s="34"/>
      <c r="CQ93" s="34"/>
      <c r="CY93" s="62">
        <f t="shared" ref="CY93" si="53">SUM(BR93:BU93)</f>
        <v>40300</v>
      </c>
      <c r="CZ93" s="62">
        <f t="shared" ref="CZ93" si="54">SUM(BV93:BY93)</f>
        <v>45500</v>
      </c>
      <c r="DA93" s="62">
        <f t="shared" ref="DA93" si="55">SUM(BZ93:CC93)</f>
        <v>45400</v>
      </c>
    </row>
    <row r="94" spans="2:105" x14ac:dyDescent="0.25">
      <c r="B94" s="23" t="s">
        <v>345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>
        <v>24300</v>
      </c>
      <c r="BS94" s="34">
        <f>49100-BR94</f>
        <v>24800</v>
      </c>
      <c r="BT94" s="34">
        <v>29300</v>
      </c>
      <c r="BU94" s="34">
        <v>24000</v>
      </c>
      <c r="BV94" s="34">
        <v>27600</v>
      </c>
      <c r="BW94" s="34">
        <f>54700-BV94</f>
        <v>27100</v>
      </c>
      <c r="BX94" s="34">
        <v>29800</v>
      </c>
      <c r="BY94" s="34">
        <v>24200</v>
      </c>
      <c r="BZ94" s="34">
        <v>29800</v>
      </c>
      <c r="CA94" s="34">
        <v>28900</v>
      </c>
      <c r="CB94" s="34">
        <v>31500</v>
      </c>
      <c r="CC94" s="34">
        <v>28200</v>
      </c>
      <c r="CD94" s="34">
        <v>33200</v>
      </c>
      <c r="CE94" s="34">
        <v>31100</v>
      </c>
      <c r="CF94" s="34">
        <v>34700</v>
      </c>
      <c r="CG94" s="34">
        <v>31800</v>
      </c>
      <c r="CH94" s="34">
        <f t="shared" si="40"/>
        <v>794.44444444444446</v>
      </c>
      <c r="CI94" s="34">
        <f t="shared" si="30"/>
        <v>860.52631578947364</v>
      </c>
      <c r="CJ94" s="34"/>
      <c r="CK94" s="34"/>
      <c r="CL94" s="34"/>
      <c r="CM94" s="39"/>
      <c r="CN94" s="34"/>
      <c r="CO94" s="34"/>
      <c r="CP94" s="34"/>
      <c r="CQ94" s="34"/>
      <c r="CY94" s="62">
        <f t="shared" ref="CY94" si="56">SUM(BR94:BU94)</f>
        <v>102400</v>
      </c>
      <c r="CZ94" s="62">
        <f t="shared" ref="CZ94" si="57">SUM(BV94:BY94)</f>
        <v>108700</v>
      </c>
      <c r="DA94" s="62">
        <f t="shared" ref="DA94" si="58">SUM(BZ94:CC94)</f>
        <v>118400</v>
      </c>
    </row>
    <row r="95" spans="2:105" x14ac:dyDescent="0.25">
      <c r="B95" s="23" t="s">
        <v>344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>
        <v>18100</v>
      </c>
      <c r="BS95" s="34">
        <f>36800-BR95</f>
        <v>18700</v>
      </c>
      <c r="BT95" s="34">
        <v>19800</v>
      </c>
      <c r="BU95" s="34">
        <v>19100</v>
      </c>
      <c r="BV95" s="34">
        <v>21900</v>
      </c>
      <c r="BW95" s="34">
        <f>48400-BV95</f>
        <v>26500</v>
      </c>
      <c r="BX95" s="34">
        <v>29800</v>
      </c>
      <c r="BY95" s="34">
        <v>14900</v>
      </c>
      <c r="BZ95" s="34">
        <v>27100</v>
      </c>
      <c r="CA95" s="34">
        <v>31800</v>
      </c>
      <c r="CB95" s="34">
        <v>31100</v>
      </c>
      <c r="CC95" s="34">
        <v>29300</v>
      </c>
      <c r="CD95" s="34">
        <v>36800</v>
      </c>
      <c r="CE95" s="34">
        <v>36400</v>
      </c>
      <c r="CF95" s="34">
        <v>40100</v>
      </c>
      <c r="CG95" s="34">
        <v>32900</v>
      </c>
      <c r="CH95" s="34"/>
      <c r="CI95" s="34"/>
      <c r="CJ95" s="34"/>
      <c r="CK95" s="34"/>
      <c r="CL95" s="34"/>
      <c r="CM95" s="39"/>
      <c r="CN95" s="34"/>
      <c r="CO95" s="34"/>
      <c r="CP95" s="34"/>
      <c r="CQ95" s="34"/>
      <c r="CY95" s="62">
        <f t="shared" ref="CY95" si="59">SUM(BR95:BU95)</f>
        <v>75700</v>
      </c>
      <c r="CZ95" s="62">
        <f t="shared" ref="CZ95" si="60">SUM(BV95:BY95)</f>
        <v>93100</v>
      </c>
      <c r="DA95" s="62">
        <f t="shared" ref="DA95" si="61">SUM(BZ95:CC95)</f>
        <v>119300</v>
      </c>
    </row>
    <row r="96" spans="2:105" x14ac:dyDescent="0.25">
      <c r="B96" s="23" t="s">
        <v>338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>
        <v>125400</v>
      </c>
      <c r="BS96" s="34">
        <f>255900-BR96</f>
        <v>130500</v>
      </c>
      <c r="BT96" s="34">
        <v>139500</v>
      </c>
      <c r="BU96" s="34">
        <v>126400</v>
      </c>
      <c r="BV96" s="34">
        <v>168300</v>
      </c>
      <c r="BW96" s="34">
        <f>346600-BV96</f>
        <v>178300</v>
      </c>
      <c r="BX96" s="34">
        <v>201300</v>
      </c>
      <c r="BY96" s="34">
        <v>154900</v>
      </c>
      <c r="BZ96" s="34">
        <v>192000</v>
      </c>
      <c r="CA96" s="34">
        <v>199700</v>
      </c>
      <c r="CB96" s="34">
        <v>227600</v>
      </c>
      <c r="CC96" s="34">
        <v>181600</v>
      </c>
      <c r="CD96" s="34">
        <v>234400</v>
      </c>
      <c r="CE96" s="34">
        <v>238900</v>
      </c>
      <c r="CF96" s="34">
        <v>225800</v>
      </c>
      <c r="CG96" s="34">
        <v>215100</v>
      </c>
      <c r="CH96" s="34"/>
      <c r="CI96" s="34"/>
      <c r="CJ96" s="34"/>
      <c r="CK96" s="34"/>
      <c r="CL96" s="34"/>
      <c r="CM96" s="39"/>
      <c r="CN96" s="34"/>
      <c r="CO96" s="34"/>
      <c r="CP96" s="34"/>
      <c r="CQ96" s="34"/>
      <c r="CY96" s="62">
        <f t="shared" ref="CY96" si="62">SUM(BR96:BU96)</f>
        <v>521800</v>
      </c>
      <c r="CZ96" s="62">
        <f t="shared" ref="CZ96" si="63">SUM(BV96:BY96)</f>
        <v>702800</v>
      </c>
      <c r="DA96" s="62">
        <f t="shared" ref="DA96" si="64">SUM(BZ96:CC96)</f>
        <v>800900</v>
      </c>
    </row>
    <row r="97" spans="2:105" x14ac:dyDescent="0.25">
      <c r="B97" s="2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9"/>
      <c r="CN97" s="34"/>
      <c r="CO97" s="34"/>
      <c r="CP97" s="34"/>
      <c r="CQ97" s="34"/>
    </row>
    <row r="98" spans="2:105" x14ac:dyDescent="0.25">
      <c r="B98" s="23" t="s">
        <v>210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>
        <f>354698-353610</f>
        <v>1088</v>
      </c>
      <c r="S98" s="34">
        <f>714025-R103-SUM(S23:S45)-S4-S9-S10-S15-S18</f>
        <v>-22163</v>
      </c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>
        <f>CM98</f>
        <v>0</v>
      </c>
      <c r="CO98" s="34"/>
      <c r="CP98" s="34"/>
      <c r="CQ98" s="34"/>
      <c r="CY98" s="14">
        <f>CY103-SUM(CY4:CY96)</f>
        <v>488706</v>
      </c>
      <c r="CZ98" s="14">
        <f>CZ103-SUM(CZ4:CZ96)</f>
        <v>335678</v>
      </c>
      <c r="DA98" s="14">
        <f>CZ98</f>
        <v>335678</v>
      </c>
    </row>
    <row r="99" spans="2:105" x14ac:dyDescent="0.25">
      <c r="B99" s="1" t="s">
        <v>69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W99" s="34">
        <v>0</v>
      </c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>
        <v>30000</v>
      </c>
      <c r="CM99" s="34"/>
      <c r="CN99" s="34"/>
      <c r="CO99" s="34">
        <v>5000</v>
      </c>
      <c r="CP99" s="34">
        <v>50000</v>
      </c>
      <c r="CQ99" s="34">
        <v>100000</v>
      </c>
    </row>
    <row r="100" spans="2:105" x14ac:dyDescent="0.25">
      <c r="B100" s="1" t="s">
        <v>63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>
        <v>0</v>
      </c>
      <c r="CM100" s="34"/>
      <c r="CN100" s="34"/>
      <c r="CO100" s="34"/>
      <c r="CP100" s="34"/>
      <c r="CQ100" s="34"/>
    </row>
    <row r="101" spans="2:105" x14ac:dyDescent="0.25">
      <c r="B101" s="1" t="s">
        <v>71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</row>
    <row r="102" spans="2:105" x14ac:dyDescent="0.25">
      <c r="F102" s="34"/>
      <c r="G102" s="34"/>
      <c r="H102" s="34"/>
      <c r="I102" s="34"/>
      <c r="J102" s="34">
        <f>J103-SUM(J27:J40)-J24-J18-J15-J10-J4</f>
        <v>48081</v>
      </c>
      <c r="K102" s="34">
        <f>K103-SUM(K27:K40)-K24-K18-K15-K10-K4</f>
        <v>59659</v>
      </c>
      <c r="L102" s="34">
        <f>L103-SUM(L27:L40)-L24-L18-L15-L10-L4</f>
        <v>53150</v>
      </c>
      <c r="M102" s="34"/>
      <c r="N102" s="34">
        <f>N103-SUM(N27:N44)-N24-N18-N15-N10-N4</f>
        <v>23877</v>
      </c>
      <c r="O102" s="34">
        <f>O103-SUM(O27:O40)-O24-O18-O15-O10-O4</f>
        <v>52176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2:105" s="16" customFormat="1" ht="13" x14ac:dyDescent="0.3">
      <c r="B103" s="16" t="s">
        <v>56</v>
      </c>
      <c r="C103" s="32">
        <v>642427</v>
      </c>
      <c r="D103" s="33"/>
      <c r="E103" s="33"/>
      <c r="F103" s="32">
        <v>366333</v>
      </c>
      <c r="G103" s="32">
        <f>708468-F103</f>
        <v>342135</v>
      </c>
      <c r="H103" s="32">
        <f>1076000-G103-F103</f>
        <v>367532</v>
      </c>
      <c r="I103" s="32">
        <f>1374802-H103-G103-F103</f>
        <v>298802</v>
      </c>
      <c r="J103" s="32">
        <v>396881</v>
      </c>
      <c r="K103" s="32">
        <f>807140-J103</f>
        <v>410259</v>
      </c>
      <c r="L103" s="32">
        <f>1202760-K103-J103</f>
        <v>395620</v>
      </c>
      <c r="M103" s="32">
        <f>1538336-L103-K103-J103</f>
        <v>335576</v>
      </c>
      <c r="N103" s="32">
        <v>378977</v>
      </c>
      <c r="O103" s="32">
        <f>755453-N103</f>
        <v>376476</v>
      </c>
      <c r="P103" s="32">
        <f>1127946-O103-N103</f>
        <v>372493</v>
      </c>
      <c r="Q103" s="32">
        <f>+CM103-P103-O103-N103</f>
        <v>338019</v>
      </c>
      <c r="R103" s="32">
        <f>R4+R10+R15+R18+SUM(R23:R102)</f>
        <v>359498</v>
      </c>
      <c r="S103" s="32">
        <f>S4+S10+S15+S18+SUM(S23:S102)+S9</f>
        <v>354527</v>
      </c>
      <c r="T103" s="32">
        <f>1081130-S103-R103</f>
        <v>367105</v>
      </c>
      <c r="U103" s="32">
        <f>U4+U10+U15+U18+SUM(U23:U102)</f>
        <v>337357</v>
      </c>
      <c r="V103" s="32">
        <f>V4+V10+V15+V18+SUM(V23:V102)</f>
        <v>306766.66000000003</v>
      </c>
      <c r="W103" s="32">
        <f>W4+W10+W15+W18+SUM(W23:W102)</f>
        <v>301041.92180000001</v>
      </c>
      <c r="X103" s="32">
        <f>X4+X10+X15+X18+SUM(X23:X102)</f>
        <v>300429.42261400004</v>
      </c>
      <c r="Y103" s="32">
        <f>Y4+Y10+Y15+Y18+SUM(Y23:Y102)</f>
        <v>306389.31639922003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3"/>
      <c r="AP103" s="32"/>
      <c r="AQ103" s="32"/>
      <c r="AR103" s="32"/>
      <c r="AS103" s="32"/>
      <c r="AT103" s="32"/>
      <c r="AU103" s="32">
        <v>1212200</v>
      </c>
      <c r="AV103" s="32">
        <v>1305167</v>
      </c>
      <c r="AW103" s="32">
        <v>1374800</v>
      </c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>
        <f t="shared" ref="BR103:CG103" si="65">SUM(BR4:BR96)</f>
        <v>745200</v>
      </c>
      <c r="BS103" s="32">
        <f t="shared" si="65"/>
        <v>759600</v>
      </c>
      <c r="BT103" s="32">
        <f t="shared" si="65"/>
        <v>814600</v>
      </c>
      <c r="BU103" s="32">
        <f t="shared" si="65"/>
        <v>760900</v>
      </c>
      <c r="BV103" s="32">
        <f t="shared" si="65"/>
        <v>889000</v>
      </c>
      <c r="BW103" s="32">
        <f t="shared" si="65"/>
        <v>924200</v>
      </c>
      <c r="BX103" s="32">
        <f t="shared" si="65"/>
        <v>1014900</v>
      </c>
      <c r="BY103" s="32">
        <f t="shared" si="65"/>
        <v>863700</v>
      </c>
      <c r="BZ103" s="32">
        <f t="shared" si="65"/>
        <v>1058600</v>
      </c>
      <c r="CA103" s="32">
        <f t="shared" si="65"/>
        <v>1038600</v>
      </c>
      <c r="CB103" s="32">
        <f t="shared" si="65"/>
        <v>1112200</v>
      </c>
      <c r="CC103" s="32">
        <f t="shared" si="65"/>
        <v>1030400</v>
      </c>
      <c r="CD103" s="32">
        <f t="shared" si="65"/>
        <v>1208000</v>
      </c>
      <c r="CE103" s="32">
        <f t="shared" si="65"/>
        <v>1094200</v>
      </c>
      <c r="CF103" s="32">
        <f t="shared" si="65"/>
        <v>1059100</v>
      </c>
      <c r="CG103" s="32">
        <f t="shared" si="65"/>
        <v>964100</v>
      </c>
      <c r="CH103" s="32"/>
      <c r="CI103" s="32"/>
      <c r="CJ103" s="32"/>
      <c r="CK103" s="32"/>
      <c r="CL103" s="32">
        <v>1538336</v>
      </c>
      <c r="CM103" s="32">
        <v>1465965</v>
      </c>
      <c r="CN103" s="32">
        <f>CN4+CN10+CN15+CN18+SUM(CN23:CN102)</f>
        <v>1430248</v>
      </c>
      <c r="CO103" s="32">
        <f>SUM(CO4:CO101)</f>
        <v>1962325.12162644</v>
      </c>
      <c r="CP103" s="32">
        <f>SUM(CP4:CP101)</f>
        <v>1286809.6236819702</v>
      </c>
      <c r="CQ103" s="32">
        <f>SUM(CQ4:CQ101)</f>
        <v>1097533.628754145</v>
      </c>
      <c r="CR103" s="33"/>
      <c r="CS103" s="33"/>
      <c r="CT103" s="33"/>
      <c r="CY103" s="60">
        <v>3569006</v>
      </c>
      <c r="CZ103" s="60">
        <v>4027478</v>
      </c>
      <c r="DA103" s="60">
        <f>SUM(DA4:DA98)</f>
        <v>4291478</v>
      </c>
    </row>
    <row r="104" spans="2:105" x14ac:dyDescent="0.25">
      <c r="B104" s="1" t="s">
        <v>57</v>
      </c>
      <c r="C104" s="34"/>
      <c r="F104" s="34">
        <v>71692</v>
      </c>
      <c r="G104" s="34">
        <f>140091-F104</f>
        <v>68399</v>
      </c>
      <c r="H104" s="34">
        <f>214047-G104-F104</f>
        <v>73956</v>
      </c>
      <c r="I104" s="34">
        <f>278631-H104-G104-F104</f>
        <v>64584</v>
      </c>
      <c r="J104" s="34">
        <v>78628</v>
      </c>
      <c r="K104" s="34">
        <f>150709-J104</f>
        <v>72081</v>
      </c>
      <c r="L104" s="34">
        <f>221270-K104-J104</f>
        <v>70561</v>
      </c>
      <c r="M104" s="34">
        <f>289543-L104-K104-J104</f>
        <v>68273</v>
      </c>
      <c r="N104" s="34">
        <v>71336</v>
      </c>
      <c r="O104" s="34">
        <f>140382-N104</f>
        <v>69046</v>
      </c>
      <c r="P104" s="34">
        <f>214629-O104-N104</f>
        <v>74247</v>
      </c>
      <c r="Q104" s="39">
        <f>+CM104-P104-O104-N104</f>
        <v>70435</v>
      </c>
      <c r="R104" s="34">
        <v>73102</v>
      </c>
      <c r="S104" s="34">
        <f>150583-R104</f>
        <v>77481</v>
      </c>
      <c r="T104" s="34">
        <f>234695-S104-R104</f>
        <v>84112</v>
      </c>
      <c r="U104" s="34">
        <f>U103*(1-U119)</f>
        <v>77592.11</v>
      </c>
      <c r="V104" s="34">
        <f>V103*(1-V119)</f>
        <v>70556.3318</v>
      </c>
      <c r="W104" s="34">
        <f>W103*(1-W119)</f>
        <v>69239.642013999997</v>
      </c>
      <c r="X104" s="34">
        <f>X103*(1-X119)</f>
        <v>69098.767201220006</v>
      </c>
      <c r="Y104" s="34">
        <f>Y103*(1-Y119)</f>
        <v>70469.542771820605</v>
      </c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P104" s="34"/>
      <c r="AQ104" s="34"/>
      <c r="AR104" s="34"/>
      <c r="AS104" s="34"/>
      <c r="AT104" s="34"/>
      <c r="AU104" s="34"/>
      <c r="AV104" s="34">
        <v>279662</v>
      </c>
      <c r="AW104" s="34">
        <f>AW103-AW105</f>
        <v>288708</v>
      </c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>
        <f>517061-BR104</f>
        <v>517061</v>
      </c>
      <c r="BT104" s="34"/>
      <c r="BU104" s="34"/>
      <c r="BV104" s="34"/>
      <c r="BW104" s="34">
        <f>598327-BV104</f>
        <v>598327</v>
      </c>
      <c r="BX104" s="34"/>
      <c r="BY104" s="34"/>
      <c r="BZ104" s="34">
        <v>321100</v>
      </c>
      <c r="CA104" s="34"/>
      <c r="CB104" s="34"/>
      <c r="CC104" s="34"/>
      <c r="CD104" s="34">
        <v>387000</v>
      </c>
      <c r="CE104" s="34"/>
      <c r="CF104" s="34"/>
      <c r="CG104" s="34"/>
      <c r="CH104" s="34"/>
      <c r="CI104" s="34"/>
      <c r="CJ104" s="34"/>
      <c r="CK104" s="34"/>
      <c r="CL104" s="34">
        <v>289543</v>
      </c>
      <c r="CM104" s="34">
        <v>285064</v>
      </c>
      <c r="CN104" s="34">
        <f>CN103-CN105</f>
        <v>271747.11999999988</v>
      </c>
      <c r="CO104" s="34">
        <f>CO103-CO105</f>
        <v>372841.77310902346</v>
      </c>
      <c r="CP104" s="34">
        <f>CP103-CP105</f>
        <v>231625.73226275458</v>
      </c>
      <c r="CQ104" s="34">
        <f>CQ103-CQ105</f>
        <v>197556.05317574611</v>
      </c>
      <c r="CY104" s="14">
        <v>1106846</v>
      </c>
      <c r="CZ104" s="14">
        <v>1244072</v>
      </c>
    </row>
    <row r="105" spans="2:105" x14ac:dyDescent="0.25">
      <c r="B105" s="1" t="s">
        <v>58</v>
      </c>
      <c r="C105" s="34"/>
      <c r="F105" s="34">
        <f t="shared" ref="F105:P105" si="66">F103-F104</f>
        <v>294641</v>
      </c>
      <c r="G105" s="34">
        <f t="shared" si="66"/>
        <v>273736</v>
      </c>
      <c r="H105" s="34">
        <f t="shared" si="66"/>
        <v>293576</v>
      </c>
      <c r="I105" s="34">
        <f t="shared" si="66"/>
        <v>234218</v>
      </c>
      <c r="J105" s="34">
        <f t="shared" si="66"/>
        <v>318253</v>
      </c>
      <c r="K105" s="34">
        <f t="shared" si="66"/>
        <v>338178</v>
      </c>
      <c r="L105" s="34">
        <f t="shared" si="66"/>
        <v>325059</v>
      </c>
      <c r="M105" s="34">
        <f t="shared" si="66"/>
        <v>267303</v>
      </c>
      <c r="N105" s="34">
        <f t="shared" si="66"/>
        <v>307641</v>
      </c>
      <c r="O105" s="34">
        <f t="shared" si="66"/>
        <v>307430</v>
      </c>
      <c r="P105" s="34">
        <f t="shared" si="66"/>
        <v>298246</v>
      </c>
      <c r="Q105" s="34">
        <f t="shared" ref="Q105:Y105" si="67">Q103-Q104</f>
        <v>267584</v>
      </c>
      <c r="R105" s="34">
        <f t="shared" si="67"/>
        <v>286396</v>
      </c>
      <c r="S105" s="34">
        <f t="shared" si="67"/>
        <v>277046</v>
      </c>
      <c r="T105" s="34">
        <f t="shared" si="67"/>
        <v>282993</v>
      </c>
      <c r="U105" s="34">
        <f t="shared" si="67"/>
        <v>259764.89</v>
      </c>
      <c r="V105" s="34">
        <f t="shared" si="67"/>
        <v>236210.32820000005</v>
      </c>
      <c r="W105" s="34">
        <f t="shared" si="67"/>
        <v>231802.27978600003</v>
      </c>
      <c r="X105" s="34">
        <f t="shared" si="67"/>
        <v>231330.65541278003</v>
      </c>
      <c r="Y105" s="34">
        <f t="shared" si="67"/>
        <v>235919.77362739941</v>
      </c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P105" s="34"/>
      <c r="AQ105" s="34"/>
      <c r="AR105" s="34"/>
      <c r="AS105" s="34"/>
      <c r="AT105" s="34"/>
      <c r="AU105" s="34"/>
      <c r="AV105" s="34">
        <f>AV103-AV104</f>
        <v>1025505</v>
      </c>
      <c r="AW105" s="34">
        <f>AW103*AW119</f>
        <v>1086092</v>
      </c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>
        <f>+BS103-BS104</f>
        <v>242539</v>
      </c>
      <c r="BT105" s="34"/>
      <c r="BU105" s="34"/>
      <c r="BV105" s="34"/>
      <c r="BW105" s="34">
        <f>+BW103-BW104</f>
        <v>325873</v>
      </c>
      <c r="BX105" s="34"/>
      <c r="BY105" s="34"/>
      <c r="BZ105" s="34">
        <f>+BZ103-BZ104</f>
        <v>737500</v>
      </c>
      <c r="CA105" s="34"/>
      <c r="CB105" s="34"/>
      <c r="CC105" s="34"/>
      <c r="CD105" s="34">
        <f>+CD103-CD104</f>
        <v>821000</v>
      </c>
      <c r="CE105" s="34"/>
      <c r="CF105" s="34"/>
      <c r="CG105" s="34"/>
      <c r="CH105" s="34"/>
      <c r="CI105" s="34"/>
      <c r="CJ105" s="34"/>
      <c r="CK105" s="34"/>
      <c r="CL105" s="34">
        <f>+CL103-CL104</f>
        <v>1248793</v>
      </c>
      <c r="CM105" s="34">
        <f>+CM103-CM104</f>
        <v>1180901</v>
      </c>
      <c r="CN105" s="34">
        <f>CN103*CN119</f>
        <v>1158500.8800000001</v>
      </c>
      <c r="CO105" s="34">
        <f>CO103*CO119</f>
        <v>1589483.3485174165</v>
      </c>
      <c r="CP105" s="34">
        <f>CP103*CP119</f>
        <v>1055183.8914192156</v>
      </c>
      <c r="CQ105" s="34">
        <f>CQ103*CQ119</f>
        <v>899977.57557839889</v>
      </c>
      <c r="CY105" s="14">
        <f>CY103-CY104</f>
        <v>2462160</v>
      </c>
      <c r="CZ105" s="14">
        <f>CZ103-CZ104</f>
        <v>2783406</v>
      </c>
    </row>
    <row r="106" spans="2:105" x14ac:dyDescent="0.25">
      <c r="B106" s="1" t="s">
        <v>59</v>
      </c>
      <c r="C106" s="34"/>
      <c r="F106" s="34">
        <v>141520</v>
      </c>
      <c r="G106" s="34">
        <f>303472-F106</f>
        <v>161952</v>
      </c>
      <c r="H106" s="34">
        <f>456103-G106-F106</f>
        <v>152631</v>
      </c>
      <c r="I106" s="34"/>
      <c r="J106" s="34">
        <v>110660</v>
      </c>
      <c r="K106" s="34">
        <f>250334-J106</f>
        <v>139674</v>
      </c>
      <c r="L106" s="34">
        <f>364008-K106-J106</f>
        <v>113674</v>
      </c>
      <c r="M106" s="34"/>
      <c r="N106" s="34">
        <v>117144</v>
      </c>
      <c r="O106" s="34">
        <f>236963-N106</f>
        <v>119819</v>
      </c>
      <c r="P106" s="34">
        <f>347817-O106-N106</f>
        <v>110854</v>
      </c>
      <c r="Q106" s="39"/>
      <c r="R106" s="34">
        <v>112223</v>
      </c>
      <c r="S106" s="34">
        <f>217629-R106</f>
        <v>105406</v>
      </c>
      <c r="T106" s="34">
        <f>323922-S106-R106</f>
        <v>106293</v>
      </c>
      <c r="U106" s="34">
        <f>U103*U120</f>
        <v>97833.53</v>
      </c>
      <c r="V106" s="34">
        <f>V103*V120</f>
        <v>88962.33140000001</v>
      </c>
      <c r="W106" s="34">
        <f>W103*W120</f>
        <v>87302.157321999999</v>
      </c>
      <c r="X106" s="34">
        <f>X103*X120</f>
        <v>87124.532558060004</v>
      </c>
      <c r="Y106" s="34">
        <f>Y103*Y120</f>
        <v>88852.901755773797</v>
      </c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P106" s="34"/>
      <c r="AQ106" s="34"/>
      <c r="AR106" s="34"/>
      <c r="AS106" s="34"/>
      <c r="AT106" s="34"/>
      <c r="AU106" s="34"/>
      <c r="AV106" s="34">
        <v>567005</v>
      </c>
      <c r="AW106" s="34">
        <f>AV106*0.99</f>
        <v>561334.94999999995</v>
      </c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>
        <f>431854-BR106</f>
        <v>431854</v>
      </c>
      <c r="BT106" s="34"/>
      <c r="BU106" s="34"/>
      <c r="BV106" s="34"/>
      <c r="BW106" s="34">
        <f>480214-BV106</f>
        <v>480214</v>
      </c>
      <c r="BX106" s="34"/>
      <c r="BY106" s="34"/>
      <c r="BZ106" s="34">
        <v>248100</v>
      </c>
      <c r="CA106" s="34"/>
      <c r="CB106" s="34"/>
      <c r="CC106" s="34"/>
      <c r="CD106" s="34">
        <v>270000</v>
      </c>
      <c r="CE106" s="34"/>
      <c r="CF106" s="34"/>
      <c r="CG106" s="34"/>
      <c r="CH106" s="34"/>
      <c r="CI106" s="34"/>
      <c r="CJ106" s="34"/>
      <c r="CK106" s="34"/>
      <c r="CL106" s="34">
        <v>942325</v>
      </c>
      <c r="CM106" s="34">
        <f>760690-CM107</f>
        <v>464290</v>
      </c>
      <c r="CN106" s="34">
        <f>CM106*0.99</f>
        <v>459647.1</v>
      </c>
      <c r="CO106" s="34">
        <f>CN106*0.8</f>
        <v>367717.68</v>
      </c>
      <c r="CP106" s="34">
        <f>CO106*0.8</f>
        <v>294174.14400000003</v>
      </c>
      <c r="CQ106" s="34">
        <f>CP106*0.8</f>
        <v>235339.31520000004</v>
      </c>
      <c r="CY106" s="14">
        <v>886361</v>
      </c>
      <c r="CZ106" s="14">
        <v>997309</v>
      </c>
    </row>
    <row r="107" spans="2:105" x14ac:dyDescent="0.25">
      <c r="B107" s="1" t="s">
        <v>89</v>
      </c>
      <c r="C107" s="34"/>
      <c r="F107" s="34"/>
      <c r="G107" s="34"/>
      <c r="H107" s="37"/>
      <c r="I107" s="34"/>
      <c r="J107" s="34">
        <v>234829</v>
      </c>
      <c r="K107" s="34">
        <f>321067-J107</f>
        <v>86238</v>
      </c>
      <c r="L107" s="34">
        <f>377598-K107-J107</f>
        <v>56531</v>
      </c>
      <c r="M107" s="34"/>
      <c r="N107" s="34">
        <v>64867</v>
      </c>
      <c r="O107" s="34">
        <f>135581-N107</f>
        <v>70714</v>
      </c>
      <c r="P107" s="34">
        <f>209279-O107-N107</f>
        <v>73698</v>
      </c>
      <c r="Q107" s="34"/>
      <c r="R107" s="34">
        <v>62113</v>
      </c>
      <c r="S107" s="34">
        <f>124195-R107</f>
        <v>62082</v>
      </c>
      <c r="T107" s="34">
        <f>190001-S107-R107</f>
        <v>65806</v>
      </c>
      <c r="U107" s="34">
        <f>T107</f>
        <v>65806</v>
      </c>
      <c r="V107" s="34">
        <f>U107*1.005</f>
        <v>66135.03</v>
      </c>
      <c r="W107" s="34">
        <f>V107</f>
        <v>66135.03</v>
      </c>
      <c r="X107" s="34">
        <f>W107*1.005</f>
        <v>66465.705149999994</v>
      </c>
      <c r="Y107" s="34">
        <f>X107*1.005</f>
        <v>66798.03367574999</v>
      </c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P107" s="34"/>
      <c r="AQ107" s="34"/>
      <c r="AR107" s="34"/>
      <c r="AS107" s="34"/>
      <c r="AT107" s="34"/>
      <c r="AU107" s="34"/>
      <c r="AV107" s="49" t="s">
        <v>244</v>
      </c>
      <c r="AW107" s="49" t="s">
        <v>245</v>
      </c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>
        <f>254081-BR107</f>
        <v>254081</v>
      </c>
      <c r="BT107" s="49"/>
      <c r="BU107" s="49"/>
      <c r="BV107" s="49"/>
      <c r="BW107" s="49">
        <f>297752-BV107</f>
        <v>297752</v>
      </c>
      <c r="BX107" s="49"/>
      <c r="BY107" s="49"/>
      <c r="BZ107" s="49">
        <v>162700</v>
      </c>
      <c r="CA107" s="49"/>
      <c r="CB107" s="49"/>
      <c r="CC107" s="49"/>
      <c r="CD107" s="49">
        <v>168500</v>
      </c>
      <c r="CE107" s="49"/>
      <c r="CF107" s="49"/>
      <c r="CG107" s="49"/>
      <c r="CH107" s="49"/>
      <c r="CI107" s="49"/>
      <c r="CJ107" s="49"/>
      <c r="CK107" s="49"/>
      <c r="CL107" s="49" t="s">
        <v>246</v>
      </c>
      <c r="CM107" s="49">
        <v>296400</v>
      </c>
      <c r="CN107" s="49" t="s">
        <v>247</v>
      </c>
      <c r="CO107" s="34"/>
      <c r="CP107" s="34"/>
      <c r="CQ107" s="34"/>
      <c r="CY107" s="14">
        <v>526087</v>
      </c>
      <c r="CZ107" s="14">
        <v>633325</v>
      </c>
    </row>
    <row r="108" spans="2:105" x14ac:dyDescent="0.25">
      <c r="B108" s="23" t="s">
        <v>185</v>
      </c>
      <c r="C108" s="34"/>
      <c r="F108" s="34"/>
      <c r="G108" s="34"/>
      <c r="H108" s="37"/>
      <c r="I108" s="34"/>
      <c r="J108" s="34">
        <f>J107+J106</f>
        <v>345489</v>
      </c>
      <c r="K108" s="34">
        <f>K107+K106</f>
        <v>225912</v>
      </c>
      <c r="L108" s="34">
        <f>L107+L106</f>
        <v>170205</v>
      </c>
      <c r="M108" s="34">
        <f>942325-L108-K108-J108</f>
        <v>200719</v>
      </c>
      <c r="N108" s="34">
        <f>N107+N106</f>
        <v>182011</v>
      </c>
      <c r="O108" s="34">
        <f>O107+O106</f>
        <v>190533</v>
      </c>
      <c r="P108" s="34">
        <f>P107+P106</f>
        <v>184552</v>
      </c>
      <c r="Q108" s="34">
        <f>760690-P108-O108-N108</f>
        <v>203594</v>
      </c>
      <c r="R108" s="34">
        <f>R107+R106</f>
        <v>174336</v>
      </c>
      <c r="S108" s="34">
        <f>S107+S106</f>
        <v>167488</v>
      </c>
      <c r="T108" s="34">
        <f>T107+T106</f>
        <v>172099</v>
      </c>
      <c r="U108" s="34">
        <f>U106+U107</f>
        <v>163639.53</v>
      </c>
      <c r="V108" s="34">
        <f>V106+V107</f>
        <v>155097.36139999999</v>
      </c>
      <c r="W108" s="34">
        <f>W106+W107</f>
        <v>153437.18732199998</v>
      </c>
      <c r="X108" s="34">
        <f>X106+X107</f>
        <v>153590.23770806001</v>
      </c>
      <c r="Y108" s="34">
        <f>Y106+Y107</f>
        <v>155650.93543152377</v>
      </c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>
        <f>+BS106+BS107</f>
        <v>685935</v>
      </c>
      <c r="BT108" s="34"/>
      <c r="BU108" s="34"/>
      <c r="BV108" s="34"/>
      <c r="BW108" s="34">
        <f>+BW106+BW107</f>
        <v>777966</v>
      </c>
      <c r="BX108" s="34"/>
      <c r="BY108" s="34"/>
      <c r="BZ108" s="34">
        <f t="shared" ref="BZ108:CC108" si="68">+BZ106+BZ107</f>
        <v>410800</v>
      </c>
      <c r="CA108" s="34">
        <f t="shared" si="68"/>
        <v>0</v>
      </c>
      <c r="CB108" s="34">
        <f t="shared" si="68"/>
        <v>0</v>
      </c>
      <c r="CC108" s="34">
        <f t="shared" si="68"/>
        <v>0</v>
      </c>
      <c r="CD108" s="34">
        <f>+CD106+CD107</f>
        <v>438500</v>
      </c>
      <c r="CE108" s="34"/>
      <c r="CF108" s="34"/>
      <c r="CG108" s="34"/>
      <c r="CH108" s="34"/>
      <c r="CI108" s="34"/>
      <c r="CJ108" s="34"/>
      <c r="CK108" s="34"/>
      <c r="CL108" s="34"/>
      <c r="CM108" s="34">
        <f>+CM107+CM106</f>
        <v>760690</v>
      </c>
      <c r="CN108" s="34"/>
      <c r="CO108" s="34"/>
      <c r="CP108" s="34"/>
      <c r="CQ108" s="34"/>
      <c r="CY108" s="14">
        <f>CY106+CY107</f>
        <v>1412448</v>
      </c>
      <c r="CZ108" s="14">
        <f>CZ106+CZ107</f>
        <v>1630634</v>
      </c>
    </row>
    <row r="109" spans="2:105" x14ac:dyDescent="0.25">
      <c r="B109" s="1" t="s">
        <v>81</v>
      </c>
      <c r="C109" s="34"/>
      <c r="F109" s="34">
        <f>F105-F106</f>
        <v>153121</v>
      </c>
      <c r="G109" s="34">
        <f>G105-G106</f>
        <v>111784</v>
      </c>
      <c r="H109" s="34">
        <f>H105-H106</f>
        <v>140945</v>
      </c>
      <c r="I109" s="34"/>
      <c r="J109" s="34">
        <f t="shared" ref="J109:O109" si="69">J105-J108</f>
        <v>-27236</v>
      </c>
      <c r="K109" s="34">
        <f t="shared" si="69"/>
        <v>112266</v>
      </c>
      <c r="L109" s="34">
        <f t="shared" si="69"/>
        <v>154854</v>
      </c>
      <c r="M109" s="34">
        <f t="shared" si="69"/>
        <v>66584</v>
      </c>
      <c r="N109" s="34">
        <f t="shared" si="69"/>
        <v>125630</v>
      </c>
      <c r="O109" s="34">
        <f t="shared" si="69"/>
        <v>116897</v>
      </c>
      <c r="P109" s="34">
        <f t="shared" ref="P109:Y109" si="70">P105-P108</f>
        <v>113694</v>
      </c>
      <c r="Q109" s="34">
        <f t="shared" si="70"/>
        <v>63990</v>
      </c>
      <c r="R109" s="34">
        <f t="shared" si="70"/>
        <v>112060</v>
      </c>
      <c r="S109" s="34">
        <f t="shared" si="70"/>
        <v>109558</v>
      </c>
      <c r="T109" s="34">
        <f t="shared" si="70"/>
        <v>110894</v>
      </c>
      <c r="U109" s="34">
        <f t="shared" si="70"/>
        <v>96125.360000000015</v>
      </c>
      <c r="V109" s="34">
        <f t="shared" si="70"/>
        <v>81112.966800000053</v>
      </c>
      <c r="W109" s="34">
        <f t="shared" si="70"/>
        <v>78365.092464000045</v>
      </c>
      <c r="X109" s="34">
        <f t="shared" si="70"/>
        <v>77740.417704720021</v>
      </c>
      <c r="Y109" s="34">
        <f t="shared" si="70"/>
        <v>80268.838195875636</v>
      </c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P109" s="34"/>
      <c r="AQ109" s="34"/>
      <c r="AR109" s="34"/>
      <c r="AS109" s="34"/>
      <c r="AT109" s="34"/>
      <c r="AU109" s="34"/>
      <c r="AV109" s="34">
        <f>AV105-AV106</f>
        <v>458500</v>
      </c>
      <c r="AW109" s="34">
        <f>AW105-AW106</f>
        <v>524757.05000000005</v>
      </c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>
        <f>+BS105-BS108</f>
        <v>-443396</v>
      </c>
      <c r="BT109" s="34"/>
      <c r="BU109" s="34"/>
      <c r="BV109" s="34"/>
      <c r="BW109" s="34">
        <f>+BW105-BW108</f>
        <v>-452093</v>
      </c>
      <c r="BX109" s="34"/>
      <c r="BY109" s="34"/>
      <c r="BZ109" s="34">
        <f t="shared" ref="BZ109:CC109" si="71">+BZ105-BZ108</f>
        <v>326700</v>
      </c>
      <c r="CA109" s="34">
        <f t="shared" si="71"/>
        <v>0</v>
      </c>
      <c r="CB109" s="34">
        <f t="shared" si="71"/>
        <v>0</v>
      </c>
      <c r="CC109" s="34">
        <f t="shared" si="71"/>
        <v>0</v>
      </c>
      <c r="CD109" s="34">
        <f>+CD105-CD108</f>
        <v>382500</v>
      </c>
      <c r="CE109" s="34"/>
      <c r="CF109" s="34"/>
      <c r="CG109" s="34"/>
      <c r="CH109" s="34"/>
      <c r="CI109" s="34"/>
      <c r="CJ109" s="34"/>
      <c r="CK109" s="34"/>
      <c r="CL109" s="34">
        <f>CL105-CL106</f>
        <v>306468</v>
      </c>
      <c r="CM109" s="34">
        <f>+CM105-CM108</f>
        <v>420211</v>
      </c>
      <c r="CN109" s="34">
        <f>CN105-CN106-CN107</f>
        <v>398853.78000000014</v>
      </c>
      <c r="CO109" s="34">
        <f>CO105-CO106-CO107</f>
        <v>1221765.6685174166</v>
      </c>
      <c r="CP109" s="34">
        <f>CP105-CP106-CP107</f>
        <v>761009.74741921551</v>
      </c>
      <c r="CQ109" s="34">
        <f>CQ105-CQ106-CQ107</f>
        <v>664638.26037839882</v>
      </c>
      <c r="CY109" s="14">
        <f>CY105-CY108</f>
        <v>1049712</v>
      </c>
      <c r="CZ109" s="14">
        <f>CZ105-CZ108</f>
        <v>1152772</v>
      </c>
    </row>
    <row r="110" spans="2:105" x14ac:dyDescent="0.25">
      <c r="B110" s="1" t="s">
        <v>80</v>
      </c>
      <c r="C110" s="34"/>
      <c r="F110" s="34"/>
      <c r="G110" s="34"/>
      <c r="H110" s="34">
        <f>39594+108873-G110-F110</f>
        <v>148467</v>
      </c>
      <c r="I110" s="34"/>
      <c r="J110" s="34">
        <f>5269+2338+5657+2177+3400-384-1816</f>
        <v>16641</v>
      </c>
      <c r="K110" s="34">
        <f>8327+2859+2527+6305-1050-2506-4062-J110</f>
        <v>-4241</v>
      </c>
      <c r="L110" s="34">
        <f>10504+5067+2750+10190-1262-8770-6205-K110-J110</f>
        <v>-126</v>
      </c>
      <c r="M110" s="34">
        <f>11379+5661+2898+5234+12711-1621-8199-7102-L110-K110-J110</f>
        <v>8687</v>
      </c>
      <c r="N110" s="34">
        <f>773+1623+3853+416+2714-342</f>
        <v>9037</v>
      </c>
      <c r="O110" s="34">
        <f>1325+2153+2643+571+6391-821-3843-N110</f>
        <v>-618</v>
      </c>
      <c r="P110" s="34">
        <f>22389-9350-O110-N110</f>
        <v>4620</v>
      </c>
      <c r="Q110" s="34">
        <f>25232-29615-P110-O110-N110</f>
        <v>-17422</v>
      </c>
      <c r="R110" s="34">
        <f>6782-10208</f>
        <v>-3426</v>
      </c>
      <c r="S110" s="34">
        <f>12229-8374-R110</f>
        <v>7281</v>
      </c>
      <c r="T110" s="34">
        <f>11288-S110-R110</f>
        <v>7433</v>
      </c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>
        <f>13476-83359+75707-109272-1366-BR110</f>
        <v>-104814</v>
      </c>
      <c r="BT110" s="34"/>
      <c r="BU110" s="34"/>
      <c r="BV110" s="34"/>
      <c r="BW110" s="34">
        <f>13476-BV110-83359+75707-109272-1366</f>
        <v>-104814</v>
      </c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>
        <f>CM122*$CT$115</f>
        <v>0</v>
      </c>
      <c r="CO110" s="34">
        <f>CN122*$CT$115</f>
        <v>0</v>
      </c>
      <c r="CP110" s="34">
        <f>CO122*$CT$115</f>
        <v>0</v>
      </c>
      <c r="CQ110" s="34">
        <f>CP122*$CT$115</f>
        <v>0</v>
      </c>
      <c r="CY110" s="14">
        <f>43123-159075+23700-166607</f>
        <v>-258859</v>
      </c>
      <c r="CZ110" s="14">
        <f>25424-145247+62913-169698</f>
        <v>-226608</v>
      </c>
    </row>
    <row r="111" spans="2:105" x14ac:dyDescent="0.25">
      <c r="B111" s="1" t="s">
        <v>82</v>
      </c>
      <c r="C111" s="34"/>
      <c r="F111" s="34"/>
      <c r="G111" s="34"/>
      <c r="H111" s="34">
        <f>H109+H110</f>
        <v>289412</v>
      </c>
      <c r="I111" s="34"/>
      <c r="J111" s="34">
        <f t="shared" ref="J111:O111" si="72">+J109+J110</f>
        <v>-10595</v>
      </c>
      <c r="K111" s="34">
        <f t="shared" si="72"/>
        <v>108025</v>
      </c>
      <c r="L111" s="34">
        <f t="shared" si="72"/>
        <v>154728</v>
      </c>
      <c r="M111" s="34">
        <f t="shared" si="72"/>
        <v>75271</v>
      </c>
      <c r="N111" s="34">
        <f t="shared" si="72"/>
        <v>134667</v>
      </c>
      <c r="O111" s="34">
        <f t="shared" si="72"/>
        <v>116279</v>
      </c>
      <c r="P111" s="34">
        <f t="shared" ref="P111:Y111" si="73">+P109+P110</f>
        <v>118314</v>
      </c>
      <c r="Q111" s="34">
        <f t="shared" si="73"/>
        <v>46568</v>
      </c>
      <c r="R111" s="34">
        <f t="shared" si="73"/>
        <v>108634</v>
      </c>
      <c r="S111" s="34">
        <f t="shared" si="73"/>
        <v>116839</v>
      </c>
      <c r="T111" s="34">
        <f t="shared" si="73"/>
        <v>118327</v>
      </c>
      <c r="U111" s="34">
        <f t="shared" si="73"/>
        <v>96125.360000000015</v>
      </c>
      <c r="V111" s="34">
        <f t="shared" si="73"/>
        <v>81112.966800000053</v>
      </c>
      <c r="W111" s="34">
        <f t="shared" si="73"/>
        <v>78365.092464000045</v>
      </c>
      <c r="X111" s="34">
        <f t="shared" si="73"/>
        <v>77740.417704720021</v>
      </c>
      <c r="Y111" s="34">
        <f t="shared" si="73"/>
        <v>80268.838195875636</v>
      </c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>
        <f>+BS109+BS110</f>
        <v>-548210</v>
      </c>
      <c r="BT111" s="34"/>
      <c r="BU111" s="34"/>
      <c r="BV111" s="34"/>
      <c r="BW111" s="34">
        <f>+BW109+BW110</f>
        <v>-556907</v>
      </c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>
        <f t="shared" ref="CL111:CQ111" si="74">CL109+CL110</f>
        <v>306468</v>
      </c>
      <c r="CM111" s="34">
        <f t="shared" si="74"/>
        <v>420211</v>
      </c>
      <c r="CN111" s="34">
        <f t="shared" si="74"/>
        <v>398853.78000000014</v>
      </c>
      <c r="CO111" s="34">
        <f t="shared" si="74"/>
        <v>1221765.6685174166</v>
      </c>
      <c r="CP111" s="34">
        <f t="shared" si="74"/>
        <v>761009.74741921551</v>
      </c>
      <c r="CQ111" s="34">
        <f t="shared" si="74"/>
        <v>664638.26037839882</v>
      </c>
      <c r="CY111" s="14">
        <f>CY109+CY110</f>
        <v>790853</v>
      </c>
      <c r="CZ111" s="14">
        <f>CZ109+CZ110</f>
        <v>926164</v>
      </c>
    </row>
    <row r="112" spans="2:105" x14ac:dyDescent="0.25">
      <c r="B112" s="1" t="s">
        <v>60</v>
      </c>
      <c r="C112" s="34"/>
      <c r="F112" s="34"/>
      <c r="G112" s="34">
        <v>139288</v>
      </c>
      <c r="H112" s="34">
        <f>212282-G112-F112</f>
        <v>72994</v>
      </c>
      <c r="I112" s="34"/>
      <c r="J112" s="34">
        <f>64232+1070</f>
        <v>65302</v>
      </c>
      <c r="K112" s="34">
        <f>102733+1746-J112</f>
        <v>39177</v>
      </c>
      <c r="L112" s="34">
        <f>156464+2526-K112-J112</f>
        <v>54511</v>
      </c>
      <c r="M112" s="34">
        <f>161351+2810-L112-K112-J112</f>
        <v>5171</v>
      </c>
      <c r="N112" s="34">
        <f>24351+649</f>
        <v>25000</v>
      </c>
      <c r="O112" s="34">
        <f>64028+1243-N112</f>
        <v>40271</v>
      </c>
      <c r="P112" s="34">
        <f>108133+1978-O112-N112</f>
        <v>44840</v>
      </c>
      <c r="Q112" s="34">
        <f>115668+2417-P112-O112-N112</f>
        <v>7974</v>
      </c>
      <c r="R112" s="34">
        <f>38988+735</f>
        <v>39723</v>
      </c>
      <c r="S112" s="34">
        <f>79814-R112</f>
        <v>40091</v>
      </c>
      <c r="T112" s="34">
        <f>118711-S112-R112</f>
        <v>38897</v>
      </c>
      <c r="U112" s="34">
        <f>U111*U121</f>
        <v>31598.773973142233</v>
      </c>
      <c r="V112" s="34">
        <f>V111*V121</f>
        <v>26663.830483487305</v>
      </c>
      <c r="W112" s="34">
        <f>W111*W121</f>
        <v>25760.536492704199</v>
      </c>
      <c r="X112" s="34">
        <f>X111*X121</f>
        <v>25555.190509862456</v>
      </c>
      <c r="Y112" s="34">
        <f>Y111*Y121</f>
        <v>26386.344615387654</v>
      </c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P112" s="34"/>
      <c r="AQ112" s="34"/>
      <c r="AR112" s="34"/>
      <c r="AS112" s="34"/>
      <c r="AT112" s="34"/>
      <c r="AU112" s="34"/>
      <c r="AV112" s="34">
        <v>243842</v>
      </c>
      <c r="AW112" s="34">
        <f>AW109-AW113</f>
        <v>129757.05000000005</v>
      </c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>
        <f>53269-3-BR112</f>
        <v>53266</v>
      </c>
      <c r="BT112" s="34"/>
      <c r="BU112" s="34"/>
      <c r="BV112" s="34"/>
      <c r="BW112" s="34">
        <f>53269-BV112-3</f>
        <v>53266</v>
      </c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>
        <f t="shared" ref="CL112:CQ112" si="75">CL111*0.3</f>
        <v>91940.4</v>
      </c>
      <c r="CM112" s="34">
        <f t="shared" si="75"/>
        <v>126063.29999999999</v>
      </c>
      <c r="CN112" s="34">
        <f t="shared" si="75"/>
        <v>119656.13400000003</v>
      </c>
      <c r="CO112" s="34">
        <f t="shared" si="75"/>
        <v>366529.70055522496</v>
      </c>
      <c r="CP112" s="34">
        <f t="shared" si="75"/>
        <v>228302.92422576464</v>
      </c>
      <c r="CQ112" s="34">
        <f t="shared" si="75"/>
        <v>199391.47811351964</v>
      </c>
      <c r="CY112" s="14">
        <v>72405</v>
      </c>
      <c r="CZ112" s="14">
        <v>58052</v>
      </c>
    </row>
    <row r="113" spans="2:128" s="23" customFormat="1" x14ac:dyDescent="0.25">
      <c r="B113" s="23" t="s">
        <v>100</v>
      </c>
      <c r="C113" s="39"/>
      <c r="D113" s="24"/>
      <c r="E113" s="24"/>
      <c r="F113" s="39"/>
      <c r="G113" s="39">
        <f>G109-G112</f>
        <v>-27504</v>
      </c>
      <c r="H113" s="39">
        <f>H111-H112</f>
        <v>216418</v>
      </c>
      <c r="I113" s="39"/>
      <c r="J113" s="39">
        <f t="shared" ref="J113:O113" si="76">+J111-J112</f>
        <v>-75897</v>
      </c>
      <c r="K113" s="39">
        <f t="shared" si="76"/>
        <v>68848</v>
      </c>
      <c r="L113" s="39">
        <f t="shared" si="76"/>
        <v>100217</v>
      </c>
      <c r="M113" s="39">
        <f t="shared" si="76"/>
        <v>70100</v>
      </c>
      <c r="N113" s="39">
        <f t="shared" si="76"/>
        <v>109667</v>
      </c>
      <c r="O113" s="39">
        <f t="shared" si="76"/>
        <v>76008</v>
      </c>
      <c r="P113" s="39">
        <f t="shared" ref="P113:Y113" si="77">+P111-P112</f>
        <v>73474</v>
      </c>
      <c r="Q113" s="39">
        <f t="shared" si="77"/>
        <v>38594</v>
      </c>
      <c r="R113" s="39">
        <f t="shared" si="77"/>
        <v>68911</v>
      </c>
      <c r="S113" s="39">
        <f t="shared" si="77"/>
        <v>76748</v>
      </c>
      <c r="T113" s="39">
        <f t="shared" si="77"/>
        <v>79430</v>
      </c>
      <c r="U113" s="39">
        <f t="shared" si="77"/>
        <v>64526.586026857782</v>
      </c>
      <c r="V113" s="39">
        <f t="shared" si="77"/>
        <v>54449.136316512748</v>
      </c>
      <c r="W113" s="39">
        <f t="shared" si="77"/>
        <v>52604.555971295849</v>
      </c>
      <c r="X113" s="39">
        <f t="shared" si="77"/>
        <v>52185.227194857565</v>
      </c>
      <c r="Y113" s="39">
        <f t="shared" si="77"/>
        <v>53882.493580487979</v>
      </c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24"/>
      <c r="AP113" s="39"/>
      <c r="AQ113" s="39"/>
      <c r="AR113" s="39"/>
      <c r="AS113" s="39"/>
      <c r="AT113" s="39"/>
      <c r="AU113" s="39"/>
      <c r="AV113" s="39">
        <f>AV109-AV112</f>
        <v>214658</v>
      </c>
      <c r="AW113" s="39">
        <v>395000</v>
      </c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>
        <f>+BS111-BS112</f>
        <v>-601476</v>
      </c>
      <c r="BT113" s="39"/>
      <c r="BU113" s="39"/>
      <c r="BV113" s="39"/>
      <c r="BW113" s="39">
        <f>+BW111-BW112</f>
        <v>-610173</v>
      </c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>
        <f t="shared" ref="CL113:CQ113" si="78">CL111-CL112</f>
        <v>214527.6</v>
      </c>
      <c r="CM113" s="39">
        <f t="shared" si="78"/>
        <v>294147.7</v>
      </c>
      <c r="CN113" s="39">
        <f t="shared" si="78"/>
        <v>279197.64600000012</v>
      </c>
      <c r="CO113" s="39">
        <f t="shared" si="78"/>
        <v>855235.96796219167</v>
      </c>
      <c r="CP113" s="39">
        <f t="shared" si="78"/>
        <v>532706.82319345092</v>
      </c>
      <c r="CQ113" s="39">
        <f t="shared" si="78"/>
        <v>465246.78226487921</v>
      </c>
      <c r="CR113" s="39"/>
      <c r="CS113" s="39"/>
      <c r="CT113" s="39"/>
      <c r="CU113" s="39"/>
      <c r="CV113" s="39"/>
      <c r="CW113" s="39"/>
      <c r="CX113" s="39"/>
      <c r="CY113" s="39">
        <f>CY111-CY112</f>
        <v>718448</v>
      </c>
      <c r="CZ113" s="39">
        <f>CZ111-CZ112</f>
        <v>868112</v>
      </c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</row>
    <row r="114" spans="2:128" ht="13" x14ac:dyDescent="0.3">
      <c r="B114" s="1" t="s">
        <v>191</v>
      </c>
      <c r="P114" s="43">
        <f t="shared" ref="P114:Y114" si="79">P113/P115</f>
        <v>93.044389856955931</v>
      </c>
      <c r="Q114" s="43">
        <f t="shared" si="79"/>
        <v>48.891542189611854</v>
      </c>
      <c r="R114" s="43">
        <f t="shared" si="79"/>
        <v>87.297638592225283</v>
      </c>
      <c r="S114" s="43">
        <f t="shared" si="79"/>
        <v>97.225684820654266</v>
      </c>
      <c r="T114" s="43">
        <f t="shared" si="79"/>
        <v>100.62328849357075</v>
      </c>
      <c r="U114" s="43">
        <f t="shared" si="79"/>
        <v>81.743387653099859</v>
      </c>
      <c r="V114" s="43">
        <f t="shared" si="79"/>
        <v>68.977101243890502</v>
      </c>
      <c r="W114" s="43">
        <f t="shared" si="79"/>
        <v>66.640355175322824</v>
      </c>
      <c r="X114" s="43">
        <f t="shared" si="79"/>
        <v>66.109142277863356</v>
      </c>
      <c r="Y114" s="43">
        <f t="shared" si="79"/>
        <v>68.259268491784169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BS114" s="43">
        <f>+BS113/BS115</f>
        <v>-382.61832061068702</v>
      </c>
      <c r="BW114" s="43">
        <f>+BW113/BW115</f>
        <v>-393.15270618556701</v>
      </c>
      <c r="CL114" s="43">
        <f t="shared" ref="CL114:CQ114" si="80">CL113/CL115</f>
        <v>271.77295998375644</v>
      </c>
      <c r="CM114" s="43">
        <f t="shared" si="80"/>
        <v>372.63135939594991</v>
      </c>
      <c r="CN114" s="46">
        <f t="shared" si="80"/>
        <v>353.69237416824694</v>
      </c>
      <c r="CO114" s="46">
        <f t="shared" si="80"/>
        <v>1083.4276159428157</v>
      </c>
      <c r="CP114" s="46">
        <f t="shared" si="80"/>
        <v>674.84215476127656</v>
      </c>
      <c r="CQ114" s="46">
        <f t="shared" si="80"/>
        <v>589.38261604613422</v>
      </c>
      <c r="CZ114" s="47">
        <f>CZ113/CZ115</f>
        <v>559.35051546391753</v>
      </c>
    </row>
    <row r="115" spans="2:128" s="14" customFormat="1" x14ac:dyDescent="0.25">
      <c r="B115" s="14" t="s">
        <v>48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>
        <v>789.66609500000004</v>
      </c>
      <c r="Q115" s="34">
        <f t="shared" ref="Q115:Y115" si="81">789.666095-0.286209</f>
        <v>789.37988600000006</v>
      </c>
      <c r="R115" s="34">
        <f t="shared" si="81"/>
        <v>789.37988600000006</v>
      </c>
      <c r="S115" s="34">
        <f t="shared" si="81"/>
        <v>789.37988600000006</v>
      </c>
      <c r="T115" s="34">
        <f t="shared" si="81"/>
        <v>789.37988600000006</v>
      </c>
      <c r="U115" s="34">
        <f t="shared" si="81"/>
        <v>789.37988600000006</v>
      </c>
      <c r="V115" s="34">
        <f t="shared" si="81"/>
        <v>789.37988600000006</v>
      </c>
      <c r="W115" s="34">
        <f t="shared" si="81"/>
        <v>789.37988600000006</v>
      </c>
      <c r="X115" s="34">
        <f t="shared" si="81"/>
        <v>789.37988600000006</v>
      </c>
      <c r="Y115" s="34">
        <f t="shared" si="81"/>
        <v>789.37988600000006</v>
      </c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>
        <v>1572</v>
      </c>
      <c r="BT115" s="34"/>
      <c r="BU115" s="34"/>
      <c r="BV115" s="34"/>
      <c r="BW115" s="34">
        <v>1552</v>
      </c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>
        <f>789.666095-0.302797</f>
        <v>789.36329799999999</v>
      </c>
      <c r="CM115" s="34">
        <f>789.666095-0.286209</f>
        <v>789.37988600000006</v>
      </c>
      <c r="CN115" s="34">
        <f>789.666095-0.286209</f>
        <v>789.37988600000006</v>
      </c>
      <c r="CO115" s="34">
        <f>789.666095-0.286209</f>
        <v>789.37988600000006</v>
      </c>
      <c r="CP115" s="34">
        <f>789.666095-0.286209</f>
        <v>789.37988600000006</v>
      </c>
      <c r="CQ115" s="34">
        <f>789.666095-0.286209</f>
        <v>789.37988600000006</v>
      </c>
      <c r="CR115" s="34"/>
      <c r="CS115" s="45"/>
      <c r="CT115" s="48"/>
      <c r="CZ115" s="14">
        <v>1552</v>
      </c>
    </row>
    <row r="116" spans="2:128" x14ac:dyDescent="0.25">
      <c r="P116" s="39"/>
      <c r="CS116" s="45"/>
      <c r="CT116" s="48"/>
    </row>
    <row r="117" spans="2:128" s="16" customFormat="1" ht="13" x14ac:dyDescent="0.3">
      <c r="B117" s="16" t="s">
        <v>61</v>
      </c>
      <c r="C117" s="33"/>
      <c r="D117" s="33"/>
      <c r="E117" s="33"/>
      <c r="F117" s="40"/>
      <c r="G117" s="40">
        <f>G103/C103-1</f>
        <v>-0.46743365394044767</v>
      </c>
      <c r="H117" s="40"/>
      <c r="I117" s="40"/>
      <c r="J117" s="40"/>
      <c r="K117" s="40"/>
      <c r="L117" s="40">
        <f t="shared" ref="L117:R117" si="82">+L103/H103-1</f>
        <v>7.6423277428904202E-2</v>
      </c>
      <c r="M117" s="40">
        <f t="shared" si="82"/>
        <v>0.12307146538510461</v>
      </c>
      <c r="N117" s="40">
        <f t="shared" si="82"/>
        <v>-4.5111758940337254E-2</v>
      </c>
      <c r="O117" s="40">
        <f t="shared" si="82"/>
        <v>-8.2345542693761709E-2</v>
      </c>
      <c r="P117" s="40">
        <f t="shared" si="82"/>
        <v>-5.8457610838683616E-2</v>
      </c>
      <c r="Q117" s="40">
        <f t="shared" si="82"/>
        <v>7.280020025270062E-3</v>
      </c>
      <c r="R117" s="40">
        <f t="shared" si="82"/>
        <v>-5.1398897558427081E-2</v>
      </c>
      <c r="S117" s="40">
        <f t="shared" ref="S117:Y117" si="83">+S103/O103-1</f>
        <v>-5.8301193170348209E-2</v>
      </c>
      <c r="T117" s="40">
        <f t="shared" si="83"/>
        <v>-1.4464701350092479E-2</v>
      </c>
      <c r="U117" s="40">
        <f t="shared" si="83"/>
        <v>-1.9584697901596781E-3</v>
      </c>
      <c r="V117" s="40">
        <f t="shared" si="83"/>
        <v>-0.14668048222799557</v>
      </c>
      <c r="W117" s="40">
        <f t="shared" si="83"/>
        <v>-0.1508632013922776</v>
      </c>
      <c r="X117" s="40">
        <f t="shared" si="83"/>
        <v>-0.18162535891911025</v>
      </c>
      <c r="Y117" s="40">
        <f t="shared" si="83"/>
        <v>-9.1794993436567163E-2</v>
      </c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3"/>
      <c r="AP117" s="33"/>
      <c r="AQ117" s="33"/>
      <c r="AR117" s="33"/>
      <c r="AS117" s="33"/>
      <c r="AT117" s="33"/>
      <c r="AU117" s="33"/>
      <c r="AV117" s="40">
        <f>AV103/AU103-1</f>
        <v>7.6692789968652031E-2</v>
      </c>
      <c r="AW117" s="40">
        <f>AW103/AV103-1</f>
        <v>5.3351793295417282E-2</v>
      </c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>
        <f t="shared" ref="BV117:CC117" si="84">BV103/BR103-1</f>
        <v>0.19296833064949004</v>
      </c>
      <c r="BW117" s="40">
        <f t="shared" si="84"/>
        <v>0.21669299631384931</v>
      </c>
      <c r="BX117" s="40">
        <f t="shared" si="84"/>
        <v>0.24588755217284564</v>
      </c>
      <c r="BY117" s="40">
        <f t="shared" si="84"/>
        <v>0.13510316730187943</v>
      </c>
      <c r="BZ117" s="40">
        <f t="shared" si="84"/>
        <v>0.19077615298087736</v>
      </c>
      <c r="CA117" s="40">
        <f t="shared" si="84"/>
        <v>0.12378273101060366</v>
      </c>
      <c r="CB117" s="40">
        <f t="shared" si="84"/>
        <v>9.5871514434919591E-2</v>
      </c>
      <c r="CC117" s="40">
        <f t="shared" si="84"/>
        <v>0.19300683107560501</v>
      </c>
      <c r="CD117" s="40"/>
      <c r="CE117" s="40"/>
      <c r="CF117" s="40"/>
      <c r="CG117" s="40"/>
      <c r="CH117" s="40"/>
      <c r="CI117" s="40"/>
      <c r="CJ117" s="40"/>
      <c r="CK117" s="40"/>
      <c r="CL117" s="40">
        <f>CL103/AW103-1</f>
        <v>0.11895257491998845</v>
      </c>
      <c r="CM117" s="40">
        <f>CM103/CL103-1</f>
        <v>-4.7044988871091875E-2</v>
      </c>
      <c r="CN117" s="40">
        <f>CN103/CM103-1</f>
        <v>-2.4364156033738871E-2</v>
      </c>
      <c r="CO117" s="40">
        <f>CO103/CN103-1</f>
        <v>0.37201738553484431</v>
      </c>
      <c r="CP117" s="40">
        <f>CP103/CO103-1</f>
        <v>-0.34424239413730795</v>
      </c>
      <c r="CQ117" s="40">
        <f>CQ103/CP103-1</f>
        <v>-0.1470893529582461</v>
      </c>
      <c r="CR117" s="33"/>
      <c r="CS117" s="45"/>
      <c r="CT117" s="48"/>
      <c r="CZ117" s="68">
        <f>CZ103/CY103-1</f>
        <v>0.12845929651000865</v>
      </c>
      <c r="DA117" s="68">
        <f>DA103/CZ103-1</f>
        <v>6.5549706292622911E-2</v>
      </c>
    </row>
    <row r="118" spans="2:128" x14ac:dyDescent="0.25">
      <c r="B118" s="1" t="s">
        <v>111</v>
      </c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V118" s="38"/>
      <c r="AW118" s="38">
        <f>AW113/AV113-1</f>
        <v>0.84013640302248227</v>
      </c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>
        <f>CL113/AW113-1</f>
        <v>-0.45689215189873411</v>
      </c>
      <c r="CM118" s="38">
        <f>CM113/CL113-1</f>
        <v>0.37114152211650153</v>
      </c>
      <c r="CN118" s="38">
        <f>CN113/CM113-1</f>
        <v>-5.0824990302490547E-2</v>
      </c>
      <c r="CO118" s="38">
        <f>CO113/CN113-1</f>
        <v>2.0631919008450068</v>
      </c>
      <c r="CP118" s="38">
        <f>CP113/CO113-1</f>
        <v>-0.37712298926955223</v>
      </c>
      <c r="CQ118" s="38">
        <f>CQ113/CP113-1</f>
        <v>-0.12663633727115564</v>
      </c>
      <c r="CS118" s="45"/>
      <c r="CT118" s="34"/>
    </row>
    <row r="119" spans="2:128" x14ac:dyDescent="0.25">
      <c r="B119" s="1" t="s">
        <v>77</v>
      </c>
      <c r="F119" s="38">
        <f>F105/F103</f>
        <v>0.80429827506667428</v>
      </c>
      <c r="G119" s="38">
        <f>G105/G103</f>
        <v>0.80008183904014496</v>
      </c>
      <c r="H119" s="38">
        <f>H105/H103</f>
        <v>0.79877670515764609</v>
      </c>
      <c r="I119" s="38">
        <f t="shared" ref="I119:T119" si="85">I105/I103</f>
        <v>0.78385686842792213</v>
      </c>
      <c r="J119" s="38">
        <f t="shared" si="85"/>
        <v>0.80188519984579765</v>
      </c>
      <c r="K119" s="38">
        <f t="shared" si="85"/>
        <v>0.82430367158307316</v>
      </c>
      <c r="L119" s="38">
        <f t="shared" si="85"/>
        <v>0.82164450735554317</v>
      </c>
      <c r="M119" s="38">
        <f t="shared" si="85"/>
        <v>0.79654981285908411</v>
      </c>
      <c r="N119" s="38">
        <f t="shared" si="85"/>
        <v>0.81176694100169666</v>
      </c>
      <c r="O119" s="38">
        <f t="shared" si="85"/>
        <v>0.816599198886516</v>
      </c>
      <c r="P119" s="38">
        <f t="shared" si="85"/>
        <v>0.80067544893461084</v>
      </c>
      <c r="Q119" s="38">
        <f t="shared" si="85"/>
        <v>0.79162413947144983</v>
      </c>
      <c r="R119" s="38">
        <f t="shared" si="85"/>
        <v>0.79665533605193906</v>
      </c>
      <c r="S119" s="38">
        <f t="shared" si="85"/>
        <v>0.7814524704747452</v>
      </c>
      <c r="T119" s="38">
        <f t="shared" si="85"/>
        <v>0.7708775418477003</v>
      </c>
      <c r="U119" s="38">
        <v>0.77</v>
      </c>
      <c r="V119" s="38">
        <v>0.77</v>
      </c>
      <c r="W119" s="38">
        <v>0.77</v>
      </c>
      <c r="X119" s="38">
        <v>0.77</v>
      </c>
      <c r="Y119" s="38">
        <v>0.77</v>
      </c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V119" s="38">
        <f>AV105/AV103</f>
        <v>0.78572703722971848</v>
      </c>
      <c r="AW119" s="38">
        <v>0.79</v>
      </c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>
        <f>CL105/CL103</f>
        <v>0.81178169138601708</v>
      </c>
      <c r="CM119" s="38">
        <f>CM105/CM103</f>
        <v>0.80554515285153461</v>
      </c>
      <c r="CN119" s="38">
        <v>0.81</v>
      </c>
      <c r="CO119" s="38">
        <v>0.81</v>
      </c>
      <c r="CP119" s="38">
        <v>0.82</v>
      </c>
      <c r="CQ119" s="38">
        <v>0.82</v>
      </c>
    </row>
    <row r="120" spans="2:128" x14ac:dyDescent="0.25">
      <c r="B120" s="23" t="s">
        <v>243</v>
      </c>
      <c r="F120" s="38"/>
      <c r="G120" s="38"/>
      <c r="H120" s="38"/>
      <c r="I120" s="38"/>
      <c r="J120" s="38"/>
      <c r="K120" s="38"/>
      <c r="L120" s="38"/>
      <c r="M120" s="38"/>
      <c r="N120" s="38">
        <f t="shared" ref="N120:S120" si="86">N106/N103</f>
        <v>0.30910582964137667</v>
      </c>
      <c r="O120" s="38">
        <f t="shared" si="86"/>
        <v>0.31826464369574686</v>
      </c>
      <c r="P120" s="38">
        <f t="shared" si="86"/>
        <v>0.29760022335990205</v>
      </c>
      <c r="Q120" s="38"/>
      <c r="R120" s="38">
        <f t="shared" si="86"/>
        <v>0.31216585349570791</v>
      </c>
      <c r="S120" s="38">
        <f t="shared" si="86"/>
        <v>0.29731444995726702</v>
      </c>
      <c r="T120" s="38">
        <f>T106/T103</f>
        <v>0.28954386347230354</v>
      </c>
      <c r="U120" s="38">
        <v>0.28999999999999998</v>
      </c>
      <c r="V120" s="38">
        <v>0.28999999999999998</v>
      </c>
      <c r="W120" s="38">
        <v>0.28999999999999998</v>
      </c>
      <c r="X120" s="38">
        <v>0.28999999999999998</v>
      </c>
      <c r="Y120" s="38">
        <v>0.28999999999999998</v>
      </c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V120" s="38">
        <f>AV106/AV103</f>
        <v>0.4344309961866949</v>
      </c>
      <c r="AW120" s="38">
        <f>AW106/AW103</f>
        <v>0.40830298952574917</v>
      </c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>
        <f t="shared" ref="CL120:CQ120" si="87">CL106/CL103</f>
        <v>0.61256123499677573</v>
      </c>
      <c r="CM120" s="38">
        <f t="shared" si="87"/>
        <v>0.3167128819583005</v>
      </c>
      <c r="CN120" s="38">
        <f t="shared" si="87"/>
        <v>0.32137580335718002</v>
      </c>
      <c r="CO120" s="38">
        <f t="shared" si="87"/>
        <v>0.18738876445470129</v>
      </c>
      <c r="CP120" s="38">
        <f t="shared" si="87"/>
        <v>0.22860735464370757</v>
      </c>
      <c r="CQ120" s="38">
        <f t="shared" si="87"/>
        <v>0.21442560759358531</v>
      </c>
    </row>
    <row r="121" spans="2:128" x14ac:dyDescent="0.25">
      <c r="B121" s="55" t="s">
        <v>536</v>
      </c>
      <c r="K121" s="52">
        <f t="shared" ref="K121:S121" si="88">K112/K111</f>
        <v>0.3626660495255728</v>
      </c>
      <c r="L121" s="52">
        <f t="shared" si="88"/>
        <v>0.35230210433793496</v>
      </c>
      <c r="M121" s="52">
        <f t="shared" si="88"/>
        <v>6.8698436316775385E-2</v>
      </c>
      <c r="N121" s="52">
        <f t="shared" si="88"/>
        <v>0.18564310484379989</v>
      </c>
      <c r="O121" s="52">
        <f t="shared" si="88"/>
        <v>0.34633080779848469</v>
      </c>
      <c r="P121" s="52">
        <f t="shared" si="88"/>
        <v>0.37899149720235981</v>
      </c>
      <c r="Q121" s="52">
        <f t="shared" si="88"/>
        <v>0.17123346504037107</v>
      </c>
      <c r="R121" s="52">
        <f t="shared" si="88"/>
        <v>0.3656590017858129</v>
      </c>
      <c r="S121" s="52">
        <f t="shared" si="88"/>
        <v>0.34313029039960974</v>
      </c>
      <c r="T121" s="52">
        <f>T112/T111</f>
        <v>0.32872463596643203</v>
      </c>
      <c r="U121" s="38">
        <f>T121</f>
        <v>0.32872463596643203</v>
      </c>
      <c r="V121" s="38">
        <f>U121</f>
        <v>0.32872463596643203</v>
      </c>
      <c r="W121" s="38">
        <f>V121</f>
        <v>0.32872463596643203</v>
      </c>
      <c r="X121" s="38">
        <f>W121</f>
        <v>0.32872463596643203</v>
      </c>
      <c r="Y121" s="38">
        <f>X121</f>
        <v>0.32872463596643203</v>
      </c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</row>
    <row r="122" spans="2:128" x14ac:dyDescent="0.25">
      <c r="B122" s="23" t="s">
        <v>53</v>
      </c>
      <c r="AW122" s="34">
        <v>2110000</v>
      </c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>
        <v>976000</v>
      </c>
      <c r="CN122" s="34">
        <f>CM122+CN113</f>
        <v>1255197.6460000002</v>
      </c>
      <c r="CO122" s="34">
        <f>CN122+CO113</f>
        <v>2110433.6139621921</v>
      </c>
      <c r="CP122" s="34">
        <f>CO122+CP113</f>
        <v>2643140.437155643</v>
      </c>
      <c r="CQ122" s="34">
        <f>CP122+CQ113</f>
        <v>3108387.2194205225</v>
      </c>
    </row>
    <row r="123" spans="2:128" x14ac:dyDescent="0.25">
      <c r="CN123" s="34"/>
      <c r="CO123" s="34"/>
      <c r="CP123" s="34"/>
      <c r="CQ123" s="34"/>
    </row>
    <row r="124" spans="2:128" s="14" customFormat="1" x14ac:dyDescent="0.25">
      <c r="B124" s="14" t="s">
        <v>219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>
        <v>326273</v>
      </c>
      <c r="CM124" s="34">
        <v>381168</v>
      </c>
      <c r="CN124" s="34"/>
      <c r="CO124" s="34"/>
      <c r="CP124" s="34"/>
      <c r="CQ124" s="34"/>
      <c r="CR124" s="34"/>
      <c r="CS124" s="34"/>
      <c r="CT124" s="34"/>
    </row>
    <row r="125" spans="2:128" s="14" customFormat="1" x14ac:dyDescent="0.25">
      <c r="B125" s="14" t="s">
        <v>220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>
        <v>39464</v>
      </c>
      <c r="CM125" s="34">
        <v>86960</v>
      </c>
      <c r="CN125" s="34"/>
      <c r="CO125" s="34"/>
      <c r="CP125" s="34"/>
      <c r="CQ125" s="34"/>
      <c r="CR125" s="34"/>
      <c r="CS125" s="34"/>
      <c r="CT125" s="34"/>
    </row>
    <row r="126" spans="2:128" s="14" customFormat="1" x14ac:dyDescent="0.25">
      <c r="B126" s="14" t="s">
        <v>221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>
        <f>CL124-CL125</f>
        <v>286809</v>
      </c>
      <c r="CM126" s="34">
        <f>CM124-CM125</f>
        <v>294208</v>
      </c>
      <c r="CN126" s="34"/>
      <c r="CO126" s="34"/>
      <c r="CP126" s="34"/>
      <c r="CQ126" s="34"/>
      <c r="CR126" s="34"/>
      <c r="CS126" s="34"/>
      <c r="CT126" s="34"/>
    </row>
    <row r="130" spans="2:104" x14ac:dyDescent="0.25">
      <c r="B130" s="23" t="s">
        <v>238</v>
      </c>
      <c r="R130" s="34">
        <f>R5+R11+R16+R19+SUM(R27:R39)+R41</f>
        <v>140448</v>
      </c>
      <c r="S130" s="34">
        <f>S5+S11+S16+S19+SUM(S27:S39)</f>
        <v>115800</v>
      </c>
      <c r="T130" s="34">
        <v>162300</v>
      </c>
    </row>
    <row r="131" spans="2:104" x14ac:dyDescent="0.25">
      <c r="B131" s="23" t="s">
        <v>240</v>
      </c>
      <c r="R131" s="34">
        <f>+R6+R12+R17+R20+R42</f>
        <v>126000</v>
      </c>
      <c r="S131" s="34">
        <f>+S6+S12+S17+S20+S42</f>
        <v>122000</v>
      </c>
      <c r="T131" s="34">
        <v>112800</v>
      </c>
    </row>
    <row r="132" spans="2:104" x14ac:dyDescent="0.25">
      <c r="B132" s="23" t="s">
        <v>239</v>
      </c>
      <c r="R132" s="34">
        <f>+R7+R13+R21+R43</f>
        <v>38800</v>
      </c>
      <c r="S132" s="34">
        <f>+S7+S13+S21+S43</f>
        <v>34300</v>
      </c>
      <c r="T132" s="34">
        <v>36700</v>
      </c>
    </row>
    <row r="133" spans="2:104" x14ac:dyDescent="0.25">
      <c r="R133" s="34">
        <f>+R44+R8+R14+R22</f>
        <v>5200</v>
      </c>
      <c r="S133" s="34">
        <f>+S44+S8+S14+S22</f>
        <v>6200</v>
      </c>
      <c r="T133" s="34">
        <v>6100</v>
      </c>
    </row>
    <row r="135" spans="2:104" x14ac:dyDescent="0.25">
      <c r="B135" s="55" t="s">
        <v>50</v>
      </c>
      <c r="CZ135" s="14">
        <f>533530+99174+20174+279683</f>
        <v>932561</v>
      </c>
    </row>
    <row r="136" spans="2:104" x14ac:dyDescent="0.25">
      <c r="B136" s="55" t="s">
        <v>426</v>
      </c>
      <c r="CZ136" s="14">
        <v>649429</v>
      </c>
    </row>
    <row r="137" spans="2:104" x14ac:dyDescent="0.25">
      <c r="B137" s="55" t="s">
        <v>427</v>
      </c>
      <c r="CZ137" s="14">
        <v>986457</v>
      </c>
    </row>
    <row r="138" spans="2:104" x14ac:dyDescent="0.25">
      <c r="B138" s="55" t="s">
        <v>428</v>
      </c>
      <c r="CZ138" s="14">
        <f>160868+15235</f>
        <v>176103</v>
      </c>
    </row>
    <row r="139" spans="2:104" x14ac:dyDescent="0.25">
      <c r="B139" s="55" t="s">
        <v>60</v>
      </c>
      <c r="CZ139" s="14">
        <f>32264+366003</f>
        <v>398267</v>
      </c>
    </row>
    <row r="140" spans="2:104" x14ac:dyDescent="0.25">
      <c r="B140" s="55" t="s">
        <v>432</v>
      </c>
      <c r="CZ140" s="14">
        <v>63325</v>
      </c>
    </row>
    <row r="141" spans="2:104" x14ac:dyDescent="0.25">
      <c r="B141" s="55" t="s">
        <v>431</v>
      </c>
      <c r="CZ141" s="14">
        <v>1691229</v>
      </c>
    </row>
    <row r="142" spans="2:104" x14ac:dyDescent="0.25">
      <c r="B142" s="55" t="s">
        <v>430</v>
      </c>
      <c r="CZ142" s="14">
        <f>4790723+4269657</f>
        <v>9060380</v>
      </c>
    </row>
    <row r="143" spans="2:104" x14ac:dyDescent="0.25">
      <c r="B143" s="55" t="s">
        <v>429</v>
      </c>
      <c r="CZ143" s="14">
        <f>SUM(CZ135:CZ142)</f>
        <v>13957751</v>
      </c>
    </row>
    <row r="145" spans="2:104" x14ac:dyDescent="0.25">
      <c r="B145" s="55" t="s">
        <v>51</v>
      </c>
      <c r="CZ145" s="14">
        <f>339600+4042741+534269+185537</f>
        <v>5102147</v>
      </c>
    </row>
    <row r="146" spans="2:104" x14ac:dyDescent="0.25">
      <c r="B146" s="55" t="s">
        <v>433</v>
      </c>
      <c r="CZ146" s="14">
        <f>566689+144</f>
        <v>566833</v>
      </c>
    </row>
    <row r="147" spans="2:104" x14ac:dyDescent="0.25">
      <c r="B147" s="55" t="s">
        <v>434</v>
      </c>
      <c r="CZ147" s="62">
        <f>508360+55969</f>
        <v>564329</v>
      </c>
    </row>
    <row r="148" spans="2:104" x14ac:dyDescent="0.25">
      <c r="B148" s="55" t="s">
        <v>60</v>
      </c>
      <c r="CZ148" s="14">
        <f>232377+270620+24558</f>
        <v>527555</v>
      </c>
    </row>
    <row r="149" spans="2:104" x14ac:dyDescent="0.25">
      <c r="B149" s="55" t="s">
        <v>435</v>
      </c>
      <c r="CZ149" s="14">
        <v>649233</v>
      </c>
    </row>
    <row r="150" spans="2:104" x14ac:dyDescent="0.25">
      <c r="B150" s="55" t="s">
        <v>436</v>
      </c>
      <c r="CZ150" s="14">
        <v>65389</v>
      </c>
    </row>
    <row r="151" spans="2:104" x14ac:dyDescent="0.25">
      <c r="B151" s="55" t="s">
        <v>437</v>
      </c>
      <c r="CZ151" s="14">
        <v>127594</v>
      </c>
    </row>
    <row r="152" spans="2:104" x14ac:dyDescent="0.25">
      <c r="B152" s="55" t="s">
        <v>438</v>
      </c>
      <c r="CZ152" s="14">
        <v>6354672</v>
      </c>
    </row>
    <row r="153" spans="2:104" x14ac:dyDescent="0.25">
      <c r="B153" s="55" t="s">
        <v>439</v>
      </c>
      <c r="CZ153" s="14">
        <f>SUM(CZ145:CZ152)</f>
        <v>13957752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5" x14ac:dyDescent="0.25"/>
  <cols>
    <col min="1" max="1" width="5" bestFit="1" customWidth="1"/>
  </cols>
  <sheetData>
    <row r="1" spans="1:3" x14ac:dyDescent="0.25">
      <c r="A1" s="17" t="s">
        <v>10</v>
      </c>
    </row>
    <row r="2" spans="1:3" x14ac:dyDescent="0.25">
      <c r="B2" s="54" t="s">
        <v>388</v>
      </c>
      <c r="C2" s="54" t="s">
        <v>393</v>
      </c>
    </row>
    <row r="3" spans="1:3" x14ac:dyDescent="0.25">
      <c r="B3" s="54" t="s">
        <v>389</v>
      </c>
      <c r="C3" s="54" t="s">
        <v>390</v>
      </c>
    </row>
    <row r="4" spans="1:3" x14ac:dyDescent="0.25">
      <c r="B4" s="54" t="s">
        <v>1</v>
      </c>
      <c r="C4" s="54" t="s">
        <v>391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ColWidth="9.1796875" defaultRowHeight="12.5" x14ac:dyDescent="0.2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 x14ac:dyDescent="0.25">
      <c r="A1" s="13" t="s">
        <v>10</v>
      </c>
    </row>
    <row r="2" spans="1:3" x14ac:dyDescent="0.25">
      <c r="B2" s="1" t="s">
        <v>11</v>
      </c>
      <c r="C2" s="1" t="s">
        <v>104</v>
      </c>
    </row>
    <row r="3" spans="1:3" x14ac:dyDescent="0.25">
      <c r="B3" s="1" t="s">
        <v>2</v>
      </c>
      <c r="C3" s="1" t="s">
        <v>105</v>
      </c>
    </row>
    <row r="4" spans="1:3" x14ac:dyDescent="0.25">
      <c r="B4" s="1" t="s">
        <v>1</v>
      </c>
      <c r="C4" s="1" t="s">
        <v>106</v>
      </c>
    </row>
    <row r="5" spans="1:3" x14ac:dyDescent="0.25">
      <c r="B5" s="1" t="s">
        <v>7</v>
      </c>
      <c r="C5" s="22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17" t="s">
        <v>10</v>
      </c>
    </row>
    <row r="2" spans="1:3" x14ac:dyDescent="0.25">
      <c r="B2" t="s">
        <v>11</v>
      </c>
      <c r="C2" t="s">
        <v>19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3" t="s">
        <v>10</v>
      </c>
    </row>
    <row r="2" spans="1:3" x14ac:dyDescent="0.25">
      <c r="B2" s="1" t="s">
        <v>11</v>
      </c>
      <c r="C2" s="23" t="s">
        <v>237</v>
      </c>
    </row>
    <row r="3" spans="1:3" x14ac:dyDescent="0.25">
      <c r="B3" s="1" t="s">
        <v>12</v>
      </c>
      <c r="C3" s="1" t="s">
        <v>192</v>
      </c>
    </row>
    <row r="4" spans="1:3" x14ac:dyDescent="0.25">
      <c r="B4" s="1" t="s">
        <v>1</v>
      </c>
      <c r="C4" s="1" t="s">
        <v>107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ColWidth="9.1796875" defaultRowHeight="12.5" x14ac:dyDescent="0.25"/>
  <cols>
    <col min="1" max="1" width="5" style="1" bestFit="1" customWidth="1"/>
    <col min="2" max="2" width="13.54296875" style="1" customWidth="1"/>
    <col min="3" max="16384" width="9.1796875" style="1"/>
  </cols>
  <sheetData>
    <row r="1" spans="1:3" x14ac:dyDescent="0.25">
      <c r="A1" s="13" t="s">
        <v>10</v>
      </c>
    </row>
    <row r="2" spans="1:3" x14ac:dyDescent="0.25">
      <c r="B2" s="1" t="s">
        <v>11</v>
      </c>
      <c r="C2" s="55" t="s">
        <v>394</v>
      </c>
    </row>
    <row r="3" spans="1:3" x14ac:dyDescent="0.25">
      <c r="B3" s="1" t="s">
        <v>12</v>
      </c>
      <c r="C3" s="54" t="s">
        <v>78</v>
      </c>
    </row>
    <row r="4" spans="1:3" x14ac:dyDescent="0.25">
      <c r="B4" s="1" t="s">
        <v>1</v>
      </c>
      <c r="C4" s="1" t="s">
        <v>24</v>
      </c>
    </row>
    <row r="5" spans="1:3" x14ac:dyDescent="0.25">
      <c r="B5" s="1" t="s">
        <v>2</v>
      </c>
      <c r="C5" s="1" t="s">
        <v>127</v>
      </c>
    </row>
    <row r="6" spans="1:3" x14ac:dyDescent="0.25">
      <c r="B6" s="1" t="s">
        <v>54</v>
      </c>
      <c r="C6" s="1" t="s">
        <v>79</v>
      </c>
    </row>
    <row r="7" spans="1:3" x14ac:dyDescent="0.25">
      <c r="B7" s="1" t="s">
        <v>102</v>
      </c>
      <c r="C7" s="23" t="s">
        <v>128</v>
      </c>
    </row>
    <row r="8" spans="1:3" x14ac:dyDescent="0.25">
      <c r="B8" s="1" t="s">
        <v>3</v>
      </c>
      <c r="C8" s="1" t="s">
        <v>124</v>
      </c>
    </row>
    <row r="9" spans="1:3" x14ac:dyDescent="0.25">
      <c r="C9" s="1" t="s">
        <v>125</v>
      </c>
    </row>
    <row r="10" spans="1:3" x14ac:dyDescent="0.25">
      <c r="B10" s="1" t="s">
        <v>122</v>
      </c>
    </row>
    <row r="11" spans="1:3" ht="13" x14ac:dyDescent="0.3">
      <c r="C11" s="21" t="s">
        <v>123</v>
      </c>
    </row>
    <row r="12" spans="1:3" x14ac:dyDescent="0.25">
      <c r="C12" s="1" t="s">
        <v>126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3" t="s">
        <v>10</v>
      </c>
    </row>
    <row r="2" spans="1:3" x14ac:dyDescent="0.25">
      <c r="B2" s="1" t="s">
        <v>11</v>
      </c>
      <c r="C2" s="1" t="s">
        <v>9</v>
      </c>
    </row>
    <row r="3" spans="1:3" x14ac:dyDescent="0.25">
      <c r="B3" s="1" t="s">
        <v>12</v>
      </c>
      <c r="C3" s="1" t="s">
        <v>101</v>
      </c>
    </row>
    <row r="4" spans="1:3" ht="13" x14ac:dyDescent="0.3">
      <c r="B4" s="1" t="s">
        <v>102</v>
      </c>
      <c r="C4" s="16" t="s">
        <v>103</v>
      </c>
    </row>
    <row r="5" spans="1:3" x14ac:dyDescent="0.25">
      <c r="B5" s="1" t="s">
        <v>13</v>
      </c>
      <c r="C5" s="1" t="s">
        <v>14</v>
      </c>
    </row>
    <row r="6" spans="1:3" x14ac:dyDescent="0.25">
      <c r="B6" s="1" t="s">
        <v>46</v>
      </c>
      <c r="C6" s="1" t="s">
        <v>47</v>
      </c>
    </row>
    <row r="7" spans="1:3" x14ac:dyDescent="0.25">
      <c r="B7" s="1" t="s">
        <v>54</v>
      </c>
      <c r="C7" s="1" t="s">
        <v>55</v>
      </c>
    </row>
    <row r="8" spans="1:3" x14ac:dyDescent="0.25">
      <c r="B8" s="1" t="s">
        <v>15</v>
      </c>
    </row>
    <row r="9" spans="1:3" x14ac:dyDescent="0.25">
      <c r="C9" s="1" t="s">
        <v>16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alogliptin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2025-06-04T20:45:41Z</dcterms:modified>
</cp:coreProperties>
</file>