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A5AFF8E-1703-476D-B74E-9786D1292E61}" xr6:coauthVersionLast="47" xr6:coauthVersionMax="47" xr10:uidLastSave="{00000000-0000-0000-0000-000000000000}"/>
  <bookViews>
    <workbookView xWindow="0" yWindow="6150" windowWidth="26010" windowHeight="142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I309" i="1" l="1"/>
  <c r="L309" i="1"/>
  <c r="H309" i="1" s="1"/>
  <c r="I201" i="1"/>
  <c r="L201" i="1"/>
  <c r="H201" i="1" s="1"/>
  <c r="J309" i="1" l="1"/>
  <c r="J201" i="1"/>
  <c r="I7" i="1"/>
  <c r="L7" i="1"/>
  <c r="H7" i="1" s="1"/>
  <c r="K24" i="1" l="1"/>
  <c r="AE4" i="1" l="1"/>
  <c r="AA22" i="1"/>
  <c r="L16" i="1"/>
  <c r="L121" i="4" l="1"/>
  <c r="H121" i="4" s="1"/>
  <c r="I121" i="4"/>
  <c r="H109" i="1"/>
  <c r="J121" i="4" l="1"/>
  <c r="J109" i="1"/>
  <c r="R22" i="1" l="1"/>
  <c r="Q22" i="1"/>
  <c r="P22" i="1"/>
  <c r="N22" i="1"/>
  <c r="O22" i="1" s="1"/>
  <c r="F120" i="4" l="1"/>
  <c r="I120" i="4"/>
  <c r="E120" i="4" s="1"/>
  <c r="G120" i="4" s="1"/>
  <c r="L370" i="1" l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8" i="1" l="1"/>
  <c r="L228" i="1"/>
  <c r="H228" i="1" s="1"/>
  <c r="J228" i="1" l="1"/>
  <c r="I230" i="1"/>
  <c r="L230" i="1"/>
  <c r="H230" i="1" s="1"/>
  <c r="I301" i="1"/>
  <c r="L301" i="1"/>
  <c r="H301" i="1" s="1"/>
  <c r="J230" i="1" l="1"/>
  <c r="J301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2" i="1"/>
  <c r="L302" i="1"/>
  <c r="H302" i="1" s="1"/>
  <c r="I115" i="1"/>
  <c r="L115" i="1"/>
  <c r="H115" i="1" s="1"/>
  <c r="J115" i="1" l="1"/>
  <c r="J302" i="1"/>
  <c r="J454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7" i="1" l="1"/>
  <c r="L307" i="1"/>
  <c r="H307" i="1" s="1"/>
  <c r="I93" i="1"/>
  <c r="J307" i="1" l="1"/>
  <c r="L93" i="1"/>
  <c r="H93" i="1" s="1"/>
  <c r="J93" i="1" s="1"/>
  <c r="I304" i="1" l="1"/>
  <c r="L304" i="1"/>
  <c r="H304" i="1" s="1"/>
  <c r="I86" i="1"/>
  <c r="L86" i="1"/>
  <c r="H86" i="1" s="1"/>
  <c r="J304" i="1" l="1"/>
  <c r="J86" i="1"/>
  <c r="I227" i="1"/>
  <c r="L227" i="1"/>
  <c r="H227" i="1" s="1"/>
  <c r="J227" i="1" l="1"/>
  <c r="I306" i="1" l="1"/>
  <c r="L306" i="1"/>
  <c r="H306" i="1" s="1"/>
  <c r="J306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5" i="1"/>
  <c r="L305" i="1"/>
  <c r="H305" i="1" s="1"/>
  <c r="J519" i="1" l="1"/>
  <c r="J305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3" i="1"/>
  <c r="L303" i="1"/>
  <c r="H303" i="1" s="1"/>
  <c r="I308" i="1"/>
  <c r="L308" i="1"/>
  <c r="G308" i="1"/>
  <c r="J116" i="1" l="1"/>
  <c r="H308" i="1"/>
  <c r="J308" i="1" s="1"/>
  <c r="J303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3" i="1"/>
  <c r="H213" i="1"/>
  <c r="J213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4" i="1" s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544" i="1" s="1"/>
  <c r="D545" i="1" s="1"/>
  <c r="D546" i="1" s="1"/>
  <c r="D121" i="4" l="1"/>
  <c r="D547" i="1" s="1"/>
  <c r="D548" i="1" s="1"/>
  <c r="D549" i="1" s="1"/>
  <c r="D225" i="1" s="1"/>
  <c r="D226" i="1" s="1"/>
  <c r="D227" i="1" s="1"/>
  <c r="D542" i="1" s="1"/>
  <c r="D213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309" i="1" s="1"/>
  <c r="D296" i="1" s="1"/>
  <c r="D297" i="1" s="1"/>
  <c r="D298" i="1" s="1"/>
  <c r="D299" i="1" l="1"/>
  <c r="D524" i="1" s="1"/>
  <c r="D525" i="1" s="1"/>
  <c r="D300" i="1" s="1"/>
  <c r="D526" i="1" s="1"/>
  <c r="D301" i="1" s="1"/>
  <c r="D302" i="1" s="1"/>
  <c r="D303" i="1" s="1"/>
  <c r="D304" i="1" s="1"/>
  <c r="D305" i="1" s="1"/>
  <c r="D306" i="1" s="1"/>
  <c r="D307" i="1" s="1"/>
  <c r="D308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<sst xmlns="http://schemas.openxmlformats.org/spreadsheetml/2006/main" count="3451" uniqueCount="1977">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</sst>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theme" Target="theme/theme1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aredStrings" Target="sharedString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microsoft.com/office/2017/10/relationships/person" Target="persons/person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 refreshError="1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 refreshError="1"/>
      <sheetData sheetId="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 refreshError="1"/>
      <sheetData sheetId="2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microsoft.com/office/2017/10/relationships/threadedComment" Target="../threadedComments/threadedComment1.x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45" zoomScaleNormal="145" workbookViewId="0">
      <pane xSplit="5" ySplit="3" topLeftCell="F271" activePane="bottomRight" state="frozen"/>
      <selection pane="topRight" activeCell="C1" sqref="C1"/>
      <selection pane="bottomLeft" activeCell="A4" sqref="A4"/>
      <selection pane="bottomRight" activeCell="E283" sqref="E283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88</v>
      </c>
      <c r="H2" s="6">
        <f>SUM(H5:H415)-H8-H11-H13-H19-H23-H26-H50-H56</f>
        <v>4716074.1032323027</v>
      </c>
      <c r="M2" s="9">
        <f>MIN(M5:M95)</f>
        <v>45532</v>
      </c>
      <c r="O2" s="10">
        <f>AVERAGE(O5:O25)</f>
        <v>0.20579308141669758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TRIMMEAN(S5:S299,10%)</f>
        <v>39.605715984435392</v>
      </c>
      <c r="T4" s="106">
        <f>TRIMMEAN(T5:T299,10%)</f>
        <v>81.809988254950156</v>
      </c>
      <c r="U4" s="106">
        <f>TRIMMEAN(U5:U299,10%)</f>
        <v>48.717844482534488</v>
      </c>
      <c r="V4" s="106">
        <f>TRIMMEAN(V5:V299,10%)</f>
        <v>17.765463963274446</v>
      </c>
      <c r="W4" s="106">
        <f>TRIMMEAN(W5:W299,10%)</f>
        <v>15.901815581352844</v>
      </c>
      <c r="X4" s="106">
        <f>TRIMMEAN(X5:X299,10%)</f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AVERAGE(AE5:AE222)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0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301518.99</v>
      </c>
      <c r="I8" s="6">
        <f>([4]Main!$J$5-[4]Main!$J$6)/DKK</f>
        <v>2576.3072126966131</v>
      </c>
      <c r="J8" s="6">
        <f t="shared" si="0"/>
        <v>298942.68278730341</v>
      </c>
      <c r="K8" s="3" t="s">
        <v>1276</v>
      </c>
      <c r="L8" s="6">
        <f>+[4]Main!$J$3</f>
        <v>4461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5">($J8/$L8)/Y8</f>
        <v>38.73553880416447</v>
      </c>
      <c r="T8" s="11">
        <f t="shared" ref="T8" si="16">($J8/$L8)/Z8</f>
        <v>24.727853184946323</v>
      </c>
      <c r="U8" s="11">
        <f t="shared" ref="U8" si="17">($J8/$L8)/AA8</f>
        <v>20.368535602189827</v>
      </c>
      <c r="V8" s="11">
        <f t="shared" ref="V8" si="18">($J8/$L8)/AB8</f>
        <v>16.837307068141843</v>
      </c>
      <c r="W8" s="11">
        <f t="shared" ref="W8" si="19">($J8/$L8)/AC8</f>
        <v>14.197559773560284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296978.57446507015</v>
      </c>
      <c r="I9" s="6">
        <f>([4]Main!$J$5-[4]Main!$J$6)/DKK</f>
        <v>2576.3072126966131</v>
      </c>
      <c r="J9" s="6">
        <f t="shared" si="0"/>
        <v>294402.26725237357</v>
      </c>
      <c r="K9" s="3" t="str">
        <f>+K8</f>
        <v>Q324</v>
      </c>
      <c r="L9" s="6">
        <f>+[4]Main!$J$3</f>
        <v>4461</v>
      </c>
      <c r="M9" s="9">
        <f>+M8</f>
        <v>45671</v>
      </c>
      <c r="N9" s="7">
        <f>+[4]Model!$DM$53</f>
        <v>687.76126161582386</v>
      </c>
      <c r="O9" s="10">
        <f>N9/G9-1</f>
        <v>0.46394478845428666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-26324</v>
      </c>
      <c r="J11" s="6">
        <f t="shared" si="0"/>
        <v>254052.8</v>
      </c>
      <c r="K11" s="3" t="s">
        <v>1070</v>
      </c>
      <c r="L11" s="6">
        <f>+[6]Main!$K$3</f>
        <v>1560</v>
      </c>
      <c r="M11" s="9">
        <v>45608</v>
      </c>
      <c r="S11" s="11">
        <f t="shared" ref="S11" si="24">($J11/$L11)/Y11</f>
        <v>153.6361877116594</v>
      </c>
      <c r="T11" s="11">
        <f t="shared" ref="T11" si="25">($J11/$L11)/Z11</f>
        <v>84.819978632478637</v>
      </c>
      <c r="U11" s="11">
        <f t="shared" si="20"/>
        <v>71.74200835874845</v>
      </c>
      <c r="V11" s="11">
        <f t="shared" si="21"/>
        <v>36.109613963272501</v>
      </c>
      <c r="W11" s="11">
        <f t="shared" si="22"/>
        <v>31.994962470404513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-26324</v>
      </c>
      <c r="J12" s="6">
        <f t="shared" si="0"/>
        <v>254555.12</v>
      </c>
      <c r="K12" s="3" t="str">
        <f>+K11</f>
        <v>Q224</v>
      </c>
      <c r="L12" s="6">
        <f>+[6]Main!$K$3</f>
        <v>1560</v>
      </c>
      <c r="M12" s="9">
        <v>45608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1070</v>
      </c>
      <c r="L25" s="6">
        <f>+[17]Main!$J$3</f>
        <v>485.19930699999998</v>
      </c>
      <c r="M25" s="9">
        <v>45535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-8824.5</v>
      </c>
      <c r="J29" s="6">
        <f>H29-I29</f>
        <v>63895.5</v>
      </c>
      <c r="K29" s="3" t="s">
        <v>1070</v>
      </c>
      <c r="L29" s="3">
        <v>435</v>
      </c>
      <c r="M29" s="9">
        <v>45532</v>
      </c>
    </row>
    <row r="30" spans="1:31" x14ac:dyDescent="0.25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-36760</v>
      </c>
      <c r="J30" s="6">
        <f>+H30-I30</f>
        <v>60827.030434</v>
      </c>
      <c r="K30" s="3" t="s">
        <v>1070</v>
      </c>
      <c r="L30" s="6">
        <f>+[21]Main!$J$3</f>
        <v>982.42</v>
      </c>
      <c r="M30" s="9">
        <v>45534</v>
      </c>
    </row>
    <row r="31" spans="1:31" x14ac:dyDescent="0.25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264</v>
      </c>
      <c r="H37" s="6">
        <f>+G37*L37</f>
        <v>33892.455432000002</v>
      </c>
      <c r="I37" s="6">
        <f>+[28]Main!$L$5-[28]Main!$L$6</f>
        <v>246.8090000000002</v>
      </c>
      <c r="J37" s="6">
        <f>H37-I37</f>
        <v>33645.646432000001</v>
      </c>
      <c r="K37" s="3" t="s">
        <v>1070</v>
      </c>
      <c r="L37" s="6">
        <f>+[28]Main!$L$3</f>
        <v>128.38051300000001</v>
      </c>
      <c r="M37" s="9">
        <v>45537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9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9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1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+[66]Main!$M$5-[66]Main!$M$6</f>
        <v>1650.7570000000001</v>
      </c>
      <c r="J67" s="6">
        <f>+H67-I67</f>
        <v>9958.4344796000005</v>
      </c>
      <c r="K67" s="3" t="s">
        <v>1843</v>
      </c>
      <c r="L67" s="6">
        <f>+[66]Main!$M$3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+[55]Main!$M$5-[55]Main!$M$6</f>
        <v>-973.48500000000013</v>
      </c>
      <c r="J68" s="6">
        <f>+H68-I68</f>
        <v>8954.1990000000005</v>
      </c>
      <c r="K68" s="3" t="s">
        <v>1070</v>
      </c>
      <c r="L68" s="6">
        <f>+[55]Main!$M$3</f>
        <v>126.678</v>
      </c>
      <c r="M68" s="9">
        <v>45538</v>
      </c>
    </row>
    <row r="69" spans="1:32" x14ac:dyDescent="0.25">
      <c r="A69"/>
      <c r="B69"/>
      <c r="C69"/>
      <c r="D69" s="1">
        <f t="shared" si="61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+[56]Main!$K$5-[56]Main!$K$6</f>
        <v>310.25300000000004</v>
      </c>
      <c r="J69" s="6">
        <f>+H69-I69</f>
        <v>6468.9548848800014</v>
      </c>
      <c r="K69" s="3" t="s">
        <v>1070</v>
      </c>
      <c r="L69" s="6">
        <f>+[56]Main!$K$3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1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([57]Main!$L$5-[57]Main!$L$6)*EUR</f>
        <v>-123.432</v>
      </c>
      <c r="J70" s="6">
        <f>+H70-I70</f>
        <v>8717.7304764</v>
      </c>
      <c r="K70" s="3" t="s">
        <v>1070</v>
      </c>
      <c r="L70" s="6">
        <f>+[57]Main!$L$3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1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[58]Main!$K$5-[58]Main!$K$6</f>
        <v>-413.63900000000001</v>
      </c>
      <c r="J71" s="6">
        <f>H71-I71</f>
        <v>9264.7510000000002</v>
      </c>
      <c r="K71" s="3" t="s">
        <v>1070</v>
      </c>
      <c r="L71" s="6">
        <f>[58]Main!$K$3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1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+[59]Main!$K$5-[59]Main!$K$6</f>
        <v>711</v>
      </c>
      <c r="J72" s="26">
        <f t="shared" ref="J72:J87" si="62">+H72-I72</f>
        <v>1796.44</v>
      </c>
      <c r="K72" s="25" t="s">
        <v>1113</v>
      </c>
      <c r="L72" s="25">
        <f>+[59]Main!$K$3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1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+[60]Main!$L$5-[60]Main!$L$6</f>
        <v>309.9079999999999</v>
      </c>
      <c r="J73" s="6">
        <f t="shared" si="62"/>
        <v>4064.7278427200004</v>
      </c>
      <c r="K73" s="9" t="s">
        <v>1070</v>
      </c>
      <c r="L73" s="6">
        <f>+[60]Main!$L$3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1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+[61]Main!$K$5-[61]Main!$K$6</f>
        <v>-1276</v>
      </c>
      <c r="J74" s="6">
        <f t="shared" si="62"/>
        <v>6894.4183077750004</v>
      </c>
      <c r="K74" s="3" t="s">
        <v>1070</v>
      </c>
      <c r="L74" s="6">
        <f>+[61]Main!$K$3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1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([62]Main!$L$5-[62]Main!$L$6)/JPY</f>
        <v>2512.9707401032701</v>
      </c>
      <c r="J75" s="6">
        <f t="shared" si="62"/>
        <v>5474.0641660447509</v>
      </c>
      <c r="K75" s="3" t="s">
        <v>1070</v>
      </c>
      <c r="L75" s="6">
        <f>+[62]Main!$L$3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1"/>
        <v>64</v>
      </c>
      <c r="E76" s="5" t="s">
        <v>130</v>
      </c>
      <c r="F76" s="1" t="s">
        <v>131</v>
      </c>
      <c r="G76" s="3">
        <v>27.9</v>
      </c>
      <c r="H76" s="6">
        <f t="shared" ref="H76:H80" si="63">+G76*L76</f>
        <v>3805.9901621999993</v>
      </c>
      <c r="I76" s="6">
        <f>+[63]Main!$N$5-[63]Main!$N$6</f>
        <v>-3514.8</v>
      </c>
      <c r="J76" s="6">
        <f t="shared" si="62"/>
        <v>7320.790162199999</v>
      </c>
      <c r="K76" s="3" t="s">
        <v>1070</v>
      </c>
      <c r="L76" s="6">
        <f>+[63]Main!$N$3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1"/>
        <v>65</v>
      </c>
      <c r="E77" s="5" t="s">
        <v>126</v>
      </c>
      <c r="F77" s="1" t="s">
        <v>127</v>
      </c>
      <c r="G77" s="7">
        <v>62</v>
      </c>
      <c r="H77" s="6">
        <f t="shared" si="63"/>
        <v>6093.1759840000004</v>
      </c>
      <c r="I77" s="6">
        <f>+[64]Main!$L$5-[64]Main!$L$6</f>
        <v>-491.28899999999999</v>
      </c>
      <c r="J77" s="6">
        <f t="shared" si="62"/>
        <v>6584.4649840000002</v>
      </c>
      <c r="K77" s="3" t="s">
        <v>1070</v>
      </c>
      <c r="L77" s="6">
        <f>+[64]Main!$L$3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1"/>
        <v>66</v>
      </c>
      <c r="E78" s="5" t="s">
        <v>685</v>
      </c>
      <c r="F78" t="s">
        <v>686</v>
      </c>
      <c r="G78" s="7">
        <v>40.200000000000003</v>
      </c>
      <c r="H78" s="6">
        <f t="shared" si="63"/>
        <v>4729.9150356</v>
      </c>
      <c r="I78" s="6">
        <f>+[65]Main!$K$5-[65]Main!$K$6</f>
        <v>707.18499999999995</v>
      </c>
      <c r="J78" s="6">
        <f t="shared" si="62"/>
        <v>4022.7300356000001</v>
      </c>
      <c r="K78" s="3" t="s">
        <v>1070</v>
      </c>
      <c r="L78" s="6">
        <f>+[65]Main!$K$3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3"/>
        <v>6456.7101200000006</v>
      </c>
      <c r="I79" s="29">
        <f>+[67]Main!$N$5-[67]Main!$N$6</f>
        <v>-1130.3990000000001</v>
      </c>
      <c r="J79" s="29">
        <f t="shared" si="62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1"/>
        <v>69</v>
      </c>
      <c r="E80" s="5" t="s">
        <v>151</v>
      </c>
      <c r="F80" s="1" t="s">
        <v>152</v>
      </c>
      <c r="G80" s="3">
        <v>86.95</v>
      </c>
      <c r="H80" s="6">
        <f t="shared" si="63"/>
        <v>5465.1553000000004</v>
      </c>
      <c r="I80" s="6">
        <f>+[68]Main!$K$5-[68]Main!$K$6</f>
        <v>481.55700000000002</v>
      </c>
      <c r="J80" s="6">
        <f t="shared" si="62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1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2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1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4">+G82*L82</f>
        <v>4682.7000000000007</v>
      </c>
      <c r="I82" s="6">
        <f>+[70]Main!$L$5-[70]Main!$L$6</f>
        <v>-43</v>
      </c>
      <c r="J82" s="6">
        <f t="shared" si="62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1"/>
        <v>72</v>
      </c>
      <c r="E83" s="5" t="s">
        <v>117</v>
      </c>
      <c r="F83" s="1" t="s">
        <v>118</v>
      </c>
      <c r="G83" s="7">
        <v>33.270000000000003</v>
      </c>
      <c r="H83" s="6">
        <f t="shared" si="64"/>
        <v>6075.1711017900006</v>
      </c>
      <c r="I83" s="6">
        <f>+[71]Main!$K$5-[71]Main!$K$6</f>
        <v>1008.441</v>
      </c>
      <c r="J83" s="6">
        <f t="shared" si="62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1"/>
        <v>73</v>
      </c>
      <c r="E84" s="5" t="s">
        <v>197</v>
      </c>
      <c r="F84" s="1" t="s">
        <v>198</v>
      </c>
      <c r="G84" s="7">
        <v>177</v>
      </c>
      <c r="H84" s="6">
        <f t="shared" si="64"/>
        <v>5090.6169959999997</v>
      </c>
      <c r="I84" s="6">
        <f>+[72]Main!$K$5-[72]Main!$K$6</f>
        <v>694.2120000000001</v>
      </c>
      <c r="J84" s="6">
        <f t="shared" si="62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1"/>
        <v>74</v>
      </c>
      <c r="E85" s="5" t="s">
        <v>86</v>
      </c>
      <c r="F85" s="1" t="s">
        <v>87</v>
      </c>
      <c r="G85" s="7">
        <v>20.46</v>
      </c>
      <c r="H85" s="6">
        <f t="shared" si="64"/>
        <v>2067.5831517000001</v>
      </c>
      <c r="I85" s="6">
        <f>+[73]Main!$L$5-[73]Main!$L$6</f>
        <v>489</v>
      </c>
      <c r="J85" s="6">
        <f t="shared" si="62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1"/>
        <v>75</v>
      </c>
      <c r="E86" s="5" t="s">
        <v>678</v>
      </c>
      <c r="F86" t="s">
        <v>679</v>
      </c>
      <c r="G86" s="7">
        <v>325</v>
      </c>
      <c r="H86" s="6">
        <f t="shared" si="64"/>
        <v>7056.6200250000002</v>
      </c>
      <c r="I86" s="6">
        <f>+[74]Main!$M$5-[74]Main!$M$6</f>
        <v>946.1869999999999</v>
      </c>
      <c r="J86" s="6">
        <f t="shared" si="62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1"/>
        <v>76</v>
      </c>
      <c r="E87" s="5" t="s">
        <v>430</v>
      </c>
      <c r="F87" t="s">
        <v>431</v>
      </c>
      <c r="G87" s="7">
        <v>115.95</v>
      </c>
      <c r="H87" s="6">
        <f t="shared" si="64"/>
        <v>5616.1667226</v>
      </c>
      <c r="I87" s="6">
        <f>+[75]Main!$L$5-[75]Main!$L$6</f>
        <v>206.86999999999998</v>
      </c>
      <c r="J87" s="6">
        <f t="shared" si="62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1"/>
        <v>77</v>
      </c>
      <c r="E88" s="13" t="s">
        <v>53</v>
      </c>
      <c r="F88" s="1" t="s">
        <v>54</v>
      </c>
      <c r="G88" s="7">
        <v>28.15</v>
      </c>
      <c r="H88" s="6">
        <f t="shared" si="64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1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5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6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5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6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5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6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5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6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5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6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5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6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6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7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6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7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6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7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6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7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6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7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6"/>
        <v>90</v>
      </c>
      <c r="E101" s="5" t="s">
        <v>211</v>
      </c>
      <c r="F101" s="1" t="s">
        <v>212</v>
      </c>
      <c r="G101" s="7">
        <v>3.52</v>
      </c>
      <c r="H101" s="6">
        <f t="shared" ref="H101:H107" si="68">+G101*L101</f>
        <v>2451.7976313599997</v>
      </c>
      <c r="I101" s="6">
        <f>+[89]Main!$J$5-[89]Main!$J$6</f>
        <v>-474.93899999999996</v>
      </c>
      <c r="J101" s="6">
        <f t="shared" si="67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6"/>
        <v>91</v>
      </c>
      <c r="E102" s="39" t="s">
        <v>1161</v>
      </c>
      <c r="F102" t="s">
        <v>1162</v>
      </c>
      <c r="G102" s="7">
        <v>65</v>
      </c>
      <c r="H102" s="6">
        <f t="shared" si="68"/>
        <v>2970.747715</v>
      </c>
      <c r="I102" s="6">
        <f>+[90]Main!$J$5-[90]Main!$J$6</f>
        <v>268.82000000000005</v>
      </c>
      <c r="J102" s="6">
        <f t="shared" si="67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6"/>
        <v>92</v>
      </c>
      <c r="E103" s="5" t="s">
        <v>1290</v>
      </c>
      <c r="F103" t="s">
        <v>1291</v>
      </c>
      <c r="G103" s="7">
        <v>35</v>
      </c>
      <c r="H103" s="6">
        <f t="shared" si="68"/>
        <v>2801.12</v>
      </c>
      <c r="I103" s="6">
        <f>+[91]Main!$K$5-[91]Main!$K$6</f>
        <v>140.42099999999999</v>
      </c>
      <c r="J103" s="6">
        <f t="shared" si="67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6"/>
        <v>93</v>
      </c>
      <c r="E104" s="5" t="s">
        <v>203</v>
      </c>
      <c r="F104" s="1" t="s">
        <v>204</v>
      </c>
      <c r="G104" s="3">
        <v>46.29</v>
      </c>
      <c r="H104" s="6">
        <f t="shared" si="68"/>
        <v>2253.2038003799998</v>
      </c>
      <c r="I104" s="6">
        <f>+[92]Main!$L$5-[92]Main!$L$6</f>
        <v>-356.94799999999998</v>
      </c>
      <c r="J104" s="6">
        <f t="shared" si="67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6"/>
        <v>94</v>
      </c>
      <c r="E105" s="5" t="s">
        <v>847</v>
      </c>
      <c r="F105" t="s">
        <v>848</v>
      </c>
      <c r="G105" s="3">
        <v>29.07</v>
      </c>
      <c r="H105" s="6">
        <f t="shared" si="68"/>
        <v>2725.96041216</v>
      </c>
      <c r="I105" s="6">
        <f>+[93]Main!$J$5-[93]Main!$J$6</f>
        <v>511.75100000000003</v>
      </c>
      <c r="J105" s="6">
        <f t="shared" si="67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6"/>
        <v>95</v>
      </c>
      <c r="E106" s="5" t="s">
        <v>124</v>
      </c>
      <c r="F106" s="1" t="s">
        <v>125</v>
      </c>
      <c r="G106" s="3">
        <v>16.22</v>
      </c>
      <c r="H106" s="6">
        <f t="shared" si="68"/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6"/>
        <v>96</v>
      </c>
      <c r="E107" s="5" t="s">
        <v>111</v>
      </c>
      <c r="F107" s="1" t="s">
        <v>112</v>
      </c>
      <c r="G107" s="3">
        <v>19.670000000000002</v>
      </c>
      <c r="H107" s="6">
        <f t="shared" si="68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6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6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6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6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6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6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6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6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6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6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6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6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6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6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69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69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69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69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69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69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69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69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69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69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69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69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69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69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69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69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69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69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69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69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69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69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69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69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69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69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69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69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69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69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69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69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0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0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0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0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0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0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0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0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0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0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0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0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0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0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0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0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0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0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0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0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0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0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0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0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0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0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0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0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0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0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0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0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7" si="71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1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1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1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1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1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1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1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1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1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1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1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1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1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1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1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1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1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1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1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1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1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1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1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1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 s="88" t="s">
        <v>333</v>
      </c>
      <c r="B212"/>
      <c r="C212"/>
      <c r="D212">
        <f t="shared" si="71"/>
        <v>202</v>
      </c>
      <c r="E212" s="5" t="s">
        <v>703</v>
      </c>
      <c r="F212" t="s">
        <v>704</v>
      </c>
      <c r="G212" s="7">
        <v>36.86</v>
      </c>
      <c r="H212" s="6">
        <f>+G212*L212</f>
        <v>2400.3072764799999</v>
      </c>
      <c r="I212" s="6">
        <f>+[120]Main!$L$5-[120]Main!$L$6</f>
        <v>775.48500000000001</v>
      </c>
      <c r="J212" s="6">
        <f>+H212-I212</f>
        <v>1624.8222764799998</v>
      </c>
      <c r="K212" s="3" t="s">
        <v>1276</v>
      </c>
      <c r="L212" s="6">
        <f>+[120]Main!$L$3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>+D542+1</f>
        <v>224</v>
      </c>
      <c r="E213" s="5" t="s">
        <v>297</v>
      </c>
      <c r="F213" t="s">
        <v>298</v>
      </c>
      <c r="G213" s="7">
        <v>11</v>
      </c>
      <c r="H213" s="6">
        <f>+G213*[121]Main!$L$3</f>
        <v>798.23003700000004</v>
      </c>
      <c r="I213" s="6">
        <f>+[121]Main!$L$5-[121]Main!$L$6</f>
        <v>153.25991400000001</v>
      </c>
      <c r="J213" s="6">
        <f>+H213-I213</f>
        <v>644.97012300000006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>+D212+1</f>
        <v>203</v>
      </c>
      <c r="E214" s="1" t="s">
        <v>1884</v>
      </c>
      <c r="F214" t="s">
        <v>1885</v>
      </c>
      <c r="G214" s="7"/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71"/>
        <v>204</v>
      </c>
      <c r="E215" t="s">
        <v>1900</v>
      </c>
      <c r="F215"/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1"/>
        <v>205</v>
      </c>
      <c r="E216" t="s">
        <v>1918</v>
      </c>
      <c r="F216" t="s">
        <v>1919</v>
      </c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1"/>
        <v>206</v>
      </c>
      <c r="E217" t="s">
        <v>1920</v>
      </c>
      <c r="F217" t="s">
        <v>1921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ref="D218:D224" si="72">+D217+1</f>
        <v>207</v>
      </c>
      <c r="E218" t="s">
        <v>1922</v>
      </c>
      <c r="F218" t="s">
        <v>1923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2"/>
        <v>208</v>
      </c>
      <c r="E219" t="s">
        <v>1924</v>
      </c>
      <c r="F219" t="s">
        <v>1925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2"/>
        <v>209</v>
      </c>
      <c r="E220" t="s">
        <v>1943</v>
      </c>
      <c r="F220" t="s">
        <v>1944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2"/>
        <v>210</v>
      </c>
      <c r="E221" t="s">
        <v>1945</v>
      </c>
      <c r="F221" t="s">
        <v>1946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2"/>
        <v>211</v>
      </c>
      <c r="E222" t="s">
        <v>1947</v>
      </c>
      <c r="F222" t="s">
        <v>1948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2"/>
        <v>212</v>
      </c>
      <c r="E223" t="s">
        <v>1949</v>
      </c>
      <c r="F223" t="s">
        <v>1950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2"/>
        <v>213</v>
      </c>
      <c r="E224" t="s">
        <v>1951</v>
      </c>
      <c r="F224" t="s">
        <v>1952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>+D549+1</f>
        <v>220</v>
      </c>
      <c r="E225" t="s">
        <v>1967</v>
      </c>
      <c r="F225" t="s">
        <v>1968</v>
      </c>
      <c r="H225" s="6"/>
    </row>
    <row r="226" spans="1:31" x14ac:dyDescent="0.25">
      <c r="A226" s="88" t="s">
        <v>333</v>
      </c>
      <c r="D226">
        <f>+D225+1</f>
        <v>221</v>
      </c>
      <c r="E226" t="s">
        <v>1966</v>
      </c>
      <c r="F226" t="s">
        <v>1965</v>
      </c>
      <c r="H226" s="6"/>
    </row>
    <row r="227" spans="1:31" x14ac:dyDescent="0.25">
      <c r="A227" s="88" t="s">
        <v>333</v>
      </c>
      <c r="B227"/>
      <c r="C227"/>
      <c r="D227">
        <f>+D226+1</f>
        <v>222</v>
      </c>
      <c r="E227" s="5" t="s">
        <v>754</v>
      </c>
      <c r="F227" t="s">
        <v>755</v>
      </c>
      <c r="G227" s="7">
        <v>6.18</v>
      </c>
      <c r="H227" s="6">
        <f>+G227*L227</f>
        <v>626.36771999999996</v>
      </c>
      <c r="I227" s="6">
        <f>+[122]Main!$K$5-[122]Main!$K$6</f>
        <v>531</v>
      </c>
      <c r="J227" s="6">
        <f>+H227-I227</f>
        <v>95.367719999999963</v>
      </c>
      <c r="K227" s="3" t="s">
        <v>1277</v>
      </c>
      <c r="L227" s="6">
        <f>+[122]Main!$K$3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>+D213+1</f>
        <v>225</v>
      </c>
      <c r="E228" s="5" t="s">
        <v>1195</v>
      </c>
      <c r="F228" t="s">
        <v>1196</v>
      </c>
      <c r="G228" s="3">
        <v>7.86</v>
      </c>
      <c r="H228" s="6">
        <f t="shared" ref="H228:H231" si="73">+G228*L228</f>
        <v>491.65306866000003</v>
      </c>
      <c r="I228" s="6">
        <f>+[123]Main!$K$5-[123]Main!$K$6</f>
        <v>62.650000000000006</v>
      </c>
      <c r="J228" s="6">
        <f t="shared" ref="J228:J231" si="74">+H228-I228</f>
        <v>429.00306866000005</v>
      </c>
      <c r="K228" s="3" t="s">
        <v>1070</v>
      </c>
      <c r="L228" s="6">
        <f>+[123]Main!$K$3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3"/>
        <v>994.3367280299999</v>
      </c>
      <c r="I229" s="6">
        <f>+[124]Main!$K$5-[124]Main!$K$6</f>
        <v>642.26800000000003</v>
      </c>
      <c r="J229" s="6">
        <f t="shared" si="74"/>
        <v>352.06872802999987</v>
      </c>
      <c r="K229" s="3" t="s">
        <v>1277</v>
      </c>
      <c r="L229" s="6">
        <f>+[124]Main!$K$3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3"/>
        <v>226.227259</v>
      </c>
      <c r="I230" s="6">
        <f>+[125]Main!$K$5-[125]Main!$K$6</f>
        <v>157.43700000000001</v>
      </c>
      <c r="J230" s="6">
        <f t="shared" si="74"/>
        <v>68.790258999999992</v>
      </c>
      <c r="K230" s="3" t="s">
        <v>1070</v>
      </c>
      <c r="L230" s="6">
        <f>+[125]Main!$K$3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3"/>
        <v>76.012537320000007</v>
      </c>
      <c r="I231" s="6">
        <f>+[126]Main!$L$5-[126]Main!$L$6</f>
        <v>10.994</v>
      </c>
      <c r="J231" s="6">
        <f t="shared" si="74"/>
        <v>65.018537320000007</v>
      </c>
      <c r="K231" s="3" t="s">
        <v>1070</v>
      </c>
      <c r="L231" s="6">
        <f>+[126]Main!$L$3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+[127]Main!$L$5-[127]Main!$L$6</f>
        <v>732.13299999999992</v>
      </c>
      <c r="J232" s="6">
        <f>+H232-I232</f>
        <v>-180.82716350999988</v>
      </c>
      <c r="K232" s="3" t="s">
        <v>1843</v>
      </c>
      <c r="L232" s="6">
        <f>+[127]Main!$L$3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5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5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5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5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5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5"/>
        <v>243</v>
      </c>
      <c r="E242" t="s">
        <v>1037</v>
      </c>
      <c r="F242" t="s">
        <v>1873</v>
      </c>
      <c r="G242" s="7"/>
    </row>
    <row r="243" spans="1:31" x14ac:dyDescent="0.25">
      <c r="A243" s="88" t="s">
        <v>333</v>
      </c>
      <c r="B243"/>
      <c r="C243"/>
      <c r="D243">
        <f t="shared" si="75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5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5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5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5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5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5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6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6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+[128]Main!$L$5-[128]Main!$L$6</f>
        <v>731.06899999999996</v>
      </c>
      <c r="J251" s="6">
        <f>+H251-I251</f>
        <v>1656.7937739200001</v>
      </c>
      <c r="K251" s="3" t="s">
        <v>1277</v>
      </c>
      <c r="L251" s="6">
        <f>+[128]Main!$L$3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6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+[129]Main!$L$5-[129]Main!$L$6</f>
        <v>-160.48700000000002</v>
      </c>
      <c r="J252" s="6">
        <f>+H252-I252</f>
        <v>1037.9457695000001</v>
      </c>
      <c r="K252" s="3" t="s">
        <v>1277</v>
      </c>
      <c r="L252" s="6">
        <f>+[129]Main!$L$3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6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+[130]Main!$N$5-[130]Main!$N$6</f>
        <v>732.71699999999998</v>
      </c>
      <c r="J253" s="6">
        <f>+H253-I253</f>
        <v>809.5551840899999</v>
      </c>
      <c r="K253" s="3" t="s">
        <v>1276</v>
      </c>
      <c r="L253" s="6">
        <f>+[130]Main!$N$3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6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6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+[131]Main!$K$5-[131]Main!$K$6</f>
        <v>-37.984000000000002</v>
      </c>
      <c r="J255" s="8">
        <f t="shared" ref="J255" si="77">+H255-I255</f>
        <v>524.41625439999996</v>
      </c>
      <c r="K255" s="3" t="s">
        <v>300</v>
      </c>
      <c r="L255" s="6">
        <f>+[131]Main!$K$3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6"/>
        <v>257</v>
      </c>
      <c r="E256" s="5" t="s">
        <v>237</v>
      </c>
      <c r="F256" s="1" t="s">
        <v>238</v>
      </c>
      <c r="G256" s="7">
        <v>6.29</v>
      </c>
      <c r="H256" s="6">
        <f>+G256*L256</f>
        <v>497.11342489000003</v>
      </c>
      <c r="I256" s="6">
        <f>+[132]Main!$J$5-[132]Main!$J$6</f>
        <v>191.5</v>
      </c>
      <c r="J256" s="8">
        <f>+H256-I256</f>
        <v>305.61342489000003</v>
      </c>
      <c r="K256" s="3" t="s">
        <v>1276</v>
      </c>
      <c r="L256" s="6">
        <f>[132]Main!$J$3</f>
        <v>79.032341000000002</v>
      </c>
      <c r="M256" s="9">
        <v>45659</v>
      </c>
    </row>
    <row r="257" spans="1:13" x14ac:dyDescent="0.25">
      <c r="A257" s="88" t="s">
        <v>333</v>
      </c>
      <c r="D257">
        <f t="shared" si="76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+[133]Main!$J$5-[133]Main!$J$6</f>
        <v>127.87499999999999</v>
      </c>
      <c r="J257" s="6">
        <f>+H257-I257</f>
        <v>392.86576875999992</v>
      </c>
      <c r="K257" s="3" t="s">
        <v>1276</v>
      </c>
      <c r="L257" s="6">
        <f>+[133]Main!$J$3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+[134]Main!$M$5-[134]Main!$M$6</f>
        <v>87</v>
      </c>
      <c r="J258" s="6">
        <f>+H258-I258</f>
        <v>608.17723499999988</v>
      </c>
      <c r="K258" s="3" t="s">
        <v>1276</v>
      </c>
      <c r="L258" s="6">
        <f>+[134]Main!$M$3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6"/>
        <v>261</v>
      </c>
      <c r="E259" s="5" t="s">
        <v>235</v>
      </c>
      <c r="F259" s="1" t="s">
        <v>236</v>
      </c>
      <c r="G259" s="3">
        <v>4.8600000000000003</v>
      </c>
      <c r="H259" s="6">
        <f>G259*[135]Main!$J$3</f>
        <v>312.71415336000001</v>
      </c>
      <c r="I259" s="8">
        <f>+[135]Main!$J$5-[135]Main!$J$6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+[136]Main!$K$5-[136]Main!$K$6</f>
        <v>78.481999999999999</v>
      </c>
      <c r="J260" s="6">
        <f>+H260-I260</f>
        <v>66.288738179999996</v>
      </c>
      <c r="K260" s="3" t="s">
        <v>1070</v>
      </c>
      <c r="L260" s="6">
        <f>+[136]Main!$K$3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+[137]Main!$J$5-[137]Main!$J$6</f>
        <v>115.78</v>
      </c>
      <c r="J261" s="8">
        <f t="shared" ref="J261" si="78">+H261-I261</f>
        <v>523.42965000000004</v>
      </c>
      <c r="K261" s="3" t="s">
        <v>1070</v>
      </c>
      <c r="L261" s="6">
        <f>+[137]Main!$J$3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6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6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6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6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6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6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6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6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6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6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6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7.86</v>
      </c>
      <c r="H283" s="6">
        <f>+G283*L283</f>
        <v>182.43356322000002</v>
      </c>
      <c r="I283" s="6">
        <f>+[138]Main!$M$5-[138]Main!$M$6</f>
        <v>19.337</v>
      </c>
      <c r="J283" s="6">
        <f>+H283-I283</f>
        <v>163.09656322000004</v>
      </c>
      <c r="K283" s="3" t="s">
        <v>1276</v>
      </c>
      <c r="L283" s="6">
        <f>+[138]Main!$M$3</f>
        <v>23.210377000000001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299" si="79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79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79"/>
        <v>338</v>
      </c>
      <c r="E295" t="s">
        <v>987</v>
      </c>
      <c r="F295" t="s">
        <v>988</v>
      </c>
    </row>
    <row r="296" spans="1:31" x14ac:dyDescent="0.25">
      <c r="A296" s="1" t="s">
        <v>333</v>
      </c>
      <c r="D296">
        <f>+D309+1</f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79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8" t="s">
        <v>333</v>
      </c>
      <c r="D298">
        <f t="shared" si="79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8" t="s">
        <v>333</v>
      </c>
      <c r="D299">
        <f t="shared" si="79"/>
        <v>343</v>
      </c>
      <c r="E299" t="s">
        <v>1975</v>
      </c>
      <c r="F299" t="s">
        <v>1976</v>
      </c>
    </row>
    <row r="300" spans="1:31" x14ac:dyDescent="0.25">
      <c r="A300" s="101" t="s">
        <v>333</v>
      </c>
      <c r="D300">
        <f>+D525+1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1" t="s">
        <v>333</v>
      </c>
      <c r="B301"/>
      <c r="C301"/>
      <c r="D301">
        <f>+D526+1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+[139]Main!$M$5-[139]Main!$M$6</f>
        <v>99.997</v>
      </c>
      <c r="J301" s="6">
        <f>+H301-I301</f>
        <v>488.73748214000005</v>
      </c>
      <c r="K301" s="3" t="s">
        <v>1070</v>
      </c>
      <c r="L301" s="6">
        <f>+[139]Main!$M$3</f>
        <v>44.567334000000002</v>
      </c>
      <c r="M301" s="9">
        <v>45568</v>
      </c>
    </row>
    <row r="302" spans="1:31" x14ac:dyDescent="0.25">
      <c r="A302" s="101" t="s">
        <v>333</v>
      </c>
      <c r="B302"/>
      <c r="C302"/>
      <c r="D302">
        <f t="shared" ref="D302:D319" si="80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+[140]Main!$K$5-[140]Main!$K$6</f>
        <v>174.27199999999999</v>
      </c>
      <c r="J302" s="6">
        <f>+H302-I302</f>
        <v>317.95222608</v>
      </c>
      <c r="K302" s="3" t="s">
        <v>1070</v>
      </c>
      <c r="L302" s="6">
        <f>+[140]Main!$K$3</f>
        <v>43.215471999999998</v>
      </c>
      <c r="M302" s="9">
        <v>45567</v>
      </c>
    </row>
    <row r="303" spans="1:31" x14ac:dyDescent="0.25">
      <c r="A303" s="101" t="s">
        <v>333</v>
      </c>
      <c r="D303">
        <f t="shared" si="80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[141]Main!$M$5-[141]Main!$M$6</f>
        <v>236.422</v>
      </c>
      <c r="J303" s="6">
        <f>H303-I303</f>
        <v>416.95678099999998</v>
      </c>
      <c r="L303" s="6">
        <f>[141]Main!$M$3</f>
        <v>19.799357000000001</v>
      </c>
      <c r="M303" s="9">
        <v>45063</v>
      </c>
      <c r="AE303" s="1">
        <v>2017</v>
      </c>
    </row>
    <row r="304" spans="1:31" x14ac:dyDescent="0.25">
      <c r="A304" s="101" t="s">
        <v>333</v>
      </c>
      <c r="B304"/>
      <c r="C304"/>
      <c r="D304">
        <f t="shared" si="80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+[142]Main!$K$5-[142]Main!$K$6</f>
        <v>280.24800000000005</v>
      </c>
      <c r="J304" s="6">
        <f>+H304-I304</f>
        <v>196.5992511</v>
      </c>
      <c r="K304" s="3" t="s">
        <v>1070</v>
      </c>
      <c r="L304" s="6">
        <f>+[142]Main!$K$3</f>
        <v>53.518210000000003</v>
      </c>
      <c r="M304" s="9">
        <v>45557</v>
      </c>
    </row>
    <row r="305" spans="1:31" x14ac:dyDescent="0.25">
      <c r="A305" s="101" t="s">
        <v>333</v>
      </c>
      <c r="D305">
        <f t="shared" si="80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+[143]Main!$J$5-[143]Main!$J$6</f>
        <v>69.49499999999999</v>
      </c>
      <c r="J305" s="6">
        <f>+H305-I305</f>
        <v>172.96200277999998</v>
      </c>
      <c r="K305" s="3" t="s">
        <v>1070</v>
      </c>
      <c r="L305" s="6">
        <f>+[143]Main!$J$3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80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+[144]Main!$K$5-[144]Main!$K$6</f>
        <v>29.36</v>
      </c>
      <c r="J306" s="6">
        <f>+H306-I306</f>
        <v>66.314332159999992</v>
      </c>
      <c r="K306" s="3" t="s">
        <v>1070</v>
      </c>
      <c r="L306" s="6">
        <f>+[144]Main!$K$3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80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+[145]Main!$L$5-[145]Main!$L$6</f>
        <v>33.298999999999999</v>
      </c>
      <c r="J307" s="6">
        <f>+H307-I307</f>
        <v>-3.1882702000000016</v>
      </c>
      <c r="K307" s="3" t="s">
        <v>1070</v>
      </c>
      <c r="L307" s="6">
        <f>+[145]Main!$L$3</f>
        <v>35.424388</v>
      </c>
      <c r="M307" s="9">
        <v>45558</v>
      </c>
    </row>
    <row r="308" spans="1:31" x14ac:dyDescent="0.25">
      <c r="D308">
        <f t="shared" si="80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[146]Main!$K$5-[146]Main!$K$6</f>
        <v>54.983000000000004</v>
      </c>
      <c r="J308" s="6">
        <f>H308-I308</f>
        <v>-42.469815400000002</v>
      </c>
      <c r="L308" s="6">
        <f>[146]Main!$K$3</f>
        <v>35.751956</v>
      </c>
      <c r="M308" s="9">
        <v>45063</v>
      </c>
    </row>
    <row r="309" spans="1:31" x14ac:dyDescent="0.25">
      <c r="A309" s="88" t="s">
        <v>333</v>
      </c>
      <c r="B309"/>
      <c r="C309"/>
      <c r="D309">
        <f>+D295+1</f>
        <v>339</v>
      </c>
      <c r="E309" s="5" t="s">
        <v>979</v>
      </c>
      <c r="F309" t="s">
        <v>980</v>
      </c>
      <c r="G309" s="7">
        <v>0.77</v>
      </c>
      <c r="H309" s="6">
        <f>+G309*L309</f>
        <v>143.29973966</v>
      </c>
      <c r="I309" s="6">
        <f>[147]Main!$I$5-[147]Main!$I$6</f>
        <v>220.65100000000001</v>
      </c>
      <c r="J309" s="6">
        <f>+H309-I309</f>
        <v>-77.35126034000001</v>
      </c>
      <c r="K309" s="3" t="s">
        <v>1843</v>
      </c>
      <c r="L309" s="6">
        <f>+[147]Main!$I$3</f>
        <v>186.10355799999999</v>
      </c>
      <c r="M309" s="9">
        <v>45810</v>
      </c>
    </row>
    <row r="310" spans="1:31" x14ac:dyDescent="0.25">
      <c r="A310" s="101" t="s">
        <v>333</v>
      </c>
      <c r="B310"/>
      <c r="C310"/>
      <c r="D310">
        <f>+D308+1</f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+[148]Main!$K$5-[148]Main!$K$6</f>
        <v>426.65000000000003</v>
      </c>
      <c r="J310" s="6">
        <f>+H310-I310</f>
        <v>-99.962968980000085</v>
      </c>
      <c r="K310" s="3" t="s">
        <v>1070</v>
      </c>
      <c r="L310" s="6">
        <f>+[148]Main!$K$3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0"/>
        <v>357</v>
      </c>
      <c r="E311" s="1" t="s">
        <v>588</v>
      </c>
      <c r="F311" s="1" t="s">
        <v>589</v>
      </c>
    </row>
    <row r="312" spans="1:31" x14ac:dyDescent="0.25">
      <c r="D312">
        <f t="shared" si="80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0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0"/>
        <v>360</v>
      </c>
      <c r="E314" s="1" t="s">
        <v>448</v>
      </c>
      <c r="F314" s="1" t="s">
        <v>661</v>
      </c>
    </row>
    <row r="315" spans="1:31" x14ac:dyDescent="0.25">
      <c r="D315">
        <f t="shared" si="80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0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0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0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0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1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1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1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1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1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1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1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1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1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1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1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1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1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1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1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1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1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1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1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1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1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2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2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2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2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2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[149]Main!$I$5-[149]Main!$I$6</f>
        <v>120.77500000000001</v>
      </c>
      <c r="J346" s="6">
        <f>H346-I346</f>
        <v>654.15985289000002</v>
      </c>
      <c r="K346" s="9" t="s">
        <v>1615</v>
      </c>
      <c r="L346" s="6">
        <f>[149]Main!$I$3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2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2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2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2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2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2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2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2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2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2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2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2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2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2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2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+[150]Main!$K$5-[150]Main!$K$6</f>
        <v>458.03099999999995</v>
      </c>
      <c r="J361" s="6">
        <f>+H361-I361</f>
        <v>267.94963252000002</v>
      </c>
      <c r="K361" s="3" t="s">
        <v>1276</v>
      </c>
      <c r="L361" s="6">
        <f>+[150]Main!$K$3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2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+[151]Main!$J$5-[151]Main!$J$6</f>
        <v>316.5809999999999</v>
      </c>
      <c r="J362" s="6">
        <f>+H362-I362</f>
        <v>-116.1096718199999</v>
      </c>
      <c r="K362" s="3" t="s">
        <v>1276</v>
      </c>
      <c r="L362" s="6">
        <f>+[151]Main!$J$3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2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2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2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2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2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2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+[152]Main!$L$5-[152]Main!$L$6</f>
        <v>130.75800000000001</v>
      </c>
      <c r="J369" s="6">
        <f>+H369-I369</f>
        <v>532.46289749999994</v>
      </c>
      <c r="K369" s="3" t="s">
        <v>1276</v>
      </c>
      <c r="L369" s="6">
        <f>+[152]Main!$L$3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2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+[153]Main!$K$5-[153]Main!$K$6</f>
        <v>151.51587699999999</v>
      </c>
      <c r="J370" s="6">
        <f>+H370-I370</f>
        <v>339.07961104000003</v>
      </c>
      <c r="K370" s="3" t="s">
        <v>1277</v>
      </c>
      <c r="L370" s="6">
        <f>+[153]Main!$K$3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2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2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2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2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2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2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2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+[154]Sheet1!$K$5-[154]Sheet1!$K$6</f>
        <v>134.916</v>
      </c>
      <c r="J377" s="6">
        <f>+H377-I377</f>
        <v>140.32320204000001</v>
      </c>
      <c r="K377" s="3" t="s">
        <v>1277</v>
      </c>
      <c r="L377" s="6">
        <f>[154]Sheet1!$K$3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2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2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2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2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2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2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2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2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2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3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3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3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3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3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3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3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+[155]Main!$M$5-[155]Main!$M$6</f>
        <v>159.095</v>
      </c>
      <c r="J401" s="6">
        <f>+H401-I401</f>
        <v>591.22676253999998</v>
      </c>
      <c r="K401" s="3" t="s">
        <v>1276</v>
      </c>
      <c r="L401" s="6">
        <f>+[155]Main!$M$3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+[156]Main!$L$5-[156]Main!$L$6</f>
        <v>40.720092000000001</v>
      </c>
      <c r="J402" s="6">
        <f>+H402-I402</f>
        <v>155.12821026</v>
      </c>
      <c r="K402" s="3" t="s">
        <v>1070</v>
      </c>
      <c r="L402" s="6">
        <f>+[156]Main!$L$3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3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+[157]Main!$M$5-[157]Main!$M$6</f>
        <v>195.3</v>
      </c>
      <c r="J403" s="6">
        <f>+H403-I403</f>
        <v>195.22399999999999</v>
      </c>
      <c r="K403" s="3" t="s">
        <v>1276</v>
      </c>
      <c r="L403" s="6">
        <f>+[157]Main!$M$3</f>
        <v>97.631</v>
      </c>
      <c r="M403" s="9">
        <v>45629</v>
      </c>
    </row>
    <row r="404" spans="1:13" x14ac:dyDescent="0.25">
      <c r="A404" s="88" t="s">
        <v>333</v>
      </c>
      <c r="D404">
        <f t="shared" si="83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+[158]Main!$M$5-[158]Main!$M$6</f>
        <v>1.9079999999999977</v>
      </c>
      <c r="J404" s="6">
        <f>+H404-I404</f>
        <v>144.23191650000004</v>
      </c>
      <c r="K404" s="3" t="s">
        <v>1276</v>
      </c>
      <c r="L404" s="6">
        <f>+[158]Main!$M$3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0.85</v>
      </c>
      <c r="H405" s="6">
        <f t="shared" ref="H405:H407" si="84">+G405*L405</f>
        <v>109.7945034</v>
      </c>
      <c r="I405" s="6">
        <f>+[159]Main!$L$5-[159]Main!$L$6</f>
        <v>65.116</v>
      </c>
      <c r="J405" s="6">
        <f t="shared" ref="J405:J407" si="85">+H405-I405</f>
        <v>44.678503399999997</v>
      </c>
      <c r="K405" s="3" t="s">
        <v>1843</v>
      </c>
      <c r="L405" s="6">
        <f>+[159]Main!$L$3</f>
        <v>129.17000400000001</v>
      </c>
      <c r="M405" s="9">
        <v>45810</v>
      </c>
    </row>
    <row r="406" spans="1:13" x14ac:dyDescent="0.25">
      <c r="A406" s="88" t="s">
        <v>333</v>
      </c>
      <c r="D406">
        <f t="shared" si="83"/>
        <v>488</v>
      </c>
      <c r="E406" s="5" t="s">
        <v>1095</v>
      </c>
      <c r="F406" t="s">
        <v>1096</v>
      </c>
      <c r="G406" s="7">
        <v>5</v>
      </c>
      <c r="H406" s="6">
        <f t="shared" si="84"/>
        <v>216.57198499999998</v>
      </c>
      <c r="I406" s="6">
        <f>+[160]Main!$J$5-[160]Main!$J$6</f>
        <v>104.35299999999999</v>
      </c>
      <c r="J406" s="6">
        <f t="shared" si="85"/>
        <v>112.21898499999999</v>
      </c>
      <c r="K406" s="3" t="s">
        <v>1070</v>
      </c>
      <c r="L406" s="6">
        <f>+[160]Main!$J$3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4"/>
        <v>4.1807902100000005</v>
      </c>
      <c r="I407" s="6">
        <f>+[161]Main!$P$5-[161]Main!$P$6</f>
        <v>-4.3319999999999999</v>
      </c>
      <c r="J407" s="6">
        <f t="shared" si="85"/>
        <v>8.5127902100000004</v>
      </c>
      <c r="K407" s="3" t="s">
        <v>1070</v>
      </c>
      <c r="L407" s="6">
        <f>+[161]Main!$P$3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+[162]Main!$L$5-[162]Main!$L$6</f>
        <v>371.02100000000002</v>
      </c>
      <c r="J408" s="6">
        <f>+H408-I408</f>
        <v>-43.821476000000018</v>
      </c>
      <c r="K408" s="3" t="s">
        <v>1070</v>
      </c>
      <c r="L408" s="6">
        <f>+[162]Main!$L$3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3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3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3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3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3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3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+[163]Main!$L$5-[163]Main!$L$6</f>
        <v>193.8</v>
      </c>
      <c r="J417" s="6">
        <f>+H417-I417</f>
        <v>846.76290000000017</v>
      </c>
      <c r="K417" s="3" t="s">
        <v>1276</v>
      </c>
      <c r="L417" s="6">
        <f>+[163]Main!$L$3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3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3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3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3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3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3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+[164]Main!$K$5-[164]Main!$K$6</f>
        <v>41.556999999999995</v>
      </c>
      <c r="J425" s="6">
        <f>+H425-I425</f>
        <v>18.899759240000009</v>
      </c>
      <c r="K425" s="3" t="s">
        <v>1277</v>
      </c>
      <c r="L425" s="6">
        <f>+[164]Main!$K$3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3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+[165]Main!$M$5-[165]Main!$M$6</f>
        <v>69.349000000000004</v>
      </c>
      <c r="J426" s="6">
        <f>+H426-I426</f>
        <v>-4.5698196999999965</v>
      </c>
      <c r="K426" s="3" t="s">
        <v>1276</v>
      </c>
      <c r="L426" s="6">
        <f>+[165]Main!$M$3</f>
        <v>119.961445</v>
      </c>
      <c r="M426" s="9">
        <v>45750</v>
      </c>
    </row>
    <row r="427" spans="1:13" x14ac:dyDescent="0.25">
      <c r="D427">
        <f t="shared" si="83"/>
        <v>532</v>
      </c>
      <c r="E427" s="1" t="s">
        <v>1795</v>
      </c>
      <c r="F427" t="s">
        <v>1796</v>
      </c>
    </row>
    <row r="428" spans="1:13" x14ac:dyDescent="0.25">
      <c r="D428">
        <f t="shared" si="83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3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3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+[166]Sheet1!$J$5-[166]Sheet1!$J$6</f>
        <v>62.05</v>
      </c>
      <c r="J430" s="6">
        <f>+H430-I430</f>
        <v>-43.693103549999996</v>
      </c>
      <c r="K430" s="3" t="s">
        <v>1277</v>
      </c>
      <c r="L430" s="6">
        <f>+[166]Sheet1!$J$3</f>
        <v>59.215795</v>
      </c>
      <c r="M430" s="9">
        <v>45763</v>
      </c>
    </row>
    <row r="431" spans="1:13" x14ac:dyDescent="0.25">
      <c r="D431">
        <f t="shared" ref="D431:D434" si="86">+D430+1</f>
        <v>536</v>
      </c>
      <c r="E431" s="5" t="s">
        <v>1295</v>
      </c>
      <c r="F431" t="s">
        <v>1296</v>
      </c>
      <c r="G431" s="7">
        <v>10</v>
      </c>
      <c r="H431" s="6">
        <f>+G431*[167]Main!$K$3</f>
        <v>1589.8400000000001</v>
      </c>
      <c r="I431" s="6">
        <f>+[167]Main!$K$5-[167]Main!$K$6</f>
        <v>371.63900000000001</v>
      </c>
      <c r="J431" s="6">
        <f>+H431-I431</f>
        <v>1218.201</v>
      </c>
      <c r="K431" s="3" t="s">
        <v>1070</v>
      </c>
      <c r="L431" s="6">
        <f>+[167]Main!$K$3</f>
        <v>158.98400000000001</v>
      </c>
      <c r="M431" s="9">
        <v>45600</v>
      </c>
    </row>
    <row r="432" spans="1:13" x14ac:dyDescent="0.25">
      <c r="D432">
        <f t="shared" si="86"/>
        <v>537</v>
      </c>
      <c r="E432" t="s">
        <v>1812</v>
      </c>
      <c r="F432" t="s">
        <v>1813</v>
      </c>
    </row>
    <row r="433" spans="1:30" x14ac:dyDescent="0.25">
      <c r="D433">
        <f t="shared" si="86"/>
        <v>538</v>
      </c>
      <c r="E433" s="1" t="s">
        <v>1839</v>
      </c>
      <c r="F433" s="1" t="s">
        <v>1840</v>
      </c>
    </row>
    <row r="434" spans="1:30" x14ac:dyDescent="0.25">
      <c r="D434">
        <f t="shared" si="86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+[168]Main!$J$5-[168]Main!$J$6</f>
        <v>149</v>
      </c>
      <c r="J435" s="29">
        <f>+H435-I435</f>
        <v>25.63324424000001</v>
      </c>
      <c r="K435" s="27" t="s">
        <v>1276</v>
      </c>
      <c r="L435" s="29">
        <f>+[168]Main!$J$3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7">+G453*L453</f>
        <v>181.33427843999999</v>
      </c>
      <c r="I453" s="6">
        <f>+[169]Main!$K$5-[169]Main!$K$6</f>
        <v>183.012</v>
      </c>
      <c r="J453" s="6">
        <f t="shared" ref="J453:J462" si="88">+H453-I453</f>
        <v>-1.677721560000009</v>
      </c>
      <c r="K453" s="3" t="s">
        <v>1276</v>
      </c>
      <c r="L453" s="6">
        <f>+[169]Main!$K$3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7"/>
        <v>132.55131599999999</v>
      </c>
      <c r="I454" s="6">
        <f>+[170]Main!$L$5-[170]Main!$L$6</f>
        <v>33.507724000000003</v>
      </c>
      <c r="J454" s="6">
        <f t="shared" si="88"/>
        <v>99.04359199999999</v>
      </c>
      <c r="K454" s="3" t="s">
        <v>1070</v>
      </c>
      <c r="L454" s="6">
        <f>+[170]Main!$L$3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7"/>
        <v>319.40466320000002</v>
      </c>
      <c r="I455" s="6">
        <f>+[171]Main!$K$5-[171]Main!$K$6</f>
        <v>199.59700000000001</v>
      </c>
      <c r="J455" s="6">
        <f t="shared" si="88"/>
        <v>119.80766320000001</v>
      </c>
      <c r="K455" s="3" t="s">
        <v>1276</v>
      </c>
      <c r="L455" s="6">
        <f>+[171]Main!$K$3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7"/>
        <v>108.43964851000001</v>
      </c>
      <c r="I456" s="6">
        <f>+[172]Main!$K$5-[172]Main!$K$6</f>
        <v>62.823</v>
      </c>
      <c r="J456" s="6">
        <f t="shared" si="88"/>
        <v>45.616648510000012</v>
      </c>
      <c r="K456" s="3" t="s">
        <v>1276</v>
      </c>
      <c r="L456" s="6">
        <f>+[172]Main!$K$3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7"/>
        <v>89.956825309999985</v>
      </c>
      <c r="I457" s="6">
        <f>+[173]Main!$K$5-[173]Main!$K$6</f>
        <v>5.4758170000000002</v>
      </c>
      <c r="J457" s="6">
        <f t="shared" si="88"/>
        <v>84.481008309999979</v>
      </c>
      <c r="K457" s="3" t="s">
        <v>1276</v>
      </c>
      <c r="L457" s="6">
        <f>+[173]Main!$K$3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7"/>
        <v>103.2980316</v>
      </c>
      <c r="I458" s="6">
        <f>+[174]Main!$L$5-[174]Main!$L$6</f>
        <v>59.1</v>
      </c>
      <c r="J458" s="6">
        <f t="shared" si="88"/>
        <v>44.1980316</v>
      </c>
      <c r="K458" s="3" t="s">
        <v>1276</v>
      </c>
      <c r="L458" s="6">
        <f>+[174]Main!$L$3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7"/>
        <v>226.21900856999997</v>
      </c>
      <c r="I459" s="6">
        <f>+[175]Main!$K$5-[175]Main!$K$6</f>
        <v>98.310918000000001</v>
      </c>
      <c r="J459" s="6">
        <f t="shared" si="88"/>
        <v>127.90809056999997</v>
      </c>
      <c r="K459" s="3" t="s">
        <v>1276</v>
      </c>
      <c r="L459" s="6">
        <f>+[175]Main!$K$3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7"/>
        <v>518.07807479999997</v>
      </c>
      <c r="I460" s="6">
        <f>+[176]Main!$K$5-[176]Main!$K$6</f>
        <v>89.078000000000003</v>
      </c>
      <c r="J460" s="6">
        <f t="shared" si="88"/>
        <v>429.00007479999999</v>
      </c>
      <c r="K460" s="3" t="s">
        <v>1276</v>
      </c>
      <c r="L460" s="6">
        <f>+[176]Main!$K$3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7"/>
        <v>295.11496187999995</v>
      </c>
      <c r="I461" s="6">
        <f>+[177]Main!$K$5-[177]Main!$K$6</f>
        <v>15.414999999999999</v>
      </c>
      <c r="J461" s="6">
        <f t="shared" si="88"/>
        <v>279.69996187999993</v>
      </c>
      <c r="K461" s="3" t="s">
        <v>1070</v>
      </c>
      <c r="L461" s="6">
        <f>+[177]Main!$K$3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7"/>
        <v>164.43598150000003</v>
      </c>
      <c r="I462" s="6">
        <f>+[178]Main!$K$5-[178]Main!$K$6</f>
        <v>-77.494</v>
      </c>
      <c r="J462" s="6">
        <f t="shared" si="88"/>
        <v>241.92998150000003</v>
      </c>
      <c r="K462" s="3" t="s">
        <v>1276</v>
      </c>
      <c r="L462" s="6">
        <f>+[178]Main!$K$3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89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89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89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89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89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89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89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89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G493*[179]Main!$L$3</f>
        <v>587.26396075999992</v>
      </c>
      <c r="I493" s="6">
        <f>[179]Main!$L$5-[179]Main!$L$6</f>
        <v>277.88299999999998</v>
      </c>
      <c r="J493" s="8">
        <f t="shared" ref="J493:J499" si="90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+[180]Main!$N$5-[180]Main!$N$6</f>
        <v>-7.4640000000000004</v>
      </c>
      <c r="J494" s="6">
        <f t="shared" si="90"/>
        <v>37.871559149999996</v>
      </c>
      <c r="K494" s="3" t="s">
        <v>300</v>
      </c>
      <c r="L494" s="6">
        <f>+[180]Main!$N$3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G495*[181]Main!$N$3</f>
        <v>39.757463459999997</v>
      </c>
      <c r="I495" s="6">
        <f>[181]Main!$N$5-[181]Main!$N$6</f>
        <v>15.942</v>
      </c>
      <c r="J495" s="8">
        <f t="shared" si="90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G496*[182]Main!$L$3</f>
        <v>30.1881658</v>
      </c>
      <c r="I496" s="6">
        <f>[182]Main!$L$5-[182]Main!$L$6</f>
        <v>13.262999999999998</v>
      </c>
      <c r="J496" s="8">
        <f t="shared" si="90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0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0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+[183]Main!$K$5-[183]Main!$K$6</f>
        <v>136.64599999999999</v>
      </c>
      <c r="J499" s="6">
        <f t="shared" si="90"/>
        <v>-79.969639999999998</v>
      </c>
      <c r="K499" s="3" t="s">
        <v>1070</v>
      </c>
      <c r="L499" s="6">
        <f>+[183]Main!$K$3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+[184]Main!$J$5-[184]Main!$J$6</f>
        <v>220.43200000000002</v>
      </c>
      <c r="J519" s="6">
        <f>+H519-I519</f>
        <v>68.848002419999943</v>
      </c>
      <c r="K519" s="3" t="s">
        <v>1070</v>
      </c>
      <c r="L519" s="6">
        <f>+[184]Main!$J$3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+D299+1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+D300+1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+D227+1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+[185]Main!$L$5-[185]Main!$L$6</f>
        <v>122.197</v>
      </c>
      <c r="J542" s="6">
        <f>+H542-I542</f>
        <v>841.36321369000007</v>
      </c>
      <c r="K542" s="3" t="s">
        <v>1070</v>
      </c>
      <c r="L542" s="6">
        <f>+[185]Main!$L$3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+[186]Main!$J$5-[186]Main!$J$6</f>
        <v>601.58999999999992</v>
      </c>
      <c r="J543" s="6">
        <f>+H543-I543</f>
        <v>295.5923366400001</v>
      </c>
      <c r="K543" s="3" t="s">
        <v>16</v>
      </c>
      <c r="L543" s="6">
        <f>+[186]Main!$J$3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+D224+1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+[187]Main!$L$5-[187]Main!$L$6</f>
        <v>24.916284999999998</v>
      </c>
      <c r="J544" s="6">
        <f>+H544-I544</f>
        <v>64.377906199999984</v>
      </c>
      <c r="K544" s="3" t="s">
        <v>1276</v>
      </c>
      <c r="L544" s="6">
        <f>+[187]Main!$L$3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+[188]Main!$K$5-[188]Main!$K$6</f>
        <v>449.76100000000002</v>
      </c>
      <c r="J545" s="6">
        <f>+H545-I545</f>
        <v>905.63941124999997</v>
      </c>
      <c r="K545" s="3" t="s">
        <v>418</v>
      </c>
      <c r="L545" s="6">
        <f>+[188]Main!$K$3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G550*[189]Main!$M$3</f>
        <v>128.9392503</v>
      </c>
      <c r="I550" s="6">
        <f>[189]Main!$M$5-[189]Main!$M$6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13" r:id="rId33" xr:uid="{5FF32E6A-C6C7-4793-8271-BD230B9C7641}"/>
    <hyperlink ref="E74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1" r:id="rId78" xr:uid="{ADF59BEC-B8D8-4144-ADEB-041425B69409}"/>
    <hyperlink ref="E308" r:id="rId79" xr:uid="{69AB4316-2FED-44FC-B108-3CD00D6F57B9}"/>
    <hyperlink ref="E303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5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6" r:id="rId111" xr:uid="{C5AE6E9D-13C3-40F4-80F9-EB86590BF332}"/>
    <hyperlink ref="E227" r:id="rId112" xr:uid="{47C928EF-242B-4B5F-9296-FA878004232C}"/>
    <hyperlink ref="E358" r:id="rId113" xr:uid="{B0C9190D-D136-462D-B004-BE374B10A4F0}"/>
    <hyperlink ref="E86" r:id="rId114" xr:uid="{1C0EAF20-C59C-4E14-90E0-E67EED291627}"/>
    <hyperlink ref="E304" r:id="rId115" xr:uid="{820E74E5-32AF-43AF-A75C-37305E58D952}"/>
    <hyperlink ref="E93" r:id="rId116" xr:uid="{4A53B476-D8D4-4433-B5B3-B626DD5ECAA5}"/>
    <hyperlink ref="E307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2" r:id="rId132" xr:uid="{F79A5FA4-445D-4428-8347-8E6CA8EBA325}"/>
    <hyperlink ref="E454" r:id="rId133" xr:uid="{C5162717-DEF1-45A6-BAF5-F5909C72945C}"/>
    <hyperlink ref="E542" r:id="rId134" xr:uid="{DCA25E80-5EA2-4E2F-B5AD-7E00734C912A}"/>
    <hyperlink ref="E301" r:id="rId135" xr:uid="{6E543356-A92B-4C40-A4D8-0039FD9CF30E}"/>
    <hyperlink ref="E230" r:id="rId136" xr:uid="{18B5F0EF-CE16-458F-B2EC-C055E9592268}"/>
    <hyperlink ref="E228" r:id="rId137" xr:uid="{8452EEB1-E3C6-4709-93A8-E45683AE4BD4}"/>
    <hyperlink ref="E78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  <hyperlink ref="E201" r:id="rId214" xr:uid="{D2FE86B3-4852-4B36-A676-E4C0EAECF9DF}"/>
    <hyperlink ref="E309" r:id="rId215" xr:uid="{27C76475-566F-4D32-9C1A-13CA8106D463}"/>
  </hyperlinks>
  <pageMargins left="0.7" right="0.7" top="0.75" bottom="0.75" header="0.3" footer="0.3"/>
  <pageSetup paperSize="9" orientation="portrait" r:id="rId216"/>
  <legacy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D121">
        <f>+Main!D544+1</f>
        <v>215</v>
      </c>
      <c r="E121" s="95" t="s">
        <v>949</v>
      </c>
      <c r="F121" s="94" t="s">
        <v>950</v>
      </c>
      <c r="G121" s="96">
        <v>33.89</v>
      </c>
      <c r="H121" s="97">
        <f>+G121*L121</f>
        <v>1318.30476669</v>
      </c>
      <c r="I121" s="97">
        <f>+[192]Main!$K$5-[192]Main!$K$6</f>
        <v>304.87299999999999</v>
      </c>
      <c r="J121" s="97">
        <f>+H121-I121</f>
        <v>1013.4317666899999</v>
      </c>
      <c r="K121" s="96" t="s">
        <v>1070</v>
      </c>
      <c r="L121" s="97">
        <f>+[192]Main!$K$3</f>
        <v>38.899521</v>
      </c>
      <c r="M121" s="98">
        <v>45558</v>
      </c>
      <c r="N121" s="96"/>
      <c r="O121" s="96"/>
      <c r="P121" s="96"/>
      <c r="Q121" s="96"/>
      <c r="R121" s="96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2025-06-06T03:57:43Z</dcterms:modified>
</cp:coreProperties>
</file>