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rtin Shkreli - DL\models\"/>
    </mc:Choice>
  </mc:AlternateContent>
  <xr:revisionPtr revIDLastSave="0" documentId="13_ncr:1_{5BAF2180-72DB-4DE7-A1E8-9F0EEEBDD4B9}" xr6:coauthVersionLast="47" xr6:coauthVersionMax="47" xr10:uidLastSave="{00000000-0000-0000-0000-000000000000}"/>
  <bookViews>
    <workbookView xWindow="56470" yWindow="4650" windowWidth="18350" windowHeight="15420" activeTab="1" xr2:uid="{7988AE19-931E-46C1-9F7B-A4A68F0CA97C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8" i="2" l="1"/>
  <c r="O29" i="2"/>
  <c r="O27" i="2"/>
  <c r="O21" i="2"/>
  <c r="Z4" i="2"/>
  <c r="S4" i="2"/>
  <c r="R4" i="2"/>
  <c r="Q4" i="2"/>
  <c r="P4" i="2"/>
  <c r="P19" i="2" s="1"/>
  <c r="S19" i="2"/>
  <c r="R19" i="2"/>
  <c r="Q19" i="2"/>
  <c r="S18" i="2"/>
  <c r="R18" i="2"/>
  <c r="Q18" i="2"/>
  <c r="P18" i="2"/>
  <c r="O43" i="2"/>
  <c r="O42" i="2"/>
  <c r="O41" i="2"/>
  <c r="O13" i="2"/>
  <c r="O9" i="2"/>
  <c r="O6" i="2"/>
  <c r="O8" i="2" s="1"/>
  <c r="Y7" i="2"/>
  <c r="Y4" i="2"/>
  <c r="Y6" i="2" s="1"/>
  <c r="Y8" i="2" s="1"/>
  <c r="Y10" i="2" s="1"/>
  <c r="Y11" i="2" s="1"/>
  <c r="L9" i="2"/>
  <c r="N9" i="2"/>
  <c r="K43" i="2"/>
  <c r="K42" i="2"/>
  <c r="K41" i="2"/>
  <c r="N43" i="2"/>
  <c r="M43" i="2"/>
  <c r="L43" i="2"/>
  <c r="H43" i="2"/>
  <c r="O18" i="2"/>
  <c r="S2" i="2"/>
  <c r="R2" i="2"/>
  <c r="Q2" i="2"/>
  <c r="P2" i="2"/>
  <c r="I42" i="2"/>
  <c r="J42" i="2" s="1"/>
  <c r="I41" i="2"/>
  <c r="J41" i="2" s="1"/>
  <c r="J43" i="2" s="1"/>
  <c r="M42" i="2"/>
  <c r="M41" i="2"/>
  <c r="N41" i="2" s="1"/>
  <c r="M6" i="2"/>
  <c r="M19" i="2" s="1"/>
  <c r="N42" i="2"/>
  <c r="N31" i="2"/>
  <c r="N38" i="2" s="1"/>
  <c r="N27" i="2"/>
  <c r="N29" i="2" s="1"/>
  <c r="N6" i="2"/>
  <c r="N19" i="2" s="1"/>
  <c r="N18" i="2"/>
  <c r="M18" i="2"/>
  <c r="N2" i="2"/>
  <c r="M2" i="2"/>
  <c r="Y14" i="2"/>
  <c r="Z14" i="2" s="1"/>
  <c r="AA14" i="2" s="1"/>
  <c r="Z7" i="2"/>
  <c r="Y2" i="2"/>
  <c r="Z2" i="2" s="1"/>
  <c r="AA2" i="2" s="1"/>
  <c r="H18" i="2"/>
  <c r="D9" i="2"/>
  <c r="D6" i="2"/>
  <c r="D19" i="2" s="1"/>
  <c r="G14" i="2"/>
  <c r="G11" i="2"/>
  <c r="G7" i="2"/>
  <c r="G5" i="2"/>
  <c r="G4" i="2"/>
  <c r="K14" i="2"/>
  <c r="K11" i="2"/>
  <c r="K7" i="2"/>
  <c r="K5" i="2"/>
  <c r="K4" i="2"/>
  <c r="K18" i="2" s="1"/>
  <c r="E9" i="2"/>
  <c r="I18" i="2"/>
  <c r="E6" i="2"/>
  <c r="E8" i="2" s="1"/>
  <c r="I9" i="2"/>
  <c r="I6" i="2"/>
  <c r="I19" i="2" s="1"/>
  <c r="J18" i="2"/>
  <c r="F9" i="2"/>
  <c r="F6" i="2"/>
  <c r="F8" i="2" s="1"/>
  <c r="J9" i="2"/>
  <c r="J6" i="2"/>
  <c r="J19" i="2" s="1"/>
  <c r="V9" i="2"/>
  <c r="W9" i="2"/>
  <c r="X9" i="2"/>
  <c r="Y9" i="2" s="1"/>
  <c r="Z9" i="2" s="1"/>
  <c r="AA9" i="2" s="1"/>
  <c r="V6" i="2"/>
  <c r="V8" i="2" s="1"/>
  <c r="W6" i="2"/>
  <c r="W8" i="2" s="1"/>
  <c r="X6" i="2"/>
  <c r="X8" i="2" s="1"/>
  <c r="W18" i="2"/>
  <c r="X18" i="2"/>
  <c r="L18" i="2"/>
  <c r="H9" i="2"/>
  <c r="H6" i="2"/>
  <c r="H8" i="2" s="1"/>
  <c r="H10" i="2" s="1"/>
  <c r="H12" i="2" s="1"/>
  <c r="H13" i="2" s="1"/>
  <c r="L6" i="2"/>
  <c r="L8" i="2" s="1"/>
  <c r="K4" i="1"/>
  <c r="K7" i="1" s="1"/>
  <c r="O10" i="2" l="1"/>
  <c r="O12" i="2"/>
  <c r="O19" i="2"/>
  <c r="I43" i="2"/>
  <c r="M8" i="2"/>
  <c r="M10" i="2" s="1"/>
  <c r="M12" i="2" s="1"/>
  <c r="M13" i="2" s="1"/>
  <c r="N21" i="2"/>
  <c r="I8" i="2"/>
  <c r="I10" i="2" s="1"/>
  <c r="I12" i="2" s="1"/>
  <c r="I13" i="2" s="1"/>
  <c r="N8" i="2"/>
  <c r="N10" i="2" s="1"/>
  <c r="N12" i="2" s="1"/>
  <c r="N13" i="2" s="1"/>
  <c r="W10" i="2"/>
  <c r="W12" i="2" s="1"/>
  <c r="W13" i="2" s="1"/>
  <c r="V10" i="2"/>
  <c r="V12" i="2" s="1"/>
  <c r="V13" i="2" s="1"/>
  <c r="V19" i="2"/>
  <c r="W19" i="2"/>
  <c r="K9" i="2"/>
  <c r="X19" i="2"/>
  <c r="G9" i="2"/>
  <c r="Y12" i="2"/>
  <c r="Y13" i="2" s="1"/>
  <c r="Y19" i="2"/>
  <c r="AA7" i="2"/>
  <c r="K6" i="2"/>
  <c r="L19" i="2"/>
  <c r="J8" i="2"/>
  <c r="J10" i="2" s="1"/>
  <c r="J12" i="2" s="1"/>
  <c r="J13" i="2" s="1"/>
  <c r="H19" i="2"/>
  <c r="F19" i="2"/>
  <c r="X10" i="2"/>
  <c r="X12" i="2" s="1"/>
  <c r="X13" i="2" s="1"/>
  <c r="Y18" i="2"/>
  <c r="Z6" i="2"/>
  <c r="Y5" i="2"/>
  <c r="G6" i="2"/>
  <c r="G19" i="2" s="1"/>
  <c r="G8" i="2"/>
  <c r="D8" i="2"/>
  <c r="D10" i="2" s="1"/>
  <c r="D12" i="2" s="1"/>
  <c r="D13" i="2" s="1"/>
  <c r="E10" i="2"/>
  <c r="E12" i="2" s="1"/>
  <c r="E13" i="2" s="1"/>
  <c r="E19" i="2"/>
  <c r="F10" i="2"/>
  <c r="F12" i="2" s="1"/>
  <c r="F13" i="2" s="1"/>
  <c r="L10" i="2"/>
  <c r="L12" i="2" s="1"/>
  <c r="L13" i="2" s="1"/>
  <c r="G10" i="2" l="1"/>
  <c r="G12" i="2" s="1"/>
  <c r="G13" i="2" s="1"/>
  <c r="Z19" i="2"/>
  <c r="Z18" i="2"/>
  <c r="AA4" i="2"/>
  <c r="K19" i="2"/>
  <c r="K8" i="2"/>
  <c r="K10" i="2" s="1"/>
  <c r="K12" i="2" s="1"/>
  <c r="K13" i="2" s="1"/>
  <c r="Z8" i="2"/>
  <c r="Z10" i="2" s="1"/>
  <c r="Z5" i="2"/>
  <c r="Z11" i="2" l="1"/>
  <c r="Z12" i="2"/>
  <c r="Z13" i="2" s="1"/>
  <c r="AA18" i="2"/>
  <c r="AA6" i="2"/>
  <c r="AA5" i="2"/>
  <c r="AA19" i="2" l="1"/>
  <c r="AA8" i="2"/>
  <c r="AA10" i="2" s="1"/>
  <c r="AA11" i="2" l="1"/>
  <c r="AA12" i="2" s="1"/>
  <c r="AA13" i="2" s="1"/>
</calcChain>
</file>

<file path=xl/sharedStrings.xml><?xml version="1.0" encoding="utf-8"?>
<sst xmlns="http://schemas.openxmlformats.org/spreadsheetml/2006/main" count="57" uniqueCount="51">
  <si>
    <t>Price</t>
  </si>
  <si>
    <t>Shares</t>
  </si>
  <si>
    <t>MC</t>
  </si>
  <si>
    <t>Cash</t>
  </si>
  <si>
    <t>Debt</t>
  </si>
  <si>
    <t>EV</t>
  </si>
  <si>
    <t>Main</t>
  </si>
  <si>
    <t>Revenue</t>
  </si>
  <si>
    <t>EPS</t>
  </si>
  <si>
    <t>COGS</t>
  </si>
  <si>
    <t>Gross Profit</t>
  </si>
  <si>
    <t>SG&amp;A</t>
  </si>
  <si>
    <t>Operating Income</t>
  </si>
  <si>
    <t>Other Income</t>
  </si>
  <si>
    <t>Pretax Income</t>
  </si>
  <si>
    <t>Taxes</t>
  </si>
  <si>
    <t>Net Income</t>
  </si>
  <si>
    <t>Revenue y/y</t>
  </si>
  <si>
    <t>Gross Margin</t>
  </si>
  <si>
    <t>FQ325</t>
  </si>
  <si>
    <t>FQ225</t>
  </si>
  <si>
    <t>FQ125</t>
  </si>
  <si>
    <t>FQ424</t>
  </si>
  <si>
    <t>FQ324</t>
  </si>
  <si>
    <t>FQ224</t>
  </si>
  <si>
    <t>FQ124</t>
  </si>
  <si>
    <t>FQ423</t>
  </si>
  <si>
    <t>FQ323</t>
  </si>
  <si>
    <t>FQ223</t>
  </si>
  <si>
    <t>FQ123</t>
  </si>
  <si>
    <t>Assets</t>
  </si>
  <si>
    <t>Other</t>
  </si>
  <si>
    <t>Goodwill</t>
  </si>
  <si>
    <t>PP&amp;E</t>
  </si>
  <si>
    <t>AR</t>
  </si>
  <si>
    <t>Inventory</t>
  </si>
  <si>
    <t>Prepaids</t>
  </si>
  <si>
    <t>AP</t>
  </si>
  <si>
    <t>AE</t>
  </si>
  <si>
    <t>L+SE</t>
  </si>
  <si>
    <t>SE</t>
  </si>
  <si>
    <t>OLTL</t>
  </si>
  <si>
    <t>Leases</t>
  </si>
  <si>
    <t>Net Cash</t>
  </si>
  <si>
    <t>CFFO</t>
  </si>
  <si>
    <t>FQ425</t>
  </si>
  <si>
    <t>FQ126</t>
  </si>
  <si>
    <t>FQ226</t>
  </si>
  <si>
    <t>FQ326</t>
  </si>
  <si>
    <t>FQ426</t>
  </si>
  <si>
    <t>Q125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</si>
</sst>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m/d/yy;@"/>
  </numFmts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3" fontId="0" fillId="0" borderId="0" xfId="0" applyNumberFormat="1"/>
    <xf numFmtId="4" fontId="0" fillId="0" borderId="0" xfId="0" applyNumberFormat="1"/>
    <xf numFmtId="0" fontId="0" fillId="0" borderId="0" xfId="0" applyAlignment="1">
      <alignment horizontal="right"/>
    </xf>
    <xf numFmtId="4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0" fontId="2" fillId="0" borderId="0" xfId="1"/>
    <xf numFmtId="9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164" fontId="2" fillId="0" borderId="0" xfId="1" applyNumberFormat="1"/>
    <xf numFmtId="164" fontId="0" fillId="0" borderId="0" xfId="0" applyNumberFormat="1"/>
    <xf numFmtId="164" fontId="0" fillId="0" borderId="0" xfId="0" applyNumberFormat="1" applyAlignment="1">
      <alignment horizontal="right"/>
    </xf>
    <xf numFmtId="0" fontId="1" fillId="0" borderId="0" xfId="0" applyFont="1"/>
    <xf numFmtId="0" fontId="1" fillId="0" borderId="0" xfId="0" applyFont="1" applyAlignment="1">
      <alignment horizontal="right"/>
    </xf>
    <xf numFmtId="9" fontId="1" fillId="0" borderId="0" xfId="0" applyNumberFormat="1" applyFont="1" applyAlignment="1">
      <alignment horizontal="right"/>
    </xf>
    <xf numFmtId="9" fontId="1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BDC00CF7-0AF4-4D10-AA3E-2525D7B9D057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60141</xdr:colOff>
      <xdr:row>0</xdr:row>
      <xdr:rowOff>146745</xdr:rowOff>
    </xdr:from>
    <xdr:to>
      <xdr:col>15</xdr:col>
      <xdr:colOff>60141</xdr:colOff>
      <xdr:row>54</xdr:row>
      <xdr:rowOff>154864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6330F76D-3549-A724-0B3D-9E56B0856F42}"/>
            </a:ext>
          </a:extLst>
        </xdr:cNvPr>
        <xdr:cNvCxnSpPr/>
      </xdr:nvCxnSpPr>
      <xdr:spPr>
        <a:xfrm>
          <a:off x="10044295" y="146745"/>
          <a:ext cx="0" cy="8722273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A0C23-8A45-4AD5-84F8-B9FD268666C7}">
  <dimension ref="J2:L7"/>
  <sheetViews>
    <sheetView zoomScale="145" zoomScaleNormal="145" workbookViewId="0"/>
  </sheetViews>
  <sheetFormatPr defaultRowHeight="12.5" x14ac:dyDescent="0.25"/>
  <sheetData>
    <row r="2" spans="10:12" x14ac:dyDescent="0.25">
      <c r="J2" t="s">
        <v>0</v>
      </c>
      <c r="K2" s="2">
        <v>113</v>
      </c>
    </row>
    <row r="3" spans="10:12" x14ac:dyDescent="0.25">
      <c r="J3" t="s">
        <v>1</v>
      </c>
      <c r="K3" s="1">
        <v>57.980746000000003</v>
      </c>
      <c r="L3" s="3" t="s">
        <v>50</v>
      </c>
    </row>
    <row r="4" spans="10:12" x14ac:dyDescent="0.25">
      <c r="J4" t="s">
        <v>2</v>
      </c>
      <c r="K4" s="1">
        <f>+K2*K3</f>
        <v>6551.8242980000005</v>
      </c>
    </row>
    <row r="5" spans="10:12" x14ac:dyDescent="0.25">
      <c r="J5" t="s">
        <v>3</v>
      </c>
      <c r="K5" s="1">
        <v>148.69999999999999</v>
      </c>
      <c r="L5" s="3" t="s">
        <v>50</v>
      </c>
    </row>
    <row r="6" spans="10:12" x14ac:dyDescent="0.25">
      <c r="J6" t="s">
        <v>4</v>
      </c>
      <c r="K6" s="1">
        <v>256.7</v>
      </c>
      <c r="L6" s="3" t="s">
        <v>50</v>
      </c>
    </row>
    <row r="7" spans="10:12" x14ac:dyDescent="0.25">
      <c r="J7" t="s">
        <v>5</v>
      </c>
      <c r="K7" s="1">
        <f>+K4-K5+K6</f>
        <v>6659.8242980000005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30304-5E2A-4FC8-B00C-C183E2A51B89}">
  <dimension ref="A1:AA43"/>
  <sheetViews>
    <sheetView tabSelected="1" zoomScale="130" zoomScaleNormal="130" workbookViewId="0">
      <pane xSplit="2" ySplit="3" topLeftCell="K16" activePane="bottomRight" state="frozen"/>
      <selection pane="topRight" activeCell="C1" sqref="C1"/>
      <selection pane="bottomLeft" activeCell="A3" sqref="A3"/>
      <selection pane="bottomRight" activeCell="O16" sqref="O16"/>
    </sheetView>
  </sheetViews>
  <sheetFormatPr defaultRowHeight="12.5" x14ac:dyDescent="0.25"/>
  <cols>
    <col min="1" max="1" width="5" bestFit="1" customWidth="1"/>
    <col min="2" max="2" width="15.7265625" bestFit="1" customWidth="1"/>
    <col min="3" max="3" width="9.1796875" style="3"/>
    <col min="4" max="14" width="9.453125" style="3" customWidth="1"/>
    <col min="15" max="20" width="9.1796875" style="3"/>
  </cols>
  <sheetData>
    <row r="1" spans="1:27" x14ac:dyDescent="0.25">
      <c r="A1" s="6" t="s">
        <v>6</v>
      </c>
    </row>
    <row r="2" spans="1:27" s="11" customFormat="1" x14ac:dyDescent="0.25">
      <c r="A2" s="10"/>
      <c r="C2" s="12"/>
      <c r="D2" s="12">
        <v>44742</v>
      </c>
      <c r="E2" s="12">
        <v>44834</v>
      </c>
      <c r="F2" s="12">
        <v>44926</v>
      </c>
      <c r="G2" s="12">
        <v>45016</v>
      </c>
      <c r="H2" s="12">
        <v>45107</v>
      </c>
      <c r="I2" s="12">
        <v>45199</v>
      </c>
      <c r="J2" s="12">
        <v>45291</v>
      </c>
      <c r="K2" s="12">
        <v>45382</v>
      </c>
      <c r="L2" s="12">
        <v>45473</v>
      </c>
      <c r="M2" s="12">
        <f>+I2+366</f>
        <v>45565</v>
      </c>
      <c r="N2" s="12">
        <f>+J2+366</f>
        <v>45657</v>
      </c>
      <c r="O2" s="12">
        <v>45747</v>
      </c>
      <c r="P2" s="12">
        <f>+L2+365</f>
        <v>45838</v>
      </c>
      <c r="Q2" s="12">
        <f>+M2+365</f>
        <v>45930</v>
      </c>
      <c r="R2" s="12">
        <f>+N2+365</f>
        <v>46022</v>
      </c>
      <c r="S2" s="12">
        <f>+O2+365</f>
        <v>46112</v>
      </c>
      <c r="T2" s="12"/>
      <c r="V2" s="11">
        <v>44651</v>
      </c>
      <c r="W2" s="11">
        <v>45016</v>
      </c>
      <c r="X2" s="11">
        <v>45382</v>
      </c>
      <c r="Y2" s="11">
        <f>+X2+365</f>
        <v>45747</v>
      </c>
      <c r="Z2" s="11">
        <f>+Y2+365</f>
        <v>46112</v>
      </c>
      <c r="AA2" s="11">
        <f>+Z2+365</f>
        <v>46477</v>
      </c>
    </row>
    <row r="3" spans="1:27" x14ac:dyDescent="0.25">
      <c r="D3" s="3" t="s">
        <v>29</v>
      </c>
      <c r="E3" s="3" t="s">
        <v>28</v>
      </c>
      <c r="F3" s="3" t="s">
        <v>27</v>
      </c>
      <c r="G3" s="3" t="s">
        <v>26</v>
      </c>
      <c r="H3" s="3" t="s">
        <v>25</v>
      </c>
      <c r="I3" s="3" t="s">
        <v>24</v>
      </c>
      <c r="J3" s="3" t="s">
        <v>23</v>
      </c>
      <c r="K3" s="3" t="s">
        <v>22</v>
      </c>
      <c r="L3" s="3" t="s">
        <v>21</v>
      </c>
      <c r="M3" s="3" t="s">
        <v>20</v>
      </c>
      <c r="N3" s="3" t="s">
        <v>19</v>
      </c>
      <c r="O3" s="3" t="s">
        <v>45</v>
      </c>
      <c r="P3" s="3" t="s">
        <v>46</v>
      </c>
      <c r="Q3" s="3" t="s">
        <v>47</v>
      </c>
      <c r="R3" s="3" t="s">
        <v>48</v>
      </c>
      <c r="S3" s="3" t="s">
        <v>49</v>
      </c>
    </row>
    <row r="4" spans="1:27" s="8" customFormat="1" ht="13" x14ac:dyDescent="0.3">
      <c r="B4" s="8" t="s">
        <v>7</v>
      </c>
      <c r="C4" s="9"/>
      <c r="D4" s="9">
        <v>122.601</v>
      </c>
      <c r="E4" s="9">
        <v>122.349</v>
      </c>
      <c r="F4" s="9">
        <v>146.53700000000001</v>
      </c>
      <c r="G4" s="9">
        <f>+W4-F4-E4-D4</f>
        <v>187.35700000000003</v>
      </c>
      <c r="H4" s="9">
        <v>216.339</v>
      </c>
      <c r="I4" s="9">
        <v>215.50700000000001</v>
      </c>
      <c r="J4" s="9">
        <v>270.94299999999998</v>
      </c>
      <c r="K4" s="9">
        <f>+X4-J4-I4-H4</f>
        <v>321.14299999999997</v>
      </c>
      <c r="L4" s="9">
        <v>324.47699999999998</v>
      </c>
      <c r="M4" s="9">
        <v>301.07499999999999</v>
      </c>
      <c r="N4" s="9">
        <v>355.3</v>
      </c>
      <c r="O4" s="9">
        <v>332.64499999999998</v>
      </c>
      <c r="P4" s="9">
        <f>+L4*1.2</f>
        <v>389.37239999999997</v>
      </c>
      <c r="Q4" s="9">
        <f>+M4*1.2</f>
        <v>361.28999999999996</v>
      </c>
      <c r="R4" s="9">
        <f>+N4*1.2</f>
        <v>426.36</v>
      </c>
      <c r="S4" s="9">
        <f>+O4*1.2</f>
        <v>399.17399999999998</v>
      </c>
      <c r="T4" s="9"/>
      <c r="V4" s="8">
        <v>392.15499999999997</v>
      </c>
      <c r="W4" s="8">
        <v>578.84400000000005</v>
      </c>
      <c r="X4" s="8">
        <v>1023.932</v>
      </c>
      <c r="Y4" s="8">
        <f>SUM(L4:O4)</f>
        <v>1313.4969999999998</v>
      </c>
      <c r="Z4" s="8">
        <f>SUM(P4:S4)</f>
        <v>1576.1963999999998</v>
      </c>
      <c r="AA4" s="8">
        <f>+Z4*1.25</f>
        <v>1970.2454999999998</v>
      </c>
    </row>
    <row r="5" spans="1:27" s="1" customFormat="1" x14ac:dyDescent="0.25">
      <c r="B5" s="1" t="s">
        <v>9</v>
      </c>
      <c r="C5" s="5"/>
      <c r="D5" s="5">
        <v>39.616</v>
      </c>
      <c r="E5" s="5">
        <v>42.789000000000001</v>
      </c>
      <c r="F5" s="5">
        <v>47.811999999999998</v>
      </c>
      <c r="G5" s="5">
        <f>+W5-F5-E5-D5</f>
        <v>58.231000000000023</v>
      </c>
      <c r="H5" s="5">
        <v>63.767000000000003</v>
      </c>
      <c r="I5" s="5">
        <v>63.142000000000003</v>
      </c>
      <c r="J5" s="5">
        <v>78.986000000000004</v>
      </c>
      <c r="K5" s="5">
        <f>+X5-J5-I5-H5</f>
        <v>93.941000000000031</v>
      </c>
      <c r="L5" s="5">
        <v>93.194000000000003</v>
      </c>
      <c r="M5" s="5">
        <v>87.016000000000005</v>
      </c>
      <c r="N5" s="5">
        <v>102.015</v>
      </c>
      <c r="O5" s="5">
        <v>95.605999999999995</v>
      </c>
      <c r="P5" s="5"/>
      <c r="Q5" s="5"/>
      <c r="R5" s="5"/>
      <c r="S5" s="5"/>
      <c r="T5" s="5"/>
      <c r="V5" s="1">
        <v>140.423</v>
      </c>
      <c r="W5" s="1">
        <v>188.44800000000001</v>
      </c>
      <c r="X5" s="1">
        <v>299.83600000000001</v>
      </c>
      <c r="Y5" s="1">
        <f>+Y4-Y6</f>
        <v>380.91413</v>
      </c>
      <c r="Z5" s="1">
        <f>+Z4-Z6</f>
        <v>457.09695600000009</v>
      </c>
      <c r="AA5" s="1">
        <f>+AA4-AA6</f>
        <v>571.37119499999994</v>
      </c>
    </row>
    <row r="6" spans="1:27" s="1" customFormat="1" x14ac:dyDescent="0.25">
      <c r="B6" s="1" t="s">
        <v>10</v>
      </c>
      <c r="C6" s="5"/>
      <c r="D6" s="5">
        <f t="shared" ref="D6:L6" si="0">+D4-D5</f>
        <v>82.984999999999999</v>
      </c>
      <c r="E6" s="5">
        <f t="shared" si="0"/>
        <v>79.56</v>
      </c>
      <c r="F6" s="5">
        <f t="shared" si="0"/>
        <v>98.725000000000009</v>
      </c>
      <c r="G6" s="5">
        <f t="shared" si="0"/>
        <v>129.126</v>
      </c>
      <c r="H6" s="5">
        <f t="shared" si="0"/>
        <v>152.572</v>
      </c>
      <c r="I6" s="5">
        <f t="shared" si="0"/>
        <v>152.36500000000001</v>
      </c>
      <c r="J6" s="5">
        <f t="shared" si="0"/>
        <v>191.95699999999999</v>
      </c>
      <c r="K6" s="5">
        <f t="shared" si="0"/>
        <v>227.20199999999994</v>
      </c>
      <c r="L6" s="5">
        <f t="shared" si="0"/>
        <v>231.28299999999996</v>
      </c>
      <c r="M6" s="5">
        <f>+M4-M5</f>
        <v>214.05899999999997</v>
      </c>
      <c r="N6" s="5">
        <f>+N4-N5</f>
        <v>253.28500000000003</v>
      </c>
      <c r="O6" s="5">
        <f>+O4-O5</f>
        <v>237.03899999999999</v>
      </c>
      <c r="P6" s="5"/>
      <c r="Q6" s="5"/>
      <c r="R6" s="5"/>
      <c r="S6" s="5"/>
      <c r="T6" s="5"/>
      <c r="V6" s="1">
        <f>+V4-V5</f>
        <v>251.73199999999997</v>
      </c>
      <c r="W6" s="1">
        <f>+W4-W5</f>
        <v>390.39600000000007</v>
      </c>
      <c r="X6" s="1">
        <f>+X4-X5</f>
        <v>724.096</v>
      </c>
      <c r="Y6" s="1">
        <f>+Y4*0.71</f>
        <v>932.58286999999984</v>
      </c>
      <c r="Z6" s="1">
        <f>+Z4*0.71</f>
        <v>1119.0994439999997</v>
      </c>
      <c r="AA6" s="1">
        <f>+AA4*0.71</f>
        <v>1398.8743049999998</v>
      </c>
    </row>
    <row r="7" spans="1:27" s="1" customFormat="1" x14ac:dyDescent="0.25">
      <c r="B7" s="1" t="s">
        <v>11</v>
      </c>
      <c r="C7" s="5"/>
      <c r="D7" s="5">
        <v>61.555</v>
      </c>
      <c r="E7" s="5">
        <v>64.183000000000007</v>
      </c>
      <c r="F7" s="5">
        <v>75.433999999999997</v>
      </c>
      <c r="G7" s="5">
        <f>+W7-F7-E7-D7</f>
        <v>121.08099999999996</v>
      </c>
      <c r="H7" s="5">
        <v>91.938999999999993</v>
      </c>
      <c r="I7" s="5">
        <v>112.18600000000001</v>
      </c>
      <c r="J7" s="5">
        <v>160.12100000000001</v>
      </c>
      <c r="K7" s="5">
        <f>+X7-J7-I7-H7</f>
        <v>210.172</v>
      </c>
      <c r="L7" s="5">
        <v>180.57499999999999</v>
      </c>
      <c r="M7" s="5">
        <v>186.14099999999999</v>
      </c>
      <c r="N7" s="5">
        <v>218.22</v>
      </c>
      <c r="O7" s="5">
        <v>192.72300000000001</v>
      </c>
      <c r="P7" s="5"/>
      <c r="Q7" s="5"/>
      <c r="R7" s="5"/>
      <c r="S7" s="5"/>
      <c r="T7" s="5"/>
      <c r="V7" s="1">
        <v>221.91200000000001</v>
      </c>
      <c r="W7" s="1">
        <v>322.25299999999999</v>
      </c>
      <c r="X7" s="1">
        <v>574.41800000000001</v>
      </c>
      <c r="Y7" s="1">
        <f>+X7*1.3</f>
        <v>746.74340000000007</v>
      </c>
      <c r="Z7" s="1">
        <f>+Y7*1.25</f>
        <v>933.42925000000014</v>
      </c>
      <c r="AA7" s="1">
        <f>+Z7*1.15</f>
        <v>1073.4436375</v>
      </c>
    </row>
    <row r="8" spans="1:27" s="1" customFormat="1" x14ac:dyDescent="0.25">
      <c r="B8" s="1" t="s">
        <v>12</v>
      </c>
      <c r="C8" s="5"/>
      <c r="D8" s="5">
        <f t="shared" ref="D8:O8" si="1">+D6-D7</f>
        <v>21.43</v>
      </c>
      <c r="E8" s="5">
        <f t="shared" si="1"/>
        <v>15.376999999999995</v>
      </c>
      <c r="F8" s="5">
        <f t="shared" si="1"/>
        <v>23.291000000000011</v>
      </c>
      <c r="G8" s="5">
        <f t="shared" si="1"/>
        <v>8.0450000000000443</v>
      </c>
      <c r="H8" s="5">
        <f t="shared" si="1"/>
        <v>60.63300000000001</v>
      </c>
      <c r="I8" s="5">
        <f t="shared" si="1"/>
        <v>40.179000000000002</v>
      </c>
      <c r="J8" s="5">
        <f t="shared" si="1"/>
        <v>31.835999999999984</v>
      </c>
      <c r="K8" s="5">
        <f t="shared" si="1"/>
        <v>17.029999999999944</v>
      </c>
      <c r="L8" s="5">
        <f t="shared" si="1"/>
        <v>50.70799999999997</v>
      </c>
      <c r="M8" s="5">
        <f t="shared" si="1"/>
        <v>27.917999999999978</v>
      </c>
      <c r="N8" s="5">
        <f t="shared" si="1"/>
        <v>35.065000000000026</v>
      </c>
      <c r="O8" s="5">
        <f t="shared" si="1"/>
        <v>44.315999999999974</v>
      </c>
      <c r="P8" s="5"/>
      <c r="Q8" s="5"/>
      <c r="R8" s="5"/>
      <c r="S8" s="5"/>
      <c r="T8" s="5"/>
      <c r="V8" s="1">
        <f t="shared" ref="V8:AA8" si="2">+V6-V7</f>
        <v>29.819999999999965</v>
      </c>
      <c r="W8" s="1">
        <f t="shared" si="2"/>
        <v>68.143000000000086</v>
      </c>
      <c r="X8" s="1">
        <f t="shared" si="2"/>
        <v>149.678</v>
      </c>
      <c r="Y8" s="1">
        <f>+Y6-Y7</f>
        <v>185.83946999999978</v>
      </c>
      <c r="Z8" s="1">
        <f t="shared" si="2"/>
        <v>185.67019399999958</v>
      </c>
      <c r="AA8" s="1">
        <f t="shared" si="2"/>
        <v>325.4306674999998</v>
      </c>
    </row>
    <row r="9" spans="1:27" s="1" customFormat="1" x14ac:dyDescent="0.25">
      <c r="B9" s="1" t="s">
        <v>13</v>
      </c>
      <c r="C9" s="5"/>
      <c r="D9" s="5">
        <f>-1.663-0.663</f>
        <v>-2.3260000000000001</v>
      </c>
      <c r="E9" s="5">
        <f>-1.262-0.786</f>
        <v>-2.048</v>
      </c>
      <c r="F9" s="5">
        <f>0.73-0.463</f>
        <v>0.26699999999999996</v>
      </c>
      <c r="G9" s="5">
        <f>+W9-F9-E9-D9</f>
        <v>0.21399999999999997</v>
      </c>
      <c r="H9" s="5">
        <f>0.341+0.399</f>
        <v>0.74</v>
      </c>
      <c r="I9" s="5">
        <f>-1.062+0.623</f>
        <v>-0.43900000000000006</v>
      </c>
      <c r="J9" s="5">
        <f>2.565-3.985</f>
        <v>-1.42</v>
      </c>
      <c r="K9" s="5">
        <f>+X9-J9-I9-H9</f>
        <v>-4.694</v>
      </c>
      <c r="L9" s="5">
        <f>0.187-3.665</f>
        <v>-3.4780000000000002</v>
      </c>
      <c r="M9" s="5">
        <v>3.7909999999999999</v>
      </c>
      <c r="N9" s="5">
        <f>-5.278-3.527</f>
        <v>-8.8049999999999997</v>
      </c>
      <c r="O9" s="5">
        <f>2.594-2.86</f>
        <v>-0.26600000000000001</v>
      </c>
      <c r="P9" s="5"/>
      <c r="Q9" s="5"/>
      <c r="R9" s="5"/>
      <c r="S9" s="5"/>
      <c r="T9" s="5"/>
      <c r="V9" s="1">
        <f>-1.438-2.441</f>
        <v>-3.8789999999999996</v>
      </c>
      <c r="W9" s="1">
        <f>-1.875-2.018</f>
        <v>-3.8929999999999998</v>
      </c>
      <c r="X9" s="1">
        <f>1.21-7.023</f>
        <v>-5.8129999999999997</v>
      </c>
      <c r="Y9" s="1">
        <f>+X9</f>
        <v>-5.8129999999999997</v>
      </c>
      <c r="Z9" s="1">
        <f>+Y9</f>
        <v>-5.8129999999999997</v>
      </c>
      <c r="AA9" s="1">
        <f>+Z9</f>
        <v>-5.8129999999999997</v>
      </c>
    </row>
    <row r="10" spans="1:27" s="1" customFormat="1" x14ac:dyDescent="0.25">
      <c r="B10" s="1" t="s">
        <v>14</v>
      </c>
      <c r="C10" s="5"/>
      <c r="D10" s="5">
        <f t="shared" ref="D10:O10" si="3">+D8+D9</f>
        <v>19.103999999999999</v>
      </c>
      <c r="E10" s="5">
        <f t="shared" si="3"/>
        <v>13.328999999999995</v>
      </c>
      <c r="F10" s="5">
        <f t="shared" si="3"/>
        <v>23.55800000000001</v>
      </c>
      <c r="G10" s="5">
        <f t="shared" si="3"/>
        <v>8.2590000000000447</v>
      </c>
      <c r="H10" s="5">
        <f t="shared" si="3"/>
        <v>61.373000000000012</v>
      </c>
      <c r="I10" s="5">
        <f t="shared" si="3"/>
        <v>39.74</v>
      </c>
      <c r="J10" s="5">
        <f t="shared" si="3"/>
        <v>30.415999999999983</v>
      </c>
      <c r="K10" s="5">
        <f t="shared" si="3"/>
        <v>12.335999999999945</v>
      </c>
      <c r="L10" s="5">
        <f t="shared" si="3"/>
        <v>47.229999999999968</v>
      </c>
      <c r="M10" s="5">
        <f t="shared" si="3"/>
        <v>31.708999999999978</v>
      </c>
      <c r="N10" s="5">
        <f t="shared" si="3"/>
        <v>26.260000000000026</v>
      </c>
      <c r="O10" s="5">
        <f t="shared" si="3"/>
        <v>44.049999999999976</v>
      </c>
      <c r="P10" s="5"/>
      <c r="Q10" s="5"/>
      <c r="R10" s="5"/>
      <c r="S10" s="5"/>
      <c r="T10" s="5"/>
      <c r="V10" s="1">
        <f t="shared" ref="V10:AA10" si="4">+V8+V9</f>
        <v>25.940999999999967</v>
      </c>
      <c r="W10" s="1">
        <f t="shared" si="4"/>
        <v>64.250000000000085</v>
      </c>
      <c r="X10" s="1">
        <f t="shared" si="4"/>
        <v>143.86500000000001</v>
      </c>
      <c r="Y10" s="1">
        <f>+Y8+Y9</f>
        <v>180.02646999999979</v>
      </c>
      <c r="Z10" s="1">
        <f t="shared" si="4"/>
        <v>179.85719399999959</v>
      </c>
      <c r="AA10" s="1">
        <f t="shared" si="4"/>
        <v>319.61766749999981</v>
      </c>
    </row>
    <row r="11" spans="1:27" s="1" customFormat="1" x14ac:dyDescent="0.25">
      <c r="B11" s="1" t="s">
        <v>15</v>
      </c>
      <c r="C11" s="5"/>
      <c r="D11" s="5">
        <v>4.6349999999999998</v>
      </c>
      <c r="E11" s="5">
        <v>1.619</v>
      </c>
      <c r="F11" s="5">
        <v>4.2770000000000001</v>
      </c>
      <c r="G11" s="5">
        <f>+W11-F11-E11-D11</f>
        <v>-7.9870000000000001</v>
      </c>
      <c r="H11" s="5">
        <v>6.6760000000000002</v>
      </c>
      <c r="I11" s="5">
        <v>6.4690000000000003</v>
      </c>
      <c r="J11" s="5">
        <v>3.528</v>
      </c>
      <c r="K11" s="5">
        <f>+X11-J11-I11-H11</f>
        <v>-3.346000000000001</v>
      </c>
      <c r="L11" s="5">
        <v>-0.32500000000000001</v>
      </c>
      <c r="M11" s="5">
        <v>8.9280000000000008</v>
      </c>
      <c r="N11" s="5">
        <v>9.0190000000000001</v>
      </c>
      <c r="O11" s="5">
        <v>15.784000000000001</v>
      </c>
      <c r="P11" s="5"/>
      <c r="Q11" s="5"/>
      <c r="R11" s="5"/>
      <c r="S11" s="5"/>
      <c r="T11" s="5"/>
      <c r="V11" s="1">
        <v>3.661</v>
      </c>
      <c r="W11" s="1">
        <v>2.544</v>
      </c>
      <c r="X11" s="1">
        <v>13.327</v>
      </c>
      <c r="Y11" s="1">
        <f>+Y10*0.1</f>
        <v>18.002646999999978</v>
      </c>
      <c r="Z11" s="1">
        <f>+Z10*0.15</f>
        <v>26.978579099999937</v>
      </c>
      <c r="AA11" s="1">
        <f>+AA10*0.2</f>
        <v>63.923533499999962</v>
      </c>
    </row>
    <row r="12" spans="1:27" s="1" customFormat="1" x14ac:dyDescent="0.25">
      <c r="B12" s="1" t="s">
        <v>16</v>
      </c>
      <c r="C12" s="5"/>
      <c r="D12" s="5">
        <f t="shared" ref="D12:O12" si="5">+D10-D11</f>
        <v>14.468999999999999</v>
      </c>
      <c r="E12" s="5">
        <f t="shared" si="5"/>
        <v>11.709999999999996</v>
      </c>
      <c r="F12" s="5">
        <f t="shared" si="5"/>
        <v>19.281000000000009</v>
      </c>
      <c r="G12" s="5">
        <f t="shared" si="5"/>
        <v>16.246000000000045</v>
      </c>
      <c r="H12" s="5">
        <f t="shared" si="5"/>
        <v>54.69700000000001</v>
      </c>
      <c r="I12" s="5">
        <f t="shared" si="5"/>
        <v>33.271000000000001</v>
      </c>
      <c r="J12" s="5">
        <f t="shared" si="5"/>
        <v>26.887999999999984</v>
      </c>
      <c r="K12" s="5">
        <f t="shared" si="5"/>
        <v>15.681999999999945</v>
      </c>
      <c r="L12" s="5">
        <f t="shared" si="5"/>
        <v>47.554999999999971</v>
      </c>
      <c r="M12" s="5">
        <f t="shared" si="5"/>
        <v>22.780999999999977</v>
      </c>
      <c r="N12" s="5">
        <f t="shared" si="5"/>
        <v>17.241000000000028</v>
      </c>
      <c r="O12" s="5">
        <f t="shared" si="5"/>
        <v>28.265999999999977</v>
      </c>
      <c r="P12" s="5"/>
      <c r="Q12" s="5"/>
      <c r="R12" s="5"/>
      <c r="S12" s="5"/>
      <c r="T12" s="5"/>
      <c r="V12" s="1">
        <f t="shared" ref="V12:AA12" si="6">+V10-V11</f>
        <v>22.279999999999966</v>
      </c>
      <c r="W12" s="1">
        <f t="shared" si="6"/>
        <v>61.706000000000088</v>
      </c>
      <c r="X12" s="1">
        <f t="shared" si="6"/>
        <v>130.53800000000001</v>
      </c>
      <c r="Y12" s="1">
        <f t="shared" si="6"/>
        <v>162.02382299999982</v>
      </c>
      <c r="Z12" s="1">
        <f t="shared" si="6"/>
        <v>152.87861489999966</v>
      </c>
      <c r="AA12" s="1">
        <f t="shared" si="6"/>
        <v>255.69413399999985</v>
      </c>
    </row>
    <row r="13" spans="1:27" x14ac:dyDescent="0.25">
      <c r="B13" t="s">
        <v>8</v>
      </c>
      <c r="D13" s="4">
        <f t="shared" ref="D13:O13" si="7">+D12/D14</f>
        <v>0.26876701085834326</v>
      </c>
      <c r="E13" s="4">
        <f t="shared" si="7"/>
        <v>0.21276397040752959</v>
      </c>
      <c r="F13" s="4">
        <f t="shared" si="7"/>
        <v>0.34528926746723437</v>
      </c>
      <c r="G13" s="4">
        <f t="shared" si="7"/>
        <v>0.30213603069431372</v>
      </c>
      <c r="H13" s="4">
        <f t="shared" si="7"/>
        <v>0.95664482236999637</v>
      </c>
      <c r="I13" s="4">
        <f t="shared" si="7"/>
        <v>0.57924913740260997</v>
      </c>
      <c r="J13" s="4">
        <f t="shared" si="7"/>
        <v>0.46334562666298323</v>
      </c>
      <c r="K13" s="4">
        <f t="shared" si="7"/>
        <v>0.28213327441913583</v>
      </c>
      <c r="L13" s="4">
        <f t="shared" si="7"/>
        <v>0.81219204527275057</v>
      </c>
      <c r="M13" s="4">
        <f t="shared" si="7"/>
        <v>0.38953513126056583</v>
      </c>
      <c r="N13" s="4">
        <f t="shared" si="7"/>
        <v>0.29545927877603506</v>
      </c>
      <c r="O13" s="4">
        <f t="shared" si="7"/>
        <v>0.48750666298774381</v>
      </c>
      <c r="P13" s="4"/>
      <c r="Q13" s="4"/>
      <c r="R13" s="4"/>
      <c r="V13" s="2">
        <f t="shared" ref="V13:AA13" si="8">+V12/V14</f>
        <v>0.415250944551455</v>
      </c>
      <c r="W13" s="2">
        <f t="shared" si="8"/>
        <v>1.1475813067846423</v>
      </c>
      <c r="X13" s="2">
        <f t="shared" si="8"/>
        <v>2.3484959428724199</v>
      </c>
      <c r="Y13" s="2">
        <f>+Y12/Y14</f>
        <v>2.9149541969708332</v>
      </c>
      <c r="Z13" s="2">
        <f t="shared" si="8"/>
        <v>2.7504236838667993</v>
      </c>
      <c r="AA13" s="2">
        <f t="shared" si="8"/>
        <v>4.6001672793767057</v>
      </c>
    </row>
    <row r="14" spans="1:27" x14ac:dyDescent="0.25">
      <c r="B14" t="s">
        <v>1</v>
      </c>
      <c r="D14" s="5">
        <v>53.834732000000002</v>
      </c>
      <c r="E14" s="5">
        <v>55.037514000000002</v>
      </c>
      <c r="F14" s="5">
        <v>55.840136999999999</v>
      </c>
      <c r="G14" s="5">
        <f>+W14</f>
        <v>53.770482000000001</v>
      </c>
      <c r="H14" s="5">
        <v>57.175870000000003</v>
      </c>
      <c r="I14" s="5">
        <v>57.438152000000002</v>
      </c>
      <c r="J14" s="5">
        <v>58.030115000000002</v>
      </c>
      <c r="K14" s="5">
        <f>+X14</f>
        <v>55.583660000000002</v>
      </c>
      <c r="L14" s="5">
        <v>58.551423</v>
      </c>
      <c r="M14" s="5">
        <v>58.482529999999997</v>
      </c>
      <c r="N14" s="5">
        <v>58.353219000000003</v>
      </c>
      <c r="O14" s="5">
        <v>57.980746000000003</v>
      </c>
      <c r="P14" s="5"/>
      <c r="Q14" s="5"/>
      <c r="R14" s="5"/>
      <c r="V14" s="1">
        <v>53.654302999999999</v>
      </c>
      <c r="W14" s="1">
        <v>53.770482000000001</v>
      </c>
      <c r="X14" s="1">
        <v>55.583660000000002</v>
      </c>
      <c r="Y14" s="1">
        <f>+X14</f>
        <v>55.583660000000002</v>
      </c>
      <c r="Z14" s="1">
        <f>+Y14</f>
        <v>55.583660000000002</v>
      </c>
      <c r="AA14" s="1">
        <f>+Z14</f>
        <v>55.583660000000002</v>
      </c>
    </row>
    <row r="18" spans="2:27" s="13" customFormat="1" ht="13" x14ac:dyDescent="0.3">
      <c r="B18" s="13" t="s">
        <v>17</v>
      </c>
      <c r="C18" s="14"/>
      <c r="D18" s="14"/>
      <c r="E18" s="14"/>
      <c r="F18" s="14"/>
      <c r="G18" s="14"/>
      <c r="H18" s="15">
        <f t="shared" ref="H18:O18" si="9">+H4/D4-1</f>
        <v>0.76457777669023907</v>
      </c>
      <c r="I18" s="15">
        <f t="shared" si="9"/>
        <v>0.7614120262527686</v>
      </c>
      <c r="J18" s="15">
        <f t="shared" si="9"/>
        <v>0.84897329684653</v>
      </c>
      <c r="K18" s="15">
        <f t="shared" si="9"/>
        <v>0.71406993066712166</v>
      </c>
      <c r="L18" s="15">
        <f t="shared" si="9"/>
        <v>0.49985439518533403</v>
      </c>
      <c r="M18" s="15">
        <f t="shared" si="9"/>
        <v>0.39705438802451876</v>
      </c>
      <c r="N18" s="15">
        <f t="shared" si="9"/>
        <v>0.31134592884850321</v>
      </c>
      <c r="O18" s="15">
        <f t="shared" si="9"/>
        <v>3.5815820366627893E-2</v>
      </c>
      <c r="P18" s="15">
        <f t="shared" ref="P18" si="10">+P4/L4-1</f>
        <v>0.19999999999999996</v>
      </c>
      <c r="Q18" s="15">
        <f t="shared" ref="Q18" si="11">+Q4/M4-1</f>
        <v>0.19999999999999996</v>
      </c>
      <c r="R18" s="15">
        <f t="shared" ref="R18" si="12">+R4/N4-1</f>
        <v>0.19999999999999996</v>
      </c>
      <c r="S18" s="15">
        <f t="shared" ref="S18" si="13">+S4/O4-1</f>
        <v>0.19999999999999996</v>
      </c>
      <c r="T18" s="14"/>
      <c r="W18" s="16">
        <f>+W4/V4-1</f>
        <v>0.47605921128125384</v>
      </c>
      <c r="X18" s="16">
        <f>+X4/W4-1</f>
        <v>0.76892565181637873</v>
      </c>
      <c r="Y18" s="16">
        <f t="shared" ref="Y18:AA18" si="14">+Y4/X4-1</f>
        <v>0.28279709980740897</v>
      </c>
      <c r="Z18" s="16">
        <f t="shared" si="14"/>
        <v>0.19999999999999996</v>
      </c>
      <c r="AA18" s="16">
        <f t="shared" si="14"/>
        <v>0.25</v>
      </c>
    </row>
    <row r="19" spans="2:27" x14ac:dyDescent="0.25">
      <c r="B19" t="s">
        <v>18</v>
      </c>
      <c r="D19" s="7">
        <f t="shared" ref="D19:O19" si="15">+D6/D4</f>
        <v>0.67687049860930992</v>
      </c>
      <c r="E19" s="7">
        <f t="shared" si="15"/>
        <v>0.65027094622759485</v>
      </c>
      <c r="F19" s="7">
        <f t="shared" si="15"/>
        <v>0.67372063028450158</v>
      </c>
      <c r="G19" s="7">
        <f t="shared" si="15"/>
        <v>0.68919762805766527</v>
      </c>
      <c r="H19" s="7">
        <f t="shared" si="15"/>
        <v>0.70524500899051956</v>
      </c>
      <c r="I19" s="7">
        <f t="shared" si="15"/>
        <v>0.70700719698200065</v>
      </c>
      <c r="J19" s="7">
        <f t="shared" si="15"/>
        <v>0.70847742883189457</v>
      </c>
      <c r="K19" s="7">
        <f t="shared" si="15"/>
        <v>0.70747922265159124</v>
      </c>
      <c r="L19" s="7">
        <f t="shared" si="15"/>
        <v>0.71278703883480177</v>
      </c>
      <c r="M19" s="7">
        <f t="shared" si="15"/>
        <v>0.71098231337706541</v>
      </c>
      <c r="N19" s="7">
        <f t="shared" si="15"/>
        <v>0.71287644244300596</v>
      </c>
      <c r="O19" s="7">
        <f t="shared" si="15"/>
        <v>0.71258849524267609</v>
      </c>
      <c r="P19" s="7">
        <f t="shared" ref="P19:S19" si="16">+P6/P4</f>
        <v>0</v>
      </c>
      <c r="Q19" s="7">
        <f t="shared" si="16"/>
        <v>0</v>
      </c>
      <c r="R19" s="7">
        <f t="shared" si="16"/>
        <v>0</v>
      </c>
      <c r="S19" s="7">
        <f t="shared" si="16"/>
        <v>0</v>
      </c>
      <c r="V19" s="7">
        <f>+V6/V4</f>
        <v>0.64191964911833332</v>
      </c>
      <c r="W19" s="7">
        <f>+W6/W4</f>
        <v>0.67444078197234492</v>
      </c>
      <c r="X19" s="7">
        <f>+X6/X4</f>
        <v>0.70717196063801113</v>
      </c>
      <c r="Y19" s="7">
        <f t="shared" ref="Y19:AA19" si="17">+Y6/Y4</f>
        <v>0.71</v>
      </c>
      <c r="Z19" s="7">
        <f t="shared" si="17"/>
        <v>0.70999999999999985</v>
      </c>
      <c r="AA19" s="7">
        <f t="shared" si="17"/>
        <v>0.71</v>
      </c>
    </row>
    <row r="21" spans="2:27" x14ac:dyDescent="0.25">
      <c r="B21" t="s">
        <v>43</v>
      </c>
      <c r="N21" s="5">
        <f>+N22-N31</f>
        <v>-180.46600000000001</v>
      </c>
      <c r="O21" s="5">
        <f>+O22-O31</f>
        <v>-107.98399999999998</v>
      </c>
    </row>
    <row r="22" spans="2:27" x14ac:dyDescent="0.25">
      <c r="B22" t="s">
        <v>3</v>
      </c>
      <c r="N22" s="5">
        <v>73.844999999999999</v>
      </c>
      <c r="O22" s="5">
        <v>148.69200000000001</v>
      </c>
    </row>
    <row r="23" spans="2:27" x14ac:dyDescent="0.25">
      <c r="B23" t="s">
        <v>34</v>
      </c>
      <c r="N23" s="5">
        <v>187.744</v>
      </c>
      <c r="O23" s="5">
        <v>126.01</v>
      </c>
    </row>
    <row r="24" spans="2:27" x14ac:dyDescent="0.25">
      <c r="B24" t="s">
        <v>35</v>
      </c>
      <c r="N24" s="5">
        <v>214.786</v>
      </c>
      <c r="O24" s="5">
        <v>187.17</v>
      </c>
      <c r="V24" s="1">
        <v>19.513000000000002</v>
      </c>
      <c r="W24" s="1">
        <v>101.883</v>
      </c>
      <c r="X24" s="1">
        <v>71.153999999999996</v>
      </c>
    </row>
    <row r="25" spans="2:27" x14ac:dyDescent="0.25">
      <c r="B25" t="s">
        <v>36</v>
      </c>
      <c r="N25" s="5">
        <v>82.701999999999998</v>
      </c>
      <c r="O25" s="5">
        <v>78.688000000000002</v>
      </c>
    </row>
    <row r="26" spans="2:27" x14ac:dyDescent="0.25">
      <c r="B26" t="s">
        <v>33</v>
      </c>
      <c r="N26" s="5">
        <v>19.878</v>
      </c>
      <c r="O26" s="5">
        <v>28.786999999999999</v>
      </c>
    </row>
    <row r="27" spans="2:27" x14ac:dyDescent="0.25">
      <c r="B27" t="s">
        <v>32</v>
      </c>
      <c r="N27" s="5">
        <f>212.047+340.582</f>
        <v>552.62900000000002</v>
      </c>
      <c r="O27" s="5">
        <f>207.698+340.582</f>
        <v>548.28</v>
      </c>
    </row>
    <row r="28" spans="2:27" x14ac:dyDescent="0.25">
      <c r="B28" t="s">
        <v>31</v>
      </c>
      <c r="N28" s="5">
        <v>133.25</v>
      </c>
      <c r="O28" s="5">
        <v>130.548</v>
      </c>
    </row>
    <row r="29" spans="2:27" x14ac:dyDescent="0.25">
      <c r="B29" t="s">
        <v>30</v>
      </c>
      <c r="N29" s="5">
        <f>SUM(N22:N28)</f>
        <v>1264.8340000000001</v>
      </c>
      <c r="O29" s="5">
        <f>SUM(O22:O28)</f>
        <v>1248.175</v>
      </c>
    </row>
    <row r="30" spans="2:27" x14ac:dyDescent="0.25">
      <c r="O30" s="5"/>
    </row>
    <row r="31" spans="2:27" x14ac:dyDescent="0.25">
      <c r="B31" t="s">
        <v>4</v>
      </c>
      <c r="N31" s="5">
        <f>100.25+154.061</f>
        <v>254.31100000000001</v>
      </c>
      <c r="O31" s="5">
        <v>256.67599999999999</v>
      </c>
    </row>
    <row r="32" spans="2:27" x14ac:dyDescent="0.25">
      <c r="B32" t="s">
        <v>37</v>
      </c>
      <c r="N32" s="5">
        <v>65.293000000000006</v>
      </c>
      <c r="O32" s="5">
        <v>72.180000000000007</v>
      </c>
    </row>
    <row r="33" spans="2:20" x14ac:dyDescent="0.25">
      <c r="B33" t="s">
        <v>38</v>
      </c>
      <c r="N33" s="5">
        <v>128.364</v>
      </c>
      <c r="O33" s="5">
        <v>104.876</v>
      </c>
    </row>
    <row r="34" spans="2:20" x14ac:dyDescent="0.25">
      <c r="B34" t="s">
        <v>15</v>
      </c>
      <c r="N34" s="5">
        <v>0.49299999999999999</v>
      </c>
      <c r="O34" s="5">
        <v>3.8119999999999998</v>
      </c>
    </row>
    <row r="35" spans="2:20" x14ac:dyDescent="0.25">
      <c r="B35" t="s">
        <v>42</v>
      </c>
      <c r="N35" s="5">
        <v>48.116</v>
      </c>
      <c r="O35" s="5">
        <v>48.720999999999997</v>
      </c>
    </row>
    <row r="36" spans="2:20" x14ac:dyDescent="0.25">
      <c r="B36" t="s">
        <v>41</v>
      </c>
      <c r="N36" s="5">
        <v>0.87</v>
      </c>
      <c r="O36" s="5">
        <v>1.0549999999999999</v>
      </c>
    </row>
    <row r="37" spans="2:20" x14ac:dyDescent="0.25">
      <c r="B37" t="s">
        <v>40</v>
      </c>
      <c r="N37" s="5">
        <v>767.38699999999994</v>
      </c>
      <c r="O37" s="5">
        <v>760.85500000000002</v>
      </c>
    </row>
    <row r="38" spans="2:20" x14ac:dyDescent="0.25">
      <c r="B38" t="s">
        <v>39</v>
      </c>
      <c r="N38" s="5">
        <f>SUM(N31:N37)</f>
        <v>1264.8340000000001</v>
      </c>
      <c r="O38" s="5">
        <f>SUM(O31:O37)</f>
        <v>1248.175</v>
      </c>
    </row>
    <row r="41" spans="2:20" s="1" customFormat="1" x14ac:dyDescent="0.25">
      <c r="B41" s="1" t="s">
        <v>44</v>
      </c>
      <c r="C41" s="5"/>
      <c r="D41" s="5"/>
      <c r="E41" s="5"/>
      <c r="F41" s="5"/>
      <c r="G41" s="5"/>
      <c r="H41" s="5">
        <v>23.353999999999999</v>
      </c>
      <c r="I41" s="5">
        <f>51.27-H41</f>
        <v>27.916000000000004</v>
      </c>
      <c r="J41" s="5">
        <f>34.139-I41-H41</f>
        <v>-17.131</v>
      </c>
      <c r="K41" s="5">
        <f>71.154-J41-I41-H41</f>
        <v>37.014999999999993</v>
      </c>
      <c r="L41" s="5">
        <v>1.2809999999999999</v>
      </c>
      <c r="M41" s="5">
        <f>12.449-L41</f>
        <v>11.167999999999999</v>
      </c>
      <c r="N41" s="5">
        <f>-2.26-M41-L41</f>
        <v>-14.709</v>
      </c>
      <c r="O41" s="5">
        <f>133.84-N41-M41-L41</f>
        <v>136.1</v>
      </c>
      <c r="P41" s="5"/>
      <c r="Q41" s="5"/>
      <c r="R41" s="5"/>
      <c r="S41" s="5"/>
      <c r="T41" s="5"/>
    </row>
    <row r="42" spans="2:20" s="1" customFormat="1" x14ac:dyDescent="0.25">
      <c r="C42" s="5"/>
      <c r="D42" s="5"/>
      <c r="E42" s="5"/>
      <c r="F42" s="5"/>
      <c r="G42" s="5"/>
      <c r="H42" s="5">
        <v>-0.61599999999999999</v>
      </c>
      <c r="I42" s="5">
        <f>-1.465-H42</f>
        <v>-0.84900000000000009</v>
      </c>
      <c r="J42" s="5">
        <f>-5.984-I42-H42</f>
        <v>-4.5190000000000001</v>
      </c>
      <c r="K42" s="5">
        <f>-8.659-J42-I42-H42</f>
        <v>-2.6750000000000003</v>
      </c>
      <c r="L42" s="5">
        <v>-0.78600000000000003</v>
      </c>
      <c r="M42" s="5">
        <f>-2.409-L42</f>
        <v>-1.6229999999999998</v>
      </c>
      <c r="N42" s="5">
        <f>-7.461-M42-L42</f>
        <v>-5.0520000000000014</v>
      </c>
      <c r="O42" s="5">
        <f>-18.52-N42-M42-L42</f>
        <v>-11.058999999999999</v>
      </c>
      <c r="P42" s="5"/>
      <c r="Q42" s="5"/>
      <c r="R42" s="5"/>
      <c r="S42" s="5"/>
      <c r="T42" s="5"/>
    </row>
    <row r="43" spans="2:20" s="1" customFormat="1" x14ac:dyDescent="0.25">
      <c r="C43" s="5"/>
      <c r="D43" s="5"/>
      <c r="E43" s="5"/>
      <c r="F43" s="5"/>
      <c r="G43" s="5"/>
      <c r="H43" s="5">
        <f>+H41+H42</f>
        <v>22.738</v>
      </c>
      <c r="I43" s="5">
        <f>+I41+I42</f>
        <v>27.067000000000004</v>
      </c>
      <c r="J43" s="5">
        <f>+J41+J42</f>
        <v>-21.65</v>
      </c>
      <c r="K43" s="5">
        <f>+K41+K42</f>
        <v>34.339999999999996</v>
      </c>
      <c r="L43" s="5">
        <f t="shared" ref="L43:O43" si="18">+L41+L42</f>
        <v>0.49499999999999988</v>
      </c>
      <c r="M43" s="5">
        <f t="shared" si="18"/>
        <v>9.5449999999999999</v>
      </c>
      <c r="N43" s="5">
        <f t="shared" si="18"/>
        <v>-19.761000000000003</v>
      </c>
      <c r="O43" s="5">
        <f t="shared" si="18"/>
        <v>125.041</v>
      </c>
      <c r="P43" s="5"/>
      <c r="Q43" s="5"/>
      <c r="R43" s="5"/>
      <c r="S43" s="5"/>
      <c r="T43" s="5"/>
    </row>
  </sheetData>
  <hyperlinks>
    <hyperlink ref="A1" location="Main!A1" display="Main" xr:uid="{A6A53138-31EF-417F-8D26-051DB5CF81BF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2024-10-11T14:58:12Z</dcterms:created>
  <dcterms:modified xsi:type="dcterms:W3CDTF">2025-06-02T18:08:21Z</dcterms:modified>
</cp:coreProperties>
</file>