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04C2ACBD-B920-4CC4-B381-1BFDE338624E}" xr6:coauthVersionLast="47" xr6:coauthVersionMax="47" xr10:uidLastSave="{00000000-0000-0000-0000-000000000000}"/>
  <bookViews>
    <workbookView xWindow="39740" yWindow="2710" windowWidth="15480" windowHeight="15420" activeTab="1" xr2:uid="{43FD223A-B47F-4F03-ADC1-5FABEC88E596}"/>
  </bookViews>
  <sheets>
    <sheet name="Main" sheetId="1" r:id="rId1"/>
    <sheet name="Model" sheetId="2" r:id="rId2"/>
    <sheet name="Cabometyx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4" i="2" l="1"/>
  <c r="AP4" i="2" s="1"/>
  <c r="AQ4" i="2" s="1"/>
  <c r="AR4" i="2" s="1"/>
  <c r="AN4" i="2"/>
  <c r="AM4" i="2"/>
  <c r="AO19" i="2"/>
  <c r="AP19" i="2" s="1"/>
  <c r="AQ19" i="2" s="1"/>
  <c r="AR19" i="2" s="1"/>
  <c r="AO14" i="2"/>
  <c r="AP14" i="2" s="1"/>
  <c r="AQ14" i="2" s="1"/>
  <c r="AR14" i="2" s="1"/>
  <c r="AO12" i="2"/>
  <c r="AO11" i="2"/>
  <c r="AP11" i="2" s="1"/>
  <c r="AO6" i="2"/>
  <c r="AO5" i="2"/>
  <c r="AP5" i="2" s="1"/>
  <c r="AQ5" i="2" s="1"/>
  <c r="AR5" i="2" s="1"/>
  <c r="AN19" i="2"/>
  <c r="AN14" i="2"/>
  <c r="AN11" i="2"/>
  <c r="AN12" i="2" s="1"/>
  <c r="AN6" i="2"/>
  <c r="AN5" i="2"/>
  <c r="AM11" i="2"/>
  <c r="AM14" i="2"/>
  <c r="AM19" i="2"/>
  <c r="AM12" i="2"/>
  <c r="AM5" i="2"/>
  <c r="AM6" i="2"/>
  <c r="AJ15" i="2"/>
  <c r="AI15" i="2"/>
  <c r="AI17" i="2" s="1"/>
  <c r="AI18" i="2" s="1"/>
  <c r="AH15" i="2"/>
  <c r="AJ17" i="2"/>
  <c r="AJ18" i="2" s="1"/>
  <c r="AH17" i="2"/>
  <c r="AH18" i="2" s="1"/>
  <c r="AL19" i="2"/>
  <c r="AL18" i="2" s="1"/>
  <c r="AI19" i="2"/>
  <c r="AJ19" i="2"/>
  <c r="AK19" i="2"/>
  <c r="AL17" i="2"/>
  <c r="AK17" i="2"/>
  <c r="AK18" i="2" s="1"/>
  <c r="AL16" i="2"/>
  <c r="AK16" i="2"/>
  <c r="AL15" i="2"/>
  <c r="AK15" i="2"/>
  <c r="AL14" i="2"/>
  <c r="AK14" i="2"/>
  <c r="AL13" i="2"/>
  <c r="AK13" i="2"/>
  <c r="AL12" i="2"/>
  <c r="AK12" i="2"/>
  <c r="AL11" i="2"/>
  <c r="AK11" i="2"/>
  <c r="AL10" i="2"/>
  <c r="AK10" i="2"/>
  <c r="AL9" i="2"/>
  <c r="AK9" i="2"/>
  <c r="AL8" i="2"/>
  <c r="AK8" i="2"/>
  <c r="AL7" i="2"/>
  <c r="AK7" i="2"/>
  <c r="AL6" i="2"/>
  <c r="AK6" i="2"/>
  <c r="AL5" i="2"/>
  <c r="AK5" i="2"/>
  <c r="AL4" i="2"/>
  <c r="AK4" i="2"/>
  <c r="AJ4" i="2"/>
  <c r="AJ7" i="2" s="1"/>
  <c r="AJ9" i="2" s="1"/>
  <c r="AJ13" i="2" s="1"/>
  <c r="P21" i="2"/>
  <c r="M21" i="2"/>
  <c r="L21" i="2"/>
  <c r="H18" i="2"/>
  <c r="H15" i="2"/>
  <c r="H17" i="2" s="1"/>
  <c r="H12" i="2"/>
  <c r="H13" i="2" s="1"/>
  <c r="H9" i="2"/>
  <c r="H7" i="2"/>
  <c r="Q21" i="2"/>
  <c r="O21" i="2"/>
  <c r="N21" i="2"/>
  <c r="K18" i="2"/>
  <c r="M18" i="2"/>
  <c r="I12" i="2"/>
  <c r="I13" i="2" s="1"/>
  <c r="I15" i="2" s="1"/>
  <c r="I17" i="2" s="1"/>
  <c r="I18" i="2" s="1"/>
  <c r="I9" i="2"/>
  <c r="I7" i="2"/>
  <c r="K15" i="2"/>
  <c r="K17" i="2" s="1"/>
  <c r="O15" i="2"/>
  <c r="O17" i="2" s="1"/>
  <c r="O18" i="2" s="1"/>
  <c r="M12" i="2"/>
  <c r="L12" i="2"/>
  <c r="K12" i="2"/>
  <c r="K13" i="2" s="1"/>
  <c r="O12" i="2"/>
  <c r="O13" i="2" s="1"/>
  <c r="K9" i="2"/>
  <c r="O9" i="2"/>
  <c r="M7" i="2"/>
  <c r="M9" i="2" s="1"/>
  <c r="L7" i="2"/>
  <c r="L9" i="2" s="1"/>
  <c r="K7" i="2"/>
  <c r="S21" i="2"/>
  <c r="R21" i="2"/>
  <c r="V21" i="2"/>
  <c r="U21" i="2"/>
  <c r="T21" i="2"/>
  <c r="W21" i="2"/>
  <c r="P18" i="2"/>
  <c r="P17" i="2"/>
  <c r="P15" i="2"/>
  <c r="P12" i="2"/>
  <c r="P13" i="2" s="1"/>
  <c r="P9" i="2"/>
  <c r="Q12" i="2"/>
  <c r="Q13" i="2" s="1"/>
  <c r="Q15" i="2" s="1"/>
  <c r="Q17" i="2" s="1"/>
  <c r="Q18" i="2" s="1"/>
  <c r="Q9" i="2"/>
  <c r="R12" i="2"/>
  <c r="W17" i="2"/>
  <c r="W18" i="2" s="1"/>
  <c r="W15" i="2"/>
  <c r="V12" i="2"/>
  <c r="U12" i="2"/>
  <c r="T12" i="2"/>
  <c r="S12" i="2"/>
  <c r="W13" i="2"/>
  <c r="W12" i="2"/>
  <c r="W9" i="2"/>
  <c r="W7" i="2"/>
  <c r="V7" i="2"/>
  <c r="V9" i="2" s="1"/>
  <c r="U7" i="2"/>
  <c r="U9" i="2" s="1"/>
  <c r="T7" i="2"/>
  <c r="T9" i="2" s="1"/>
  <c r="S7" i="2"/>
  <c r="S9" i="2" s="1"/>
  <c r="R7" i="2"/>
  <c r="R9" i="2" s="1"/>
  <c r="Q7" i="2"/>
  <c r="P7" i="2"/>
  <c r="O7" i="2"/>
  <c r="M5" i="1"/>
  <c r="N14" i="2"/>
  <c r="N12" i="2"/>
  <c r="N7" i="2"/>
  <c r="N9" i="2" s="1"/>
  <c r="J14" i="2"/>
  <c r="J12" i="2"/>
  <c r="J7" i="2"/>
  <c r="J9" i="2" s="1"/>
  <c r="AI12" i="2"/>
  <c r="AH12" i="2"/>
  <c r="AJ12" i="2"/>
  <c r="AI7" i="2"/>
  <c r="AI9" i="2" s="1"/>
  <c r="AH7" i="2"/>
  <c r="AH9" i="2" s="1"/>
  <c r="AD2" i="2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M4" i="1"/>
  <c r="AO7" i="2" l="1"/>
  <c r="AN7" i="2"/>
  <c r="AQ11" i="2"/>
  <c r="AP12" i="2"/>
  <c r="AO8" i="2"/>
  <c r="AO9" i="2" s="1"/>
  <c r="AO13" i="2" s="1"/>
  <c r="AO15" i="2" s="1"/>
  <c r="AP6" i="2"/>
  <c r="AN8" i="2"/>
  <c r="AN9" i="2" s="1"/>
  <c r="AN13" i="2" s="1"/>
  <c r="AN15" i="2" s="1"/>
  <c r="AM7" i="2"/>
  <c r="L13" i="2"/>
  <c r="L15" i="2" s="1"/>
  <c r="L17" i="2" s="1"/>
  <c r="L18" i="2" s="1"/>
  <c r="M13" i="2"/>
  <c r="M15" i="2" s="1"/>
  <c r="M17" i="2" s="1"/>
  <c r="T13" i="2"/>
  <c r="T15" i="2" s="1"/>
  <c r="T17" i="2" s="1"/>
  <c r="T18" i="2" s="1"/>
  <c r="R13" i="2"/>
  <c r="R15" i="2" s="1"/>
  <c r="R17" i="2" s="1"/>
  <c r="R18" i="2" s="1"/>
  <c r="S13" i="2"/>
  <c r="S15" i="2" s="1"/>
  <c r="S17" i="2" s="1"/>
  <c r="S18" i="2" s="1"/>
  <c r="U13" i="2"/>
  <c r="U15" i="2" s="1"/>
  <c r="U17" i="2" s="1"/>
  <c r="U18" i="2" s="1"/>
  <c r="V13" i="2"/>
  <c r="V15" i="2" s="1"/>
  <c r="V17" i="2" s="1"/>
  <c r="V18" i="2" s="1"/>
  <c r="N13" i="2"/>
  <c r="N15" i="2" s="1"/>
  <c r="N17" i="2" s="1"/>
  <c r="N18" i="2" s="1"/>
  <c r="J13" i="2"/>
  <c r="J15" i="2" s="1"/>
  <c r="J17" i="2" s="1"/>
  <c r="J18" i="2" s="1"/>
  <c r="M7" i="1"/>
  <c r="AI13" i="2"/>
  <c r="AH13" i="2"/>
  <c r="AO16" i="2" l="1"/>
  <c r="AO17" i="2" s="1"/>
  <c r="AO18" i="2" s="1"/>
  <c r="AP7" i="2"/>
  <c r="AQ6" i="2"/>
  <c r="AR11" i="2"/>
  <c r="AR12" i="2" s="1"/>
  <c r="AQ12" i="2"/>
  <c r="AN16" i="2"/>
  <c r="AN17" i="2" s="1"/>
  <c r="AN18" i="2" s="1"/>
  <c r="AM8" i="2"/>
  <c r="AM9" i="2"/>
  <c r="AM13" i="2" s="1"/>
  <c r="AM15" i="2" s="1"/>
  <c r="AQ7" i="2" l="1"/>
  <c r="AR6" i="2"/>
  <c r="AR7" i="2" s="1"/>
  <c r="AP8" i="2"/>
  <c r="AP9" i="2" s="1"/>
  <c r="AP13" i="2" s="1"/>
  <c r="AP15" i="2" s="1"/>
  <c r="AM16" i="2"/>
  <c r="AM17" i="2"/>
  <c r="AM18" i="2" s="1"/>
  <c r="AP16" i="2" l="1"/>
  <c r="AP17" i="2" s="1"/>
  <c r="AP18" i="2" s="1"/>
  <c r="AR8" i="2"/>
  <c r="AR9" i="2" s="1"/>
  <c r="AR13" i="2" s="1"/>
  <c r="AR15" i="2" s="1"/>
  <c r="AQ8" i="2"/>
  <c r="AQ9" i="2" s="1"/>
  <c r="AQ13" i="2" s="1"/>
  <c r="AQ15" i="2" s="1"/>
  <c r="AR16" i="2" l="1"/>
  <c r="AR17" i="2" s="1"/>
  <c r="AR18" i="2" s="1"/>
  <c r="AQ16" i="2"/>
  <c r="AQ17" i="2" s="1"/>
  <c r="AQ18" i="2" s="1"/>
</calcChain>
</file>

<file path=xl/sharedStrings.xml><?xml version="1.0" encoding="utf-8"?>
<sst xmlns="http://schemas.openxmlformats.org/spreadsheetml/2006/main" count="88" uniqueCount="79">
  <si>
    <t>Price</t>
  </si>
  <si>
    <t>Shares</t>
  </si>
  <si>
    <t>MC</t>
  </si>
  <si>
    <t>Cash</t>
  </si>
  <si>
    <t>Debt</t>
  </si>
  <si>
    <t>EV</t>
  </si>
  <si>
    <t>Q422</t>
  </si>
  <si>
    <t>Main</t>
  </si>
  <si>
    <t>Revenue</t>
  </si>
  <si>
    <t>Q122</t>
  </si>
  <si>
    <t>Q121</t>
  </si>
  <si>
    <t>Q221</t>
  </si>
  <si>
    <t>Q321</t>
  </si>
  <si>
    <t>Q421</t>
  </si>
  <si>
    <t>Q222</t>
  </si>
  <si>
    <t>Q322</t>
  </si>
  <si>
    <t>Q123</t>
  </si>
  <si>
    <t>Q223</t>
  </si>
  <si>
    <t>Q323</t>
  </si>
  <si>
    <t>Q423</t>
  </si>
  <si>
    <t>Q120</t>
  </si>
  <si>
    <t>Q220</t>
  </si>
  <si>
    <t>Q320</t>
  </si>
  <si>
    <t>Q420</t>
  </si>
  <si>
    <t>Product</t>
  </si>
  <si>
    <t>License</t>
  </si>
  <si>
    <t>Services</t>
  </si>
  <si>
    <t>COGS</t>
  </si>
  <si>
    <t>Gross Profit</t>
  </si>
  <si>
    <t>Operating Expenses</t>
  </si>
  <si>
    <t>Operating Income</t>
  </si>
  <si>
    <t>R&amp;D</t>
  </si>
  <si>
    <t>SG&amp;A</t>
  </si>
  <si>
    <t>Brand</t>
  </si>
  <si>
    <t>Cabometyx (cabozantinib)</t>
  </si>
  <si>
    <t>Indication</t>
  </si>
  <si>
    <t>Name</t>
  </si>
  <si>
    <t>Cometriq (cabozantinib)</t>
  </si>
  <si>
    <t>RCC</t>
  </si>
  <si>
    <t>Economics</t>
  </si>
  <si>
    <t>zanzalintinib</t>
  </si>
  <si>
    <t>ADU-1805</t>
  </si>
  <si>
    <t>Net Income</t>
  </si>
  <si>
    <t>EPS</t>
  </si>
  <si>
    <t>Interest Income</t>
  </si>
  <si>
    <t>Pretax</t>
  </si>
  <si>
    <t>Taxes</t>
  </si>
  <si>
    <t>CEO</t>
  </si>
  <si>
    <t>Michael Morrissey</t>
  </si>
  <si>
    <t>XB002</t>
  </si>
  <si>
    <t>MOA</t>
  </si>
  <si>
    <t>TKI</t>
  </si>
  <si>
    <t>TF ADC</t>
  </si>
  <si>
    <t>XL102</t>
  </si>
  <si>
    <t>CDK7</t>
  </si>
  <si>
    <t>XB010</t>
  </si>
  <si>
    <t>XB628</t>
  </si>
  <si>
    <t>XB014</t>
  </si>
  <si>
    <t>Cabo</t>
  </si>
  <si>
    <t>Cabometyx</t>
  </si>
  <si>
    <t>Generic</t>
  </si>
  <si>
    <t>cabozantinib</t>
  </si>
  <si>
    <t>Phase</t>
  </si>
  <si>
    <t>Approved</t>
  </si>
  <si>
    <t>CBX-12 (exetecan)</t>
  </si>
  <si>
    <t>SIRPalpha</t>
  </si>
  <si>
    <t>Topo</t>
  </si>
  <si>
    <t>IP</t>
  </si>
  <si>
    <t>8877776 lost against MSN (N-2 polymorph)</t>
  </si>
  <si>
    <t>7759473 won against MSN, making 8/14/26 earliest generic date</t>
  </si>
  <si>
    <t>Q224</t>
  </si>
  <si>
    <t>Q125</t>
  </si>
  <si>
    <t>Q124</t>
  </si>
  <si>
    <t>Q324</t>
  </si>
  <si>
    <t>Q424</t>
  </si>
  <si>
    <t>Q225</t>
  </si>
  <si>
    <t>Q325</t>
  </si>
  <si>
    <t>Q425</t>
  </si>
  <si>
    <t>Product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</si>
</sst>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" fontId="0" fillId="0" borderId="0" xfId="0" applyNumberFormat="1" applyAlignment="1">
      <alignment horizontal="right"/>
    </xf>
    <xf numFmtId="0" fontId="2" fillId="0" borderId="1" xfId="1" applyBorder="1"/>
    <xf numFmtId="4" fontId="0" fillId="0" borderId="0" xfId="0" applyNumberForma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B6DF4BCC-C2E4-489A-8B3C-67F7BF898BA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13138</xdr:colOff>
      <xdr:row>0</xdr:row>
      <xdr:rowOff>35034</xdr:rowOff>
    </xdr:from>
    <xdr:to>
      <xdr:col>23</xdr:col>
      <xdr:colOff>13138</xdr:colOff>
      <xdr:row>40</xdr:row>
      <xdr:rowOff>30655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407722E-280C-E2F5-12DD-7058599B91F4}"/>
            </a:ext>
          </a:extLst>
        </xdr:cNvPr>
        <xdr:cNvCxnSpPr/>
      </xdr:nvCxnSpPr>
      <xdr:spPr>
        <a:xfrm>
          <a:off x="14942207" y="35034"/>
          <a:ext cx="0" cy="63105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39076</xdr:colOff>
      <xdr:row>0</xdr:row>
      <xdr:rowOff>68385</xdr:rowOff>
    </xdr:from>
    <xdr:to>
      <xdr:col>38</xdr:col>
      <xdr:colOff>39076</xdr:colOff>
      <xdr:row>43</xdr:row>
      <xdr:rowOff>87923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FFDBBFF-631A-F182-5064-36C65F19DAEA}"/>
            </a:ext>
          </a:extLst>
        </xdr:cNvPr>
        <xdr:cNvCxnSpPr/>
      </xdr:nvCxnSpPr>
      <xdr:spPr>
        <a:xfrm>
          <a:off x="24149538" y="68385"/>
          <a:ext cx="0" cy="695569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9232-A2EF-4F15-B8B8-1076744E9B83}">
  <dimension ref="B2:N13"/>
  <sheetViews>
    <sheetView zoomScale="85" zoomScaleNormal="85" workbookViewId="0">
      <selection activeCell="B3" sqref="B3"/>
    </sheetView>
  </sheetViews>
  <sheetFormatPr defaultRowHeight="12.5" x14ac:dyDescent="0.25"/>
  <cols>
    <col min="1" max="1" width="3.54296875" customWidth="1"/>
    <col min="2" max="2" width="23" bestFit="1" customWidth="1"/>
    <col min="4" max="4" width="10.453125" customWidth="1"/>
    <col min="5" max="5" width="10.7265625" customWidth="1"/>
    <col min="10" max="11" width="7.1796875" customWidth="1"/>
  </cols>
  <sheetData>
    <row r="2" spans="2:14" x14ac:dyDescent="0.25">
      <c r="B2" s="12" t="s">
        <v>36</v>
      </c>
      <c r="C2" s="13" t="s">
        <v>35</v>
      </c>
      <c r="D2" s="13" t="s">
        <v>39</v>
      </c>
      <c r="E2" s="13" t="s">
        <v>50</v>
      </c>
      <c r="F2" s="13" t="s">
        <v>63</v>
      </c>
      <c r="G2" s="13"/>
      <c r="H2" s="13"/>
      <c r="I2" s="14"/>
      <c r="L2" t="s">
        <v>0</v>
      </c>
      <c r="M2">
        <v>42.57</v>
      </c>
    </row>
    <row r="3" spans="2:14" x14ac:dyDescent="0.25">
      <c r="B3" s="16" t="s">
        <v>34</v>
      </c>
      <c r="C3" t="s">
        <v>38</v>
      </c>
      <c r="E3" t="s">
        <v>51</v>
      </c>
      <c r="I3" s="8"/>
      <c r="L3" t="s">
        <v>1</v>
      </c>
      <c r="M3" s="1">
        <v>272.70828</v>
      </c>
      <c r="N3" s="2" t="s">
        <v>71</v>
      </c>
    </row>
    <row r="4" spans="2:14" x14ac:dyDescent="0.25">
      <c r="B4" s="7" t="s">
        <v>37</v>
      </c>
      <c r="E4" t="s">
        <v>51</v>
      </c>
      <c r="I4" s="8"/>
      <c r="L4" t="s">
        <v>2</v>
      </c>
      <c r="M4" s="1">
        <f>+M2*M3</f>
        <v>11609.1914796</v>
      </c>
    </row>
    <row r="5" spans="2:14" x14ac:dyDescent="0.25">
      <c r="B5" s="12"/>
      <c r="C5" s="13"/>
      <c r="D5" s="13"/>
      <c r="E5" s="13"/>
      <c r="F5" s="13" t="s">
        <v>62</v>
      </c>
      <c r="G5" s="13"/>
      <c r="H5" s="13"/>
      <c r="I5" s="14"/>
      <c r="L5" t="s">
        <v>3</v>
      </c>
      <c r="M5" s="1">
        <f>183.752+847.564+619.441</f>
        <v>1650.7570000000001</v>
      </c>
      <c r="N5" s="2" t="s">
        <v>71</v>
      </c>
    </row>
    <row r="6" spans="2:14" x14ac:dyDescent="0.25">
      <c r="B6" s="7" t="s">
        <v>40</v>
      </c>
      <c r="E6" t="s">
        <v>51</v>
      </c>
      <c r="I6" s="8"/>
      <c r="L6" t="s">
        <v>4</v>
      </c>
      <c r="M6" s="1">
        <v>0</v>
      </c>
      <c r="N6" s="2" t="s">
        <v>71</v>
      </c>
    </row>
    <row r="7" spans="2:14" x14ac:dyDescent="0.25">
      <c r="B7" s="7" t="s">
        <v>64</v>
      </c>
      <c r="E7" t="s">
        <v>66</v>
      </c>
      <c r="I7" s="8"/>
      <c r="L7" t="s">
        <v>5</v>
      </c>
      <c r="M7" s="1">
        <f>+M4-M5+M6</f>
        <v>9958.4344796000005</v>
      </c>
    </row>
    <row r="8" spans="2:14" x14ac:dyDescent="0.25">
      <c r="B8" s="7" t="s">
        <v>41</v>
      </c>
      <c r="E8" t="s">
        <v>65</v>
      </c>
      <c r="I8" s="8"/>
    </row>
    <row r="9" spans="2:14" x14ac:dyDescent="0.25">
      <c r="B9" s="7" t="s">
        <v>49</v>
      </c>
      <c r="E9" t="s">
        <v>52</v>
      </c>
      <c r="I9" s="8"/>
    </row>
    <row r="10" spans="2:14" x14ac:dyDescent="0.25">
      <c r="B10" s="7" t="s">
        <v>53</v>
      </c>
      <c r="E10" t="s">
        <v>54</v>
      </c>
      <c r="I10" s="8"/>
      <c r="L10" t="s">
        <v>47</v>
      </c>
      <c r="M10" t="s">
        <v>48</v>
      </c>
    </row>
    <row r="11" spans="2:14" x14ac:dyDescent="0.25">
      <c r="B11" s="7" t="s">
        <v>55</v>
      </c>
      <c r="I11" s="8"/>
    </row>
    <row r="12" spans="2:14" x14ac:dyDescent="0.25">
      <c r="B12" s="7" t="s">
        <v>57</v>
      </c>
      <c r="I12" s="8"/>
    </row>
    <row r="13" spans="2:14" x14ac:dyDescent="0.25">
      <c r="B13" s="9" t="s">
        <v>56</v>
      </c>
      <c r="C13" s="10"/>
      <c r="D13" s="10"/>
      <c r="E13" s="10"/>
      <c r="F13" s="10"/>
      <c r="G13" s="10"/>
      <c r="H13" s="10"/>
      <c r="I13" s="11"/>
    </row>
  </sheetData>
  <hyperlinks>
    <hyperlink ref="B3" location="Cabometyx!A1" display="Cabometyx (cabozantinib)" xr:uid="{21C06DCF-97D6-42AC-917C-4098F9F7145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2C34A-15ED-4C14-8965-81604B05A16F}">
  <dimension ref="A1:BB22"/>
  <sheetViews>
    <sheetView tabSelected="1" zoomScale="130" zoomScaleNormal="130" workbookViewId="0">
      <pane xSplit="2" ySplit="2" topLeftCell="AF3" activePane="bottomRight" state="frozen"/>
      <selection pane="topRight" activeCell="C1" sqref="C1"/>
      <selection pane="bottomLeft" activeCell="A3" sqref="A3"/>
      <selection pane="bottomRight" activeCell="AI11" sqref="AI11"/>
    </sheetView>
  </sheetViews>
  <sheetFormatPr defaultRowHeight="12.5" x14ac:dyDescent="0.25"/>
  <cols>
    <col min="1" max="1" width="5" bestFit="1" customWidth="1"/>
    <col min="2" max="2" width="19.54296875" customWidth="1"/>
    <col min="3" max="16" width="9.1796875" style="2"/>
  </cols>
  <sheetData>
    <row r="1" spans="1:54" x14ac:dyDescent="0.25">
      <c r="A1" s="3" t="s">
        <v>7</v>
      </c>
    </row>
    <row r="2" spans="1:54" x14ac:dyDescent="0.25">
      <c r="C2" s="2" t="s">
        <v>20</v>
      </c>
      <c r="D2" s="2" t="s">
        <v>21</v>
      </c>
      <c r="E2" s="2" t="s">
        <v>22</v>
      </c>
      <c r="F2" s="2" t="s">
        <v>23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9</v>
      </c>
      <c r="L2" s="2" t="s">
        <v>14</v>
      </c>
      <c r="M2" s="2" t="s">
        <v>15</v>
      </c>
      <c r="N2" s="2" t="s">
        <v>6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72</v>
      </c>
      <c r="T2" s="2" t="s">
        <v>70</v>
      </c>
      <c r="U2" s="2" t="s">
        <v>73</v>
      </c>
      <c r="V2" s="2" t="s">
        <v>74</v>
      </c>
      <c r="W2" s="2" t="s">
        <v>71</v>
      </c>
      <c r="X2" s="2" t="s">
        <v>75</v>
      </c>
      <c r="Y2" s="2" t="s">
        <v>76</v>
      </c>
      <c r="Z2" s="2" t="s">
        <v>77</v>
      </c>
      <c r="AC2">
        <v>2015</v>
      </c>
      <c r="AD2">
        <f>+AC2+1</f>
        <v>2016</v>
      </c>
      <c r="AE2">
        <f t="shared" ref="AE2:BB2" si="0">+AD2+1</f>
        <v>2017</v>
      </c>
      <c r="AF2">
        <f t="shared" si="0"/>
        <v>2018</v>
      </c>
      <c r="AG2">
        <f t="shared" si="0"/>
        <v>2019</v>
      </c>
      <c r="AH2">
        <f t="shared" si="0"/>
        <v>2020</v>
      </c>
      <c r="AI2">
        <f t="shared" si="0"/>
        <v>2021</v>
      </c>
      <c r="AJ2">
        <f t="shared" si="0"/>
        <v>2022</v>
      </c>
      <c r="AK2">
        <f t="shared" si="0"/>
        <v>2023</v>
      </c>
      <c r="AL2">
        <f t="shared" si="0"/>
        <v>2024</v>
      </c>
      <c r="AM2">
        <f t="shared" si="0"/>
        <v>2025</v>
      </c>
      <c r="AN2">
        <f t="shared" si="0"/>
        <v>2026</v>
      </c>
      <c r="AO2">
        <f t="shared" si="0"/>
        <v>2027</v>
      </c>
      <c r="AP2">
        <f t="shared" si="0"/>
        <v>2028</v>
      </c>
      <c r="AQ2">
        <f t="shared" si="0"/>
        <v>2029</v>
      </c>
      <c r="AR2">
        <f t="shared" si="0"/>
        <v>2030</v>
      </c>
      <c r="AS2">
        <f t="shared" si="0"/>
        <v>2031</v>
      </c>
      <c r="AT2">
        <f t="shared" si="0"/>
        <v>2032</v>
      </c>
      <c r="AU2">
        <f t="shared" si="0"/>
        <v>2033</v>
      </c>
      <c r="AV2">
        <f t="shared" si="0"/>
        <v>2034</v>
      </c>
      <c r="AW2">
        <f t="shared" si="0"/>
        <v>2035</v>
      </c>
      <c r="AX2">
        <f t="shared" si="0"/>
        <v>2036</v>
      </c>
      <c r="AY2">
        <f t="shared" si="0"/>
        <v>2037</v>
      </c>
      <c r="AZ2">
        <f t="shared" si="0"/>
        <v>2038</v>
      </c>
      <c r="BA2">
        <f t="shared" si="0"/>
        <v>2039</v>
      </c>
      <c r="BB2">
        <f t="shared" si="0"/>
        <v>2040</v>
      </c>
    </row>
    <row r="3" spans="1:54" x14ac:dyDescent="0.25">
      <c r="B3" t="s">
        <v>58</v>
      </c>
      <c r="N3" s="4">
        <v>377.4</v>
      </c>
      <c r="Q3" s="2"/>
      <c r="R3" s="2"/>
      <c r="S3" s="2"/>
      <c r="T3" s="2"/>
      <c r="U3" s="2"/>
      <c r="V3" s="2"/>
    </row>
    <row r="4" spans="1:54" s="1" customFormat="1" x14ac:dyDescent="0.25">
      <c r="B4" s="1" t="s">
        <v>24</v>
      </c>
      <c r="C4" s="4"/>
      <c r="D4" s="4"/>
      <c r="E4" s="4"/>
      <c r="F4" s="4"/>
      <c r="G4" s="4"/>
      <c r="H4" s="4">
        <v>284.24799999999999</v>
      </c>
      <c r="I4" s="4">
        <v>263.11700000000002</v>
      </c>
      <c r="J4" s="4">
        <v>302.67899999999997</v>
      </c>
      <c r="K4" s="4">
        <v>310.298</v>
      </c>
      <c r="L4" s="4">
        <v>347.04399999999998</v>
      </c>
      <c r="M4" s="4">
        <v>366.48200000000003</v>
      </c>
      <c r="N4" s="4">
        <v>377.41899999999998</v>
      </c>
      <c r="O4" s="4">
        <v>363.4</v>
      </c>
      <c r="P4" s="4">
        <v>409.64600000000002</v>
      </c>
      <c r="Q4" s="1">
        <v>426.49700000000001</v>
      </c>
      <c r="R4" s="1">
        <v>429.33600000000001</v>
      </c>
      <c r="S4" s="1">
        <v>378.5</v>
      </c>
      <c r="T4" s="1">
        <v>437.58100000000002</v>
      </c>
      <c r="U4" s="1">
        <v>478.05900000000003</v>
      </c>
      <c r="V4" s="1">
        <v>515.23199999999997</v>
      </c>
      <c r="W4" s="1">
        <v>513.29999999999995</v>
      </c>
      <c r="AH4" s="1">
        <v>741.55</v>
      </c>
      <c r="AI4" s="1">
        <v>1077.2560000000001</v>
      </c>
      <c r="AJ4" s="1">
        <f>SUM(K4:N4)</f>
        <v>1401.2429999999999</v>
      </c>
      <c r="AK4" s="1">
        <f>SUM(O4:R4)</f>
        <v>1628.8790000000001</v>
      </c>
      <c r="AL4" s="1">
        <f>SUM(S4:V4)</f>
        <v>1809.3720000000001</v>
      </c>
      <c r="AM4" s="1">
        <f>+AL4*1.2</f>
        <v>2171.2464</v>
      </c>
      <c r="AN4" s="1">
        <f>+AM4*1.05</f>
        <v>2279.80872</v>
      </c>
      <c r="AO4" s="1">
        <f t="shared" ref="AO4:AR4" si="1">+AN4*1.05</f>
        <v>2393.799156</v>
      </c>
      <c r="AP4" s="1">
        <f t="shared" si="1"/>
        <v>2513.4891138000003</v>
      </c>
      <c r="AQ4" s="1">
        <f t="shared" si="1"/>
        <v>2639.1635694900006</v>
      </c>
      <c r="AR4" s="1">
        <f t="shared" si="1"/>
        <v>2771.1217479645006</v>
      </c>
    </row>
    <row r="5" spans="1:54" s="1" customFormat="1" x14ac:dyDescent="0.25">
      <c r="B5" s="1" t="s">
        <v>25</v>
      </c>
      <c r="C5" s="4"/>
      <c r="D5" s="4"/>
      <c r="E5" s="4"/>
      <c r="F5" s="4"/>
      <c r="G5" s="4"/>
      <c r="H5" s="4">
        <v>39.64</v>
      </c>
      <c r="I5" s="4">
        <v>49.694000000000003</v>
      </c>
      <c r="J5" s="4">
        <v>133.09399999999999</v>
      </c>
      <c r="K5" s="4">
        <v>32.067</v>
      </c>
      <c r="L5" s="4">
        <v>57.526000000000003</v>
      </c>
      <c r="M5" s="4">
        <v>34.384</v>
      </c>
      <c r="N5" s="4">
        <v>38.079000000000001</v>
      </c>
      <c r="O5" s="4">
        <v>38.292000000000002</v>
      </c>
      <c r="P5" s="4">
        <v>7.4550000000000001</v>
      </c>
      <c r="Q5" s="1">
        <v>3.056</v>
      </c>
      <c r="R5" s="1">
        <v>5.0869999999999997</v>
      </c>
      <c r="T5" s="1">
        <v>4.6109999999999998</v>
      </c>
      <c r="U5" s="1">
        <v>1.244</v>
      </c>
      <c r="V5" s="1">
        <v>2.1800000000000002</v>
      </c>
      <c r="AH5" s="1">
        <v>167.29499999999999</v>
      </c>
      <c r="AI5" s="1">
        <v>249.95599999999999</v>
      </c>
      <c r="AJ5" s="1">
        <v>162.05600000000001</v>
      </c>
      <c r="AK5" s="1">
        <f t="shared" ref="AK5:AK6" si="2">SUM(O5:R5)</f>
        <v>53.89</v>
      </c>
      <c r="AL5" s="1">
        <f t="shared" ref="AL5:AL6" si="3">SUM(S5:V5)</f>
        <v>8.0350000000000001</v>
      </c>
      <c r="AM5" s="1">
        <f>+AL5*1.3</f>
        <v>10.445500000000001</v>
      </c>
      <c r="AN5" s="1">
        <f t="shared" ref="AN4:AR6" si="4">+AM5*1.3</f>
        <v>13.579150000000002</v>
      </c>
      <c r="AO5" s="1">
        <f t="shared" si="4"/>
        <v>17.652895000000004</v>
      </c>
      <c r="AP5" s="1">
        <f t="shared" si="4"/>
        <v>22.948763500000005</v>
      </c>
      <c r="AQ5" s="1">
        <f t="shared" si="4"/>
        <v>29.833392550000006</v>
      </c>
      <c r="AR5" s="1">
        <f t="shared" si="4"/>
        <v>38.783410315000012</v>
      </c>
    </row>
    <row r="6" spans="1:54" s="1" customFormat="1" x14ac:dyDescent="0.25">
      <c r="B6" s="1" t="s">
        <v>26</v>
      </c>
      <c r="C6" s="4"/>
      <c r="D6" s="4"/>
      <c r="E6" s="4"/>
      <c r="F6" s="4"/>
      <c r="G6" s="4"/>
      <c r="H6" s="4">
        <v>61.829000000000001</v>
      </c>
      <c r="I6" s="4">
        <v>15.612</v>
      </c>
      <c r="J6" s="4">
        <v>15.367000000000001</v>
      </c>
      <c r="K6" s="4">
        <v>13.615</v>
      </c>
      <c r="L6" s="4">
        <v>14.856999999999999</v>
      </c>
      <c r="M6" s="4">
        <v>10.872</v>
      </c>
      <c r="N6" s="4">
        <v>8.4190000000000005</v>
      </c>
      <c r="O6" s="4">
        <v>7.0960000000000001</v>
      </c>
      <c r="P6" s="4">
        <v>52.747</v>
      </c>
      <c r="Q6" s="1">
        <v>42.366999999999997</v>
      </c>
      <c r="R6" s="1">
        <v>45.228999999999999</v>
      </c>
      <c r="S6" s="1">
        <v>46.703000000000003</v>
      </c>
      <c r="T6" s="1">
        <v>194.98599999999999</v>
      </c>
      <c r="U6" s="1">
        <v>60.238999999999997</v>
      </c>
      <c r="V6" s="1">
        <v>49.343000000000004</v>
      </c>
      <c r="W6" s="1">
        <v>42.164000000000001</v>
      </c>
      <c r="AH6" s="1">
        <v>78.692999999999998</v>
      </c>
      <c r="AI6" s="1">
        <v>107.758</v>
      </c>
      <c r="AJ6" s="1">
        <v>47.762999999999998</v>
      </c>
      <c r="AK6" s="1">
        <f t="shared" si="2"/>
        <v>147.43900000000002</v>
      </c>
      <c r="AL6" s="1">
        <f t="shared" si="3"/>
        <v>351.27100000000002</v>
      </c>
      <c r="AM6" s="1">
        <f>+AL6*1.3</f>
        <v>456.65230000000003</v>
      </c>
      <c r="AN6" s="1">
        <f t="shared" si="4"/>
        <v>593.64799000000005</v>
      </c>
      <c r="AO6" s="1">
        <f t="shared" si="4"/>
        <v>771.74238700000012</v>
      </c>
      <c r="AP6" s="1">
        <f t="shared" si="4"/>
        <v>1003.2651031000001</v>
      </c>
      <c r="AQ6" s="1">
        <f t="shared" si="4"/>
        <v>1304.2446340300003</v>
      </c>
      <c r="AR6" s="1">
        <f t="shared" si="4"/>
        <v>1695.5180242390004</v>
      </c>
    </row>
    <row r="7" spans="1:54" s="5" customFormat="1" ht="13" x14ac:dyDescent="0.3">
      <c r="B7" s="5" t="s">
        <v>8</v>
      </c>
      <c r="C7" s="6"/>
      <c r="D7" s="6"/>
      <c r="E7" s="6"/>
      <c r="F7" s="6"/>
      <c r="G7" s="6"/>
      <c r="H7" s="6">
        <f>+H4+H5+H6</f>
        <v>385.71699999999998</v>
      </c>
      <c r="I7" s="6">
        <f>+I4+I5+I6</f>
        <v>328.42300000000006</v>
      </c>
      <c r="J7" s="6">
        <f>+J4+J5+J6</f>
        <v>451.14</v>
      </c>
      <c r="K7" s="6">
        <f t="shared" ref="K7:M7" si="5">+K4+K5+K6</f>
        <v>355.98</v>
      </c>
      <c r="L7" s="6">
        <f t="shared" si="5"/>
        <v>419.42700000000002</v>
      </c>
      <c r="M7" s="6">
        <f t="shared" si="5"/>
        <v>411.73800000000006</v>
      </c>
      <c r="N7" s="6">
        <f>+N4+N5+N6</f>
        <v>423.91699999999997</v>
      </c>
      <c r="O7" s="6">
        <f>+O4+O5+O6</f>
        <v>408.78800000000001</v>
      </c>
      <c r="P7" s="6">
        <f>+P4+P5+P6</f>
        <v>469.84800000000001</v>
      </c>
      <c r="Q7" s="6">
        <f>+Q4+Q5+Q6</f>
        <v>471.92</v>
      </c>
      <c r="R7" s="6">
        <f>+R4+R5+R6</f>
        <v>479.65199999999999</v>
      </c>
      <c r="S7" s="6">
        <f>+S4+S5+S6</f>
        <v>425.20299999999997</v>
      </c>
      <c r="T7" s="6">
        <f>+T4+T5+T6</f>
        <v>637.178</v>
      </c>
      <c r="U7" s="6">
        <f>+U4+U5+U6</f>
        <v>539.54200000000003</v>
      </c>
      <c r="V7" s="6">
        <f>+V4+V5+V6</f>
        <v>566.75499999999988</v>
      </c>
      <c r="W7" s="6">
        <f>+W4+W5+W6</f>
        <v>555.46399999999994</v>
      </c>
      <c r="AH7" s="5">
        <f>+AH6+AH5+AH4</f>
        <v>987.53800000000001</v>
      </c>
      <c r="AI7" s="5">
        <f>+AI6+AI5+AI4</f>
        <v>1434.97</v>
      </c>
      <c r="AJ7" s="5">
        <f>+AJ6+AJ5+AJ4</f>
        <v>1611.0619999999999</v>
      </c>
      <c r="AK7" s="5">
        <f>+AK6+AK5+AK4</f>
        <v>1830.2080000000001</v>
      </c>
      <c r="AL7" s="5">
        <f>+AL6+AL5+AL4</f>
        <v>2168.6779999999999</v>
      </c>
      <c r="AM7" s="5">
        <f>+AM6+AM5+AM4</f>
        <v>2638.3442</v>
      </c>
      <c r="AN7" s="5">
        <f t="shared" ref="AN7" si="6">+AN6+AN5+AN4</f>
        <v>2887.03586</v>
      </c>
      <c r="AO7" s="5">
        <f t="shared" ref="AO7" si="7">+AO6+AO5+AO4</f>
        <v>3183.1944380000004</v>
      </c>
      <c r="AP7" s="5">
        <f t="shared" ref="AP7" si="8">+AP6+AP5+AP4</f>
        <v>3539.7029804000003</v>
      </c>
      <c r="AQ7" s="5">
        <f t="shared" ref="AQ7" si="9">+AQ6+AQ5+AQ4</f>
        <v>3973.2415960700009</v>
      </c>
      <c r="AR7" s="5">
        <f t="shared" ref="AR7" si="10">+AR6+AR5+AR4</f>
        <v>4505.4231825185016</v>
      </c>
    </row>
    <row r="8" spans="1:54" s="1" customFormat="1" x14ac:dyDescent="0.25">
      <c r="B8" s="1" t="s">
        <v>27</v>
      </c>
      <c r="C8" s="4"/>
      <c r="D8" s="4"/>
      <c r="E8" s="4"/>
      <c r="F8" s="4"/>
      <c r="G8" s="4"/>
      <c r="H8" s="4">
        <v>14.884</v>
      </c>
      <c r="I8" s="4">
        <v>11.874000000000001</v>
      </c>
      <c r="J8" s="4">
        <v>12.917</v>
      </c>
      <c r="K8" s="4">
        <v>13.202999999999999</v>
      </c>
      <c r="L8" s="4">
        <v>13.481</v>
      </c>
      <c r="M8" s="4">
        <v>15.305</v>
      </c>
      <c r="N8" s="4">
        <v>15.92</v>
      </c>
      <c r="O8" s="4">
        <v>14.315</v>
      </c>
      <c r="P8" s="4">
        <v>17.704999999999998</v>
      </c>
      <c r="Q8" s="1">
        <v>18.774000000000001</v>
      </c>
      <c r="R8" s="1">
        <v>21.753</v>
      </c>
      <c r="S8" s="1">
        <v>21.256</v>
      </c>
      <c r="T8" s="1">
        <v>17.667000000000002</v>
      </c>
      <c r="U8" s="1">
        <v>17.327999999999999</v>
      </c>
      <c r="V8" s="1">
        <v>19.965</v>
      </c>
      <c r="W8" s="1">
        <v>19.172000000000001</v>
      </c>
      <c r="AH8" s="1">
        <v>57.908999999999999</v>
      </c>
      <c r="AI8" s="1">
        <v>52.872999999999998</v>
      </c>
      <c r="AJ8" s="1">
        <v>57.908999999999999</v>
      </c>
      <c r="AK8" s="1">
        <f t="shared" ref="AK8" si="11">SUM(O8:R8)</f>
        <v>72.546999999999997</v>
      </c>
      <c r="AL8" s="1">
        <f t="shared" ref="AL8" si="12">SUM(S8:V8)</f>
        <v>76.216000000000008</v>
      </c>
      <c r="AM8" s="1">
        <f>+AM7*0.05</f>
        <v>131.91721000000001</v>
      </c>
      <c r="AN8" s="1">
        <f t="shared" ref="AN8" si="13">+AN7*0.05</f>
        <v>144.35179300000001</v>
      </c>
      <c r="AO8" s="1">
        <f t="shared" ref="AO8" si="14">+AO7*0.05</f>
        <v>159.15972190000002</v>
      </c>
      <c r="AP8" s="1">
        <f t="shared" ref="AP8" si="15">+AP7*0.05</f>
        <v>176.98514902000002</v>
      </c>
      <c r="AQ8" s="1">
        <f t="shared" ref="AQ8" si="16">+AQ7*0.05</f>
        <v>198.66207980350006</v>
      </c>
      <c r="AR8" s="1">
        <f t="shared" ref="AR8" si="17">+AR7*0.05</f>
        <v>225.2711591259251</v>
      </c>
    </row>
    <row r="9" spans="1:54" s="1" customFormat="1" x14ac:dyDescent="0.25">
      <c r="B9" s="1" t="s">
        <v>28</v>
      </c>
      <c r="C9" s="4"/>
      <c r="D9" s="4"/>
      <c r="E9" s="4"/>
      <c r="F9" s="4"/>
      <c r="G9" s="4"/>
      <c r="H9" s="4">
        <f>+H7-H8</f>
        <v>370.83299999999997</v>
      </c>
      <c r="I9" s="4">
        <f>+I7-I8</f>
        <v>316.54900000000004</v>
      </c>
      <c r="J9" s="4">
        <f>+J7-J8</f>
        <v>438.22300000000001</v>
      </c>
      <c r="K9" s="4">
        <f t="shared" ref="K9:M9" si="18">+K7-K8</f>
        <v>342.77700000000004</v>
      </c>
      <c r="L9" s="4">
        <f t="shared" si="18"/>
        <v>405.94600000000003</v>
      </c>
      <c r="M9" s="4">
        <f t="shared" si="18"/>
        <v>396.43300000000005</v>
      </c>
      <c r="N9" s="4">
        <f>+N7-N8</f>
        <v>407.99699999999996</v>
      </c>
      <c r="O9" s="4">
        <f>+O7-O8</f>
        <v>394.47300000000001</v>
      </c>
      <c r="P9" s="1">
        <f t="shared" ref="P9:Q9" si="19">+P7-P8</f>
        <v>452.14300000000003</v>
      </c>
      <c r="Q9" s="1">
        <f t="shared" si="19"/>
        <v>453.14600000000002</v>
      </c>
      <c r="R9" s="1">
        <f t="shared" ref="R9:V9" si="20">+R7-R8</f>
        <v>457.899</v>
      </c>
      <c r="S9" s="1">
        <f t="shared" si="20"/>
        <v>403.947</v>
      </c>
      <c r="T9" s="1">
        <f t="shared" si="20"/>
        <v>619.51099999999997</v>
      </c>
      <c r="U9" s="1">
        <f t="shared" si="20"/>
        <v>522.21400000000006</v>
      </c>
      <c r="V9" s="1">
        <f t="shared" si="20"/>
        <v>546.78999999999985</v>
      </c>
      <c r="W9" s="1">
        <f>+W7-W8</f>
        <v>536.29199999999992</v>
      </c>
      <c r="AH9" s="1">
        <f>+AH7-AH8</f>
        <v>929.62900000000002</v>
      </c>
      <c r="AI9" s="1">
        <f>+AI7-AI8</f>
        <v>1382.097</v>
      </c>
      <c r="AJ9" s="1">
        <f>+AJ7-AJ8</f>
        <v>1553.1529999999998</v>
      </c>
      <c r="AK9" s="1">
        <f>+AK7-AK8</f>
        <v>1757.6610000000001</v>
      </c>
      <c r="AL9" s="1">
        <f>+AL7-AL8</f>
        <v>2092.462</v>
      </c>
      <c r="AM9" s="1">
        <f>+AM7-AM8</f>
        <v>2506.4269899999999</v>
      </c>
      <c r="AN9" s="1">
        <f t="shared" ref="AN9" si="21">+AN7-AN8</f>
        <v>2742.6840670000001</v>
      </c>
      <c r="AO9" s="1">
        <f t="shared" ref="AO9" si="22">+AO7-AO8</f>
        <v>3024.0347161000004</v>
      </c>
      <c r="AP9" s="1">
        <f t="shared" ref="AP9" si="23">+AP7-AP8</f>
        <v>3362.7178313800005</v>
      </c>
      <c r="AQ9" s="1">
        <f t="shared" ref="AQ9" si="24">+AQ7-AQ8</f>
        <v>3774.5795162665008</v>
      </c>
      <c r="AR9" s="1">
        <f t="shared" ref="AR9" si="25">+AR7-AR8</f>
        <v>4280.1520233925767</v>
      </c>
    </row>
    <row r="10" spans="1:54" s="1" customFormat="1" x14ac:dyDescent="0.25">
      <c r="B10" s="1" t="s">
        <v>31</v>
      </c>
      <c r="C10" s="4"/>
      <c r="D10" s="4"/>
      <c r="E10" s="4"/>
      <c r="F10" s="4"/>
      <c r="G10" s="4"/>
      <c r="H10" s="4">
        <v>148.79</v>
      </c>
      <c r="I10" s="4">
        <v>163.37</v>
      </c>
      <c r="J10" s="4">
        <v>222.268</v>
      </c>
      <c r="K10" s="4">
        <v>156.67099999999999</v>
      </c>
      <c r="L10" s="4">
        <v>199.48099999999999</v>
      </c>
      <c r="M10" s="4">
        <v>198.83699999999999</v>
      </c>
      <c r="N10" s="4">
        <v>336.82400000000001</v>
      </c>
      <c r="O10" s="4">
        <v>234.24600000000001</v>
      </c>
      <c r="P10" s="4">
        <v>232.57</v>
      </c>
      <c r="Q10" s="1">
        <v>332.58499999999998</v>
      </c>
      <c r="R10" s="1">
        <v>244.67</v>
      </c>
      <c r="S10" s="1">
        <v>227.68899999999999</v>
      </c>
      <c r="T10" s="1">
        <v>211.14699999999999</v>
      </c>
      <c r="U10" s="1">
        <v>222.57</v>
      </c>
      <c r="V10" s="1">
        <v>249.00200000000001</v>
      </c>
      <c r="W10" s="1">
        <v>212.233</v>
      </c>
      <c r="AH10" s="1">
        <v>547.851</v>
      </c>
      <c r="AI10" s="1">
        <v>693.71600000000001</v>
      </c>
      <c r="AJ10" s="1">
        <v>891.81299999999999</v>
      </c>
      <c r="AK10" s="1">
        <f t="shared" ref="AK10:AK11" si="26">SUM(O10:R10)</f>
        <v>1044.0710000000001</v>
      </c>
      <c r="AL10" s="1">
        <f t="shared" ref="AL10:AL11" si="27">SUM(S10:V10)</f>
        <v>910.4079999999999</v>
      </c>
    </row>
    <row r="11" spans="1:54" s="1" customFormat="1" x14ac:dyDescent="0.25">
      <c r="B11" s="1" t="s">
        <v>32</v>
      </c>
      <c r="C11" s="4"/>
      <c r="D11" s="4"/>
      <c r="E11" s="4"/>
      <c r="F11" s="4"/>
      <c r="G11" s="4"/>
      <c r="H11" s="4">
        <v>98.495000000000005</v>
      </c>
      <c r="I11" s="4">
        <v>101.55800000000001</v>
      </c>
      <c r="J11" s="4">
        <v>99.311000000000007</v>
      </c>
      <c r="K11" s="4">
        <v>102.863</v>
      </c>
      <c r="L11" s="4">
        <v>122.759</v>
      </c>
      <c r="M11" s="4">
        <v>114.983</v>
      </c>
      <c r="N11" s="4">
        <v>119.251</v>
      </c>
      <c r="O11" s="4">
        <v>131.39699999999999</v>
      </c>
      <c r="P11" s="4">
        <v>141.72300000000001</v>
      </c>
      <c r="Q11" s="1">
        <v>138.14400000000001</v>
      </c>
      <c r="R11" s="1">
        <v>131.441</v>
      </c>
      <c r="S11" s="1">
        <v>113.98399999999999</v>
      </c>
      <c r="T11" s="1">
        <v>132.01499999999999</v>
      </c>
      <c r="U11" s="1">
        <v>111.801</v>
      </c>
      <c r="V11" s="1">
        <v>134.328</v>
      </c>
      <c r="W11" s="1">
        <v>137.18299999999999</v>
      </c>
      <c r="AH11" s="1">
        <v>293.35500000000002</v>
      </c>
      <c r="AI11" s="1">
        <v>401.71499999999997</v>
      </c>
      <c r="AJ11" s="1">
        <v>459.85599999999999</v>
      </c>
      <c r="AK11" s="1">
        <f t="shared" si="26"/>
        <v>542.70500000000004</v>
      </c>
      <c r="AL11" s="1">
        <f t="shared" si="27"/>
        <v>492.12799999999993</v>
      </c>
      <c r="AM11" s="1">
        <f>+AL11</f>
        <v>492.12799999999993</v>
      </c>
      <c r="AN11" s="1">
        <f t="shared" ref="AN11:AR11" si="28">+AM11</f>
        <v>492.12799999999993</v>
      </c>
      <c r="AO11" s="1">
        <f t="shared" si="28"/>
        <v>492.12799999999993</v>
      </c>
      <c r="AP11" s="1">
        <f t="shared" si="28"/>
        <v>492.12799999999993</v>
      </c>
      <c r="AQ11" s="1">
        <f t="shared" si="28"/>
        <v>492.12799999999993</v>
      </c>
      <c r="AR11" s="1">
        <f t="shared" si="28"/>
        <v>492.12799999999993</v>
      </c>
    </row>
    <row r="12" spans="1:54" s="1" customFormat="1" x14ac:dyDescent="0.25">
      <c r="B12" s="1" t="s">
        <v>29</v>
      </c>
      <c r="C12" s="4"/>
      <c r="D12" s="4"/>
      <c r="E12" s="4"/>
      <c r="F12" s="4"/>
      <c r="G12" s="4"/>
      <c r="H12" s="4">
        <f t="shared" ref="H12" si="29">+H10+H11</f>
        <v>247.285</v>
      </c>
      <c r="I12" s="4">
        <f t="shared" ref="I12" si="30">+I10+I11</f>
        <v>264.928</v>
      </c>
      <c r="J12" s="4">
        <f>+J10+J11</f>
        <v>321.57900000000001</v>
      </c>
      <c r="K12" s="4">
        <f t="shared" ref="K12:M12" si="31">+K10+K11</f>
        <v>259.53399999999999</v>
      </c>
      <c r="L12" s="4">
        <f t="shared" si="31"/>
        <v>322.24</v>
      </c>
      <c r="M12" s="4">
        <f t="shared" si="31"/>
        <v>313.82</v>
      </c>
      <c r="N12" s="4">
        <f>+N10+N11</f>
        <v>456.07500000000005</v>
      </c>
      <c r="O12" s="4">
        <f>+O10+O11</f>
        <v>365.64300000000003</v>
      </c>
      <c r="P12" s="1">
        <f t="shared" ref="P12" si="32">+P10+P11</f>
        <v>374.29300000000001</v>
      </c>
      <c r="Q12" s="1">
        <f t="shared" ref="Q12:R12" si="33">+Q10+Q11</f>
        <v>470.72899999999998</v>
      </c>
      <c r="R12" s="1">
        <f t="shared" si="33"/>
        <v>376.11099999999999</v>
      </c>
      <c r="S12" s="1">
        <f t="shared" ref="S12:V12" si="34">+S10+S11</f>
        <v>341.673</v>
      </c>
      <c r="T12" s="1">
        <f t="shared" si="34"/>
        <v>343.16199999999998</v>
      </c>
      <c r="U12" s="1">
        <f t="shared" si="34"/>
        <v>334.37099999999998</v>
      </c>
      <c r="V12" s="1">
        <f t="shared" si="34"/>
        <v>383.33000000000004</v>
      </c>
      <c r="W12" s="1">
        <f>+W10+W11</f>
        <v>349.416</v>
      </c>
      <c r="AH12" s="1">
        <f t="shared" ref="AH12:AI12" si="35">+AH10+AH11</f>
        <v>841.20600000000002</v>
      </c>
      <c r="AI12" s="1">
        <f t="shared" si="35"/>
        <v>1095.431</v>
      </c>
      <c r="AJ12" s="1">
        <f>+AJ10+AJ11</f>
        <v>1351.6689999999999</v>
      </c>
      <c r="AK12" s="1">
        <f>+AK10+AK11</f>
        <v>1586.7760000000003</v>
      </c>
      <c r="AL12" s="1">
        <f>+AL10+AL11</f>
        <v>1402.5359999999998</v>
      </c>
      <c r="AM12" s="1">
        <f>+AM10+AM11</f>
        <v>492.12799999999993</v>
      </c>
      <c r="AN12" s="1">
        <f t="shared" ref="AN12" si="36">+AN10+AN11</f>
        <v>492.12799999999993</v>
      </c>
      <c r="AO12" s="1">
        <f t="shared" ref="AO12" si="37">+AO10+AO11</f>
        <v>492.12799999999993</v>
      </c>
      <c r="AP12" s="1">
        <f t="shared" ref="AP12" si="38">+AP10+AP11</f>
        <v>492.12799999999993</v>
      </c>
      <c r="AQ12" s="1">
        <f t="shared" ref="AQ12" si="39">+AQ10+AQ11</f>
        <v>492.12799999999993</v>
      </c>
      <c r="AR12" s="1">
        <f t="shared" ref="AR12" si="40">+AR10+AR11</f>
        <v>492.12799999999993</v>
      </c>
    </row>
    <row r="13" spans="1:54" s="1" customFormat="1" x14ac:dyDescent="0.25">
      <c r="B13" s="1" t="s">
        <v>30</v>
      </c>
      <c r="C13" s="4"/>
      <c r="D13" s="4"/>
      <c r="E13" s="4"/>
      <c r="F13" s="4"/>
      <c r="G13" s="4"/>
      <c r="H13" s="4">
        <f t="shared" ref="H13" si="41">+H9-H12</f>
        <v>123.54799999999997</v>
      </c>
      <c r="I13" s="4">
        <f t="shared" ref="I13" si="42">+I9-I12</f>
        <v>51.621000000000038</v>
      </c>
      <c r="J13" s="4">
        <f>+J9-J12</f>
        <v>116.64400000000001</v>
      </c>
      <c r="K13" s="4">
        <f t="shared" ref="K13:M13" si="43">+K9-K12</f>
        <v>83.243000000000052</v>
      </c>
      <c r="L13" s="4">
        <f t="shared" si="43"/>
        <v>83.706000000000017</v>
      </c>
      <c r="M13" s="4">
        <f t="shared" si="43"/>
        <v>82.613000000000056</v>
      </c>
      <c r="N13" s="4">
        <f>+N9-N12</f>
        <v>-48.078000000000088</v>
      </c>
      <c r="O13" s="4">
        <f>+O9-O12</f>
        <v>28.829999999999984</v>
      </c>
      <c r="P13" s="1">
        <f t="shared" ref="P13" si="44">+P9-P12</f>
        <v>77.850000000000023</v>
      </c>
      <c r="Q13" s="1">
        <f t="shared" ref="Q13:R13" si="45">+Q9-Q12</f>
        <v>-17.58299999999997</v>
      </c>
      <c r="R13" s="1">
        <f t="shared" si="45"/>
        <v>81.788000000000011</v>
      </c>
      <c r="S13" s="1">
        <f t="shared" ref="S13:V13" si="46">+S9-S12</f>
        <v>62.274000000000001</v>
      </c>
      <c r="T13" s="1">
        <f t="shared" si="46"/>
        <v>276.34899999999999</v>
      </c>
      <c r="U13" s="1">
        <f t="shared" si="46"/>
        <v>187.84300000000007</v>
      </c>
      <c r="V13" s="1">
        <f t="shared" si="46"/>
        <v>163.45999999999981</v>
      </c>
      <c r="W13" s="1">
        <f>+W9-W12</f>
        <v>186.87599999999992</v>
      </c>
      <c r="AH13" s="1">
        <f t="shared" ref="AH13:AI13" si="47">+AH9-AH12</f>
        <v>88.423000000000002</v>
      </c>
      <c r="AI13" s="1">
        <f t="shared" si="47"/>
        <v>286.66599999999994</v>
      </c>
      <c r="AJ13" s="1">
        <f>+AJ9-AJ12</f>
        <v>201.48399999999992</v>
      </c>
      <c r="AK13" s="1">
        <f>+AK9-AK12</f>
        <v>170.88499999999976</v>
      </c>
      <c r="AL13" s="1">
        <f>+AL9-AL12</f>
        <v>689.92600000000016</v>
      </c>
      <c r="AM13" s="1">
        <f>+AM9-AM12</f>
        <v>2014.29899</v>
      </c>
      <c r="AN13" s="1">
        <f t="shared" ref="AN13" si="48">+AN9-AN12</f>
        <v>2250.5560670000004</v>
      </c>
      <c r="AO13" s="1">
        <f t="shared" ref="AO13" si="49">+AO9-AO12</f>
        <v>2531.9067161000003</v>
      </c>
      <c r="AP13" s="1">
        <f t="shared" ref="AP13" si="50">+AP9-AP12</f>
        <v>2870.5898313800008</v>
      </c>
      <c r="AQ13" s="1">
        <f t="shared" ref="AQ13" si="51">+AQ9-AQ12</f>
        <v>3282.4515162665011</v>
      </c>
      <c r="AR13" s="1">
        <f t="shared" ref="AR13" si="52">+AR9-AR12</f>
        <v>3788.024023392577</v>
      </c>
    </row>
    <row r="14" spans="1:54" s="1" customFormat="1" x14ac:dyDescent="0.25">
      <c r="B14" s="1" t="s">
        <v>44</v>
      </c>
      <c r="C14" s="4"/>
      <c r="D14" s="4"/>
      <c r="E14" s="4"/>
      <c r="F14" s="4"/>
      <c r="G14" s="4"/>
      <c r="H14" s="4">
        <v>1.891</v>
      </c>
      <c r="I14" s="4">
        <v>1.6579999999999999</v>
      </c>
      <c r="J14" s="4">
        <f>1.441-0.064</f>
        <v>1.377</v>
      </c>
      <c r="K14" s="4">
        <v>1.8220000000000001</v>
      </c>
      <c r="L14" s="4">
        <v>4.7569999999999997</v>
      </c>
      <c r="M14" s="4">
        <v>9.4979999999999993</v>
      </c>
      <c r="N14" s="4">
        <f>16.988-0.337</f>
        <v>16.651</v>
      </c>
      <c r="O14" s="4">
        <v>19.501999999999999</v>
      </c>
      <c r="P14" s="4">
        <v>22.541</v>
      </c>
      <c r="Q14" s="1">
        <v>23.111999999999998</v>
      </c>
      <c r="R14" s="1">
        <v>21.388000000000002</v>
      </c>
      <c r="S14" s="1">
        <v>19.893999999999998</v>
      </c>
      <c r="T14" s="1">
        <v>17.257999999999999</v>
      </c>
      <c r="U14" s="1">
        <v>18.709</v>
      </c>
      <c r="V14" s="1">
        <v>21.295000000000002</v>
      </c>
      <c r="W14" s="1">
        <v>19.076000000000001</v>
      </c>
      <c r="AK14" s="1">
        <f t="shared" ref="AK14" si="53">SUM(O14:R14)</f>
        <v>86.543000000000006</v>
      </c>
      <c r="AL14" s="1">
        <f t="shared" ref="AL14" si="54">SUM(S14:V14)</f>
        <v>77.156000000000006</v>
      </c>
      <c r="AM14" s="1">
        <f>+AL14</f>
        <v>77.156000000000006</v>
      </c>
      <c r="AN14" s="1">
        <f t="shared" ref="AN14:AR14" si="55">+AM14</f>
        <v>77.156000000000006</v>
      </c>
      <c r="AO14" s="1">
        <f t="shared" si="55"/>
        <v>77.156000000000006</v>
      </c>
      <c r="AP14" s="1">
        <f t="shared" si="55"/>
        <v>77.156000000000006</v>
      </c>
      <c r="AQ14" s="1">
        <f t="shared" si="55"/>
        <v>77.156000000000006</v>
      </c>
      <c r="AR14" s="1">
        <f t="shared" si="55"/>
        <v>77.156000000000006</v>
      </c>
    </row>
    <row r="15" spans="1:54" s="1" customFormat="1" x14ac:dyDescent="0.25">
      <c r="B15" s="1" t="s">
        <v>45</v>
      </c>
      <c r="C15" s="4"/>
      <c r="D15" s="4"/>
      <c r="E15" s="4"/>
      <c r="F15" s="4"/>
      <c r="G15" s="4"/>
      <c r="H15" s="4">
        <f>+H13+H14</f>
        <v>125.43899999999998</v>
      </c>
      <c r="I15" s="4">
        <f>+I13+I14</f>
        <v>53.279000000000039</v>
      </c>
      <c r="J15" s="4">
        <f>+J13+J14</f>
        <v>118.021</v>
      </c>
      <c r="K15" s="4">
        <f t="shared" ref="K15:M15" si="56">+K13+K14</f>
        <v>85.065000000000055</v>
      </c>
      <c r="L15" s="4">
        <f t="shared" si="56"/>
        <v>88.463000000000022</v>
      </c>
      <c r="M15" s="4">
        <f t="shared" si="56"/>
        <v>92.111000000000061</v>
      </c>
      <c r="N15" s="4">
        <f>+N13+N14</f>
        <v>-31.427000000000088</v>
      </c>
      <c r="O15" s="4">
        <f t="shared" ref="O15" si="57">+O13+O14</f>
        <v>48.331999999999979</v>
      </c>
      <c r="P15" s="1">
        <f t="shared" ref="P15:V15" si="58">+P13+P14</f>
        <v>100.39100000000002</v>
      </c>
      <c r="Q15" s="1">
        <f t="shared" si="58"/>
        <v>5.5290000000000283</v>
      </c>
      <c r="R15" s="1">
        <f t="shared" si="58"/>
        <v>103.17600000000002</v>
      </c>
      <c r="S15" s="1">
        <f t="shared" si="58"/>
        <v>82.168000000000006</v>
      </c>
      <c r="T15" s="1">
        <f t="shared" si="58"/>
        <v>293.60699999999997</v>
      </c>
      <c r="U15" s="1">
        <f t="shared" si="58"/>
        <v>206.55200000000008</v>
      </c>
      <c r="V15" s="1">
        <f t="shared" si="58"/>
        <v>184.75499999999982</v>
      </c>
      <c r="W15" s="1">
        <f>+W13+W14</f>
        <v>205.95199999999991</v>
      </c>
      <c r="AH15" s="1">
        <f t="shared" ref="AH15:AJ15" si="59">+AH13+AH14</f>
        <v>88.423000000000002</v>
      </c>
      <c r="AI15" s="1">
        <f t="shared" si="59"/>
        <v>286.66599999999994</v>
      </c>
      <c r="AJ15" s="1">
        <f t="shared" si="59"/>
        <v>201.48399999999992</v>
      </c>
      <c r="AK15" s="1">
        <f>+AK13+AK14</f>
        <v>257.42799999999977</v>
      </c>
      <c r="AL15" s="1">
        <f>+AL13+AL14</f>
        <v>767.08200000000011</v>
      </c>
      <c r="AM15" s="1">
        <f>+AM13+AM14</f>
        <v>2091.4549900000002</v>
      </c>
      <c r="AN15" s="1">
        <f t="shared" ref="AN15" si="60">+AN13+AN14</f>
        <v>2327.7120670000004</v>
      </c>
      <c r="AO15" s="1">
        <f t="shared" ref="AO15" si="61">+AO13+AO14</f>
        <v>2609.0627161000002</v>
      </c>
      <c r="AP15" s="1">
        <f t="shared" ref="AP15" si="62">+AP13+AP14</f>
        <v>2947.7458313800007</v>
      </c>
      <c r="AQ15" s="1">
        <f t="shared" ref="AQ15" si="63">+AQ13+AQ14</f>
        <v>3359.6075162665011</v>
      </c>
      <c r="AR15" s="1">
        <f t="shared" ref="AR15" si="64">+AR13+AR14</f>
        <v>3865.1800233925769</v>
      </c>
    </row>
    <row r="16" spans="1:54" s="1" customFormat="1" x14ac:dyDescent="0.25">
      <c r="B16" s="1" t="s">
        <v>46</v>
      </c>
      <c r="C16" s="4"/>
      <c r="D16" s="4"/>
      <c r="E16" s="4"/>
      <c r="F16" s="4"/>
      <c r="G16" s="4"/>
      <c r="H16" s="4">
        <v>28.795999999999999</v>
      </c>
      <c r="I16" s="4">
        <v>15.055999999999999</v>
      </c>
      <c r="J16" s="4">
        <v>22.855</v>
      </c>
      <c r="K16" s="4">
        <v>16.655999999999999</v>
      </c>
      <c r="L16" s="4">
        <v>17.835999999999999</v>
      </c>
      <c r="M16" s="4">
        <v>18.832000000000001</v>
      </c>
      <c r="N16" s="4">
        <v>0</v>
      </c>
      <c r="O16" s="4">
        <v>8.25</v>
      </c>
      <c r="P16" s="4">
        <v>19.207999999999998</v>
      </c>
      <c r="Q16" s="1">
        <v>4.7770000000000001</v>
      </c>
      <c r="R16" s="1">
        <v>17.521000000000001</v>
      </c>
      <c r="S16" s="1">
        <v>11.95</v>
      </c>
      <c r="T16" s="1">
        <v>66.728999999999999</v>
      </c>
      <c r="U16" s="1">
        <v>36.781999999999996</v>
      </c>
      <c r="V16" s="1">
        <v>44.911999999999999</v>
      </c>
      <c r="W16" s="1">
        <v>46.073999999999998</v>
      </c>
      <c r="AK16" s="1">
        <f t="shared" ref="AK16" si="65">SUM(O16:R16)</f>
        <v>49.756</v>
      </c>
      <c r="AL16" s="1">
        <f t="shared" ref="AL16" si="66">SUM(S16:V16)</f>
        <v>160.37299999999999</v>
      </c>
      <c r="AM16" s="1">
        <f>+AM15*0.2</f>
        <v>418.29099800000006</v>
      </c>
      <c r="AN16" s="1">
        <f t="shared" ref="AN16" si="67">+AN15*0.2</f>
        <v>465.5424134000001</v>
      </c>
      <c r="AO16" s="1">
        <f t="shared" ref="AO16" si="68">+AO15*0.2</f>
        <v>521.81254322000007</v>
      </c>
      <c r="AP16" s="1">
        <f t="shared" ref="AP16" si="69">+AP15*0.2</f>
        <v>589.54916627600016</v>
      </c>
      <c r="AQ16" s="1">
        <f t="shared" ref="AQ16" si="70">+AQ15*0.2</f>
        <v>671.92150325330022</v>
      </c>
      <c r="AR16" s="1">
        <f t="shared" ref="AR16" si="71">+AR15*0.2</f>
        <v>773.03600467851538</v>
      </c>
    </row>
    <row r="17" spans="2:44" s="1" customFormat="1" x14ac:dyDescent="0.25">
      <c r="B17" s="1" t="s">
        <v>42</v>
      </c>
      <c r="C17" s="4"/>
      <c r="D17" s="4"/>
      <c r="E17" s="4"/>
      <c r="F17" s="4"/>
      <c r="G17" s="4"/>
      <c r="H17" s="4">
        <f>+H15-H16</f>
        <v>96.642999999999972</v>
      </c>
      <c r="I17" s="4">
        <f>+I15-I16</f>
        <v>38.223000000000042</v>
      </c>
      <c r="J17" s="4">
        <f>+J15-J16</f>
        <v>95.165999999999997</v>
      </c>
      <c r="K17" s="4">
        <f t="shared" ref="K17:M17" si="72">+K15-K16</f>
        <v>68.409000000000049</v>
      </c>
      <c r="L17" s="4">
        <f t="shared" si="72"/>
        <v>70.627000000000024</v>
      </c>
      <c r="M17" s="4">
        <f t="shared" si="72"/>
        <v>73.279000000000053</v>
      </c>
      <c r="N17" s="4">
        <f>+N15-N16</f>
        <v>-31.427000000000088</v>
      </c>
      <c r="O17" s="4">
        <f>+O15-O16</f>
        <v>40.081999999999979</v>
      </c>
      <c r="P17" s="1">
        <f t="shared" ref="P17:V17" si="73">+P15-P16</f>
        <v>81.183000000000021</v>
      </c>
      <c r="Q17" s="1">
        <f t="shared" si="73"/>
        <v>0.7520000000000282</v>
      </c>
      <c r="R17" s="1">
        <f t="shared" si="73"/>
        <v>85.655000000000015</v>
      </c>
      <c r="S17" s="1">
        <f t="shared" si="73"/>
        <v>70.218000000000004</v>
      </c>
      <c r="T17" s="1">
        <f t="shared" si="73"/>
        <v>226.87799999999999</v>
      </c>
      <c r="U17" s="1">
        <f t="shared" si="73"/>
        <v>169.7700000000001</v>
      </c>
      <c r="V17" s="1">
        <f t="shared" si="73"/>
        <v>139.84299999999982</v>
      </c>
      <c r="W17" s="1">
        <f>+W15-W16</f>
        <v>159.87799999999993</v>
      </c>
      <c r="AH17" s="1">
        <f t="shared" ref="AH17:AJ17" si="74">+AH15-AH16</f>
        <v>88.423000000000002</v>
      </c>
      <c r="AI17" s="1">
        <f t="shared" si="74"/>
        <v>286.66599999999994</v>
      </c>
      <c r="AJ17" s="1">
        <f t="shared" si="74"/>
        <v>201.48399999999992</v>
      </c>
      <c r="AK17" s="1">
        <f>+AK15-AK16</f>
        <v>207.67199999999977</v>
      </c>
      <c r="AL17" s="1">
        <f>+AL15-AL16</f>
        <v>606.70900000000006</v>
      </c>
      <c r="AM17" s="1">
        <f>+AM15-AM16</f>
        <v>1673.1639920000002</v>
      </c>
      <c r="AN17" s="1">
        <f t="shared" ref="AN17" si="75">+AN15-AN16</f>
        <v>1862.1696536000004</v>
      </c>
      <c r="AO17" s="1">
        <f t="shared" ref="AO17" si="76">+AO15-AO16</f>
        <v>2087.2501728800003</v>
      </c>
      <c r="AP17" s="1">
        <f t="shared" ref="AP17" si="77">+AP15-AP16</f>
        <v>2358.1966651040007</v>
      </c>
      <c r="AQ17" s="1">
        <f t="shared" ref="AQ17" si="78">+AQ15-AQ16</f>
        <v>2687.6860130132009</v>
      </c>
      <c r="AR17" s="1">
        <f t="shared" ref="AR17" si="79">+AR15-AR16</f>
        <v>3092.1440187140615</v>
      </c>
    </row>
    <row r="18" spans="2:44" x14ac:dyDescent="0.25">
      <c r="B18" t="s">
        <v>43</v>
      </c>
      <c r="H18" s="15">
        <f>+H17/H19</f>
        <v>0.29925899777358705</v>
      </c>
      <c r="I18" s="15">
        <f>+I17/I19</f>
        <v>0.11869685922079871</v>
      </c>
      <c r="J18" s="15">
        <f>+J17/J19</f>
        <v>0.29439824782834662</v>
      </c>
      <c r="K18" s="15">
        <f>+K17/K19</f>
        <v>0.2116032404443085</v>
      </c>
      <c r="L18" s="15">
        <f>+L17/L19</f>
        <v>0.21737805628739573</v>
      </c>
      <c r="M18" s="15">
        <f>+M17/M19</f>
        <v>0.22542806691564193</v>
      </c>
      <c r="N18" s="15">
        <f>+N17/N19</f>
        <v>-9.7220159873289566E-2</v>
      </c>
      <c r="O18" s="15">
        <f>+O17/O19</f>
        <v>0.12284578535547792</v>
      </c>
      <c r="P18" s="17">
        <f t="shared" ref="P18:V18" si="80">+P17/P19</f>
        <v>0.24803470768854743</v>
      </c>
      <c r="Q18" s="17">
        <f t="shared" si="80"/>
        <v>2.3555428868557203E-3</v>
      </c>
      <c r="R18" s="17">
        <f t="shared" si="80"/>
        <v>0.27363803937729819</v>
      </c>
      <c r="S18" s="17">
        <f t="shared" si="80"/>
        <v>0.22982358524531146</v>
      </c>
      <c r="T18" s="17">
        <f t="shared" si="80"/>
        <v>0.7717621286236197</v>
      </c>
      <c r="U18" s="17">
        <f t="shared" si="80"/>
        <v>0.58244533035083301</v>
      </c>
      <c r="V18" s="17">
        <f t="shared" si="80"/>
        <v>0.47639211571610524</v>
      </c>
      <c r="W18" s="17">
        <f>+W17/W19</f>
        <v>0.55479097915517173</v>
      </c>
      <c r="AH18" s="17" t="e">
        <f t="shared" ref="AH18:AJ18" si="81">+AH17/AH19</f>
        <v>#DIV/0!</v>
      </c>
      <c r="AI18" s="17">
        <f t="shared" si="81"/>
        <v>0.8882267338277805</v>
      </c>
      <c r="AJ18" s="17">
        <f t="shared" si="81"/>
        <v>0.62161718144410194</v>
      </c>
      <c r="AK18" s="17">
        <f>+AK17/AK19</f>
        <v>0.64602046577605143</v>
      </c>
      <c r="AL18" s="17">
        <f>+AL17/AL19</f>
        <v>2.0487789229127551</v>
      </c>
      <c r="AM18" s="17">
        <f>+AM17/AM19</f>
        <v>5.6500614320640805</v>
      </c>
      <c r="AN18" s="17">
        <f t="shared" ref="AN18" si="82">+AN17/AN19</f>
        <v>6.2883094484891888</v>
      </c>
      <c r="AO18" s="17">
        <f t="shared" ref="AO18" si="83">+AO17/AO19</f>
        <v>7.0483776588818507</v>
      </c>
      <c r="AP18" s="17">
        <f t="shared" ref="AP18" si="84">+AP17/AP19</f>
        <v>7.9633294108843371</v>
      </c>
      <c r="AQ18" s="17">
        <f t="shared" ref="AQ18" si="85">+AQ17/AQ19</f>
        <v>9.0759729209041939</v>
      </c>
      <c r="AR18" s="17">
        <f t="shared" ref="AR18" si="86">+AR17/AR19</f>
        <v>10.441776027967466</v>
      </c>
    </row>
    <row r="19" spans="2:44" s="1" customFormat="1" x14ac:dyDescent="0.25">
      <c r="B19" s="1" t="s">
        <v>1</v>
      </c>
      <c r="C19" s="4"/>
      <c r="D19" s="4"/>
      <c r="E19" s="4"/>
      <c r="F19" s="4"/>
      <c r="G19" s="4"/>
      <c r="H19" s="4">
        <v>322.94099999999997</v>
      </c>
      <c r="I19" s="4">
        <v>322.02199999999999</v>
      </c>
      <c r="J19" s="4">
        <v>323.25599999999997</v>
      </c>
      <c r="K19" s="4">
        <v>323.28899999999999</v>
      </c>
      <c r="L19" s="4">
        <v>324.904</v>
      </c>
      <c r="M19" s="4">
        <v>325.06599999999997</v>
      </c>
      <c r="N19" s="4">
        <v>323.25599999999997</v>
      </c>
      <c r="O19" s="4">
        <v>326.279</v>
      </c>
      <c r="P19" s="4">
        <v>327.30500000000001</v>
      </c>
      <c r="Q19" s="1">
        <v>319.24700000000001</v>
      </c>
      <c r="R19" s="1">
        <v>313.02300000000002</v>
      </c>
      <c r="S19" s="1">
        <v>305.52999999999997</v>
      </c>
      <c r="T19" s="1">
        <v>293.97399999999999</v>
      </c>
      <c r="U19" s="1">
        <v>291.47800000000001</v>
      </c>
      <c r="V19" s="1">
        <v>293.54599999999999</v>
      </c>
      <c r="W19" s="1">
        <v>288.17700000000002</v>
      </c>
      <c r="AI19" s="1">
        <f>AVERAGE(G19:J19)</f>
        <v>322.73966666666666</v>
      </c>
      <c r="AJ19" s="1">
        <f>AVERAGE(K19:N19)</f>
        <v>324.12874999999997</v>
      </c>
      <c r="AK19" s="1">
        <f>AVERAGE(O19:R19)</f>
        <v>321.46350000000007</v>
      </c>
      <c r="AL19" s="1">
        <f>AVERAGE(S19:V19)</f>
        <v>296.13200000000001</v>
      </c>
      <c r="AM19" s="1">
        <f>+AL19</f>
        <v>296.13200000000001</v>
      </c>
      <c r="AN19" s="1">
        <f t="shared" ref="AN19:AR19" si="87">+AM19</f>
        <v>296.13200000000001</v>
      </c>
      <c r="AO19" s="1">
        <f t="shared" si="87"/>
        <v>296.13200000000001</v>
      </c>
      <c r="AP19" s="1">
        <f t="shared" si="87"/>
        <v>296.13200000000001</v>
      </c>
      <c r="AQ19" s="1">
        <f t="shared" si="87"/>
        <v>296.13200000000001</v>
      </c>
      <c r="AR19" s="1">
        <f t="shared" si="87"/>
        <v>296.13200000000001</v>
      </c>
    </row>
    <row r="21" spans="2:44" x14ac:dyDescent="0.25">
      <c r="B21" s="1" t="s">
        <v>78</v>
      </c>
      <c r="K21" s="18"/>
      <c r="L21" s="18">
        <f t="shared" ref="L21:L22" si="88">L4/H4-1</f>
        <v>0.22091976020939463</v>
      </c>
      <c r="M21" s="18">
        <f t="shared" ref="M21:M22" si="89">M4/I4-1</f>
        <v>0.39284804858675049</v>
      </c>
      <c r="N21" s="18">
        <f t="shared" ref="N21" si="90">N4/J4-1</f>
        <v>0.24692826393638145</v>
      </c>
      <c r="O21" s="18">
        <f t="shared" ref="O21:P21" si="91">O4/K4-1</f>
        <v>0.17113226640197476</v>
      </c>
      <c r="P21" s="18">
        <f>P4/L4-1</f>
        <v>0.18038634870506343</v>
      </c>
      <c r="Q21" s="18">
        <f t="shared" ref="Q21" si="92">Q4/M4-1</f>
        <v>0.16375974809131133</v>
      </c>
      <c r="R21" s="18">
        <f t="shared" ref="R21" si="93">R4/N4-1</f>
        <v>0.13755799257589052</v>
      </c>
      <c r="S21" s="18">
        <f t="shared" ref="S21" si="94">S4/O4-1</f>
        <v>4.1552008805723739E-2</v>
      </c>
      <c r="T21" s="18">
        <f t="shared" ref="T21:V21" si="95">T4/P4-1</f>
        <v>6.8193025197365476E-2</v>
      </c>
      <c r="U21" s="18">
        <f t="shared" si="95"/>
        <v>0.1208965127538999</v>
      </c>
      <c r="V21" s="18">
        <f t="shared" si="95"/>
        <v>0.20006708032869347</v>
      </c>
      <c r="W21" s="18">
        <f>W4/S4-1</f>
        <v>0.35614266842800513</v>
      </c>
    </row>
    <row r="22" spans="2:44" x14ac:dyDescent="0.25">
      <c r="K22" s="18"/>
      <c r="L22" s="18"/>
      <c r="M22" s="18"/>
      <c r="N22" s="18"/>
    </row>
  </sheetData>
  <hyperlinks>
    <hyperlink ref="A1" location="Main!A1" display="Main" xr:uid="{68C50480-4017-49B9-8F7C-F7008CCC1D43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B242F-D62E-4506-AAAA-E505F1D99D1C}">
  <dimension ref="A1:C6"/>
  <sheetViews>
    <sheetView zoomScale="175" zoomScaleNormal="175" workbookViewId="0">
      <selection activeCell="B5" sqref="B5"/>
    </sheetView>
  </sheetViews>
  <sheetFormatPr defaultRowHeight="12.5" x14ac:dyDescent="0.25"/>
  <cols>
    <col min="1" max="1" width="5" bestFit="1" customWidth="1"/>
    <col min="3" max="3" width="11.26953125" customWidth="1"/>
  </cols>
  <sheetData>
    <row r="1" spans="1:3" x14ac:dyDescent="0.25">
      <c r="A1" s="3" t="s">
        <v>7</v>
      </c>
    </row>
    <row r="2" spans="1:3" x14ac:dyDescent="0.25">
      <c r="B2" t="s">
        <v>33</v>
      </c>
      <c r="C2" t="s">
        <v>59</v>
      </c>
    </row>
    <row r="3" spans="1:3" x14ac:dyDescent="0.25">
      <c r="B3" t="s">
        <v>60</v>
      </c>
      <c r="C3" t="s">
        <v>61</v>
      </c>
    </row>
    <row r="4" spans="1:3" x14ac:dyDescent="0.25">
      <c r="B4" t="s">
        <v>35</v>
      </c>
      <c r="C4" t="s">
        <v>38</v>
      </c>
    </row>
    <row r="5" spans="1:3" x14ac:dyDescent="0.25">
      <c r="B5" t="s">
        <v>67</v>
      </c>
      <c r="C5" t="s">
        <v>69</v>
      </c>
    </row>
    <row r="6" spans="1:3" x14ac:dyDescent="0.25">
      <c r="C6" t="s">
        <v>68</v>
      </c>
    </row>
  </sheetData>
  <hyperlinks>
    <hyperlink ref="A1" location="Main!A1" display="Main" xr:uid="{45616041-BC20-424D-8E53-78E0CBFD325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Cabometyx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2023-02-14T15:39:12Z</dcterms:created>
  <dcterms:modified xsi:type="dcterms:W3CDTF">2025-06-04T19:39:28Z</dcterms:modified>
</cp:coreProperties>
</file>