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1F9648F-F61E-429E-8E3F-79009C8C6ACA}" xr6:coauthVersionLast="47" xr6:coauthVersionMax="47" xr10:uidLastSave="{00000000-0000-0000-0000-000000000000}"/>
  <bookViews>
    <workbookView xWindow="42150" yWindow="2920" windowWidth="22230" windowHeight="1424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32" i="2" l="1"/>
  <c r="CT32" i="2"/>
  <c r="CS32" i="2"/>
  <c r="CR32" i="2"/>
  <c r="CQ32" i="2"/>
  <c r="BR32" i="2"/>
  <c r="BQ32" i="2"/>
  <c r="BP32" i="2"/>
  <c r="CP32" i="2"/>
  <c r="CO45" i="2"/>
  <c r="BR37" i="2"/>
  <c r="BQ37" i="2"/>
  <c r="BP37" i="2"/>
  <c r="BR36" i="2"/>
  <c r="BQ36" i="2"/>
  <c r="BP36" i="2"/>
  <c r="BR35" i="2"/>
  <c r="BQ35" i="2"/>
  <c r="BP35" i="2"/>
  <c r="BR33" i="2"/>
  <c r="BR34" i="2"/>
  <c r="BQ34" i="2"/>
  <c r="BQ33" i="2" s="1"/>
  <c r="BP34" i="2"/>
  <c r="BP33" i="2" s="1"/>
  <c r="BR54" i="2"/>
  <c r="BQ54" i="2"/>
  <c r="BP54" i="2"/>
  <c r="BR51" i="2"/>
  <c r="BQ51" i="2"/>
  <c r="BP51" i="2"/>
  <c r="AY110" i="2"/>
  <c r="BO110" i="2"/>
  <c r="CH44" i="2"/>
  <c r="CH43" i="2"/>
  <c r="CH41" i="2"/>
  <c r="CH39" i="2"/>
  <c r="CH38" i="2"/>
  <c r="CH34" i="2"/>
  <c r="CG44" i="2"/>
  <c r="CG43" i="2"/>
  <c r="CG41" i="2"/>
  <c r="CG39" i="2"/>
  <c r="CG38" i="2"/>
  <c r="CG34" i="2"/>
  <c r="CF44" i="2"/>
  <c r="CF43" i="2"/>
  <c r="CF41" i="2"/>
  <c r="CF39" i="2"/>
  <c r="CF38" i="2"/>
  <c r="CF34" i="2"/>
  <c r="CD34" i="2"/>
  <c r="CE44" i="2"/>
  <c r="CE43" i="2"/>
  <c r="CE41" i="2"/>
  <c r="CE38" i="2"/>
  <c r="CE39" i="2" s="1"/>
  <c r="CD38" i="2"/>
  <c r="CD39" i="2" s="1"/>
  <c r="CD41" i="2" s="1"/>
  <c r="CD43" i="2" s="1"/>
  <c r="CD44" i="2" s="1"/>
  <c r="CE34" i="2"/>
  <c r="CO32" i="2"/>
  <c r="CN32" i="2"/>
  <c r="CM32" i="2"/>
  <c r="CM31" i="2"/>
  <c r="CM30" i="2"/>
  <c r="CM29" i="2"/>
  <c r="CN31" i="2"/>
  <c r="CN30" i="2"/>
  <c r="CN29" i="2"/>
  <c r="CO29" i="2"/>
  <c r="CO30" i="2"/>
  <c r="CO31" i="2"/>
  <c r="BV47" i="2"/>
  <c r="BW47" i="2"/>
  <c r="BX47" i="2"/>
  <c r="I38" i="2"/>
  <c r="I39" i="2" s="1"/>
  <c r="H38" i="2"/>
  <c r="H39" i="2" s="1"/>
  <c r="G38" i="2"/>
  <c r="G39" i="2" s="1"/>
  <c r="I34" i="2"/>
  <c r="H34" i="2"/>
  <c r="G34" i="2"/>
  <c r="I31" i="2"/>
  <c r="H31" i="2"/>
  <c r="BW32" i="2"/>
  <c r="BV32" i="2"/>
  <c r="BU32" i="2"/>
  <c r="BY38" i="2"/>
  <c r="BX38" i="2"/>
  <c r="BX32" i="2"/>
  <c r="BX34" i="2" s="1"/>
  <c r="BX39" i="2" s="1"/>
  <c r="BX41" i="2" s="1"/>
  <c r="BX43" i="2" s="1"/>
  <c r="BY32" i="2"/>
  <c r="BY34" i="2" s="1"/>
  <c r="BZ38" i="2"/>
  <c r="BZ32" i="2"/>
  <c r="BZ34" i="2" s="1"/>
  <c r="E32" i="2"/>
  <c r="D32" i="2"/>
  <c r="C32" i="2"/>
  <c r="F32" i="2"/>
  <c r="CA40" i="2"/>
  <c r="CA38" i="2"/>
  <c r="CB40" i="2"/>
  <c r="CB38" i="2"/>
  <c r="BZ47" i="2" l="1"/>
  <c r="BY47" i="2"/>
  <c r="BY39" i="2"/>
  <c r="BY41" i="2" s="1"/>
  <c r="BY43" i="2" s="1"/>
  <c r="BZ39" i="2"/>
  <c r="BZ41" i="2" s="1"/>
  <c r="BZ43" i="2" s="1"/>
  <c r="CC40" i="2"/>
  <c r="CC38" i="2"/>
  <c r="Q38" i="2"/>
  <c r="P38" i="2"/>
  <c r="O38" i="2"/>
  <c r="N38" i="2"/>
  <c r="M38" i="2"/>
  <c r="L38" i="2"/>
  <c r="K38" i="2"/>
  <c r="J38" i="2"/>
  <c r="R38" i="2"/>
  <c r="N31" i="2"/>
  <c r="N32" i="2" s="1"/>
  <c r="N34" i="2" s="1"/>
  <c r="J31" i="2"/>
  <c r="J32" i="2" s="1"/>
  <c r="J34" i="2" s="1"/>
  <c r="K31" i="2"/>
  <c r="K32" i="2"/>
  <c r="K34" i="2" s="1"/>
  <c r="L31" i="2"/>
  <c r="M31" i="2"/>
  <c r="M32" i="2" s="1"/>
  <c r="M34" i="2" s="1"/>
  <c r="O31" i="2"/>
  <c r="O32" i="2" s="1"/>
  <c r="O34" i="2" s="1"/>
  <c r="P31" i="2"/>
  <c r="P32" i="2" s="1"/>
  <c r="P34" i="2" s="1"/>
  <c r="Q31" i="2"/>
  <c r="Q32" i="2" s="1"/>
  <c r="Q34" i="2" s="1"/>
  <c r="R31" i="2"/>
  <c r="R32" i="2" s="1"/>
  <c r="R34" i="2" s="1"/>
  <c r="I32" i="2"/>
  <c r="H32" i="2"/>
  <c r="G32" i="2"/>
  <c r="V32" i="2"/>
  <c r="U32" i="2"/>
  <c r="T32" i="2"/>
  <c r="S32" i="2"/>
  <c r="Z32" i="2"/>
  <c r="Y32" i="2"/>
  <c r="X32" i="2"/>
  <c r="W32" i="2"/>
  <c r="AD32" i="2"/>
  <c r="AC32" i="2"/>
  <c r="AB32" i="2"/>
  <c r="AA32" i="2"/>
  <c r="AH32" i="2"/>
  <c r="AG32" i="2"/>
  <c r="AF32" i="2"/>
  <c r="AE32" i="2"/>
  <c r="AL32" i="2"/>
  <c r="AK32" i="2"/>
  <c r="AJ32" i="2"/>
  <c r="AI32" i="2"/>
  <c r="CA32" i="2"/>
  <c r="BO104" i="2"/>
  <c r="BO98" i="2"/>
  <c r="BO99" i="2" s="1"/>
  <c r="BO90" i="2"/>
  <c r="BO92" i="2" s="1"/>
  <c r="BO86" i="2"/>
  <c r="BO87" i="2" s="1"/>
  <c r="BO106" i="2" s="1"/>
  <c r="BO74" i="2"/>
  <c r="BO70" i="2"/>
  <c r="BO59" i="2"/>
  <c r="BO58" i="2" s="1"/>
  <c r="BR38" i="2"/>
  <c r="BQ38" i="2"/>
  <c r="BP38" i="2"/>
  <c r="BP45" i="2"/>
  <c r="BQ45" i="2" s="1"/>
  <c r="BR45" i="2" s="1"/>
  <c r="BO51" i="2"/>
  <c r="BN51" i="2"/>
  <c r="BM51" i="2"/>
  <c r="BL51" i="2"/>
  <c r="BO38" i="2"/>
  <c r="BO32" i="2"/>
  <c r="BO34" i="2" s="1"/>
  <c r="BO54" i="2" s="1"/>
  <c r="BF70" i="2"/>
  <c r="BF78" i="2" s="1"/>
  <c r="BF64" i="2"/>
  <c r="BF59" i="2"/>
  <c r="BJ70" i="2"/>
  <c r="BJ78" i="2" s="1"/>
  <c r="BJ59" i="2"/>
  <c r="BJ64" i="2"/>
  <c r="BI70" i="2"/>
  <c r="BI78" i="2" s="1"/>
  <c r="BI59" i="2"/>
  <c r="BI64" i="2"/>
  <c r="BH100" i="2"/>
  <c r="BI100" i="2" s="1"/>
  <c r="BJ100" i="2" s="1"/>
  <c r="BH95" i="2"/>
  <c r="BI95" i="2" s="1"/>
  <c r="BJ95" i="2" s="1"/>
  <c r="BH94" i="2"/>
  <c r="BI94" i="2" s="1"/>
  <c r="BH91" i="2"/>
  <c r="BI91" i="2" s="1"/>
  <c r="BJ91" i="2" s="1"/>
  <c r="BH84" i="2"/>
  <c r="BI84" i="2" s="1"/>
  <c r="BJ84" i="2" s="1"/>
  <c r="BH83" i="2"/>
  <c r="BI83" i="2" s="1"/>
  <c r="BJ83" i="2" s="1"/>
  <c r="BH82" i="2"/>
  <c r="BI82" i="2" s="1"/>
  <c r="BJ82" i="2" s="1"/>
  <c r="BH81" i="2"/>
  <c r="BI81" i="2" s="1"/>
  <c r="BH70" i="2"/>
  <c r="BH78" i="2" s="1"/>
  <c r="BH59" i="2"/>
  <c r="BH64" i="2"/>
  <c r="BG98" i="2"/>
  <c r="BG99" i="2" s="1"/>
  <c r="BG90" i="2"/>
  <c r="BH90" i="2" s="1"/>
  <c r="BI90" i="2" s="1"/>
  <c r="BJ90" i="2" s="1"/>
  <c r="BG89" i="2"/>
  <c r="BG86" i="2"/>
  <c r="BH86" i="2" s="1"/>
  <c r="BI86" i="2" s="1"/>
  <c r="BJ86" i="2" s="1"/>
  <c r="BG85" i="2"/>
  <c r="BG59" i="2"/>
  <c r="BG70" i="2"/>
  <c r="BG78" i="2" s="1"/>
  <c r="BG64" i="2"/>
  <c r="BM32" i="2"/>
  <c r="BL32" i="2"/>
  <c r="BN104" i="2"/>
  <c r="BM104" i="2"/>
  <c r="BL104" i="2"/>
  <c r="BN74" i="2"/>
  <c r="BN70" i="2"/>
  <c r="BN59" i="2"/>
  <c r="BN58" i="2" s="1"/>
  <c r="BM74" i="2"/>
  <c r="BM70" i="2"/>
  <c r="BM78" i="2" s="1"/>
  <c r="BM59" i="2"/>
  <c r="BM66" i="2" s="1"/>
  <c r="BL100" i="2"/>
  <c r="BM100" i="2" s="1"/>
  <c r="BL96" i="2"/>
  <c r="BM96" i="2" s="1"/>
  <c r="BN96" i="2" s="1"/>
  <c r="BL95" i="2"/>
  <c r="BM95" i="2" s="1"/>
  <c r="BN95" i="2" s="1"/>
  <c r="BL94" i="2"/>
  <c r="BL91" i="2"/>
  <c r="BM91" i="2" s="1"/>
  <c r="BN91" i="2" s="1"/>
  <c r="BL89" i="2"/>
  <c r="BL84" i="2"/>
  <c r="BM84" i="2" s="1"/>
  <c r="BN84" i="2" s="1"/>
  <c r="BL83" i="2"/>
  <c r="BM83" i="2" s="1"/>
  <c r="BN83" i="2" s="1"/>
  <c r="BL82" i="2"/>
  <c r="BM82" i="2" s="1"/>
  <c r="BN82" i="2" s="1"/>
  <c r="BL81" i="2"/>
  <c r="BL74" i="2"/>
  <c r="BL70" i="2"/>
  <c r="BL59" i="2"/>
  <c r="BL58" i="2" s="1"/>
  <c r="BR39" i="2" l="1"/>
  <c r="BR41" i="2" s="1"/>
  <c r="BR52" i="2"/>
  <c r="BQ39" i="2"/>
  <c r="BQ52" i="2"/>
  <c r="BP39" i="2"/>
  <c r="BP52" i="2"/>
  <c r="BR55" i="2"/>
  <c r="BQ41" i="2"/>
  <c r="BQ55" i="2"/>
  <c r="BP41" i="2"/>
  <c r="BP55" i="2"/>
  <c r="R39" i="2"/>
  <c r="CA34" i="2"/>
  <c r="CA39" i="2" s="1"/>
  <c r="CA41" i="2" s="1"/>
  <c r="CA43" i="2" s="1"/>
  <c r="CA44" i="2" s="1"/>
  <c r="CA47" i="2"/>
  <c r="CB31" i="2"/>
  <c r="CB32" i="2" s="1"/>
  <c r="CB34" i="2" s="1"/>
  <c r="CB39" i="2" s="1"/>
  <c r="CB41" i="2" s="1"/>
  <c r="CB43" i="2" s="1"/>
  <c r="CB44" i="2" s="1"/>
  <c r="L32" i="2"/>
  <c r="L34" i="2" s="1"/>
  <c r="L39" i="2" s="1"/>
  <c r="BL78" i="2"/>
  <c r="M39" i="2"/>
  <c r="P39" i="2"/>
  <c r="CC31" i="2"/>
  <c r="CC32" i="2" s="1"/>
  <c r="CC34" i="2" s="1"/>
  <c r="CC39" i="2" s="1"/>
  <c r="CC41" i="2" s="1"/>
  <c r="CC43" i="2" s="1"/>
  <c r="CC44" i="2" s="1"/>
  <c r="O39" i="2"/>
  <c r="J39" i="2"/>
  <c r="CB47" i="2"/>
  <c r="K39" i="2"/>
  <c r="N39" i="2"/>
  <c r="Q39" i="2"/>
  <c r="BN78" i="2"/>
  <c r="BG87" i="2"/>
  <c r="BG106" i="2" s="1"/>
  <c r="BM58" i="2"/>
  <c r="BO78" i="2"/>
  <c r="BG92" i="2"/>
  <c r="BG101" i="2" s="1"/>
  <c r="BL66" i="2"/>
  <c r="BO101" i="2"/>
  <c r="BO66" i="2"/>
  <c r="BO39" i="2"/>
  <c r="BH85" i="2"/>
  <c r="BI85" i="2" s="1"/>
  <c r="BJ85" i="2" s="1"/>
  <c r="BJ81" i="2"/>
  <c r="BH89" i="2"/>
  <c r="BN100" i="2"/>
  <c r="BM89" i="2"/>
  <c r="BM94" i="2"/>
  <c r="BJ94" i="2"/>
  <c r="BH98" i="2"/>
  <c r="BI98" i="2" s="1"/>
  <c r="BJ98" i="2" s="1"/>
  <c r="BN66" i="2"/>
  <c r="BM81" i="2"/>
  <c r="BQ47" i="2"/>
  <c r="BP47" i="2"/>
  <c r="BL38" i="2"/>
  <c r="BL34" i="2"/>
  <c r="BL54" i="2" s="1"/>
  <c r="BN38" i="2"/>
  <c r="BM38" i="2"/>
  <c r="BE31" i="2"/>
  <c r="BE15" i="2" s="1"/>
  <c r="BD31" i="2"/>
  <c r="BD32" i="2" s="1"/>
  <c r="BC31" i="2"/>
  <c r="BK51" i="2"/>
  <c r="BK98" i="2"/>
  <c r="BK90" i="2"/>
  <c r="BK86" i="2"/>
  <c r="BL86" i="2" s="1"/>
  <c r="BM86" i="2" s="1"/>
  <c r="BN86" i="2" s="1"/>
  <c r="BK85" i="2"/>
  <c r="BK74" i="2"/>
  <c r="BK70" i="2"/>
  <c r="BK59" i="2"/>
  <c r="BK66" i="2" s="1"/>
  <c r="BJ66" i="2"/>
  <c r="BI66" i="2"/>
  <c r="BH66" i="2"/>
  <c r="BG66" i="2"/>
  <c r="BF66" i="2"/>
  <c r="BJ58" i="2"/>
  <c r="BI58" i="2"/>
  <c r="BH58" i="2"/>
  <c r="BK104" i="2"/>
  <c r="BK38" i="2"/>
  <c r="BO52" i="2" s="1"/>
  <c r="BJ104" i="2"/>
  <c r="BI104" i="2"/>
  <c r="BH104" i="2"/>
  <c r="BJ51" i="2"/>
  <c r="BI51" i="2"/>
  <c r="BK32" i="2"/>
  <c r="BH51" i="2"/>
  <c r="BG51" i="2"/>
  <c r="BH37" i="2"/>
  <c r="BG104" i="2"/>
  <c r="BF104" i="2"/>
  <c r="BG14" i="2"/>
  <c r="BG15" i="2"/>
  <c r="AW7" i="2"/>
  <c r="AV7" i="2"/>
  <c r="AU7" i="2"/>
  <c r="AZ7" i="2"/>
  <c r="AY7" i="2"/>
  <c r="AX7" i="2"/>
  <c r="BD7" i="2"/>
  <c r="BC7" i="2"/>
  <c r="BB7" i="2"/>
  <c r="BA7" i="2"/>
  <c r="BE7" i="2"/>
  <c r="CM51" i="2"/>
  <c r="BF15" i="2"/>
  <c r="BF14" i="2"/>
  <c r="BF11" i="2"/>
  <c r="BF34" i="2"/>
  <c r="CD32" i="2"/>
  <c r="CE32" i="2"/>
  <c r="CH45" i="2"/>
  <c r="BG37" i="2"/>
  <c r="BG36" i="2"/>
  <c r="BG35" i="2"/>
  <c r="BE104" i="2"/>
  <c r="BE100" i="2"/>
  <c r="BF100" i="2" s="1"/>
  <c r="BD113" i="2"/>
  <c r="BC113" i="2"/>
  <c r="BB113" i="2"/>
  <c r="BE113" i="2"/>
  <c r="BE97" i="2"/>
  <c r="BE95" i="2"/>
  <c r="BF95" i="2" s="1"/>
  <c r="BE94" i="2"/>
  <c r="BF94" i="2" s="1"/>
  <c r="BE91" i="2"/>
  <c r="BF91" i="2" s="1"/>
  <c r="BE85" i="2"/>
  <c r="BF85" i="2" s="1"/>
  <c r="BE84" i="2"/>
  <c r="BF84" i="2" s="1"/>
  <c r="BE83" i="2"/>
  <c r="BF83" i="2" s="1"/>
  <c r="BE82" i="2"/>
  <c r="BF82" i="2" s="1"/>
  <c r="BE81" i="2"/>
  <c r="BF81" i="2" s="1"/>
  <c r="BE70" i="2"/>
  <c r="BE78" i="2" s="1"/>
  <c r="BE64" i="2"/>
  <c r="BE59" i="2"/>
  <c r="CM35" i="2"/>
  <c r="CN35" i="2" s="1"/>
  <c r="CO35" i="2" s="1"/>
  <c r="CP35" i="2" s="1"/>
  <c r="CQ35" i="2" s="1"/>
  <c r="CR35" i="2" s="1"/>
  <c r="BA70" i="2"/>
  <c r="BA78" i="2" s="1"/>
  <c r="BA64" i="2"/>
  <c r="BA59" i="2"/>
  <c r="AM42" i="2"/>
  <c r="AM38" i="2"/>
  <c r="CJ37" i="2"/>
  <c r="CJ38" i="2" s="1"/>
  <c r="AR37" i="2"/>
  <c r="AR38" i="2" s="1"/>
  <c r="AQ37" i="2"/>
  <c r="AQ38" i="2" s="1"/>
  <c r="AM32" i="2"/>
  <c r="AM34" i="2" s="1"/>
  <c r="AM54" i="2" s="1"/>
  <c r="AQ32" i="2"/>
  <c r="AQ34" i="2" s="1"/>
  <c r="AQ54" i="2" s="1"/>
  <c r="AN38" i="2"/>
  <c r="AN32" i="2"/>
  <c r="AN34" i="2" s="1"/>
  <c r="AN54" i="2" s="1"/>
  <c r="AO38" i="2"/>
  <c r="AS38" i="2"/>
  <c r="AO32" i="2"/>
  <c r="AO34" i="2" s="1"/>
  <c r="AO54" i="2" s="1"/>
  <c r="CI42" i="2"/>
  <c r="CI38" i="2"/>
  <c r="AY48" i="2"/>
  <c r="AP38" i="2"/>
  <c r="AT38" i="2"/>
  <c r="CI32" i="2"/>
  <c r="CI34" i="2" s="1"/>
  <c r="CI54" i="2" s="1"/>
  <c r="CH32" i="2"/>
  <c r="CG32" i="2"/>
  <c r="CF32" i="2"/>
  <c r="AS32" i="2"/>
  <c r="AW47" i="2" s="1"/>
  <c r="AR32" i="2"/>
  <c r="AV47" i="2" s="1"/>
  <c r="AP32" i="2"/>
  <c r="AP34" i="2" s="1"/>
  <c r="AP54" i="2" s="1"/>
  <c r="AT32" i="2"/>
  <c r="AX47" i="2" s="1"/>
  <c r="BD104" i="2"/>
  <c r="BC104" i="2"/>
  <c r="AZ100" i="2"/>
  <c r="BA100" i="2" s="1"/>
  <c r="AZ95" i="2"/>
  <c r="BA95" i="2" s="1"/>
  <c r="AZ94" i="2"/>
  <c r="BA94" i="2" s="1"/>
  <c r="AZ91" i="2"/>
  <c r="BA91" i="2" s="1"/>
  <c r="AZ89" i="2"/>
  <c r="BA89" i="2" s="1"/>
  <c r="AZ85" i="2"/>
  <c r="BA85" i="2" s="1"/>
  <c r="AZ84" i="2"/>
  <c r="BA84" i="2" s="1"/>
  <c r="AZ83" i="2"/>
  <c r="BA83" i="2" s="1"/>
  <c r="AZ82" i="2"/>
  <c r="BA82" i="2" s="1"/>
  <c r="AZ81" i="2"/>
  <c r="BA81" i="2" s="1"/>
  <c r="AZ70" i="2"/>
  <c r="AZ78" i="2" s="1"/>
  <c r="AZ64" i="2"/>
  <c r="AZ59" i="2"/>
  <c r="AY98" i="2"/>
  <c r="AY99" i="2" s="1"/>
  <c r="AY90" i="2"/>
  <c r="AY92" i="2" s="1"/>
  <c r="AY86" i="2"/>
  <c r="AY87" i="2" s="1"/>
  <c r="AY106" i="2" s="1"/>
  <c r="AY70" i="2"/>
  <c r="AY78" i="2" s="1"/>
  <c r="AY64" i="2"/>
  <c r="AY59" i="2"/>
  <c r="BE48" i="2"/>
  <c r="BE51" i="2"/>
  <c r="BF51" i="2"/>
  <c r="BD48" i="2"/>
  <c r="BD98" i="2"/>
  <c r="BD99" i="2" s="1"/>
  <c r="BD90" i="2"/>
  <c r="BD89" i="2"/>
  <c r="BD86" i="2"/>
  <c r="BD87" i="2" s="1"/>
  <c r="BD70" i="2"/>
  <c r="BD78" i="2" s="1"/>
  <c r="BD64" i="2"/>
  <c r="BD59" i="2"/>
  <c r="BD51" i="2"/>
  <c r="BR43" i="2" l="1"/>
  <c r="BR56" i="2"/>
  <c r="BQ43" i="2"/>
  <c r="BQ56" i="2"/>
  <c r="BP43" i="2"/>
  <c r="BP56" i="2"/>
  <c r="CD47" i="2"/>
  <c r="CC47" i="2"/>
  <c r="BH87" i="2"/>
  <c r="BH106" i="2" s="1"/>
  <c r="BA66" i="2"/>
  <c r="BI87" i="2"/>
  <c r="BJ87" i="2"/>
  <c r="CE47" i="2"/>
  <c r="BK78" i="2"/>
  <c r="CF47" i="2"/>
  <c r="CH47" i="2"/>
  <c r="CG47" i="2"/>
  <c r="BD47" i="2"/>
  <c r="BO47" i="2"/>
  <c r="BO41" i="2"/>
  <c r="BO55" i="2"/>
  <c r="BH92" i="2"/>
  <c r="BI89" i="2"/>
  <c r="BI106" i="2" s="1"/>
  <c r="BE66" i="2"/>
  <c r="BK92" i="2"/>
  <c r="BL90" i="2"/>
  <c r="BK87" i="2"/>
  <c r="BK106" i="2" s="1"/>
  <c r="BL85" i="2"/>
  <c r="BN94" i="2"/>
  <c r="BN89" i="2"/>
  <c r="BK99" i="2"/>
  <c r="BL98" i="2"/>
  <c r="BJ99" i="2"/>
  <c r="BH99" i="2"/>
  <c r="BI99" i="2"/>
  <c r="BN81" i="2"/>
  <c r="BL39" i="2"/>
  <c r="BL55" i="2" s="1"/>
  <c r="BD92" i="2"/>
  <c r="BD101" i="2" s="1"/>
  <c r="BK58" i="2"/>
  <c r="BG16" i="2"/>
  <c r="BK34" i="2"/>
  <c r="BF16" i="2"/>
  <c r="BD66" i="2"/>
  <c r="BH32" i="2"/>
  <c r="BD106" i="2"/>
  <c r="CI47" i="2"/>
  <c r="BH38" i="2"/>
  <c r="BL52" i="2" s="1"/>
  <c r="BI38" i="2"/>
  <c r="BM52" i="2" s="1"/>
  <c r="BA58" i="2"/>
  <c r="BE58" i="2"/>
  <c r="BI32" i="2"/>
  <c r="BE14" i="2"/>
  <c r="BE32" i="2"/>
  <c r="BD58" i="2"/>
  <c r="BG38" i="2"/>
  <c r="BK52" i="2" s="1"/>
  <c r="BD14" i="2"/>
  <c r="AQ47" i="2"/>
  <c r="BD15" i="2"/>
  <c r="BE16" i="2" s="1"/>
  <c r="AS47" i="2"/>
  <c r="AT47" i="2"/>
  <c r="AR47" i="2"/>
  <c r="AM39" i="2"/>
  <c r="AQ39" i="2"/>
  <c r="AT34" i="2"/>
  <c r="AT54" i="2" s="1"/>
  <c r="AR34" i="2"/>
  <c r="AR54" i="2" s="1"/>
  <c r="AN39" i="2"/>
  <c r="AZ86" i="2"/>
  <c r="AZ90" i="2"/>
  <c r="BA90" i="2" s="1"/>
  <c r="BA92" i="2" s="1"/>
  <c r="AS34" i="2"/>
  <c r="AS54" i="2" s="1"/>
  <c r="AY66" i="2"/>
  <c r="AO39" i="2"/>
  <c r="BD34" i="2"/>
  <c r="BD11" i="2"/>
  <c r="CI39" i="2"/>
  <c r="AP39" i="2"/>
  <c r="AY101" i="2"/>
  <c r="AZ66" i="2"/>
  <c r="AZ98" i="2"/>
  <c r="AV38" i="2"/>
  <c r="AU38" i="2"/>
  <c r="BG40" i="2"/>
  <c r="AW38" i="2"/>
  <c r="BB99" i="2"/>
  <c r="BB90" i="2"/>
  <c r="BB92" i="2" s="1"/>
  <c r="BB86" i="2"/>
  <c r="BB87" i="2" s="1"/>
  <c r="BB106" i="2" s="1"/>
  <c r="AX70" i="2"/>
  <c r="AX78" i="2" s="1"/>
  <c r="BB70" i="2"/>
  <c r="BB78" i="2" s="1"/>
  <c r="BB64" i="2"/>
  <c r="BB59" i="2"/>
  <c r="AX64" i="2"/>
  <c r="AX59" i="2"/>
  <c r="CK51" i="2"/>
  <c r="CL51" i="2"/>
  <c r="CL32" i="2"/>
  <c r="CK32" i="2"/>
  <c r="CJ32" i="2"/>
  <c r="BB51" i="2"/>
  <c r="BC51" i="2"/>
  <c r="CM37" i="2"/>
  <c r="CN37" i="2" s="1"/>
  <c r="CO37" i="2" s="1"/>
  <c r="CP37" i="2" s="1"/>
  <c r="CQ37" i="2" s="1"/>
  <c r="CR37" i="2" s="1"/>
  <c r="CS37" i="2" s="1"/>
  <c r="CT37" i="2" s="1"/>
  <c r="CU37" i="2" s="1"/>
  <c r="CM36" i="2"/>
  <c r="CN36" i="2" s="1"/>
  <c r="CO36" i="2" s="1"/>
  <c r="CP36" i="2" s="1"/>
  <c r="CQ36" i="2" s="1"/>
  <c r="CR36" i="2" s="1"/>
  <c r="CS36" i="2" s="1"/>
  <c r="CT36" i="2" s="1"/>
  <c r="CU36" i="2" s="1"/>
  <c r="CL38" i="2"/>
  <c r="CK38" i="2"/>
  <c r="CG2" i="2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AX38" i="2"/>
  <c r="AX34" i="2"/>
  <c r="AX54" i="2" s="1"/>
  <c r="AW34" i="2"/>
  <c r="AW54" i="2" s="1"/>
  <c r="AV34" i="2"/>
  <c r="AV54" i="2" s="1"/>
  <c r="BB34" i="2"/>
  <c r="BB54" i="2" s="1"/>
  <c r="BA34" i="2"/>
  <c r="BA54" i="2" s="1"/>
  <c r="AZ34" i="2"/>
  <c r="AZ54" i="2" s="1"/>
  <c r="BB38" i="2"/>
  <c r="BA38" i="2"/>
  <c r="AZ38" i="2"/>
  <c r="AY38" i="2"/>
  <c r="AZ47" i="2"/>
  <c r="BB48" i="2"/>
  <c r="BA48" i="2"/>
  <c r="AZ48" i="2"/>
  <c r="BB47" i="2"/>
  <c r="BA47" i="2"/>
  <c r="BB31" i="2"/>
  <c r="BJ32" i="2" s="1"/>
  <c r="BA31" i="2"/>
  <c r="AZ31" i="2"/>
  <c r="AZ15" i="2" s="1"/>
  <c r="AY31" i="2"/>
  <c r="AY32" i="2" s="1"/>
  <c r="AX31" i="2"/>
  <c r="AX15" i="2" s="1"/>
  <c r="AW31" i="2"/>
  <c r="AW15" i="2" s="1"/>
  <c r="AV31" i="2"/>
  <c r="AV15" i="2" s="1"/>
  <c r="AU31" i="2"/>
  <c r="AU15" i="2" s="1"/>
  <c r="BB11" i="2"/>
  <c r="BA11" i="2"/>
  <c r="AZ11" i="2"/>
  <c r="AX11" i="2"/>
  <c r="AW11" i="2"/>
  <c r="AV11" i="2"/>
  <c r="BC48" i="2"/>
  <c r="M4" i="1"/>
  <c r="M7" i="1" s="1"/>
  <c r="BC98" i="2"/>
  <c r="BC89" i="2"/>
  <c r="BE89" i="2" s="1"/>
  <c r="BF89" i="2" s="1"/>
  <c r="BC90" i="2"/>
  <c r="BE90" i="2" s="1"/>
  <c r="BF90" i="2" s="1"/>
  <c r="BC86" i="2"/>
  <c r="BC87" i="2" s="1"/>
  <c r="BC70" i="2"/>
  <c r="BC78" i="2" s="1"/>
  <c r="BC64" i="2"/>
  <c r="BC59" i="2"/>
  <c r="BC58" i="2" s="1"/>
  <c r="BC38" i="2"/>
  <c r="BK101" i="2" l="1"/>
  <c r="BH101" i="2"/>
  <c r="BL110" i="2"/>
  <c r="AZ110" i="2"/>
  <c r="BA110" i="2"/>
  <c r="BB110" i="2"/>
  <c r="BE116" i="2"/>
  <c r="BL47" i="2"/>
  <c r="BK110" i="2"/>
  <c r="BN32" i="2"/>
  <c r="BN34" i="2" s="1"/>
  <c r="BN54" i="2" s="1"/>
  <c r="BM110" i="2"/>
  <c r="BO43" i="2"/>
  <c r="BO56" i="2"/>
  <c r="BI92" i="2"/>
  <c r="BI101" i="2" s="1"/>
  <c r="BJ89" i="2"/>
  <c r="BM85" i="2"/>
  <c r="BL87" i="2"/>
  <c r="BL106" i="2" s="1"/>
  <c r="BF92" i="2"/>
  <c r="BM90" i="2"/>
  <c r="BL92" i="2"/>
  <c r="BM98" i="2"/>
  <c r="BL99" i="2"/>
  <c r="BL101" i="2" s="1"/>
  <c r="BL41" i="2"/>
  <c r="BL56" i="2" s="1"/>
  <c r="BI34" i="2"/>
  <c r="BM34" i="2"/>
  <c r="BM54" i="2" s="1"/>
  <c r="BK39" i="2"/>
  <c r="BK54" i="2"/>
  <c r="BH34" i="2"/>
  <c r="BB52" i="2"/>
  <c r="AQ41" i="2"/>
  <c r="AQ43" i="2" s="1"/>
  <c r="AQ44" i="2" s="1"/>
  <c r="AQ55" i="2"/>
  <c r="AM41" i="2"/>
  <c r="AM43" i="2" s="1"/>
  <c r="AM44" i="2" s="1"/>
  <c r="AM55" i="2"/>
  <c r="AO41" i="2"/>
  <c r="AO43" i="2" s="1"/>
  <c r="AO44" i="2" s="1"/>
  <c r="AO55" i="2"/>
  <c r="AN41" i="2"/>
  <c r="AN56" i="2" s="1"/>
  <c r="AN55" i="2"/>
  <c r="CI41" i="2"/>
  <c r="CI43" i="2" s="1"/>
  <c r="CI44" i="2" s="1"/>
  <c r="CI55" i="2"/>
  <c r="AP41" i="2"/>
  <c r="AP56" i="2" s="1"/>
  <c r="AP55" i="2"/>
  <c r="BA52" i="2"/>
  <c r="BJ38" i="2"/>
  <c r="BN52" i="2" s="1"/>
  <c r="BC52" i="2"/>
  <c r="BG52" i="2"/>
  <c r="BC106" i="2"/>
  <c r="AS39" i="2"/>
  <c r="BH47" i="2"/>
  <c r="BJ34" i="2"/>
  <c r="BJ54" i="2" s="1"/>
  <c r="BC99" i="2"/>
  <c r="BE98" i="2"/>
  <c r="BB66" i="2"/>
  <c r="BB58" i="2"/>
  <c r="BI47" i="2"/>
  <c r="BA12" i="2"/>
  <c r="BE86" i="2"/>
  <c r="BE92" i="2"/>
  <c r="AZ92" i="2"/>
  <c r="BC14" i="2"/>
  <c r="BG32" i="2"/>
  <c r="BG110" i="2" s="1"/>
  <c r="AZ87" i="2"/>
  <c r="AZ106" i="2" s="1"/>
  <c r="BA86" i="2"/>
  <c r="BA87" i="2" s="1"/>
  <c r="BA106" i="2" s="1"/>
  <c r="AZ99" i="2"/>
  <c r="BA98" i="2"/>
  <c r="BA99" i="2" s="1"/>
  <c r="AT39" i="2"/>
  <c r="AR39" i="2"/>
  <c r="CK34" i="2"/>
  <c r="CK54" i="2" s="1"/>
  <c r="CK47" i="2"/>
  <c r="CJ34" i="2"/>
  <c r="CJ47" i="2"/>
  <c r="BA15" i="2"/>
  <c r="BA16" i="2" s="1"/>
  <c r="BE17" i="2" s="1"/>
  <c r="BE47" i="2"/>
  <c r="BB15" i="2"/>
  <c r="BJ47" i="2"/>
  <c r="BD38" i="2"/>
  <c r="CL59" i="2"/>
  <c r="AX66" i="2"/>
  <c r="CL47" i="2"/>
  <c r="BE38" i="2"/>
  <c r="BD54" i="2"/>
  <c r="BC32" i="2"/>
  <c r="BB101" i="2"/>
  <c r="AU32" i="2"/>
  <c r="CL34" i="2"/>
  <c r="CL54" i="2" s="1"/>
  <c r="AW39" i="2"/>
  <c r="BA14" i="2"/>
  <c r="AY15" i="2"/>
  <c r="AY16" i="2" s="1"/>
  <c r="BB12" i="2"/>
  <c r="BG45" i="2"/>
  <c r="AV39" i="2"/>
  <c r="AZ39" i="2"/>
  <c r="BF38" i="2"/>
  <c r="BF52" i="2" s="1"/>
  <c r="CN38" i="2"/>
  <c r="CM38" i="2"/>
  <c r="BA39" i="2"/>
  <c r="BB39" i="2"/>
  <c r="AY14" i="2"/>
  <c r="AZ14" i="2"/>
  <c r="AY34" i="2"/>
  <c r="AX39" i="2"/>
  <c r="AW16" i="2"/>
  <c r="AW14" i="2"/>
  <c r="BC15" i="2"/>
  <c r="BD16" i="2" s="1"/>
  <c r="BB14" i="2"/>
  <c r="AX14" i="2"/>
  <c r="AV14" i="2"/>
  <c r="AU14" i="2"/>
  <c r="AV16" i="2"/>
  <c r="AX16" i="2"/>
  <c r="AW12" i="2"/>
  <c r="AX12" i="2"/>
  <c r="AY11" i="2"/>
  <c r="AZ12" i="2" s="1"/>
  <c r="BC92" i="2"/>
  <c r="BC66" i="2"/>
  <c r="BN47" i="2" l="1"/>
  <c r="AQ56" i="2"/>
  <c r="BF110" i="2"/>
  <c r="BE110" i="2"/>
  <c r="BD110" i="2"/>
  <c r="BC110" i="2"/>
  <c r="BJ110" i="2"/>
  <c r="BI110" i="2"/>
  <c r="BO44" i="2"/>
  <c r="BO80" i="2"/>
  <c r="BP110" i="2"/>
  <c r="BQ110" i="2"/>
  <c r="BN110" i="2"/>
  <c r="BH110" i="2"/>
  <c r="BJ92" i="2"/>
  <c r="BJ101" i="2" s="1"/>
  <c r="BJ106" i="2"/>
  <c r="BN39" i="2"/>
  <c r="BN55" i="2" s="1"/>
  <c r="BN90" i="2"/>
  <c r="BN92" i="2" s="1"/>
  <c r="BM92" i="2"/>
  <c r="BE87" i="2"/>
  <c r="BE106" i="2" s="1"/>
  <c r="BE107" i="2" s="1"/>
  <c r="BF86" i="2"/>
  <c r="BF87" i="2" s="1"/>
  <c r="BF106" i="2" s="1"/>
  <c r="BI107" i="2" s="1"/>
  <c r="BN85" i="2"/>
  <c r="BN87" i="2" s="1"/>
  <c r="BN106" i="2" s="1"/>
  <c r="BM87" i="2"/>
  <c r="BM106" i="2" s="1"/>
  <c r="BE99" i="2"/>
  <c r="BF98" i="2"/>
  <c r="BF99" i="2" s="1"/>
  <c r="BN98" i="2"/>
  <c r="BN99" i="2" s="1"/>
  <c r="BM99" i="2"/>
  <c r="BM39" i="2"/>
  <c r="BM55" i="2" s="1"/>
  <c r="BL43" i="2"/>
  <c r="AO56" i="2"/>
  <c r="BM47" i="2"/>
  <c r="BK41" i="2"/>
  <c r="BK55" i="2"/>
  <c r="BG11" i="2"/>
  <c r="BG12" i="2" s="1"/>
  <c r="BK47" i="2"/>
  <c r="AN43" i="2"/>
  <c r="AN44" i="2" s="1"/>
  <c r="AP43" i="2"/>
  <c r="AP44" i="2" s="1"/>
  <c r="AM56" i="2"/>
  <c r="BD107" i="2"/>
  <c r="BG47" i="2"/>
  <c r="AX41" i="2"/>
  <c r="AX43" i="2" s="1"/>
  <c r="AX44" i="2" s="1"/>
  <c r="AX55" i="2"/>
  <c r="BB41" i="2"/>
  <c r="BB43" i="2" s="1"/>
  <c r="BB55" i="2"/>
  <c r="BA41" i="2"/>
  <c r="BA43" i="2" s="1"/>
  <c r="BA55" i="2"/>
  <c r="AW41" i="2"/>
  <c r="AW56" i="2" s="1"/>
  <c r="AW55" i="2"/>
  <c r="AT41" i="2"/>
  <c r="AT43" i="2" s="1"/>
  <c r="AT44" i="2" s="1"/>
  <c r="AT55" i="2"/>
  <c r="AS41" i="2"/>
  <c r="AS55" i="2"/>
  <c r="CI56" i="2"/>
  <c r="AZ41" i="2"/>
  <c r="AZ43" i="2" s="1"/>
  <c r="AZ55" i="2"/>
  <c r="AV41" i="2"/>
  <c r="AV56" i="2" s="1"/>
  <c r="AV55" i="2"/>
  <c r="BC101" i="2"/>
  <c r="AR41" i="2"/>
  <c r="AR55" i="2"/>
  <c r="BJ39" i="2"/>
  <c r="BJ41" i="2" s="1"/>
  <c r="BE52" i="2"/>
  <c r="BI52" i="2"/>
  <c r="BD39" i="2"/>
  <c r="BD52" i="2"/>
  <c r="BH52" i="2"/>
  <c r="BJ52" i="2"/>
  <c r="BG34" i="2"/>
  <c r="BG33" i="2" s="1"/>
  <c r="BI54" i="2"/>
  <c r="BI39" i="2"/>
  <c r="AZ101" i="2"/>
  <c r="BH54" i="2"/>
  <c r="BH39" i="2"/>
  <c r="BA13" i="2"/>
  <c r="BC11" i="2"/>
  <c r="BC12" i="2" s="1"/>
  <c r="BC47" i="2"/>
  <c r="BC16" i="2"/>
  <c r="BE34" i="2"/>
  <c r="BE39" i="2" s="1"/>
  <c r="BE11" i="2"/>
  <c r="BC107" i="2"/>
  <c r="BB107" i="2"/>
  <c r="AY47" i="2"/>
  <c r="AU47" i="2"/>
  <c r="CK39" i="2"/>
  <c r="BA101" i="2"/>
  <c r="BB16" i="2"/>
  <c r="CJ54" i="2"/>
  <c r="CJ39" i="2"/>
  <c r="CL39" i="2"/>
  <c r="BF54" i="2"/>
  <c r="BF47" i="2"/>
  <c r="AZ16" i="2"/>
  <c r="BD17" i="2" s="1"/>
  <c r="AU11" i="2"/>
  <c r="AV12" i="2" s="1"/>
  <c r="AZ13" i="2" s="1"/>
  <c r="AU34" i="2"/>
  <c r="CM45" i="2"/>
  <c r="CN45" i="2" s="1"/>
  <c r="CP45" i="2" s="1"/>
  <c r="BB13" i="2"/>
  <c r="AY39" i="2"/>
  <c r="AY54" i="2"/>
  <c r="CO38" i="2"/>
  <c r="BA17" i="2"/>
  <c r="BC34" i="2"/>
  <c r="AY12" i="2"/>
  <c r="BF101" i="2" l="1"/>
  <c r="BM101" i="2"/>
  <c r="BN101" i="2"/>
  <c r="BE101" i="2"/>
  <c r="BO107" i="2"/>
  <c r="BO108" i="2" s="1"/>
  <c r="BR110" i="2"/>
  <c r="BR47" i="2"/>
  <c r="BB56" i="2"/>
  <c r="AX56" i="2"/>
  <c r="BJ107" i="2"/>
  <c r="BL107" i="2"/>
  <c r="BK107" i="2"/>
  <c r="BF107" i="2"/>
  <c r="BN107" i="2"/>
  <c r="BN108" i="2" s="1"/>
  <c r="BM107" i="2"/>
  <c r="BH107" i="2"/>
  <c r="BG107" i="2"/>
  <c r="BN41" i="2"/>
  <c r="BN56" i="2" s="1"/>
  <c r="BM41" i="2"/>
  <c r="BM56" i="2" s="1"/>
  <c r="BL44" i="2"/>
  <c r="BL80" i="2"/>
  <c r="BG13" i="2"/>
  <c r="BK43" i="2"/>
  <c r="BK56" i="2"/>
  <c r="BC17" i="2"/>
  <c r="BG17" i="2"/>
  <c r="AW43" i="2"/>
  <c r="AW44" i="2" s="1"/>
  <c r="BJ56" i="2"/>
  <c r="CL41" i="2"/>
  <c r="CL43" i="2" s="1"/>
  <c r="CL44" i="2" s="1"/>
  <c r="CL55" i="2"/>
  <c r="AV43" i="2"/>
  <c r="AV44" i="2" s="1"/>
  <c r="CJ41" i="2"/>
  <c r="CJ43" i="2" s="1"/>
  <c r="CJ44" i="2" s="1"/>
  <c r="CJ55" i="2"/>
  <c r="BI41" i="2"/>
  <c r="BI56" i="2" s="1"/>
  <c r="BI55" i="2"/>
  <c r="AZ56" i="2"/>
  <c r="BA56" i="2"/>
  <c r="BJ55" i="2"/>
  <c r="AR56" i="2"/>
  <c r="AR43" i="2"/>
  <c r="AR44" i="2" s="1"/>
  <c r="BH41" i="2"/>
  <c r="BH56" i="2" s="1"/>
  <c r="BH55" i="2"/>
  <c r="AS43" i="2"/>
  <c r="AS44" i="2" s="1"/>
  <c r="AS56" i="2"/>
  <c r="BB17" i="2"/>
  <c r="BF17" i="2"/>
  <c r="AY41" i="2"/>
  <c r="AY43" i="2" s="1"/>
  <c r="AY55" i="2"/>
  <c r="CK41" i="2"/>
  <c r="CK43" i="2" s="1"/>
  <c r="CK44" i="2" s="1"/>
  <c r="CK55" i="2"/>
  <c r="BD41" i="2"/>
  <c r="BD56" i="2" s="1"/>
  <c r="BD55" i="2"/>
  <c r="AT56" i="2"/>
  <c r="BE12" i="2"/>
  <c r="BE13" i="2" s="1"/>
  <c r="BF12" i="2"/>
  <c r="BF13" i="2" s="1"/>
  <c r="BE41" i="2"/>
  <c r="BE56" i="2" s="1"/>
  <c r="BE55" i="2"/>
  <c r="BD12" i="2"/>
  <c r="BD13" i="2" s="1"/>
  <c r="BG54" i="2"/>
  <c r="BG39" i="2"/>
  <c r="BF39" i="2"/>
  <c r="BC13" i="2"/>
  <c r="AZ17" i="2"/>
  <c r="BA44" i="2"/>
  <c r="BA80" i="2"/>
  <c r="BE54" i="2"/>
  <c r="AZ44" i="2"/>
  <c r="AZ80" i="2"/>
  <c r="AU54" i="2"/>
  <c r="AU39" i="2"/>
  <c r="BB44" i="2"/>
  <c r="BB80" i="2"/>
  <c r="BC39" i="2"/>
  <c r="BC54" i="2"/>
  <c r="CQ45" i="2"/>
  <c r="CM47" i="2"/>
  <c r="CM34" i="2"/>
  <c r="CM54" i="2" s="1"/>
  <c r="CP38" i="2"/>
  <c r="CL56" i="2" l="1"/>
  <c r="BN43" i="2"/>
  <c r="BM43" i="2"/>
  <c r="BK44" i="2"/>
  <c r="BK80" i="2"/>
  <c r="CJ56" i="2"/>
  <c r="BI43" i="2"/>
  <c r="AU41" i="2"/>
  <c r="AU43" i="2" s="1"/>
  <c r="AU44" i="2" s="1"/>
  <c r="AU55" i="2"/>
  <c r="BH43" i="2"/>
  <c r="BG41" i="2"/>
  <c r="BG42" i="2" s="1"/>
  <c r="BG56" i="2" s="1"/>
  <c r="BG55" i="2"/>
  <c r="CK56" i="2"/>
  <c r="BC41" i="2"/>
  <c r="BC43" i="2" s="1"/>
  <c r="BC44" i="2" s="1"/>
  <c r="BC55" i="2"/>
  <c r="AY56" i="2"/>
  <c r="BD43" i="2"/>
  <c r="BJ43" i="2"/>
  <c r="BF41" i="2"/>
  <c r="BF55" i="2"/>
  <c r="AY44" i="2"/>
  <c r="AY80" i="2"/>
  <c r="BE43" i="2"/>
  <c r="BE80" i="2" s="1"/>
  <c r="CR45" i="2"/>
  <c r="CQ38" i="2"/>
  <c r="CM39" i="2"/>
  <c r="CN34" i="2"/>
  <c r="CN54" i="2" s="1"/>
  <c r="CN47" i="2"/>
  <c r="CM33" i="2"/>
  <c r="BH44" i="2" l="1"/>
  <c r="BH80" i="2"/>
  <c r="BJ44" i="2"/>
  <c r="BJ80" i="2"/>
  <c r="BI44" i="2"/>
  <c r="BI80" i="2"/>
  <c r="BN44" i="2"/>
  <c r="BN80" i="2"/>
  <c r="BM44" i="2"/>
  <c r="BM80" i="2"/>
  <c r="AU56" i="2"/>
  <c r="BC56" i="2"/>
  <c r="BG43" i="2"/>
  <c r="BD44" i="2"/>
  <c r="BD80" i="2"/>
  <c r="CM41" i="2"/>
  <c r="CM42" i="2" s="1"/>
  <c r="CM56" i="2" s="1"/>
  <c r="CM55" i="2"/>
  <c r="BF56" i="2"/>
  <c r="BC80" i="2"/>
  <c r="BE44" i="2"/>
  <c r="CS45" i="2"/>
  <c r="CS35" i="2"/>
  <c r="CR38" i="2"/>
  <c r="CN33" i="2"/>
  <c r="CN39" i="2"/>
  <c r="CN55" i="2" s="1"/>
  <c r="CO34" i="2"/>
  <c r="CO54" i="2" s="1"/>
  <c r="CO47" i="2"/>
  <c r="BG44" i="2" l="1"/>
  <c r="BG80" i="2"/>
  <c r="BF43" i="2"/>
  <c r="CM43" i="2"/>
  <c r="CM44" i="2" s="1"/>
  <c r="CT45" i="2"/>
  <c r="CO33" i="2"/>
  <c r="CO39" i="2"/>
  <c r="CO55" i="2" s="1"/>
  <c r="CP34" i="2"/>
  <c r="CP54" i="2" s="1"/>
  <c r="CP47" i="2"/>
  <c r="CT35" i="2"/>
  <c r="CS38" i="2"/>
  <c r="BF44" i="2" l="1"/>
  <c r="BF80" i="2"/>
  <c r="BF58" i="2"/>
  <c r="CM59" i="2"/>
  <c r="CN40" i="2" s="1"/>
  <c r="CN41" i="2" s="1"/>
  <c r="CN42" i="2" s="1"/>
  <c r="CN56" i="2" s="1"/>
  <c r="CU45" i="2"/>
  <c r="CU35" i="2"/>
  <c r="CU38" i="2" s="1"/>
  <c r="CT38" i="2"/>
  <c r="CP33" i="2"/>
  <c r="CP39" i="2"/>
  <c r="CP55" i="2" s="1"/>
  <c r="CQ34" i="2"/>
  <c r="CQ54" i="2" s="1"/>
  <c r="CQ47" i="2"/>
  <c r="CN43" i="2" l="1"/>
  <c r="CN59" i="2" s="1"/>
  <c r="CO40" i="2" s="1"/>
  <c r="BG58" i="2"/>
  <c r="CR34" i="2"/>
  <c r="CR33" i="2" s="1"/>
  <c r="CR47" i="2"/>
  <c r="CQ33" i="2"/>
  <c r="CQ39" i="2"/>
  <c r="CQ55" i="2" s="1"/>
  <c r="CN44" i="2" l="1"/>
  <c r="CR39" i="2"/>
  <c r="CR55" i="2" s="1"/>
  <c r="CR54" i="2"/>
  <c r="CO41" i="2"/>
  <c r="CS34" i="2"/>
  <c r="CS33" i="2" s="1"/>
  <c r="CS47" i="2"/>
  <c r="CS39" i="2" l="1"/>
  <c r="CS55" i="2" s="1"/>
  <c r="CS54" i="2"/>
  <c r="CO42" i="2"/>
  <c r="CO56" i="2" s="1"/>
  <c r="CT34" i="2"/>
  <c r="CT33" i="2" s="1"/>
  <c r="CT47" i="2"/>
  <c r="CT39" i="2" l="1"/>
  <c r="CT55" i="2" s="1"/>
  <c r="CT54" i="2"/>
  <c r="CO43" i="2"/>
  <c r="CU47" i="2"/>
  <c r="CU34" i="2"/>
  <c r="CU39" i="2" l="1"/>
  <c r="CU55" i="2" s="1"/>
  <c r="CU54" i="2"/>
  <c r="CU33" i="2"/>
  <c r="CO44" i="2"/>
  <c r="CO59" i="2"/>
  <c r="CP40" i="2" s="1"/>
  <c r="CP41" i="2" l="1"/>
  <c r="CP42" i="2" l="1"/>
  <c r="CP56" i="2" s="1"/>
  <c r="CP43" i="2" l="1"/>
  <c r="CP44" i="2" l="1"/>
  <c r="CP59" i="2"/>
  <c r="CQ40" i="2" s="1"/>
  <c r="CQ41" i="2" s="1"/>
  <c r="CQ42" i="2" l="1"/>
  <c r="CQ56" i="2" s="1"/>
  <c r="CQ43" i="2" l="1"/>
  <c r="CQ44" i="2" s="1"/>
  <c r="CQ59" i="2" l="1"/>
  <c r="CR40" i="2" s="1"/>
  <c r="CR41" i="2" s="1"/>
  <c r="CR42" i="2" l="1"/>
  <c r="CR56" i="2" s="1"/>
  <c r="CR43" i="2" l="1"/>
  <c r="CR44" i="2" l="1"/>
  <c r="CR59" i="2"/>
  <c r="CS40" i="2" s="1"/>
  <c r="CS41" i="2" l="1"/>
  <c r="CS42" i="2" l="1"/>
  <c r="CS56" i="2" s="1"/>
  <c r="CS43" i="2" l="1"/>
  <c r="CS44" i="2" l="1"/>
  <c r="CS59" i="2"/>
  <c r="CT40" i="2" s="1"/>
  <c r="CT41" i="2" l="1"/>
  <c r="CT42" i="2" l="1"/>
  <c r="CT56" i="2" s="1"/>
  <c r="CT43" i="2" l="1"/>
  <c r="CT44" i="2" l="1"/>
  <c r="CT59" i="2"/>
  <c r="CU40" i="2" s="1"/>
  <c r="CU41" i="2" l="1"/>
  <c r="CU42" i="2" l="1"/>
  <c r="CU56" i="2" s="1"/>
  <c r="CU43" i="2" l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EG43" i="2" s="1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 s="1"/>
  <c r="EV43" i="2" s="1"/>
  <c r="EW43" i="2" s="1"/>
  <c r="EX43" i="2" s="1"/>
  <c r="EY43" i="2" s="1"/>
  <c r="CZ55" i="2" l="1"/>
  <c r="CZ59" i="2" s="1"/>
  <c r="CZ60" i="2" s="1"/>
  <c r="CU44" i="2"/>
  <c r="CU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  <author>tc={3D2F6350-1756-4982-89B0-68C8E9231F2B}</author>
    <author>tc={5607579E-D033-47D3-9B2C-C24197BA8A4A}</author>
  </authors>
  <commentList>
    <comment ref="BD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BB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BC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BD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BE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BF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BG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BN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  <comment ref="BO32" authorId="8" shapeId="0" xr:uid="{3D2F6350-1756-4982-89B0-68C8E9231F2B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39.5-41.8B</t>
      </text>
    </comment>
    <comment ref="BP32" authorId="9" shapeId="0" xr:uid="{5607579E-D033-47D3-9B2C-C24197BA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Q225: 42.2-45.5B</t>
      </text>
    </comment>
  </commentList>
</comments>
</file>

<file path=xl/sharedStrings.xml><?xml version="1.0" encoding="utf-8"?>
<sst xmlns="http://schemas.openxmlformats.org/spreadsheetml/2006/main" count="295" uniqueCount="258">
  <si>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</si>
  <si>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</si>
  <si>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</si>
  <si>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</si>
  <si>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</si>
  <si>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</si>
  <si>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</si>
  <si>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</si>
  <si>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</si>
  <si>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</si>
  <si>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</si>
  <si>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</si>
  <si>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</si>
  <si>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</si>
  <si>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</si>
  <si>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</si>
  <si>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</si>
  <si>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</si>
  <si>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</si>
  <si>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</si>
  <si>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</si>
  <si>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</si>
  <si>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</si>
  <si>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</si>
  <si>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</si>
  <si>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</si>
  <si>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</si>
  <si>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</si>
  <si>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</si>
  <si>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</si>
  <si>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</si>
  <si>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</si>
  <si>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</si>
  <si>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</si>
  <si>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</si>
  <si>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</si>
  <si>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</si>
  <si>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</si>
  <si>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</si>
  <si>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</si>
  <si>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</si>
  <si>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</si>
  <si>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</si>
  <si>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</si>
  <si>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</si>
  <si>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</si>
  <si>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</si>
  <si>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</si>
  <si>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</si>
  <si>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</si>
  <si>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</si>
  <si>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</si>
  <si>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</si>
  <si>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</si>
  <si>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</si>
  <si>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</si>
  <si>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</si>
  <si>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</si>
  <si>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</si>
  <si>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</si>
  <si>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</si>
  <si>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</si>
  <si>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</si>
  <si>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</si>
  <si>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</si>
  <si>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</si>
  <si>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</si>
  <si>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</si>
  <si>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</si>
  <si>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</si>
  <si>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</si>
  <si>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</si>
  <si>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</si>
  <si>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</si>
  <si>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</si>
  <si>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</si>
  <si>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</si>
  <si>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</si>
  <si>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</si>
  <si>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</si>
  <si>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</si>
  <si>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</si>
  <si>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</si>
  <si>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</si>
  <si>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</si>
  <si>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</si>
  <si>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</si>
  <si>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</si>
  <si>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</si>
  <si>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</si>
  <si>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</si>
  <si>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</si>
  <si>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</si>
  <si>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</si>
  <si>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</si>
  <si>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</si>
  <si>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</si>
  <si>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</si>
  <si>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</si>
  <si>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</si>
  <si>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</si>
  <si>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</si>
  <si>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</si>
  <si>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</si>
  <si>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</si>
  <si>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</si>
  <si>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</si>
  <si>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</si>
  <si>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</si>
  <si>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</si>
  <si>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</si>
  <si>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</si>
  <si>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</si>
  <si>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</si>
  <si>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</si>
  <si>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</si>
  <si>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</si>
  <si>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</si>
  <si>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</si>
  <si>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</si>
  <si>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</si>
  <si>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</si>
  <si>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</si>
  <si>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</si>
  <si>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</si>
  <si>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</si>
  <si>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</si>
  <si>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</si>
  <si>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</si>
  <si>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</si>
  <si>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</si>
  <si>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</si>
  <si>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</si>
  <si>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</si>
  <si>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</si>
  <si>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</si>
  <si>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</si>
  <si>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</si>
  <si>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</si>
  <si>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</si>
  <si>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</si>
  <si>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</si>
  <si>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</si>
  <si>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</si>
  <si>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</si>
  <si>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</si>
  <si>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</si>
  <si>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</si>
  <si>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</si>
  <si>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</si>
  <si>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</si>
  <si>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</si>
  <si>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</si>
  <si>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</si>
  <si>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</si>
  <si>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</si>
  <si>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</si>
  <si>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</si>
  <si>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</si>
  <si>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</si>
  <si>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</si>
  <si>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</si>
  <si>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</si>
  <si>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</si>
  <si>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</si>
  <si>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</si>
  <si>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</si>
  <si>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</si>
  <si>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</si>
  <si>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</si>
  <si>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</si>
  <si>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</si>
  <si>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</si>
  <si>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</si>
  <si>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</si>
  <si>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</si>
  <si>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</si>
  <si>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</si>
  <si>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</si>
  <si>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</si>
  <si>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</si>
  <si>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</si>
  <si>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</si>
  <si>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</si>
  <si>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</si>
  <si>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</si>
  <si>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</si>
  <si>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</si>
  <si>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</si>
  <si>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</si>
  <si>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</si>
  <si>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</si>
  <si>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</si>
  <si>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</si>
  <si>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</si>
  <si>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</si>
  <si>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</si>
  <si>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</si>
  <si>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</si>
  <si>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</si>
  <si>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</si>
  <si>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</si>
  <si>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</si>
  <si>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</si>
  <si>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</si>
  <si>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</si>
  <si>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</si>
  <si>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</si>
  <si>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</si>
  <si>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</si>
  <si>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</si>
  <si>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</si>
  <si>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</si>
  <si>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</si>
  <si>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</si>
  <si>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</si>
  <si>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</si>
  <si>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</si>
  <si>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</si>
  <si>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</si>
  <si>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</si>
  <si>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</si>
  <si>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</si>
  <si>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</si>
  <si>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</si>
  <si>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</si>
  <si>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</si>
  <si>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</si>
  <si>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</si>
  <si>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</si>
  <si>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</si>
  <si>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</si>
  <si>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</si>
  <si>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</si>
  <si>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</si>
  <si>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</si>
  <si>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</si>
  <si>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</si>
  <si>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</si>
  <si>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</si>
  <si>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</si>
  <si>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</si>
  <si>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</si>
  <si>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</si>
  <si>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</si>
  <si>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</si>
  <si>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</si>
  <si>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</si>
  <si>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</si>
  <si>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</si>
  <si>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</si>
  <si>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</si>
  <si>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</si>
  <si>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</si>
  <si>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</si>
  <si>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Founded</t>
  </si>
  <si>
    <t>Instagram 4/2012 - 23m shares, $300m cash.</t>
  </si>
  <si>
    <t>TTM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</si>
</sst>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37289</xdr:colOff>
      <xdr:row>0</xdr:row>
      <xdr:rowOff>1867</xdr:rowOff>
    </xdr:from>
    <xdr:to>
      <xdr:col>67</xdr:col>
      <xdr:colOff>37289</xdr:colOff>
      <xdr:row>131</xdr:row>
      <xdr:rowOff>1868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20322255" y="1867"/>
          <a:ext cx="0" cy="20538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2299</xdr:colOff>
      <xdr:row>0</xdr:row>
      <xdr:rowOff>0</xdr:rowOff>
    </xdr:from>
    <xdr:to>
      <xdr:col>93</xdr:col>
      <xdr:colOff>2299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30784471" y="0"/>
          <a:ext cx="0" cy="100046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31" dT="2022-09-30T13:25:09.70" personId="{527D12BE-C9D2-4ADE-8FA6-64C9EAF4387F}" id="{FBBFA768-8F12-42F0-9C0B-EE828045336C}">
    <text>Reels &gt;1B run-rate</text>
  </threadedComment>
  <threadedComment ref="BB32" dT="2022-06-12T02:12:46.51" personId="{527D12BE-C9D2-4ADE-8FA6-64C9EAF4387F}" id="{0E3DC74B-1EA6-4DE1-9FC1-22223C626216}">
    <text>Q321: 31.5B-34B guidance</text>
  </threadedComment>
  <threadedComment ref="BC32" dT="2022-06-12T01:45:07.26" personId="{527D12BE-C9D2-4ADE-8FA6-64C9EAF4387F}" id="{BD43B5D8-C5C9-4E17-8362-9EF57E1B35E5}">
    <text>Q421 guidance: 27-29B</text>
  </threadedComment>
  <threadedComment ref="BD32" dT="2022-06-11T18:28:26.10" personId="{527D12BE-C9D2-4ADE-8FA6-64C9EAF4387F}" id="{8C543166-7E6A-448B-B7E3-720F51E35135}">
    <text>Q122 guidance: 28-30B</text>
  </threadedComment>
  <threadedComment ref="BE32" dT="2022-07-27T23:03:53.04" personId="{527D12BE-C9D2-4ADE-8FA6-64C9EAF4387F}" id="{37B1D132-4F99-4BFA-B9DE-FA9D39796D75}">
    <text>Q222 guidance: 26-28.5B</text>
  </threadedComment>
  <threadedComment ref="BF32" dT="2022-10-27T13:48:29.91" personId="{527D12BE-C9D2-4ADE-8FA6-64C9EAF4387F}" id="{9BAC047B-9C13-4083-9E91-56CC4B86282A}">
    <text>Q322: 30.0-32.5B</text>
  </threadedComment>
  <threadedComment ref="BG32" dT="2023-02-01T21:20:58.90" personId="{527D12BE-C9D2-4ADE-8FA6-64C9EAF4387F}" id="{48BE0944-3BDD-4973-B1C2-88AA905BEB25}">
    <text>26.0-28.5B given Q422
Consensus 27.65B 4/26</text>
  </threadedComment>
  <threadedComment ref="BN32" dT="2025-01-29T20:42:20.13" personId="{527D12BE-C9D2-4ADE-8FA6-64C9EAF4387F}" id="{A907F4EC-7D24-4D8F-B1A6-DE693B5437EA}">
    <text>45-48B guidance</text>
  </threadedComment>
  <threadedComment ref="BO32" dT="2025-04-04T15:54:32.49" personId="{527D12BE-C9D2-4ADE-8FA6-64C9EAF4387F}" id="{3D2F6350-1756-4982-89B0-68C8E9231F2B}">
    <text>Q424: 39.5-41.8B</text>
  </threadedComment>
  <threadedComment ref="BP32" dT="2025-04-30T20:23:13.01" personId="{527D12BE-C9D2-4ADE-8FA6-64C9EAF4387F}" id="{5607579E-D033-47D3-9B2C-C24197BA8A4A}">
    <text>Q225: 42.2-45.5B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30" zoomScaleNormal="130" workbookViewId="0">
      <selection activeCell="F3" sqref="F3"/>
    </sheetView>
  </sheetViews>
  <sheetFormatPr defaultColWidth="8.81640625" defaultRowHeight="12.5" x14ac:dyDescent="0.25"/>
  <cols>
    <col min="2" max="2" width="13" customWidth="1"/>
    <col min="13" max="13" width="9.7265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722</v>
      </c>
    </row>
    <row r="3" spans="1:14" x14ac:dyDescent="0.25">
      <c r="B3" t="s">
        <v>29</v>
      </c>
      <c r="C3" t="s">
        <v>106</v>
      </c>
      <c r="L3" t="s">
        <v>2</v>
      </c>
      <c r="M3" s="3">
        <v>2590</v>
      </c>
      <c r="N3" s="1" t="s">
        <v>215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1869980</v>
      </c>
    </row>
    <row r="5" spans="1:14" x14ac:dyDescent="0.25">
      <c r="C5" t="s">
        <v>125</v>
      </c>
      <c r="L5" t="s">
        <v>4</v>
      </c>
      <c r="M5" s="3">
        <v>76398</v>
      </c>
      <c r="N5" s="1" t="s">
        <v>215</v>
      </c>
    </row>
    <row r="6" spans="1:14" x14ac:dyDescent="0.25">
      <c r="B6" t="s">
        <v>31</v>
      </c>
      <c r="L6" t="s">
        <v>5</v>
      </c>
      <c r="M6" s="3">
        <v>28829</v>
      </c>
      <c r="N6" s="1" t="s">
        <v>215</v>
      </c>
    </row>
    <row r="7" spans="1:14" x14ac:dyDescent="0.25">
      <c r="L7" t="s">
        <v>6</v>
      </c>
      <c r="M7" s="3">
        <f>+M4-M5+M6</f>
        <v>1822411</v>
      </c>
    </row>
    <row r="8" spans="1:14" ht="13" x14ac:dyDescent="0.3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3" spans="1:14" x14ac:dyDescent="0.25">
      <c r="L13" t="s">
        <v>255</v>
      </c>
      <c r="M13" s="23">
        <v>38169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ht="13" x14ac:dyDescent="0.3">
      <c r="B18" t="s">
        <v>92</v>
      </c>
      <c r="L18" s="5" t="s">
        <v>75</v>
      </c>
    </row>
    <row r="19" spans="2:12" x14ac:dyDescent="0.25">
      <c r="B19" t="s">
        <v>102</v>
      </c>
      <c r="L19" t="s">
        <v>196</v>
      </c>
    </row>
    <row r="20" spans="2:12" x14ac:dyDescent="0.25">
      <c r="L20" t="s">
        <v>256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EY118"/>
  <sheetViews>
    <sheetView tabSelected="1" zoomScale="130" zoomScaleNormal="130" workbookViewId="0">
      <pane xSplit="2" ySplit="2" topLeftCell="CJ23" activePane="bottomRight" state="frozen"/>
      <selection pane="topRight" activeCell="C1" sqref="C1"/>
      <selection pane="bottomLeft" activeCell="A3" sqref="A3"/>
      <selection pane="bottomRight" activeCell="CQ29" sqref="CQ29"/>
    </sheetView>
  </sheetViews>
  <sheetFormatPr defaultColWidth="8.81640625" defaultRowHeight="12.5" x14ac:dyDescent="0.25"/>
  <cols>
    <col min="1" max="1" width="5" bestFit="1" customWidth="1"/>
    <col min="2" max="2" width="21.81640625" customWidth="1"/>
    <col min="3" max="38" width="8.81640625" style="1"/>
    <col min="39" max="61" width="9.1796875" style="1"/>
  </cols>
  <sheetData>
    <row r="1" spans="1:99" x14ac:dyDescent="0.25">
      <c r="A1" s="2" t="s">
        <v>7</v>
      </c>
    </row>
    <row r="2" spans="1:99" x14ac:dyDescent="0.25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243</v>
      </c>
      <c r="L2" s="1" t="s">
        <v>244</v>
      </c>
      <c r="M2" s="1" t="s">
        <v>245</v>
      </c>
      <c r="N2" s="1" t="s">
        <v>246</v>
      </c>
      <c r="O2" s="1" t="s">
        <v>239</v>
      </c>
      <c r="P2" s="1" t="s">
        <v>240</v>
      </c>
      <c r="Q2" s="1" t="s">
        <v>241</v>
      </c>
      <c r="R2" s="1" t="s">
        <v>242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231</v>
      </c>
      <c r="X2" s="1" t="s">
        <v>232</v>
      </c>
      <c r="Y2" s="1" t="s">
        <v>233</v>
      </c>
      <c r="Z2" s="1" t="s">
        <v>234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223</v>
      </c>
      <c r="AF2" s="1" t="s">
        <v>224</v>
      </c>
      <c r="AG2" s="1" t="s">
        <v>225</v>
      </c>
      <c r="AH2" s="1" t="s">
        <v>226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124</v>
      </c>
      <c r="AN2" s="1" t="s">
        <v>123</v>
      </c>
      <c r="AO2" s="1" t="s">
        <v>122</v>
      </c>
      <c r="AP2" s="1" t="s">
        <v>121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117</v>
      </c>
      <c r="BH2" s="1" t="s">
        <v>118</v>
      </c>
      <c r="BI2" s="1" t="s">
        <v>119</v>
      </c>
      <c r="BJ2" s="1" t="s">
        <v>120</v>
      </c>
      <c r="BK2" s="1" t="s">
        <v>205</v>
      </c>
      <c r="BL2" s="1" t="s">
        <v>206</v>
      </c>
      <c r="BM2" s="1" t="s">
        <v>207</v>
      </c>
      <c r="BN2" s="1" t="s">
        <v>208</v>
      </c>
      <c r="BO2" s="1" t="s">
        <v>215</v>
      </c>
      <c r="BP2" s="1" t="s">
        <v>216</v>
      </c>
      <c r="BQ2" s="1" t="s">
        <v>217</v>
      </c>
      <c r="BR2" s="1" t="s">
        <v>218</v>
      </c>
      <c r="BS2" s="1"/>
      <c r="BU2">
        <v>2004</v>
      </c>
      <c r="BV2">
        <v>2005</v>
      </c>
      <c r="BW2">
        <v>2006</v>
      </c>
      <c r="BX2">
        <v>2007</v>
      </c>
      <c r="BY2">
        <v>2008</v>
      </c>
      <c r="BZ2">
        <v>2009</v>
      </c>
      <c r="CA2">
        <v>2010</v>
      </c>
      <c r="CB2">
        <v>2011</v>
      </c>
      <c r="CC2">
        <v>2012</v>
      </c>
      <c r="CD2">
        <v>2013</v>
      </c>
      <c r="CE2">
        <v>2014</v>
      </c>
      <c r="CF2">
        <v>2015</v>
      </c>
      <c r="CG2">
        <f>+CF2+1</f>
        <v>2016</v>
      </c>
      <c r="CH2">
        <f t="shared" ref="CH2:CU2" si="0">+CG2+1</f>
        <v>2017</v>
      </c>
      <c r="CI2">
        <f t="shared" si="0"/>
        <v>2018</v>
      </c>
      <c r="CJ2">
        <f t="shared" si="0"/>
        <v>2019</v>
      </c>
      <c r="CK2">
        <f t="shared" si="0"/>
        <v>2020</v>
      </c>
      <c r="CL2">
        <f t="shared" si="0"/>
        <v>2021</v>
      </c>
      <c r="CM2">
        <f t="shared" si="0"/>
        <v>2022</v>
      </c>
      <c r="CN2">
        <f t="shared" si="0"/>
        <v>2023</v>
      </c>
      <c r="CO2">
        <f t="shared" si="0"/>
        <v>2024</v>
      </c>
      <c r="CP2">
        <f t="shared" si="0"/>
        <v>2025</v>
      </c>
      <c r="CQ2">
        <f t="shared" si="0"/>
        <v>2026</v>
      </c>
      <c r="CR2">
        <f t="shared" si="0"/>
        <v>2027</v>
      </c>
      <c r="CS2">
        <f t="shared" si="0"/>
        <v>2028</v>
      </c>
      <c r="CT2">
        <f t="shared" si="0"/>
        <v>2029</v>
      </c>
      <c r="CU2">
        <f t="shared" si="0"/>
        <v>2030</v>
      </c>
    </row>
    <row r="3" spans="1:99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2260</v>
      </c>
      <c r="AU3" s="6">
        <v>2360</v>
      </c>
      <c r="AV3" s="6">
        <v>2470</v>
      </c>
      <c r="AW3" s="6">
        <v>2540</v>
      </c>
      <c r="AX3" s="6">
        <v>2600</v>
      </c>
      <c r="AY3" s="6">
        <v>2720</v>
      </c>
      <c r="AZ3" s="6">
        <v>2760</v>
      </c>
      <c r="BA3" s="6">
        <v>2810</v>
      </c>
      <c r="BB3" s="6">
        <v>2820</v>
      </c>
      <c r="BC3" s="6">
        <v>2870</v>
      </c>
      <c r="BD3" s="6">
        <v>2880</v>
      </c>
      <c r="BE3" s="6">
        <v>2930</v>
      </c>
      <c r="BF3" s="6">
        <v>2960</v>
      </c>
      <c r="BG3" s="6">
        <v>3020</v>
      </c>
      <c r="BH3" s="6">
        <v>3070</v>
      </c>
      <c r="BI3" s="6">
        <v>3140</v>
      </c>
      <c r="BJ3" s="3">
        <v>3190</v>
      </c>
      <c r="BK3" s="3">
        <v>3240</v>
      </c>
      <c r="BL3" s="3">
        <v>3270</v>
      </c>
      <c r="BM3" s="3">
        <v>3290</v>
      </c>
      <c r="BN3" s="3">
        <v>3350</v>
      </c>
      <c r="BO3" s="3">
        <v>3430</v>
      </c>
    </row>
    <row r="4" spans="1:99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2890</v>
      </c>
      <c r="AU4" s="6">
        <v>2990</v>
      </c>
      <c r="AV4" s="6">
        <v>3140</v>
      </c>
      <c r="AW4" s="6">
        <v>3210</v>
      </c>
      <c r="AX4" s="6">
        <v>3300</v>
      </c>
      <c r="AY4" s="6">
        <v>3450</v>
      </c>
      <c r="AZ4" s="6">
        <v>3510</v>
      </c>
      <c r="BA4" s="6">
        <v>3580</v>
      </c>
      <c r="BB4" s="6">
        <v>3590</v>
      </c>
      <c r="BC4" s="6">
        <v>3640</v>
      </c>
      <c r="BD4" s="6">
        <v>3650</v>
      </c>
      <c r="BE4" s="6">
        <v>3710</v>
      </c>
      <c r="BF4" s="6">
        <v>3740</v>
      </c>
      <c r="BG4" s="6">
        <v>3810</v>
      </c>
      <c r="BH4" s="6">
        <v>3880</v>
      </c>
      <c r="BI4" s="6">
        <v>3950</v>
      </c>
      <c r="BJ4" s="3">
        <v>3980</v>
      </c>
    </row>
    <row r="5" spans="1:99" s="3" customFormat="1" x14ac:dyDescent="0.25">
      <c r="B5" s="3" t="s">
        <v>27</v>
      </c>
      <c r="C5" s="6">
        <v>92</v>
      </c>
      <c r="D5" s="6">
        <v>108</v>
      </c>
      <c r="E5" s="6">
        <v>144</v>
      </c>
      <c r="F5" s="6">
        <v>185</v>
      </c>
      <c r="G5" s="6">
        <v>234</v>
      </c>
      <c r="H5" s="6">
        <v>257</v>
      </c>
      <c r="I5" s="6">
        <v>293</v>
      </c>
      <c r="J5" s="6">
        <v>327</v>
      </c>
      <c r="K5" s="6">
        <v>372</v>
      </c>
      <c r="L5" s="6">
        <v>417</v>
      </c>
      <c r="M5" s="6">
        <v>457</v>
      </c>
      <c r="N5" s="6">
        <v>483</v>
      </c>
      <c r="O5" s="6">
        <v>526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1560</v>
      </c>
      <c r="AR5" s="6">
        <v>1590</v>
      </c>
      <c r="AS5" s="6">
        <v>1620</v>
      </c>
      <c r="AT5" s="6">
        <v>1660</v>
      </c>
      <c r="AU5" s="6">
        <v>1734</v>
      </c>
      <c r="AV5" s="6">
        <v>1785</v>
      </c>
      <c r="AW5" s="6">
        <v>1820</v>
      </c>
      <c r="AX5" s="6">
        <v>1845</v>
      </c>
      <c r="AY5" s="6">
        <v>1878</v>
      </c>
      <c r="AZ5" s="6">
        <v>1908</v>
      </c>
      <c r="BA5" s="6">
        <v>1930</v>
      </c>
      <c r="BB5" s="6">
        <v>1929</v>
      </c>
      <c r="BC5" s="6">
        <v>1960</v>
      </c>
      <c r="BD5" s="6">
        <v>1968</v>
      </c>
      <c r="BE5" s="6">
        <v>1984</v>
      </c>
      <c r="BF5" s="6">
        <v>2000</v>
      </c>
      <c r="BG5" s="6">
        <v>2040</v>
      </c>
      <c r="BH5" s="6">
        <v>2060</v>
      </c>
      <c r="BI5" s="6">
        <v>2090</v>
      </c>
      <c r="BJ5" s="3">
        <v>2110</v>
      </c>
      <c r="CA5" s="3">
        <v>327</v>
      </c>
      <c r="CB5" s="3">
        <v>483</v>
      </c>
      <c r="CC5" s="3">
        <v>618</v>
      </c>
    </row>
    <row r="6" spans="1:99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195</v>
      </c>
      <c r="AV6" s="6">
        <v>198</v>
      </c>
      <c r="AW6" s="6">
        <v>196</v>
      </c>
      <c r="AX6" s="6">
        <v>195</v>
      </c>
      <c r="AY6" s="6">
        <v>195</v>
      </c>
      <c r="AZ6" s="6">
        <v>195</v>
      </c>
      <c r="BA6" s="6">
        <v>196</v>
      </c>
      <c r="BB6" s="6">
        <v>195</v>
      </c>
      <c r="BC6" s="6">
        <v>196</v>
      </c>
      <c r="BD6" s="6">
        <v>197</v>
      </c>
      <c r="BE6" s="6">
        <v>197</v>
      </c>
      <c r="BF6" s="21"/>
      <c r="BG6" s="6"/>
      <c r="BH6" s="6"/>
      <c r="BI6" s="6"/>
    </row>
    <row r="7" spans="1:99" s="3" customFormat="1" x14ac:dyDescent="0.25">
      <c r="B7" s="3" t="s">
        <v>204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9"/>
      <c r="AU7" s="9">
        <f t="shared" ref="AU7:BE7" si="1">+AU27/AU6</f>
        <v>42.969230769230769</v>
      </c>
      <c r="AV7" s="9">
        <f t="shared" si="1"/>
        <v>45.752525252525253</v>
      </c>
      <c r="AW7" s="9">
        <f t="shared" si="1"/>
        <v>50.95918367346939</v>
      </c>
      <c r="AX7" s="9">
        <f t="shared" si="1"/>
        <v>67.435897435897431</v>
      </c>
      <c r="AY7" s="9">
        <f t="shared" si="1"/>
        <v>61.01025641025641</v>
      </c>
      <c r="AZ7" s="9">
        <f t="shared" si="1"/>
        <v>68.543589743589749</v>
      </c>
      <c r="BA7" s="9">
        <f t="shared" si="1"/>
        <v>66.806122448979593</v>
      </c>
      <c r="BB7" s="9">
        <f t="shared" si="1"/>
        <v>77.241025641025644</v>
      </c>
      <c r="BC7" s="9">
        <f t="shared" si="1"/>
        <v>0</v>
      </c>
      <c r="BD7" s="9">
        <f t="shared" si="1"/>
        <v>0</v>
      </c>
      <c r="BE7" s="9">
        <f t="shared" si="1"/>
        <v>0</v>
      </c>
      <c r="BF7" s="6"/>
      <c r="BG7" s="6"/>
      <c r="BH7" s="6"/>
      <c r="BI7" s="6"/>
    </row>
    <row r="8" spans="1:99" s="3" customFormat="1" x14ac:dyDescent="0.25">
      <c r="B8" s="3" t="s">
        <v>28</v>
      </c>
      <c r="C8" s="6">
        <v>197</v>
      </c>
      <c r="D8" s="6">
        <v>242</v>
      </c>
      <c r="E8" s="6">
        <v>305</v>
      </c>
      <c r="F8" s="6">
        <v>360</v>
      </c>
      <c r="G8" s="6">
        <v>431</v>
      </c>
      <c r="H8" s="6">
        <v>482</v>
      </c>
      <c r="I8" s="6">
        <v>550</v>
      </c>
      <c r="J8" s="6">
        <v>608</v>
      </c>
      <c r="K8" s="6">
        <v>680</v>
      </c>
      <c r="L8" s="6">
        <v>739</v>
      </c>
      <c r="M8" s="6">
        <v>800</v>
      </c>
      <c r="N8" s="6">
        <v>845</v>
      </c>
      <c r="O8" s="6">
        <v>901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2380</v>
      </c>
      <c r="AR8" s="6">
        <v>2410</v>
      </c>
      <c r="AS8" s="6">
        <v>2450</v>
      </c>
      <c r="AT8" s="6">
        <v>2500</v>
      </c>
      <c r="AU8" s="6">
        <v>2603</v>
      </c>
      <c r="AV8" s="6">
        <v>2701</v>
      </c>
      <c r="AW8" s="6">
        <v>2740</v>
      </c>
      <c r="AX8" s="6">
        <v>2797</v>
      </c>
      <c r="AY8" s="6">
        <v>2853</v>
      </c>
      <c r="AZ8" s="6">
        <v>2895</v>
      </c>
      <c r="BA8" s="6">
        <v>2910</v>
      </c>
      <c r="BB8" s="6">
        <v>2912</v>
      </c>
      <c r="BC8" s="6">
        <v>2936</v>
      </c>
      <c r="BD8" s="6">
        <v>2934</v>
      </c>
      <c r="BE8" s="6">
        <v>2958</v>
      </c>
      <c r="BF8" s="6">
        <v>2960</v>
      </c>
      <c r="BG8" s="6">
        <v>2990</v>
      </c>
      <c r="BH8" s="6">
        <v>3030</v>
      </c>
      <c r="BI8" s="6">
        <v>3050</v>
      </c>
      <c r="BJ8" s="3">
        <v>3070</v>
      </c>
      <c r="BU8" s="3">
        <v>1</v>
      </c>
      <c r="BV8" s="3">
        <v>6</v>
      </c>
      <c r="BW8" s="3">
        <v>12</v>
      </c>
      <c r="BX8" s="3">
        <v>58</v>
      </c>
      <c r="BY8" s="3">
        <v>145</v>
      </c>
      <c r="BZ8" s="3">
        <v>360</v>
      </c>
      <c r="CA8" s="3">
        <v>608</v>
      </c>
      <c r="CB8" s="3">
        <v>845</v>
      </c>
      <c r="CC8" s="3">
        <v>1056</v>
      </c>
    </row>
    <row r="9" spans="1:99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253</v>
      </c>
      <c r="AV9" s="6">
        <v>256</v>
      </c>
      <c r="AW9" s="6">
        <v>255</v>
      </c>
      <c r="AX9" s="6">
        <v>258</v>
      </c>
      <c r="AY9" s="6">
        <v>259</v>
      </c>
      <c r="AZ9" s="6">
        <v>259</v>
      </c>
      <c r="BA9" s="6">
        <v>261</v>
      </c>
      <c r="BB9" s="6">
        <v>262</v>
      </c>
      <c r="BC9" s="6">
        <v>263</v>
      </c>
      <c r="BD9" s="6">
        <v>264</v>
      </c>
      <c r="BE9" s="6">
        <v>266</v>
      </c>
      <c r="BF9" s="22"/>
      <c r="BG9" s="6"/>
      <c r="BH9" s="6"/>
      <c r="BI9" s="6"/>
      <c r="CA9" s="3">
        <v>154</v>
      </c>
      <c r="CB9" s="3">
        <v>179</v>
      </c>
      <c r="CC9" s="3">
        <v>193</v>
      </c>
    </row>
    <row r="10" spans="1:99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9"/>
      <c r="BF10" s="6"/>
      <c r="BG10" s="6"/>
      <c r="BH10" s="6"/>
      <c r="BI10" s="6"/>
    </row>
    <row r="11" spans="1:99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9">
        <f t="shared" ref="AU11:BG11" si="2">+AU32/AU4</f>
        <v>5.9321070234113709</v>
      </c>
      <c r="AV11" s="9">
        <f t="shared" si="2"/>
        <v>5.9512738853503189</v>
      </c>
      <c r="AW11" s="9">
        <f t="shared" si="2"/>
        <v>6.6884735202492216</v>
      </c>
      <c r="AX11" s="9">
        <f t="shared" si="2"/>
        <v>8.5066666666666659</v>
      </c>
      <c r="AY11" s="9">
        <f t="shared" si="2"/>
        <v>7.5857971014492751</v>
      </c>
      <c r="AZ11" s="9">
        <f t="shared" si="2"/>
        <v>8.2840455840455842</v>
      </c>
      <c r="BA11" s="9">
        <f t="shared" si="2"/>
        <v>8.1033519553072626</v>
      </c>
      <c r="BB11" s="9">
        <f t="shared" si="2"/>
        <v>9.3791086350974933</v>
      </c>
      <c r="BC11" s="9">
        <f t="shared" si="2"/>
        <v>7.6670329670329673</v>
      </c>
      <c r="BD11" s="9">
        <f t="shared" si="2"/>
        <v>7.8964383561643832</v>
      </c>
      <c r="BE11" s="9">
        <f t="shared" si="2"/>
        <v>7.4700808625336927</v>
      </c>
      <c r="BF11" s="9">
        <f t="shared" si="2"/>
        <v>8.6002673796791438</v>
      </c>
      <c r="BG11" s="9">
        <f t="shared" si="2"/>
        <v>7.5183727034120738</v>
      </c>
      <c r="BH11" s="6"/>
      <c r="BI11" s="6"/>
    </row>
    <row r="12" spans="1:99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9"/>
      <c r="AV12" s="9">
        <f t="shared" ref="AV12:BB12" si="3">AVERAGE(AU11:AV11)</f>
        <v>5.9416904543808453</v>
      </c>
      <c r="AW12" s="9">
        <f t="shared" si="3"/>
        <v>6.3198737027997698</v>
      </c>
      <c r="AX12" s="9">
        <f t="shared" si="3"/>
        <v>7.5975700934579438</v>
      </c>
      <c r="AY12" s="9">
        <f t="shared" si="3"/>
        <v>8.0462318840579705</v>
      </c>
      <c r="AZ12" s="9">
        <f t="shared" si="3"/>
        <v>7.9349213427474297</v>
      </c>
      <c r="BA12" s="9">
        <f t="shared" si="3"/>
        <v>8.1936987696764234</v>
      </c>
      <c r="BB12" s="9">
        <f t="shared" si="3"/>
        <v>8.7412302952023779</v>
      </c>
      <c r="BC12" s="9">
        <f>AVERAGE(BB11:BC11)</f>
        <v>8.5230708010652307</v>
      </c>
      <c r="BD12" s="9">
        <f>AVERAGE(BC11:BD11)</f>
        <v>7.7817356615986757</v>
      </c>
      <c r="BE12" s="9">
        <f>AVERAGE(BD11:BE11)</f>
        <v>7.6832596093490384</v>
      </c>
      <c r="BF12" s="9">
        <f>AVERAGE(BE11:BF11)</f>
        <v>8.0351741211064187</v>
      </c>
      <c r="BG12" s="9">
        <f>AVERAGE(BF11:BG11)</f>
        <v>8.0593200415456092</v>
      </c>
      <c r="BH12" s="6"/>
      <c r="BI12" s="6"/>
    </row>
    <row r="13" spans="1:99" s="13" customFormat="1" ht="13" x14ac:dyDescent="0.3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  <c r="AV13" s="15"/>
      <c r="AW13" s="15"/>
      <c r="AX13" s="15"/>
      <c r="AY13" s="16"/>
      <c r="AZ13" s="16">
        <f t="shared" ref="AZ13:BB13" si="4">AZ12/AV12-1</f>
        <v>0.33546528612862403</v>
      </c>
      <c r="BA13" s="16">
        <f t="shared" si="4"/>
        <v>0.29649723317200616</v>
      </c>
      <c r="BB13" s="16">
        <f t="shared" si="4"/>
        <v>0.15052973354325583</v>
      </c>
      <c r="BC13" s="16">
        <f>BC12/AY12-1</f>
        <v>5.9262388143700218E-2</v>
      </c>
      <c r="BD13" s="16">
        <f>BD12/AZ12-1</f>
        <v>-1.9305255154011935E-2</v>
      </c>
      <c r="BE13" s="16">
        <f>BE12/BA12-1</f>
        <v>-6.2296549418736191E-2</v>
      </c>
      <c r="BF13" s="16">
        <f>BF12/BB12-1</f>
        <v>-8.0773089170694701E-2</v>
      </c>
      <c r="BG13" s="16">
        <f>BG12/BC12-1</f>
        <v>-5.4411229279200723E-2</v>
      </c>
      <c r="BH13" s="14"/>
      <c r="BI13" s="14"/>
    </row>
    <row r="14" spans="1:99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9">
        <f t="shared" ref="AU14:BG14" si="5">+AU31/AU4</f>
        <v>5.8327759197324411</v>
      </c>
      <c r="AV14" s="9">
        <f t="shared" si="5"/>
        <v>5.834713375796178</v>
      </c>
      <c r="AW14" s="9">
        <f t="shared" si="5"/>
        <v>6.6109034267912774</v>
      </c>
      <c r="AX14" s="9">
        <f t="shared" si="5"/>
        <v>8.2384848484848483</v>
      </c>
      <c r="AY14" s="9">
        <f t="shared" si="5"/>
        <v>7.373623188405797</v>
      </c>
      <c r="AZ14" s="9">
        <f t="shared" si="5"/>
        <v>8.1424501424501425</v>
      </c>
      <c r="BA14" s="9">
        <f t="shared" si="5"/>
        <v>7.8983240223463689</v>
      </c>
      <c r="BB14" s="9">
        <f t="shared" si="5"/>
        <v>9.0916434540389979</v>
      </c>
      <c r="BC14" s="9">
        <f t="shared" si="5"/>
        <v>7.4170329670329673</v>
      </c>
      <c r="BD14" s="9">
        <f t="shared" si="5"/>
        <v>7.7128767123287671</v>
      </c>
      <c r="BE14" s="9">
        <f t="shared" si="5"/>
        <v>7.3415094339622637</v>
      </c>
      <c r="BF14" s="9">
        <f t="shared" si="5"/>
        <v>8.3566844919786103</v>
      </c>
      <c r="BG14" s="9">
        <f t="shared" si="5"/>
        <v>7.3755905511811024</v>
      </c>
      <c r="BH14" s="6"/>
      <c r="BI14" s="6"/>
    </row>
    <row r="15" spans="1:99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9">
        <f t="shared" ref="AU15:BG15" si="6">+AU31/AU3</f>
        <v>7.3898305084745761</v>
      </c>
      <c r="AV15" s="9">
        <f t="shared" si="6"/>
        <v>7.4174089068825912</v>
      </c>
      <c r="AW15" s="9">
        <f t="shared" si="6"/>
        <v>8.3547244094488189</v>
      </c>
      <c r="AX15" s="9">
        <f t="shared" si="6"/>
        <v>10.456538461538461</v>
      </c>
      <c r="AY15" s="9">
        <f t="shared" si="6"/>
        <v>9.3525735294117656</v>
      </c>
      <c r="AZ15" s="9">
        <f t="shared" si="6"/>
        <v>10.355072463768115</v>
      </c>
      <c r="BA15" s="9">
        <f t="shared" si="6"/>
        <v>10.062633451957295</v>
      </c>
      <c r="BB15" s="9">
        <f t="shared" si="6"/>
        <v>11.574113475177304</v>
      </c>
      <c r="BC15" s="9">
        <f t="shared" si="6"/>
        <v>9.4069686411149824</v>
      </c>
      <c r="BD15" s="9">
        <f t="shared" si="6"/>
        <v>9.7750000000000004</v>
      </c>
      <c r="BE15" s="9">
        <f t="shared" si="6"/>
        <v>9.2959044368600683</v>
      </c>
      <c r="BF15" s="9">
        <f t="shared" si="6"/>
        <v>10.558783783783785</v>
      </c>
      <c r="BG15" s="9">
        <f t="shared" si="6"/>
        <v>9.3049668874172191</v>
      </c>
      <c r="BH15" s="6"/>
      <c r="BI15" s="6"/>
    </row>
    <row r="16" spans="1:99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9"/>
      <c r="AV16" s="9">
        <f t="shared" ref="AV16:BB16" si="7">AVERAGE(AU15:AV15)</f>
        <v>7.4036197076785832</v>
      </c>
      <c r="AW16" s="9">
        <f t="shared" si="7"/>
        <v>7.8860666581657046</v>
      </c>
      <c r="AX16" s="9">
        <f t="shared" si="7"/>
        <v>9.405631435493639</v>
      </c>
      <c r="AY16" s="9">
        <f t="shared" si="7"/>
        <v>9.9045559954751141</v>
      </c>
      <c r="AZ16" s="9">
        <f t="shared" si="7"/>
        <v>9.8538229965899404</v>
      </c>
      <c r="BA16" s="9">
        <f t="shared" si="7"/>
        <v>10.208852957862705</v>
      </c>
      <c r="BB16" s="9">
        <f t="shared" si="7"/>
        <v>10.818373463567299</v>
      </c>
      <c r="BC16" s="9">
        <f>AVERAGE(BB15:BC15)</f>
        <v>10.490541058146142</v>
      </c>
      <c r="BD16" s="9">
        <f t="shared" ref="BD16:BE16" si="8">AVERAGE(BC15:BD15)</f>
        <v>9.5909843205574923</v>
      </c>
      <c r="BE16" s="9">
        <f t="shared" si="8"/>
        <v>9.5354522184300343</v>
      </c>
      <c r="BF16" s="9">
        <f>AVERAGE(BE15:BF15)</f>
        <v>9.9273441103219255</v>
      </c>
      <c r="BG16" s="9">
        <f>AVERAGE(BF15:BG15)</f>
        <v>9.9318753356005018</v>
      </c>
      <c r="BH16" s="6"/>
      <c r="BI16" s="6"/>
    </row>
    <row r="17" spans="2:99" s="13" customFormat="1" ht="13" x14ac:dyDescent="0.3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6">
        <f t="shared" ref="AZ17:BB17" si="9">AZ16/AV16-1</f>
        <v>0.33094667009573109</v>
      </c>
      <c r="BA17" s="16">
        <f t="shared" si="9"/>
        <v>0.29454307202588104</v>
      </c>
      <c r="BB17" s="16">
        <f t="shared" si="9"/>
        <v>0.15020172093310546</v>
      </c>
      <c r="BC17" s="16">
        <f>BC16/AY16-1</f>
        <v>5.9163183381338413E-2</v>
      </c>
      <c r="BD17" s="16">
        <f>BD16/AZ16-1</f>
        <v>-2.6673776880648981E-2</v>
      </c>
      <c r="BE17" s="16">
        <f>BE16/BA16-1</f>
        <v>-6.5962429100717701E-2</v>
      </c>
      <c r="BF17" s="16">
        <f>BF16/BB16-1</f>
        <v>-8.2362598799723963E-2</v>
      </c>
      <c r="BG17" s="16">
        <f>BG16/BC16-1</f>
        <v>-5.3254233451745958E-2</v>
      </c>
      <c r="BH17" s="14"/>
      <c r="BI17" s="14"/>
    </row>
    <row r="18" spans="2:99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9"/>
      <c r="BD18" s="6"/>
      <c r="BE18" s="6"/>
      <c r="BF18" s="6"/>
      <c r="BG18" s="6"/>
      <c r="BH18" s="6"/>
      <c r="BI18" s="6"/>
    </row>
    <row r="19" spans="2:99" s="3" customFormat="1" x14ac:dyDescent="0.25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12024</v>
      </c>
      <c r="BD19" s="6">
        <v>12788</v>
      </c>
      <c r="BE19" s="6">
        <v>12766</v>
      </c>
      <c r="BF19" s="6">
        <v>15005</v>
      </c>
      <c r="BG19" s="6">
        <v>12710</v>
      </c>
      <c r="BH19" s="6">
        <v>14131</v>
      </c>
      <c r="BI19" s="6">
        <v>14956</v>
      </c>
      <c r="BJ19" s="3">
        <v>17784</v>
      </c>
      <c r="BK19" s="3">
        <v>15451</v>
      </c>
      <c r="BL19" s="3">
        <v>16593</v>
      </c>
      <c r="BM19" s="3">
        <v>17389</v>
      </c>
      <c r="BN19" s="3">
        <v>20982</v>
      </c>
    </row>
    <row r="20" spans="2:99" s="3" customFormat="1" x14ac:dyDescent="0.25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6364</v>
      </c>
      <c r="BD20" s="6">
        <v>6360</v>
      </c>
      <c r="BE20" s="6">
        <v>5707</v>
      </c>
      <c r="BF20" s="6">
        <v>6904</v>
      </c>
      <c r="BG20" s="6">
        <v>6269</v>
      </c>
      <c r="BH20" s="6">
        <v>7268</v>
      </c>
      <c r="BI20" s="6">
        <v>7721</v>
      </c>
      <c r="BJ20" s="3">
        <v>9159</v>
      </c>
      <c r="BK20" s="3">
        <v>8327</v>
      </c>
      <c r="BL20" s="3">
        <v>9135</v>
      </c>
      <c r="BM20" s="3">
        <v>9358</v>
      </c>
      <c r="BN20" s="3">
        <v>11154</v>
      </c>
    </row>
    <row r="21" spans="2:99" s="3" customFormat="1" x14ac:dyDescent="0.25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5661</v>
      </c>
      <c r="BD21" s="6">
        <v>5835</v>
      </c>
      <c r="BE21" s="6">
        <v>5717</v>
      </c>
      <c r="BF21" s="6">
        <v>5968</v>
      </c>
      <c r="BG21" s="6">
        <v>5893</v>
      </c>
      <c r="BH21" s="6">
        <v>6435</v>
      </c>
      <c r="BI21" s="6">
        <v>6829</v>
      </c>
      <c r="BJ21" s="3">
        <v>7316</v>
      </c>
      <c r="BK21" s="3">
        <v>7338</v>
      </c>
      <c r="BL21" s="3">
        <v>7721</v>
      </c>
      <c r="BM21" s="3">
        <v>8050</v>
      </c>
      <c r="BN21" s="3">
        <v>9012</v>
      </c>
    </row>
    <row r="22" spans="2:99" s="3" customFormat="1" x14ac:dyDescent="0.25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2949</v>
      </c>
      <c r="BD22" s="6">
        <v>3169</v>
      </c>
      <c r="BE22" s="6">
        <v>3047</v>
      </c>
      <c r="BF22" s="6">
        <v>3377</v>
      </c>
      <c r="BG22" s="6">
        <v>3229</v>
      </c>
      <c r="BH22" s="6">
        <v>3664</v>
      </c>
      <c r="BI22" s="6">
        <v>4137</v>
      </c>
      <c r="BJ22" s="3">
        <v>4447</v>
      </c>
      <c r="BK22" s="3">
        <v>4519</v>
      </c>
      <c r="BL22" s="3">
        <v>4880</v>
      </c>
      <c r="BM22" s="3">
        <v>5088</v>
      </c>
      <c r="BN22" s="3">
        <v>5635</v>
      </c>
    </row>
    <row r="23" spans="2:99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99" s="3" customFormat="1" x14ac:dyDescent="0.25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1654</v>
      </c>
      <c r="AV24" s="6">
        <v>1539</v>
      </c>
      <c r="AW24" s="6">
        <v>1980</v>
      </c>
      <c r="AX24" s="6">
        <v>2512</v>
      </c>
      <c r="AY24" s="6">
        <v>2434</v>
      </c>
      <c r="AZ24" s="6">
        <v>2857</v>
      </c>
      <c r="BA24" s="6">
        <v>2963</v>
      </c>
      <c r="BB24" s="6">
        <v>3220</v>
      </c>
      <c r="BC24" s="6"/>
      <c r="BD24" s="6"/>
      <c r="BE24" s="6"/>
      <c r="BF24" s="21"/>
      <c r="BG24" s="6">
        <v>3145</v>
      </c>
      <c r="BH24" s="6"/>
      <c r="BI24" s="6"/>
      <c r="BK24" s="3">
        <v>4093</v>
      </c>
    </row>
    <row r="25" spans="2:99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3236</v>
      </c>
      <c r="AV25" s="6">
        <v>3312</v>
      </c>
      <c r="AW25" s="6">
        <v>4202</v>
      </c>
      <c r="AX25" s="6">
        <v>4703</v>
      </c>
      <c r="AY25" s="6">
        <v>4735</v>
      </c>
      <c r="AZ25" s="6">
        <v>5152</v>
      </c>
      <c r="BA25" s="6">
        <v>5398</v>
      </c>
      <c r="BB25" s="6">
        <v>6183</v>
      </c>
      <c r="BC25" s="6"/>
      <c r="BD25" s="6"/>
      <c r="BE25" s="6"/>
      <c r="BF25" s="21"/>
      <c r="BG25" s="6">
        <v>7292</v>
      </c>
      <c r="BH25" s="6"/>
      <c r="BI25" s="6"/>
      <c r="BK25" s="3">
        <v>10312</v>
      </c>
    </row>
    <row r="26" spans="2:99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4171</v>
      </c>
      <c r="AV26" s="6">
        <v>4411</v>
      </c>
      <c r="AW26" s="6">
        <v>5051</v>
      </c>
      <c r="AX26" s="6">
        <v>6822</v>
      </c>
      <c r="AY26" s="6">
        <v>6373</v>
      </c>
      <c r="AZ26" s="6">
        <v>7205</v>
      </c>
      <c r="BA26" s="6">
        <v>6821</v>
      </c>
      <c r="BB26" s="6">
        <v>8174</v>
      </c>
      <c r="BC26" s="6"/>
      <c r="BD26" s="6"/>
      <c r="BE26" s="6"/>
      <c r="BF26" s="21"/>
      <c r="BG26" s="6">
        <v>6759</v>
      </c>
      <c r="BH26" s="6"/>
      <c r="BI26" s="6"/>
      <c r="BK26" s="3">
        <v>8404</v>
      </c>
    </row>
    <row r="27" spans="2:99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8379</v>
      </c>
      <c r="AV27" s="6">
        <v>9059</v>
      </c>
      <c r="AW27" s="6">
        <v>9988</v>
      </c>
      <c r="AX27" s="6">
        <v>13150</v>
      </c>
      <c r="AY27" s="6">
        <v>11897</v>
      </c>
      <c r="AZ27" s="6">
        <v>13366</v>
      </c>
      <c r="BA27" s="6">
        <v>13094</v>
      </c>
      <c r="BB27" s="6">
        <v>15062</v>
      </c>
      <c r="BC27" s="6"/>
      <c r="BD27" s="6"/>
      <c r="BE27" s="6"/>
      <c r="BF27" s="21"/>
      <c r="BG27" s="6">
        <v>11449</v>
      </c>
      <c r="BH27" s="6"/>
      <c r="BI27" s="6"/>
      <c r="BK27" s="3">
        <v>13646</v>
      </c>
    </row>
    <row r="28" spans="2:99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21"/>
      <c r="BG28" s="6"/>
      <c r="BH28" s="6"/>
      <c r="BI28" s="6"/>
    </row>
    <row r="29" spans="2:99" s="3" customFormat="1" x14ac:dyDescent="0.25">
      <c r="B29" s="3" t="s">
        <v>55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171</v>
      </c>
      <c r="AN29" s="6">
        <v>193</v>
      </c>
      <c r="AO29" s="6">
        <v>188</v>
      </c>
      <c r="AP29" s="6">
        <v>274</v>
      </c>
      <c r="AQ29" s="6">
        <v>165</v>
      </c>
      <c r="AR29" s="6">
        <v>262</v>
      </c>
      <c r="AS29" s="6">
        <v>269</v>
      </c>
      <c r="AT29" s="6">
        <v>346</v>
      </c>
      <c r="AU29" s="6">
        <v>297</v>
      </c>
      <c r="AV29" s="6"/>
      <c r="AW29" s="6"/>
      <c r="AX29" s="6">
        <v>168</v>
      </c>
      <c r="AY29" s="6">
        <v>198</v>
      </c>
      <c r="AZ29" s="6">
        <v>192</v>
      </c>
      <c r="BA29" s="6">
        <v>176</v>
      </c>
      <c r="BB29" s="6">
        <v>155</v>
      </c>
      <c r="BC29" s="6">
        <v>215</v>
      </c>
      <c r="BD29" s="6">
        <v>218</v>
      </c>
      <c r="BE29" s="6">
        <v>192</v>
      </c>
      <c r="BF29" s="6">
        <v>184</v>
      </c>
      <c r="BG29" s="6">
        <v>205</v>
      </c>
      <c r="BH29" s="6">
        <v>225</v>
      </c>
      <c r="BI29" s="6">
        <v>293</v>
      </c>
      <c r="BJ29" s="3">
        <v>334</v>
      </c>
      <c r="BK29" s="3">
        <v>380</v>
      </c>
      <c r="BL29" s="3">
        <v>389</v>
      </c>
      <c r="BM29" s="3">
        <v>434</v>
      </c>
      <c r="BN29" s="3">
        <v>519</v>
      </c>
      <c r="BO29" s="3">
        <v>510</v>
      </c>
      <c r="CI29" s="3">
        <v>825</v>
      </c>
      <c r="CJ29" s="3">
        <v>541</v>
      </c>
      <c r="CK29" s="3">
        <v>657</v>
      </c>
      <c r="CL29" s="3">
        <v>721</v>
      </c>
      <c r="CM29" s="3">
        <f>SUM(BC29:BF29)</f>
        <v>809</v>
      </c>
      <c r="CN29" s="3">
        <f>SUM(BG29:BJ29)</f>
        <v>1057</v>
      </c>
      <c r="CO29" s="3">
        <f>SUM(BK29:BN29)</f>
        <v>1722</v>
      </c>
    </row>
    <row r="30" spans="2:99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717</v>
      </c>
      <c r="AY30" s="6">
        <v>534</v>
      </c>
      <c r="AZ30" s="6">
        <v>305</v>
      </c>
      <c r="BA30" s="6">
        <v>558</v>
      </c>
      <c r="BB30" s="6">
        <v>877</v>
      </c>
      <c r="BC30" s="6">
        <v>695</v>
      </c>
      <c r="BD30" s="6">
        <v>452</v>
      </c>
      <c r="BE30" s="6">
        <v>285</v>
      </c>
      <c r="BF30" s="6">
        <v>727</v>
      </c>
      <c r="BG30" s="6">
        <v>339</v>
      </c>
      <c r="BH30" s="6">
        <v>276</v>
      </c>
      <c r="BI30" s="6">
        <v>210</v>
      </c>
      <c r="BJ30" s="3">
        <v>1071</v>
      </c>
      <c r="BK30" s="3">
        <v>440</v>
      </c>
      <c r="BL30" s="3">
        <v>353</v>
      </c>
      <c r="BM30" s="3">
        <v>270</v>
      </c>
      <c r="BN30" s="3">
        <v>1083</v>
      </c>
      <c r="BO30" s="3">
        <v>412</v>
      </c>
      <c r="CJ30" s="3">
        <v>501</v>
      </c>
      <c r="CK30" s="3">
        <v>1139</v>
      </c>
      <c r="CL30" s="3">
        <v>2274</v>
      </c>
      <c r="CM30" s="3">
        <f>SUM(BC30:BF30)</f>
        <v>2159</v>
      </c>
      <c r="CN30" s="3">
        <f>SUM(BG30:BJ30)</f>
        <v>1896</v>
      </c>
      <c r="CO30" s="3">
        <f>SUM(BK30:BN30)</f>
        <v>2146</v>
      </c>
    </row>
    <row r="31" spans="2:99" s="3" customFormat="1" x14ac:dyDescent="0.25">
      <c r="B31" s="3" t="s">
        <v>82</v>
      </c>
      <c r="C31" s="6"/>
      <c r="D31" s="6"/>
      <c r="E31" s="6"/>
      <c r="F31" s="6"/>
      <c r="G31" s="6">
        <v>345</v>
      </c>
      <c r="H31" s="6">
        <f>424+8</f>
        <v>432</v>
      </c>
      <c r="I31" s="6">
        <f>450+17</f>
        <v>467</v>
      </c>
      <c r="J31" s="6">
        <f>655+76</f>
        <v>731</v>
      </c>
      <c r="K31" s="6">
        <f>637+94</f>
        <v>731</v>
      </c>
      <c r="L31" s="6">
        <f>776+119</f>
        <v>895</v>
      </c>
      <c r="M31" s="6">
        <f>798+156</f>
        <v>954</v>
      </c>
      <c r="N31" s="6">
        <f>943+188</f>
        <v>1131</v>
      </c>
      <c r="O31" s="6">
        <f>872+186</f>
        <v>1058</v>
      </c>
      <c r="P31" s="6">
        <f>992+192</f>
        <v>1184</v>
      </c>
      <c r="Q31" s="6">
        <f>1086+176</f>
        <v>1262</v>
      </c>
      <c r="R31" s="6">
        <f>1329+256</f>
        <v>1585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11795</v>
      </c>
      <c r="AN31" s="6">
        <v>13038</v>
      </c>
      <c r="AO31" s="6">
        <v>13539</v>
      </c>
      <c r="AP31" s="6">
        <v>16640</v>
      </c>
      <c r="AQ31" s="6">
        <v>14912</v>
      </c>
      <c r="AR31" s="6">
        <v>16624</v>
      </c>
      <c r="AS31" s="6">
        <v>17383</v>
      </c>
      <c r="AT31" s="6">
        <v>20736</v>
      </c>
      <c r="AU31" s="6">
        <f>SUM(AU24:AU27)</f>
        <v>17440</v>
      </c>
      <c r="AV31" s="6">
        <f t="shared" ref="AV31:BB31" si="10">SUM(AV24:AV27)</f>
        <v>18321</v>
      </c>
      <c r="AW31" s="6">
        <f t="shared" si="10"/>
        <v>21221</v>
      </c>
      <c r="AX31" s="6">
        <f t="shared" si="10"/>
        <v>27187</v>
      </c>
      <c r="AY31" s="6">
        <f t="shared" si="10"/>
        <v>25439</v>
      </c>
      <c r="AZ31" s="6">
        <f t="shared" si="10"/>
        <v>28580</v>
      </c>
      <c r="BA31" s="6">
        <f t="shared" si="10"/>
        <v>28276</v>
      </c>
      <c r="BB31" s="6">
        <f t="shared" si="10"/>
        <v>32639</v>
      </c>
      <c r="BC31" s="6">
        <f>SUM(BC19:BC22)</f>
        <v>26998</v>
      </c>
      <c r="BD31" s="6">
        <f>SUM(BD19:BD22)</f>
        <v>28152</v>
      </c>
      <c r="BE31" s="6">
        <f>SUM(BE19:BE22)</f>
        <v>27237</v>
      </c>
      <c r="BF31" s="6">
        <v>31254</v>
      </c>
      <c r="BG31" s="6">
        <v>28101</v>
      </c>
      <c r="BH31" s="6">
        <v>31498</v>
      </c>
      <c r="BI31" s="6">
        <v>33643</v>
      </c>
      <c r="BJ31" s="6">
        <v>38706</v>
      </c>
      <c r="BK31" s="6">
        <v>35635</v>
      </c>
      <c r="BL31" s="6">
        <v>38329</v>
      </c>
      <c r="BM31" s="6">
        <v>39885</v>
      </c>
      <c r="BN31" s="6">
        <v>46783</v>
      </c>
      <c r="BO31" s="6">
        <v>41392</v>
      </c>
      <c r="BP31" s="6"/>
      <c r="BQ31" s="6"/>
      <c r="BR31" s="6"/>
      <c r="BS31" s="6"/>
      <c r="BU31" s="3">
        <v>0.38200000000000001</v>
      </c>
      <c r="BV31" s="3">
        <v>9</v>
      </c>
      <c r="BW31" s="3">
        <v>48</v>
      </c>
      <c r="BX31" s="3">
        <v>153</v>
      </c>
      <c r="BY31" s="3">
        <v>272</v>
      </c>
      <c r="BZ31" s="3">
        <v>777</v>
      </c>
      <c r="CA31" s="3">
        <v>1974</v>
      </c>
      <c r="CB31" s="3">
        <f>SUM(K31:N31)</f>
        <v>3711</v>
      </c>
      <c r="CC31" s="3">
        <f>SUM(O31:R31)</f>
        <v>5089</v>
      </c>
      <c r="CD31" s="3">
        <v>7872</v>
      </c>
      <c r="CE31" s="3">
        <v>12466</v>
      </c>
      <c r="CF31" s="3">
        <v>17928</v>
      </c>
      <c r="CG31" s="3">
        <v>27638</v>
      </c>
      <c r="CH31" s="3">
        <v>40653</v>
      </c>
      <c r="CI31" s="3">
        <v>55013</v>
      </c>
      <c r="CJ31" s="3">
        <v>69655</v>
      </c>
      <c r="CK31" s="3">
        <v>84169</v>
      </c>
      <c r="CL31" s="3">
        <v>114934</v>
      </c>
      <c r="CM31" s="3">
        <f>SUM(BC31:BF31)</f>
        <v>113641</v>
      </c>
      <c r="CN31" s="3">
        <f>SUM(BG31:BJ31)</f>
        <v>131948</v>
      </c>
      <c r="CO31" s="3">
        <f>SUM(BK31:BN31)</f>
        <v>160632</v>
      </c>
    </row>
    <row r="32" spans="2:99" s="7" customFormat="1" ht="13" x14ac:dyDescent="0.3">
      <c r="B32" s="7" t="s">
        <v>24</v>
      </c>
      <c r="C32" s="8">
        <f t="shared" ref="C32:F32" si="11">SUM(C29:C31)</f>
        <v>0</v>
      </c>
      <c r="D32" s="8">
        <f t="shared" si="11"/>
        <v>0</v>
      </c>
      <c r="E32" s="8">
        <f t="shared" si="11"/>
        <v>0</v>
      </c>
      <c r="F32" s="8">
        <f t="shared" si="11"/>
        <v>0</v>
      </c>
      <c r="G32" s="8">
        <f t="shared" ref="G32:J32" si="12">SUM(G29:G31)</f>
        <v>345</v>
      </c>
      <c r="H32" s="8">
        <f t="shared" si="12"/>
        <v>432</v>
      </c>
      <c r="I32" s="8">
        <f t="shared" si="12"/>
        <v>467</v>
      </c>
      <c r="J32" s="8">
        <f t="shared" si="12"/>
        <v>731</v>
      </c>
      <c r="K32" s="8">
        <f t="shared" ref="K32:N32" si="13">SUM(K29:K31)</f>
        <v>731</v>
      </c>
      <c r="L32" s="8">
        <f t="shared" si="13"/>
        <v>895</v>
      </c>
      <c r="M32" s="8">
        <f t="shared" si="13"/>
        <v>954</v>
      </c>
      <c r="N32" s="8">
        <f t="shared" si="13"/>
        <v>1131</v>
      </c>
      <c r="O32" s="8">
        <f t="shared" ref="O32:R32" si="14">SUM(O29:O31)</f>
        <v>1058</v>
      </c>
      <c r="P32" s="8">
        <f t="shared" si="14"/>
        <v>1184</v>
      </c>
      <c r="Q32" s="8">
        <f t="shared" si="14"/>
        <v>1262</v>
      </c>
      <c r="R32" s="8">
        <f t="shared" si="14"/>
        <v>1585</v>
      </c>
      <c r="S32" s="8">
        <f t="shared" ref="S32:V32" si="15">SUM(S29:S31)</f>
        <v>0</v>
      </c>
      <c r="T32" s="8">
        <f t="shared" si="15"/>
        <v>0</v>
      </c>
      <c r="U32" s="8">
        <f t="shared" si="15"/>
        <v>0</v>
      </c>
      <c r="V32" s="8">
        <f t="shared" si="15"/>
        <v>0</v>
      </c>
      <c r="W32" s="8">
        <f t="shared" ref="W32:Z32" si="16">SUM(W29:W31)</f>
        <v>0</v>
      </c>
      <c r="X32" s="8">
        <f t="shared" si="16"/>
        <v>0</v>
      </c>
      <c r="Y32" s="8">
        <f t="shared" si="16"/>
        <v>0</v>
      </c>
      <c r="Z32" s="8">
        <f t="shared" si="16"/>
        <v>0</v>
      </c>
      <c r="AA32" s="8">
        <f t="shared" ref="AA32:AD32" si="17">SUM(AA29:AA31)</f>
        <v>0</v>
      </c>
      <c r="AB32" s="8">
        <f t="shared" si="17"/>
        <v>0</v>
      </c>
      <c r="AC32" s="8">
        <f t="shared" si="17"/>
        <v>0</v>
      </c>
      <c r="AD32" s="8">
        <f t="shared" si="17"/>
        <v>0</v>
      </c>
      <c r="AE32" s="8">
        <f t="shared" ref="AE32:AH32" si="18">SUM(AE29:AE31)</f>
        <v>0</v>
      </c>
      <c r="AF32" s="8">
        <f t="shared" si="18"/>
        <v>0</v>
      </c>
      <c r="AG32" s="8">
        <f t="shared" si="18"/>
        <v>0</v>
      </c>
      <c r="AH32" s="8">
        <f t="shared" si="18"/>
        <v>0</v>
      </c>
      <c r="AI32" s="8">
        <f t="shared" ref="AI32:AL32" si="19">SUM(AI29:AI31)</f>
        <v>0</v>
      </c>
      <c r="AJ32" s="8">
        <f t="shared" si="19"/>
        <v>0</v>
      </c>
      <c r="AK32" s="8">
        <f t="shared" si="19"/>
        <v>0</v>
      </c>
      <c r="AL32" s="8">
        <f t="shared" si="19"/>
        <v>0</v>
      </c>
      <c r="AM32" s="8">
        <f t="shared" ref="AM32:AS32" si="20">SUM(AM29:AM31)</f>
        <v>11966</v>
      </c>
      <c r="AN32" s="8">
        <f t="shared" si="20"/>
        <v>13231</v>
      </c>
      <c r="AO32" s="8">
        <f t="shared" si="20"/>
        <v>13727</v>
      </c>
      <c r="AP32" s="8">
        <f t="shared" si="20"/>
        <v>16914</v>
      </c>
      <c r="AQ32" s="8">
        <f t="shared" ref="AQ32" si="21">SUM(AQ29:AQ31)</f>
        <v>15077</v>
      </c>
      <c r="AR32" s="8">
        <f t="shared" si="20"/>
        <v>16886</v>
      </c>
      <c r="AS32" s="8">
        <f t="shared" si="20"/>
        <v>17652</v>
      </c>
      <c r="AT32" s="8">
        <f>SUM(AT29:AT31)</f>
        <v>21082</v>
      </c>
      <c r="AU32" s="8">
        <f>SUM(AU29:AU31)</f>
        <v>17737</v>
      </c>
      <c r="AV32" s="8">
        <v>18687</v>
      </c>
      <c r="AW32" s="8">
        <v>21470</v>
      </c>
      <c r="AX32" s="8">
        <v>28072</v>
      </c>
      <c r="AY32" s="8">
        <f>SUM(AY29:AY31)</f>
        <v>26171</v>
      </c>
      <c r="AZ32" s="8">
        <v>29077</v>
      </c>
      <c r="BA32" s="8">
        <v>29010</v>
      </c>
      <c r="BB32" s="8">
        <v>33671</v>
      </c>
      <c r="BC32" s="8">
        <f>SUM(BC29:BC31)</f>
        <v>27908</v>
      </c>
      <c r="BD32" s="8">
        <f>SUM(BD29:BD31)</f>
        <v>28822</v>
      </c>
      <c r="BE32" s="8">
        <f>SUM(BE29:BE31)</f>
        <v>27714</v>
      </c>
      <c r="BF32" s="8">
        <v>32165</v>
      </c>
      <c r="BG32" s="8">
        <f>SUM(BG29:BG31)</f>
        <v>28645</v>
      </c>
      <c r="BH32" s="8">
        <f>SUM(BH29:BH31)</f>
        <v>31999</v>
      </c>
      <c r="BI32" s="8">
        <f t="shared" ref="BI32:BN32" si="22">SUM(BI29:BI31)</f>
        <v>34146</v>
      </c>
      <c r="BJ32" s="8">
        <f t="shared" si="22"/>
        <v>40111</v>
      </c>
      <c r="BK32" s="8">
        <f t="shared" si="22"/>
        <v>36455</v>
      </c>
      <c r="BL32" s="8">
        <f>SUM(BL29:BL31)</f>
        <v>39071</v>
      </c>
      <c r="BM32" s="8">
        <f>SUM(BM29:BM31)</f>
        <v>40589</v>
      </c>
      <c r="BN32" s="8">
        <f t="shared" si="22"/>
        <v>48385</v>
      </c>
      <c r="BO32" s="8">
        <f>+BO31+BO30+BO29</f>
        <v>42314</v>
      </c>
      <c r="BP32" s="8">
        <f>+BL32*1.12</f>
        <v>43759.520000000004</v>
      </c>
      <c r="BQ32" s="8">
        <f>+BM32*1.12</f>
        <v>45459.680000000008</v>
      </c>
      <c r="BR32" s="8">
        <f>+BN32*1.12</f>
        <v>54191.200000000004</v>
      </c>
      <c r="BS32" s="8"/>
      <c r="BU32" s="7">
        <f t="shared" ref="BU32:BW32" si="23">SUM(BU29:BU31)</f>
        <v>0.38200000000000001</v>
      </c>
      <c r="BV32" s="7">
        <f t="shared" si="23"/>
        <v>9</v>
      </c>
      <c r="BW32" s="7">
        <f t="shared" si="23"/>
        <v>48</v>
      </c>
      <c r="BX32" s="7">
        <f t="shared" ref="BX32:CB32" si="24">SUM(BX29:BX31)</f>
        <v>153</v>
      </c>
      <c r="BY32" s="7">
        <f t="shared" si="24"/>
        <v>272</v>
      </c>
      <c r="BZ32" s="7">
        <f t="shared" si="24"/>
        <v>777</v>
      </c>
      <c r="CA32" s="7">
        <f t="shared" si="24"/>
        <v>1974</v>
      </c>
      <c r="CB32" s="7">
        <f t="shared" si="24"/>
        <v>3711</v>
      </c>
      <c r="CC32" s="7">
        <f>SUM(CC29:CC31)</f>
        <v>5089</v>
      </c>
      <c r="CD32" s="7">
        <f t="shared" ref="CD32:CI32" si="25">SUM(CD29:CD31)</f>
        <v>7872</v>
      </c>
      <c r="CE32" s="7">
        <f t="shared" si="25"/>
        <v>12466</v>
      </c>
      <c r="CF32" s="7">
        <f t="shared" si="25"/>
        <v>17928</v>
      </c>
      <c r="CG32" s="7">
        <f t="shared" si="25"/>
        <v>27638</v>
      </c>
      <c r="CH32" s="7">
        <f t="shared" si="25"/>
        <v>40653</v>
      </c>
      <c r="CI32" s="7">
        <f t="shared" si="25"/>
        <v>55838</v>
      </c>
      <c r="CJ32" s="7">
        <f>SUM(CJ29:CJ31)</f>
        <v>70697</v>
      </c>
      <c r="CK32" s="7">
        <f t="shared" ref="CK32:CL32" si="26">SUM(CK29:CK31)</f>
        <v>85965</v>
      </c>
      <c r="CL32" s="7">
        <f t="shared" si="26"/>
        <v>117929</v>
      </c>
      <c r="CM32" s="7">
        <f>SUM(BC32:BF32)</f>
        <v>116609</v>
      </c>
      <c r="CN32" s="7">
        <f>SUM(BG32:BJ32)</f>
        <v>134901</v>
      </c>
      <c r="CO32" s="7">
        <f>SUM(BK32:BN32)</f>
        <v>164500</v>
      </c>
      <c r="CP32" s="7">
        <f>SUM(BO32:BR32)</f>
        <v>185724.40000000002</v>
      </c>
      <c r="CQ32" s="7">
        <f>+CP32*1.1</f>
        <v>204296.84000000005</v>
      </c>
      <c r="CR32" s="7">
        <f>+CQ32*1.08</f>
        <v>220640.58720000007</v>
      </c>
      <c r="CS32" s="7">
        <f>+CR32*1.08</f>
        <v>238291.83417600009</v>
      </c>
      <c r="CT32" s="7">
        <f>+CS32*1.05</f>
        <v>250206.42588480012</v>
      </c>
      <c r="CU32" s="7">
        <f>+CT32*1.05</f>
        <v>262716.74717904016</v>
      </c>
    </row>
    <row r="33" spans="2:155" s="3" customFormat="1" x14ac:dyDescent="0.25">
      <c r="B33" s="3" t="s">
        <v>36</v>
      </c>
      <c r="C33" s="6"/>
      <c r="D33" s="6"/>
      <c r="E33" s="6"/>
      <c r="F33" s="6"/>
      <c r="G33" s="6">
        <v>100</v>
      </c>
      <c r="H33" s="6">
        <v>111</v>
      </c>
      <c r="I33" s="6">
        <v>131</v>
      </c>
      <c r="J33" s="6">
        <v>150</v>
      </c>
      <c r="K33" s="6">
        <v>167</v>
      </c>
      <c r="L33" s="6">
        <v>210</v>
      </c>
      <c r="M33" s="6">
        <v>236</v>
      </c>
      <c r="N33" s="6">
        <v>247</v>
      </c>
      <c r="O33" s="6">
        <v>277</v>
      </c>
      <c r="P33" s="6">
        <v>367</v>
      </c>
      <c r="Q33" s="6">
        <v>322</v>
      </c>
      <c r="R33" s="6">
        <v>398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>
        <v>1927</v>
      </c>
      <c r="AN33" s="6">
        <v>2214</v>
      </c>
      <c r="AO33" s="6">
        <v>2418</v>
      </c>
      <c r="AP33" s="6">
        <v>2796</v>
      </c>
      <c r="AQ33" s="6">
        <v>2816</v>
      </c>
      <c r="AR33" s="6">
        <v>3307</v>
      </c>
      <c r="AS33" s="6">
        <v>3155</v>
      </c>
      <c r="AT33" s="6">
        <v>3492</v>
      </c>
      <c r="AU33" s="6">
        <v>3459</v>
      </c>
      <c r="AV33" s="6">
        <v>3829</v>
      </c>
      <c r="AW33" s="6">
        <v>4194</v>
      </c>
      <c r="AX33" s="6">
        <v>5210</v>
      </c>
      <c r="AY33" s="6">
        <v>5131</v>
      </c>
      <c r="AZ33" s="6">
        <v>5399</v>
      </c>
      <c r="BA33" s="6">
        <v>5771</v>
      </c>
      <c r="BB33" s="6">
        <v>6348</v>
      </c>
      <c r="BC33" s="6">
        <v>6005</v>
      </c>
      <c r="BD33" s="6">
        <v>5192</v>
      </c>
      <c r="BE33" s="6">
        <v>5716</v>
      </c>
      <c r="BF33" s="6">
        <v>8336</v>
      </c>
      <c r="BG33" s="6">
        <f>+BG32-BG34</f>
        <v>6015.4500000000007</v>
      </c>
      <c r="BH33" s="6">
        <v>5945</v>
      </c>
      <c r="BI33" s="6">
        <v>6210</v>
      </c>
      <c r="BJ33" s="6">
        <v>7695</v>
      </c>
      <c r="BK33" s="6">
        <v>6640</v>
      </c>
      <c r="BL33" s="6">
        <v>7308</v>
      </c>
      <c r="BM33" s="6">
        <v>7375</v>
      </c>
      <c r="BN33" s="6">
        <v>8839</v>
      </c>
      <c r="BO33" s="6">
        <v>7572</v>
      </c>
      <c r="BP33" s="6">
        <f>+BP32-BP34</f>
        <v>7439.1183999999994</v>
      </c>
      <c r="BQ33" s="6">
        <f>+BQ32-BQ34</f>
        <v>7728.1456000000035</v>
      </c>
      <c r="BR33" s="6">
        <f>+BR32-BR34</f>
        <v>9212.5040000000008</v>
      </c>
      <c r="BS33" s="6"/>
      <c r="BX33" s="3">
        <v>41</v>
      </c>
      <c r="BY33" s="3">
        <v>124</v>
      </c>
      <c r="BZ33" s="3">
        <v>223</v>
      </c>
      <c r="CA33" s="3">
        <v>493</v>
      </c>
      <c r="CB33" s="3">
        <v>860</v>
      </c>
      <c r="CC33" s="3">
        <v>1364</v>
      </c>
      <c r="CD33" s="3">
        <v>1875</v>
      </c>
      <c r="CE33" s="3">
        <v>2153</v>
      </c>
      <c r="CF33" s="3">
        <v>2867</v>
      </c>
      <c r="CG33" s="3">
        <v>3789</v>
      </c>
      <c r="CH33" s="3">
        <v>5454</v>
      </c>
      <c r="CI33" s="3">
        <v>9355</v>
      </c>
      <c r="CJ33" s="3">
        <v>12770</v>
      </c>
      <c r="CK33" s="3">
        <v>16692</v>
      </c>
      <c r="CL33" s="3">
        <v>22649</v>
      </c>
      <c r="CM33" s="3">
        <f>+CM32-CM34</f>
        <v>22155.709999999992</v>
      </c>
      <c r="CN33" s="3">
        <f t="shared" ref="CN33:CU33" si="27">+CN32-CN34</f>
        <v>25631.189999999988</v>
      </c>
      <c r="CO33" s="3">
        <f t="shared" si="27"/>
        <v>31255</v>
      </c>
      <c r="CP33" s="3">
        <f t="shared" si="27"/>
        <v>35287.635999999999</v>
      </c>
      <c r="CQ33" s="3">
        <f t="shared" si="27"/>
        <v>38816.399600000004</v>
      </c>
      <c r="CR33" s="3">
        <f t="shared" si="27"/>
        <v>41921.711567999999</v>
      </c>
      <c r="CS33" s="3">
        <f t="shared" si="27"/>
        <v>45275.448493439995</v>
      </c>
      <c r="CT33" s="3">
        <f t="shared" si="27"/>
        <v>47539.220918111998</v>
      </c>
      <c r="CU33" s="3">
        <f t="shared" si="27"/>
        <v>49916.181964017625</v>
      </c>
    </row>
    <row r="34" spans="2:155" s="3" customFormat="1" x14ac:dyDescent="0.25">
      <c r="B34" s="3" t="s">
        <v>37</v>
      </c>
      <c r="C34" s="6"/>
      <c r="D34" s="6"/>
      <c r="E34" s="6"/>
      <c r="F34" s="6"/>
      <c r="G34" s="6">
        <f>+G32-G33</f>
        <v>245</v>
      </c>
      <c r="H34" s="6">
        <f>+H32-H33</f>
        <v>321</v>
      </c>
      <c r="I34" s="6">
        <f>+I32-I33</f>
        <v>336</v>
      </c>
      <c r="J34" s="6">
        <f t="shared" ref="J34:P34" si="28">+J32-J33</f>
        <v>581</v>
      </c>
      <c r="K34" s="6">
        <f t="shared" si="28"/>
        <v>564</v>
      </c>
      <c r="L34" s="6">
        <f t="shared" si="28"/>
        <v>685</v>
      </c>
      <c r="M34" s="6">
        <f t="shared" si="28"/>
        <v>718</v>
      </c>
      <c r="N34" s="6">
        <f t="shared" si="28"/>
        <v>884</v>
      </c>
      <c r="O34" s="6">
        <f t="shared" si="28"/>
        <v>781</v>
      </c>
      <c r="P34" s="6">
        <f t="shared" si="28"/>
        <v>817</v>
      </c>
      <c r="Q34" s="6">
        <f>+Q32-Q33</f>
        <v>940</v>
      </c>
      <c r="R34" s="6">
        <f>+R32-R33</f>
        <v>1187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f t="shared" ref="AM34:AN34" si="29">+AM32-AM33</f>
        <v>10039</v>
      </c>
      <c r="AN34" s="6">
        <f t="shared" si="29"/>
        <v>11017</v>
      </c>
      <c r="AO34" s="6">
        <f t="shared" ref="AO34:AQ34" si="30">+AO32-AO33</f>
        <v>11309</v>
      </c>
      <c r="AP34" s="6">
        <f t="shared" si="30"/>
        <v>14118</v>
      </c>
      <c r="AQ34" s="6">
        <f t="shared" si="30"/>
        <v>12261</v>
      </c>
      <c r="AR34" s="6">
        <f t="shared" ref="AR34" si="31">+AR32-AR33</f>
        <v>13579</v>
      </c>
      <c r="AS34" s="6">
        <f t="shared" ref="AS34:AT34" si="32">+AS32-AS33</f>
        <v>14497</v>
      </c>
      <c r="AT34" s="6">
        <f t="shared" si="32"/>
        <v>17590</v>
      </c>
      <c r="AU34" s="6">
        <f t="shared" ref="AU34:AX34" si="33">+AU32-AU33</f>
        <v>14278</v>
      </c>
      <c r="AV34" s="6">
        <f t="shared" si="33"/>
        <v>14858</v>
      </c>
      <c r="AW34" s="6">
        <f t="shared" si="33"/>
        <v>17276</v>
      </c>
      <c r="AX34" s="6">
        <f t="shared" si="33"/>
        <v>22862</v>
      </c>
      <c r="AY34" s="6">
        <f>+AY32-AY33</f>
        <v>21040</v>
      </c>
      <c r="AZ34" s="6">
        <f t="shared" ref="AZ34:BB34" si="34">+AZ32-AZ33</f>
        <v>23678</v>
      </c>
      <c r="BA34" s="6">
        <f t="shared" si="34"/>
        <v>23239</v>
      </c>
      <c r="BB34" s="6">
        <f t="shared" si="34"/>
        <v>27323</v>
      </c>
      <c r="BC34" s="6">
        <f>+BC32-BC33</f>
        <v>21903</v>
      </c>
      <c r="BD34" s="6">
        <f>+BD32-BD33</f>
        <v>23630</v>
      </c>
      <c r="BE34" s="6">
        <f>+BE32-BE33</f>
        <v>21998</v>
      </c>
      <c r="BF34" s="6">
        <f>+BF32-BF33</f>
        <v>23829</v>
      </c>
      <c r="BG34" s="6">
        <f>+BG32*0.79</f>
        <v>22629.55</v>
      </c>
      <c r="BH34" s="6">
        <f>BH32-BH33</f>
        <v>26054</v>
      </c>
      <c r="BI34" s="6">
        <f>BI32-BI33</f>
        <v>27936</v>
      </c>
      <c r="BJ34" s="6">
        <f t="shared" ref="BJ34" si="35">+BJ32*0.79</f>
        <v>31687.690000000002</v>
      </c>
      <c r="BK34" s="6">
        <f>+BK32-BK33</f>
        <v>29815</v>
      </c>
      <c r="BL34" s="6">
        <f>+BL32-BL33</f>
        <v>31763</v>
      </c>
      <c r="BM34" s="6">
        <f>+BM32-BM33</f>
        <v>33214</v>
      </c>
      <c r="BN34" s="6">
        <f>+BN32-BN33</f>
        <v>39546</v>
      </c>
      <c r="BO34" s="6">
        <f>+BO32-BO33</f>
        <v>34742</v>
      </c>
      <c r="BP34" s="6">
        <f>+BP32*0.83</f>
        <v>36320.401600000005</v>
      </c>
      <c r="BQ34" s="6">
        <f>+BQ32*0.83</f>
        <v>37731.534400000004</v>
      </c>
      <c r="BR34" s="6">
        <f>+BR32*0.83</f>
        <v>44978.696000000004</v>
      </c>
      <c r="BS34" s="6"/>
      <c r="BX34" s="3">
        <f t="shared" ref="BX34:CC34" si="36">+BX32-BX33</f>
        <v>112</v>
      </c>
      <c r="BY34" s="3">
        <f t="shared" si="36"/>
        <v>148</v>
      </c>
      <c r="BZ34" s="3">
        <f t="shared" si="36"/>
        <v>554</v>
      </c>
      <c r="CA34" s="3">
        <f t="shared" si="36"/>
        <v>1481</v>
      </c>
      <c r="CB34" s="3">
        <f t="shared" si="36"/>
        <v>2851</v>
      </c>
      <c r="CC34" s="3">
        <f t="shared" si="36"/>
        <v>3725</v>
      </c>
      <c r="CD34" s="3">
        <f t="shared" ref="CD34:CK34" si="37">+CD32-CD33</f>
        <v>5997</v>
      </c>
      <c r="CE34" s="3">
        <f t="shared" si="37"/>
        <v>10313</v>
      </c>
      <c r="CF34" s="3">
        <f t="shared" si="37"/>
        <v>15061</v>
      </c>
      <c r="CG34" s="3">
        <f t="shared" si="37"/>
        <v>23849</v>
      </c>
      <c r="CH34" s="3">
        <f t="shared" si="37"/>
        <v>35199</v>
      </c>
      <c r="CI34" s="3">
        <f t="shared" si="37"/>
        <v>46483</v>
      </c>
      <c r="CJ34" s="3">
        <f t="shared" si="37"/>
        <v>57927</v>
      </c>
      <c r="CK34" s="3">
        <f t="shared" si="37"/>
        <v>69273</v>
      </c>
      <c r="CL34" s="3">
        <f t="shared" ref="CL34" si="38">+CL32-CL33</f>
        <v>95280</v>
      </c>
      <c r="CM34" s="3">
        <f>+CM32*0.81</f>
        <v>94453.290000000008</v>
      </c>
      <c r="CN34" s="3">
        <f t="shared" ref="CN34:CU34" si="39">+CN32*0.81</f>
        <v>109269.81000000001</v>
      </c>
      <c r="CO34" s="3">
        <f t="shared" si="39"/>
        <v>133245</v>
      </c>
      <c r="CP34" s="3">
        <f t="shared" si="39"/>
        <v>150436.76400000002</v>
      </c>
      <c r="CQ34" s="3">
        <f t="shared" si="39"/>
        <v>165480.44040000005</v>
      </c>
      <c r="CR34" s="3">
        <f t="shared" si="39"/>
        <v>178718.87563200007</v>
      </c>
      <c r="CS34" s="3">
        <f t="shared" si="39"/>
        <v>193016.3856825601</v>
      </c>
      <c r="CT34" s="3">
        <f t="shared" si="39"/>
        <v>202667.20496668812</v>
      </c>
      <c r="CU34" s="3">
        <f t="shared" si="39"/>
        <v>212800.56521502254</v>
      </c>
    </row>
    <row r="35" spans="2:155" s="3" customFormat="1" x14ac:dyDescent="0.25">
      <c r="B35" s="3" t="s">
        <v>38</v>
      </c>
      <c r="C35" s="6"/>
      <c r="D35" s="6"/>
      <c r="E35" s="6"/>
      <c r="F35" s="6"/>
      <c r="G35" s="6">
        <v>25</v>
      </c>
      <c r="H35" s="6">
        <v>32</v>
      </c>
      <c r="I35" s="6">
        <v>41</v>
      </c>
      <c r="J35" s="6">
        <v>45</v>
      </c>
      <c r="K35" s="6">
        <v>57</v>
      </c>
      <c r="L35" s="6">
        <v>99</v>
      </c>
      <c r="M35" s="6">
        <v>108</v>
      </c>
      <c r="N35" s="6">
        <v>124</v>
      </c>
      <c r="O35" s="6">
        <v>153</v>
      </c>
      <c r="P35" s="6">
        <v>705</v>
      </c>
      <c r="Q35" s="6">
        <v>244</v>
      </c>
      <c r="R35" s="6">
        <v>297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2238</v>
      </c>
      <c r="AN35" s="6">
        <v>2523</v>
      </c>
      <c r="AO35" s="6">
        <v>2657</v>
      </c>
      <c r="AP35" s="6">
        <v>2855</v>
      </c>
      <c r="AQ35" s="6">
        <v>2860</v>
      </c>
      <c r="AR35" s="6">
        <v>3315</v>
      </c>
      <c r="AS35" s="6">
        <v>3548</v>
      </c>
      <c r="AT35" s="6">
        <v>3877</v>
      </c>
      <c r="AU35" s="6">
        <v>4015</v>
      </c>
      <c r="AV35" s="6">
        <v>4462</v>
      </c>
      <c r="AW35" s="6">
        <v>4763</v>
      </c>
      <c r="AX35" s="6">
        <v>5208</v>
      </c>
      <c r="AY35" s="6">
        <v>5197</v>
      </c>
      <c r="AZ35" s="6">
        <v>6096</v>
      </c>
      <c r="BA35" s="6">
        <v>6316</v>
      </c>
      <c r="BB35" s="6">
        <v>7046</v>
      </c>
      <c r="BC35" s="6">
        <v>7707</v>
      </c>
      <c r="BD35" s="6">
        <v>8690</v>
      </c>
      <c r="BE35" s="6">
        <v>9170</v>
      </c>
      <c r="BF35" s="6">
        <v>9771</v>
      </c>
      <c r="BG35" s="6">
        <f>+BC35*0.9</f>
        <v>6936.3</v>
      </c>
      <c r="BH35" s="6">
        <v>9344</v>
      </c>
      <c r="BI35" s="6">
        <v>9241</v>
      </c>
      <c r="BJ35" s="6">
        <v>10517</v>
      </c>
      <c r="BK35" s="6">
        <v>9978</v>
      </c>
      <c r="BL35" s="6">
        <v>10537</v>
      </c>
      <c r="BM35" s="6">
        <v>11177</v>
      </c>
      <c r="BN35" s="6">
        <v>12180</v>
      </c>
      <c r="BO35" s="6">
        <v>12150</v>
      </c>
      <c r="BP35" s="6">
        <f>+BL35</f>
        <v>10537</v>
      </c>
      <c r="BQ35" s="6">
        <f>+BM35</f>
        <v>11177</v>
      </c>
      <c r="BR35" s="6">
        <f>+BN35</f>
        <v>12180</v>
      </c>
      <c r="BS35" s="6"/>
      <c r="BX35" s="3">
        <v>32</v>
      </c>
      <c r="BY35" s="3">
        <v>76</v>
      </c>
      <c r="BZ35" s="3">
        <v>115</v>
      </c>
      <c r="CA35" s="3">
        <v>144</v>
      </c>
      <c r="CB35" s="3">
        <v>388</v>
      </c>
      <c r="CC35" s="3">
        <v>1399</v>
      </c>
      <c r="CD35" s="3">
        <v>1415</v>
      </c>
      <c r="CE35" s="3">
        <v>2666</v>
      </c>
      <c r="CF35" s="3">
        <v>4816</v>
      </c>
      <c r="CG35" s="3">
        <v>5919</v>
      </c>
      <c r="CH35" s="3">
        <v>7754</v>
      </c>
      <c r="CI35" s="3">
        <v>10273</v>
      </c>
      <c r="CJ35" s="3">
        <v>13600</v>
      </c>
      <c r="CK35" s="3">
        <v>18447</v>
      </c>
      <c r="CL35" s="3">
        <v>24655</v>
      </c>
      <c r="CM35" s="3">
        <f t="shared" ref="CM35:CR35" si="40">+CL35*0.9</f>
        <v>22189.5</v>
      </c>
      <c r="CN35" s="3">
        <f t="shared" si="40"/>
        <v>19970.55</v>
      </c>
      <c r="CO35" s="3">
        <f t="shared" si="40"/>
        <v>17973.494999999999</v>
      </c>
      <c r="CP35" s="3">
        <f t="shared" si="40"/>
        <v>16176.145499999999</v>
      </c>
      <c r="CQ35" s="3">
        <f t="shared" si="40"/>
        <v>14558.530949999998</v>
      </c>
      <c r="CR35" s="3">
        <f t="shared" si="40"/>
        <v>13102.677854999998</v>
      </c>
      <c r="CS35" s="3">
        <f t="shared" ref="CS35:CU35" si="41">+CR35*0.9</f>
        <v>11792.410069499998</v>
      </c>
      <c r="CT35" s="3">
        <f t="shared" si="41"/>
        <v>10613.169062549998</v>
      </c>
      <c r="CU35" s="3">
        <f t="shared" si="41"/>
        <v>9551.8521562949991</v>
      </c>
    </row>
    <row r="36" spans="2:155" s="3" customFormat="1" x14ac:dyDescent="0.25">
      <c r="B36" s="3" t="s">
        <v>40</v>
      </c>
      <c r="C36" s="6"/>
      <c r="D36" s="6"/>
      <c r="E36" s="6"/>
      <c r="F36" s="6"/>
      <c r="G36" s="6">
        <v>36</v>
      </c>
      <c r="H36" s="6">
        <v>44</v>
      </c>
      <c r="I36" s="6">
        <v>45</v>
      </c>
      <c r="J36" s="6">
        <v>59</v>
      </c>
      <c r="K36" s="6">
        <v>62</v>
      </c>
      <c r="L36" s="6">
        <v>96</v>
      </c>
      <c r="M36" s="6">
        <v>114</v>
      </c>
      <c r="N36" s="6">
        <v>120</v>
      </c>
      <c r="O36" s="6">
        <v>143</v>
      </c>
      <c r="P36" s="6">
        <v>392</v>
      </c>
      <c r="Q36" s="6">
        <v>168</v>
      </c>
      <c r="R36" s="6">
        <v>193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1595</v>
      </c>
      <c r="AN36" s="6">
        <v>1855</v>
      </c>
      <c r="AO36" s="6">
        <v>1928</v>
      </c>
      <c r="AP36" s="6">
        <v>2467</v>
      </c>
      <c r="AQ36" s="6">
        <v>2020</v>
      </c>
      <c r="AR36" s="6">
        <v>2414</v>
      </c>
      <c r="AS36" s="6">
        <v>2416</v>
      </c>
      <c r="AT36" s="6">
        <v>3026</v>
      </c>
      <c r="AU36" s="6">
        <v>2787</v>
      </c>
      <c r="AV36" s="6">
        <v>2840</v>
      </c>
      <c r="AW36" s="6">
        <v>2683</v>
      </c>
      <c r="AX36" s="6">
        <v>3280</v>
      </c>
      <c r="AY36" s="6">
        <v>2843</v>
      </c>
      <c r="AZ36" s="6">
        <v>3259</v>
      </c>
      <c r="BA36" s="6">
        <v>3554</v>
      </c>
      <c r="BB36" s="6">
        <v>4387</v>
      </c>
      <c r="BC36" s="6">
        <v>3312</v>
      </c>
      <c r="BD36" s="6">
        <v>3595</v>
      </c>
      <c r="BE36" s="6">
        <v>3780</v>
      </c>
      <c r="BF36" s="6">
        <v>4574</v>
      </c>
      <c r="BG36" s="6">
        <f t="shared" ref="BG36:BG37" si="42">+BC36*0.9</f>
        <v>2980.8</v>
      </c>
      <c r="BH36" s="6">
        <v>3154</v>
      </c>
      <c r="BI36" s="6">
        <v>2877</v>
      </c>
      <c r="BJ36" s="6">
        <v>3226</v>
      </c>
      <c r="BK36" s="6">
        <v>2564</v>
      </c>
      <c r="BL36" s="6">
        <v>2721</v>
      </c>
      <c r="BM36" s="6">
        <v>2822</v>
      </c>
      <c r="BN36" s="6">
        <v>3240</v>
      </c>
      <c r="BO36" s="6">
        <v>2757</v>
      </c>
      <c r="BP36" s="6">
        <f>+BL36</f>
        <v>2721</v>
      </c>
      <c r="BQ36" s="6">
        <f>+BM36</f>
        <v>2822</v>
      </c>
      <c r="BR36" s="6">
        <f>+BN36</f>
        <v>3240</v>
      </c>
      <c r="BS36" s="6"/>
      <c r="BX36" s="3">
        <v>81</v>
      </c>
      <c r="BY36" s="3">
        <v>47</v>
      </c>
      <c r="BZ36" s="3">
        <v>87</v>
      </c>
      <c r="CA36" s="3">
        <v>167</v>
      </c>
      <c r="CB36" s="3">
        <v>393</v>
      </c>
      <c r="CC36" s="3">
        <v>896</v>
      </c>
      <c r="CD36" s="3">
        <v>997</v>
      </c>
      <c r="CE36" s="3">
        <v>1680</v>
      </c>
      <c r="CF36" s="3">
        <v>2725</v>
      </c>
      <c r="CG36" s="3">
        <v>3772</v>
      </c>
      <c r="CH36" s="3">
        <v>4725</v>
      </c>
      <c r="CI36" s="3">
        <v>7846</v>
      </c>
      <c r="CJ36" s="3">
        <v>9876</v>
      </c>
      <c r="CK36" s="3">
        <v>11591</v>
      </c>
      <c r="CL36" s="3">
        <v>14043</v>
      </c>
      <c r="CM36" s="3">
        <f>+CL36</f>
        <v>14043</v>
      </c>
      <c r="CN36" s="3">
        <f t="shared" ref="CN36:CU36" si="43">+CM36</f>
        <v>14043</v>
      </c>
      <c r="CO36" s="3">
        <f t="shared" si="43"/>
        <v>14043</v>
      </c>
      <c r="CP36" s="3">
        <f t="shared" si="43"/>
        <v>14043</v>
      </c>
      <c r="CQ36" s="3">
        <f t="shared" si="43"/>
        <v>14043</v>
      </c>
      <c r="CR36" s="3">
        <f t="shared" si="43"/>
        <v>14043</v>
      </c>
      <c r="CS36" s="3">
        <f t="shared" si="43"/>
        <v>14043</v>
      </c>
      <c r="CT36" s="3">
        <f t="shared" si="43"/>
        <v>14043</v>
      </c>
      <c r="CU36" s="3">
        <f t="shared" si="43"/>
        <v>14043</v>
      </c>
    </row>
    <row r="37" spans="2:155" s="3" customFormat="1" x14ac:dyDescent="0.25">
      <c r="B37" s="3" t="s">
        <v>39</v>
      </c>
      <c r="C37" s="6"/>
      <c r="D37" s="6"/>
      <c r="E37" s="6"/>
      <c r="F37" s="6"/>
      <c r="G37" s="6">
        <v>22</v>
      </c>
      <c r="H37" s="6">
        <v>26</v>
      </c>
      <c r="I37" s="6">
        <v>34</v>
      </c>
      <c r="J37" s="6">
        <v>40</v>
      </c>
      <c r="K37" s="6">
        <v>57</v>
      </c>
      <c r="L37" s="6">
        <v>83</v>
      </c>
      <c r="M37" s="6">
        <v>82</v>
      </c>
      <c r="N37" s="6">
        <v>92</v>
      </c>
      <c r="O37" s="6">
        <v>104</v>
      </c>
      <c r="P37" s="6">
        <v>463</v>
      </c>
      <c r="Q37" s="6">
        <v>151</v>
      </c>
      <c r="R37" s="6">
        <v>174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757</v>
      </c>
      <c r="AN37" s="6">
        <v>776</v>
      </c>
      <c r="AO37" s="6">
        <v>943</v>
      </c>
      <c r="AP37" s="6">
        <v>976</v>
      </c>
      <c r="AQ37" s="6">
        <f>4064-3000</f>
        <v>1064</v>
      </c>
      <c r="AR37" s="6">
        <f>3224-2000</f>
        <v>1224</v>
      </c>
      <c r="AS37" s="6">
        <v>1348</v>
      </c>
      <c r="AT37" s="6">
        <v>1829</v>
      </c>
      <c r="AU37" s="6">
        <v>1583</v>
      </c>
      <c r="AV37" s="6">
        <v>1593</v>
      </c>
      <c r="AW37" s="6">
        <v>1790</v>
      </c>
      <c r="AX37" s="6">
        <v>1599</v>
      </c>
      <c r="AY37" s="6">
        <v>1622</v>
      </c>
      <c r="AZ37" s="6">
        <v>1956</v>
      </c>
      <c r="BA37" s="6">
        <v>2946</v>
      </c>
      <c r="BB37" s="6">
        <v>3305</v>
      </c>
      <c r="BC37" s="6">
        <v>2360</v>
      </c>
      <c r="BD37" s="6">
        <v>2987</v>
      </c>
      <c r="BE37" s="6">
        <v>3384</v>
      </c>
      <c r="BF37" s="6">
        <v>3085</v>
      </c>
      <c r="BG37" s="6">
        <f t="shared" si="42"/>
        <v>2124</v>
      </c>
      <c r="BH37" s="6">
        <f>4164-1870</f>
        <v>2294</v>
      </c>
      <c r="BI37" s="6">
        <v>2070</v>
      </c>
      <c r="BJ37" s="6">
        <v>2289</v>
      </c>
      <c r="BK37" s="6">
        <v>3455</v>
      </c>
      <c r="BL37" s="6">
        <v>3658</v>
      </c>
      <c r="BM37" s="6">
        <v>1865</v>
      </c>
      <c r="BN37" s="21">
        <v>761</v>
      </c>
      <c r="BO37" s="6">
        <v>2280</v>
      </c>
      <c r="BP37" s="6">
        <f>+BL37</f>
        <v>3658</v>
      </c>
      <c r="BQ37" s="6">
        <f>+BM37</f>
        <v>1865</v>
      </c>
      <c r="BR37" s="6">
        <f>+BQ37</f>
        <v>1865</v>
      </c>
      <c r="BS37" s="6"/>
      <c r="BX37" s="3">
        <v>123</v>
      </c>
      <c r="BY37" s="3">
        <v>80</v>
      </c>
      <c r="BZ37" s="3">
        <v>90</v>
      </c>
      <c r="CA37" s="3">
        <v>138</v>
      </c>
      <c r="CB37" s="3">
        <v>314</v>
      </c>
      <c r="CC37" s="3">
        <v>892</v>
      </c>
      <c r="CD37" s="3">
        <v>781</v>
      </c>
      <c r="CE37" s="3">
        <v>973</v>
      </c>
      <c r="CF37" s="3">
        <v>1295</v>
      </c>
      <c r="CG37" s="3">
        <v>1731</v>
      </c>
      <c r="CH37" s="3">
        <v>2517</v>
      </c>
      <c r="CI37" s="3">
        <v>3451</v>
      </c>
      <c r="CJ37" s="3">
        <f>10465-5000</f>
        <v>5465</v>
      </c>
      <c r="CK37" s="3">
        <v>6564</v>
      </c>
      <c r="CL37" s="3">
        <v>9829</v>
      </c>
      <c r="CM37" s="3">
        <f t="shared" ref="CM37:CU37" si="44">+CL37</f>
        <v>9829</v>
      </c>
      <c r="CN37" s="3">
        <f t="shared" si="44"/>
        <v>9829</v>
      </c>
      <c r="CO37" s="3">
        <f t="shared" si="44"/>
        <v>9829</v>
      </c>
      <c r="CP37" s="3">
        <f t="shared" si="44"/>
        <v>9829</v>
      </c>
      <c r="CQ37" s="3">
        <f t="shared" si="44"/>
        <v>9829</v>
      </c>
      <c r="CR37" s="3">
        <f t="shared" si="44"/>
        <v>9829</v>
      </c>
      <c r="CS37" s="3">
        <f t="shared" si="44"/>
        <v>9829</v>
      </c>
      <c r="CT37" s="3">
        <f t="shared" si="44"/>
        <v>9829</v>
      </c>
      <c r="CU37" s="3">
        <f t="shared" si="44"/>
        <v>9829</v>
      </c>
    </row>
    <row r="38" spans="2:155" s="3" customFormat="1" x14ac:dyDescent="0.25">
      <c r="B38" s="3" t="s">
        <v>41</v>
      </c>
      <c r="C38" s="6"/>
      <c r="D38" s="6"/>
      <c r="E38" s="6"/>
      <c r="F38" s="6"/>
      <c r="G38" s="6">
        <f t="shared" ref="G38" si="45">SUM(G35:G37)</f>
        <v>83</v>
      </c>
      <c r="H38" s="6">
        <f t="shared" ref="H38" si="46">SUM(H35:H37)</f>
        <v>102</v>
      </c>
      <c r="I38" s="6">
        <f t="shared" ref="I38" si="47">SUM(I35:I37)</f>
        <v>120</v>
      </c>
      <c r="J38" s="6">
        <f t="shared" ref="J38:Q38" si="48">SUM(J35:J37)</f>
        <v>144</v>
      </c>
      <c r="K38" s="6">
        <f t="shared" si="48"/>
        <v>176</v>
      </c>
      <c r="L38" s="6">
        <f t="shared" si="48"/>
        <v>278</v>
      </c>
      <c r="M38" s="6">
        <f t="shared" si="48"/>
        <v>304</v>
      </c>
      <c r="N38" s="6">
        <f t="shared" si="48"/>
        <v>336</v>
      </c>
      <c r="O38" s="6">
        <f t="shared" si="48"/>
        <v>400</v>
      </c>
      <c r="P38" s="6">
        <f t="shared" si="48"/>
        <v>1560</v>
      </c>
      <c r="Q38" s="6">
        <f t="shared" si="48"/>
        <v>563</v>
      </c>
      <c r="R38" s="6">
        <f>SUM(R35:R37)</f>
        <v>664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>
        <f t="shared" ref="AM38:AN38" si="49">+AM37+AM36+AM35</f>
        <v>4590</v>
      </c>
      <c r="AN38" s="6">
        <f t="shared" si="49"/>
        <v>5154</v>
      </c>
      <c r="AO38" s="6">
        <f t="shared" ref="AO38:AQ38" si="50">+AO37+AO36+AO35</f>
        <v>5528</v>
      </c>
      <c r="AP38" s="6">
        <f t="shared" si="50"/>
        <v>6298</v>
      </c>
      <c r="AQ38" s="6">
        <f t="shared" si="50"/>
        <v>5944</v>
      </c>
      <c r="AR38" s="6">
        <f t="shared" ref="AR38:AS38" si="51">+AR37+AR36+AR35</f>
        <v>6953</v>
      </c>
      <c r="AS38" s="6">
        <f t="shared" si="51"/>
        <v>7312</v>
      </c>
      <c r="AT38" s="6">
        <f t="shared" ref="AT38:AU38" si="52">+AT37+AT36+AT35</f>
        <v>8732</v>
      </c>
      <c r="AU38" s="6">
        <f t="shared" si="52"/>
        <v>8385</v>
      </c>
      <c r="AV38" s="6">
        <f t="shared" ref="AV38" si="53">+AV37+AV36+AV35</f>
        <v>8895</v>
      </c>
      <c r="AW38" s="6">
        <f t="shared" ref="AW38" si="54">+AW37+AW36+AW35</f>
        <v>9236</v>
      </c>
      <c r="AX38" s="6">
        <f t="shared" ref="AX38" si="55">+AX37+AX36+AX35</f>
        <v>10087</v>
      </c>
      <c r="AY38" s="6">
        <f t="shared" ref="AY38:BB38" si="56">+AY37+AY36+AY35</f>
        <v>9662</v>
      </c>
      <c r="AZ38" s="6">
        <f t="shared" si="56"/>
        <v>11311</v>
      </c>
      <c r="BA38" s="6">
        <f t="shared" si="56"/>
        <v>12816</v>
      </c>
      <c r="BB38" s="6">
        <f t="shared" si="56"/>
        <v>14738</v>
      </c>
      <c r="BC38" s="6">
        <f>+BC37+BC36+BC35</f>
        <v>13379</v>
      </c>
      <c r="BD38" s="6">
        <f t="shared" ref="BD38:BF38" si="57">+BD37+BD36+BD35</f>
        <v>15272</v>
      </c>
      <c r="BE38" s="6">
        <f t="shared" si="57"/>
        <v>16334</v>
      </c>
      <c r="BF38" s="6">
        <f t="shared" si="57"/>
        <v>17430</v>
      </c>
      <c r="BG38" s="6">
        <f t="shared" ref="BG38:BJ38" si="58">+BG37+BG36+BG35</f>
        <v>12041.1</v>
      </c>
      <c r="BH38" s="6">
        <f t="shared" si="58"/>
        <v>14792</v>
      </c>
      <c r="BI38" s="6">
        <f t="shared" si="58"/>
        <v>14188</v>
      </c>
      <c r="BJ38" s="6">
        <f t="shared" si="58"/>
        <v>16032</v>
      </c>
      <c r="BK38" s="6">
        <f>+BK37+BK36+BK35</f>
        <v>15997</v>
      </c>
      <c r="BL38" s="6">
        <f>+BL37+BL36+BL35</f>
        <v>16916</v>
      </c>
      <c r="BM38" s="6">
        <f>+BM37+BM36+BM35</f>
        <v>15864</v>
      </c>
      <c r="BN38" s="6">
        <f>+BN37+BN36+BN35</f>
        <v>16181</v>
      </c>
      <c r="BO38" s="6">
        <f>+BO37+BO36+BO35</f>
        <v>17187</v>
      </c>
      <c r="BP38" s="6">
        <f t="shared" ref="BP38:BR38" si="59">+BP37+BP36+BP35</f>
        <v>16916</v>
      </c>
      <c r="BQ38" s="6">
        <f t="shared" si="59"/>
        <v>15864</v>
      </c>
      <c r="BR38" s="6">
        <f t="shared" si="59"/>
        <v>17285</v>
      </c>
      <c r="BS38" s="6"/>
      <c r="BX38" s="6">
        <f t="shared" ref="BX38:BY38" si="60">+BX37+BX36+BX35</f>
        <v>236</v>
      </c>
      <c r="BY38" s="6">
        <f t="shared" si="60"/>
        <v>203</v>
      </c>
      <c r="BZ38" s="6">
        <f t="shared" ref="BZ38:CA38" si="61">+BZ37+BZ36+BZ35</f>
        <v>292</v>
      </c>
      <c r="CA38" s="6">
        <f t="shared" si="61"/>
        <v>449</v>
      </c>
      <c r="CB38" s="6">
        <f t="shared" ref="CB38:CC38" si="62">+CB37+CB36+CB35</f>
        <v>1095</v>
      </c>
      <c r="CC38" s="6">
        <f t="shared" si="62"/>
        <v>3187</v>
      </c>
      <c r="CD38" s="6">
        <f t="shared" ref="CD38:CH38" si="63">+CD37+CD36+CD35</f>
        <v>3193</v>
      </c>
      <c r="CE38" s="6">
        <f t="shared" si="63"/>
        <v>5319</v>
      </c>
      <c r="CF38" s="6">
        <f t="shared" si="63"/>
        <v>8836</v>
      </c>
      <c r="CG38" s="6">
        <f t="shared" si="63"/>
        <v>11422</v>
      </c>
      <c r="CH38" s="6">
        <f t="shared" si="63"/>
        <v>14996</v>
      </c>
      <c r="CI38" s="3">
        <f>SUM(CI35:CI37)</f>
        <v>21570</v>
      </c>
      <c r="CJ38" s="3">
        <f>SUM(CJ35:CJ37)</f>
        <v>28941</v>
      </c>
      <c r="CK38" s="3">
        <f>SUM(CK35:CK37)</f>
        <v>36602</v>
      </c>
      <c r="CL38" s="3">
        <f t="shared" ref="CL38" si="64">SUM(CL35:CL37)</f>
        <v>48527</v>
      </c>
      <c r="CM38" s="3">
        <f t="shared" ref="CM38" si="65">SUM(CM35:CM37)</f>
        <v>46061.5</v>
      </c>
      <c r="CN38" s="3">
        <f t="shared" ref="CN38" si="66">SUM(CN35:CN37)</f>
        <v>43842.55</v>
      </c>
      <c r="CO38" s="3">
        <f t="shared" ref="CO38" si="67">SUM(CO35:CO37)</f>
        <v>41845.494999999995</v>
      </c>
      <c r="CP38" s="3">
        <f t="shared" ref="CP38" si="68">SUM(CP35:CP37)</f>
        <v>40048.145499999999</v>
      </c>
      <c r="CQ38" s="3">
        <f t="shared" ref="CQ38" si="69">SUM(CQ35:CQ37)</f>
        <v>38430.53095</v>
      </c>
      <c r="CR38" s="3">
        <f t="shared" ref="CR38" si="70">SUM(CR35:CR37)</f>
        <v>36974.677855000002</v>
      </c>
      <c r="CS38" s="3">
        <f t="shared" ref="CS38" si="71">SUM(CS35:CS37)</f>
        <v>35664.410069499994</v>
      </c>
      <c r="CT38" s="3">
        <f t="shared" ref="CT38" si="72">SUM(CT35:CT37)</f>
        <v>34485.169062549998</v>
      </c>
      <c r="CU38" s="3">
        <f t="shared" ref="CU38" si="73">SUM(CU35:CU37)</f>
        <v>33423.852156294997</v>
      </c>
    </row>
    <row r="39" spans="2:155" s="3" customFormat="1" x14ac:dyDescent="0.25">
      <c r="B39" s="3" t="s">
        <v>42</v>
      </c>
      <c r="C39" s="6"/>
      <c r="D39" s="6"/>
      <c r="E39" s="6"/>
      <c r="F39" s="6"/>
      <c r="G39" s="6">
        <f t="shared" ref="G39" si="74">+G34-G38</f>
        <v>162</v>
      </c>
      <c r="H39" s="6">
        <f t="shared" ref="H39" si="75">+H34-H38</f>
        <v>219</v>
      </c>
      <c r="I39" s="6">
        <f t="shared" ref="I39" si="76">+I34-I38</f>
        <v>216</v>
      </c>
      <c r="J39" s="6">
        <f t="shared" ref="J39:Q39" si="77">+J34-J38</f>
        <v>437</v>
      </c>
      <c r="K39" s="6">
        <f t="shared" si="77"/>
        <v>388</v>
      </c>
      <c r="L39" s="6">
        <f t="shared" si="77"/>
        <v>407</v>
      </c>
      <c r="M39" s="6">
        <f t="shared" si="77"/>
        <v>414</v>
      </c>
      <c r="N39" s="6">
        <f t="shared" si="77"/>
        <v>548</v>
      </c>
      <c r="O39" s="6">
        <f t="shared" si="77"/>
        <v>381</v>
      </c>
      <c r="P39" s="6">
        <f t="shared" si="77"/>
        <v>-743</v>
      </c>
      <c r="Q39" s="6">
        <f t="shared" si="77"/>
        <v>377</v>
      </c>
      <c r="R39" s="6">
        <f>+R34-R38</f>
        <v>523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 t="shared" ref="AM39:AN39" si="78">+AM34-AM38</f>
        <v>5449</v>
      </c>
      <c r="AN39" s="6">
        <f t="shared" si="78"/>
        <v>5863</v>
      </c>
      <c r="AO39" s="6">
        <f t="shared" ref="AO39:AQ39" si="79">+AO34-AO38</f>
        <v>5781</v>
      </c>
      <c r="AP39" s="6">
        <f t="shared" si="79"/>
        <v>7820</v>
      </c>
      <c r="AQ39" s="6">
        <f t="shared" si="79"/>
        <v>6317</v>
      </c>
      <c r="AR39" s="6">
        <f t="shared" ref="AR39:AS39" si="80">+AR34-AR38</f>
        <v>6626</v>
      </c>
      <c r="AS39" s="6">
        <f t="shared" si="80"/>
        <v>7185</v>
      </c>
      <c r="AT39" s="6">
        <f t="shared" ref="AT39:AU39" si="81">+AT34-AT38</f>
        <v>8858</v>
      </c>
      <c r="AU39" s="6">
        <f t="shared" si="81"/>
        <v>5893</v>
      </c>
      <c r="AV39" s="6">
        <f t="shared" ref="AV39" si="82">+AV34-AV38</f>
        <v>5963</v>
      </c>
      <c r="AW39" s="6">
        <f t="shared" ref="AW39" si="83">+AW34-AW38</f>
        <v>8040</v>
      </c>
      <c r="AX39" s="6">
        <f t="shared" ref="AX39" si="84">+AX34-AX38</f>
        <v>12775</v>
      </c>
      <c r="AY39" s="6">
        <f t="shared" ref="AY39:BB39" si="85">+AY34-AY38</f>
        <v>11378</v>
      </c>
      <c r="AZ39" s="6">
        <f t="shared" si="85"/>
        <v>12367</v>
      </c>
      <c r="BA39" s="6">
        <f t="shared" si="85"/>
        <v>10423</v>
      </c>
      <c r="BB39" s="6">
        <f t="shared" si="85"/>
        <v>12585</v>
      </c>
      <c r="BC39" s="6">
        <f>+BC34-BC38</f>
        <v>8524</v>
      </c>
      <c r="BD39" s="6">
        <f t="shared" ref="BD39:BF39" si="86">+BD34-BD38</f>
        <v>8358</v>
      </c>
      <c r="BE39" s="6">
        <f t="shared" si="86"/>
        <v>5664</v>
      </c>
      <c r="BF39" s="6">
        <f t="shared" si="86"/>
        <v>6399</v>
      </c>
      <c r="BG39" s="6">
        <f t="shared" ref="BG39:BJ39" si="87">+BG34-BG38</f>
        <v>10588.449999999999</v>
      </c>
      <c r="BH39" s="6">
        <f t="shared" si="87"/>
        <v>11262</v>
      </c>
      <c r="BI39" s="6">
        <f t="shared" si="87"/>
        <v>13748</v>
      </c>
      <c r="BJ39" s="6">
        <f t="shared" si="87"/>
        <v>15655.690000000002</v>
      </c>
      <c r="BK39" s="6">
        <f>+BK34-BK38</f>
        <v>13818</v>
      </c>
      <c r="BL39" s="6">
        <f>+BL34-BL38</f>
        <v>14847</v>
      </c>
      <c r="BM39" s="6">
        <f>+BM34-BM38</f>
        <v>17350</v>
      </c>
      <c r="BN39" s="6">
        <f>+BN34-BN38</f>
        <v>23365</v>
      </c>
      <c r="BO39" s="6">
        <f>+BO34-BO38</f>
        <v>17555</v>
      </c>
      <c r="BP39" s="6">
        <f t="shared" ref="BP39:BR39" si="88">+BP34-BP38</f>
        <v>19404.401600000005</v>
      </c>
      <c r="BQ39" s="6">
        <f t="shared" si="88"/>
        <v>21867.534400000004</v>
      </c>
      <c r="BR39" s="6">
        <f t="shared" si="88"/>
        <v>27693.696000000004</v>
      </c>
      <c r="BS39" s="6"/>
      <c r="BX39" s="6">
        <f t="shared" ref="BX39:BY39" si="89">+BX34-BX38</f>
        <v>-124</v>
      </c>
      <c r="BY39" s="6">
        <f t="shared" si="89"/>
        <v>-55</v>
      </c>
      <c r="BZ39" s="6">
        <f t="shared" ref="BZ39:CA39" si="90">+BZ34-BZ38</f>
        <v>262</v>
      </c>
      <c r="CA39" s="6">
        <f t="shared" si="90"/>
        <v>1032</v>
      </c>
      <c r="CB39" s="6">
        <f t="shared" ref="CB39:CC39" si="91">+CB34-CB38</f>
        <v>1756</v>
      </c>
      <c r="CC39" s="6">
        <f t="shared" si="91"/>
        <v>538</v>
      </c>
      <c r="CD39" s="6">
        <f t="shared" ref="CD39:CH39" si="92">+CD34-CD38</f>
        <v>2804</v>
      </c>
      <c r="CE39" s="6">
        <f t="shared" si="92"/>
        <v>4994</v>
      </c>
      <c r="CF39" s="6">
        <f t="shared" si="92"/>
        <v>6225</v>
      </c>
      <c r="CG39" s="6">
        <f t="shared" si="92"/>
        <v>12427</v>
      </c>
      <c r="CH39" s="6">
        <f t="shared" si="92"/>
        <v>20203</v>
      </c>
      <c r="CI39" s="3">
        <f>CI34-CI38</f>
        <v>24913</v>
      </c>
      <c r="CJ39" s="3">
        <f>CJ34-CJ38</f>
        <v>28986</v>
      </c>
      <c r="CK39" s="3">
        <f>CK34-CK38</f>
        <v>32671</v>
      </c>
      <c r="CL39" s="3">
        <f t="shared" ref="CL39" si="93">CL34-CL38</f>
        <v>46753</v>
      </c>
      <c r="CM39" s="3">
        <f t="shared" ref="CM39" si="94">CM34-CM38</f>
        <v>48391.790000000008</v>
      </c>
      <c r="CN39" s="3">
        <f t="shared" ref="CN39" si="95">CN34-CN38</f>
        <v>65427.260000000009</v>
      </c>
      <c r="CO39" s="3">
        <f t="shared" ref="CO39" si="96">CO34-CO38</f>
        <v>91399.505000000005</v>
      </c>
      <c r="CP39" s="3">
        <f t="shared" ref="CP39" si="97">CP34-CP38</f>
        <v>110388.61850000003</v>
      </c>
      <c r="CQ39" s="3">
        <f t="shared" ref="CQ39" si="98">CQ34-CQ38</f>
        <v>127049.90945000005</v>
      </c>
      <c r="CR39" s="3">
        <f t="shared" ref="CR39" si="99">CR34-CR38</f>
        <v>141744.19777700008</v>
      </c>
      <c r="CS39" s="3">
        <f t="shared" ref="CS39" si="100">CS34-CS38</f>
        <v>157351.97561306012</v>
      </c>
      <c r="CT39" s="3">
        <f t="shared" ref="CT39" si="101">CT34-CT38</f>
        <v>168182.03590413812</v>
      </c>
      <c r="CU39" s="3">
        <f t="shared" ref="CU39" si="102">CU34-CU38</f>
        <v>179376.71305872753</v>
      </c>
    </row>
    <row r="40" spans="2:155" s="3" customFormat="1" x14ac:dyDescent="0.25">
      <c r="B40" s="3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161</v>
      </c>
      <c r="AN40" s="6">
        <v>5</v>
      </c>
      <c r="AO40" s="6">
        <v>131</v>
      </c>
      <c r="AP40" s="6">
        <v>151</v>
      </c>
      <c r="AQ40" s="6">
        <v>206</v>
      </c>
      <c r="AR40" s="6">
        <v>206</v>
      </c>
      <c r="AS40" s="6">
        <v>144</v>
      </c>
      <c r="AT40" s="6">
        <v>311</v>
      </c>
      <c r="AU40" s="6">
        <v>-32</v>
      </c>
      <c r="AV40" s="6">
        <v>168</v>
      </c>
      <c r="AW40" s="6">
        <v>93</v>
      </c>
      <c r="AX40" s="6">
        <v>280</v>
      </c>
      <c r="AY40" s="6">
        <v>125</v>
      </c>
      <c r="AZ40" s="6">
        <v>146</v>
      </c>
      <c r="BA40" s="6">
        <v>142</v>
      </c>
      <c r="BB40" s="6">
        <v>117</v>
      </c>
      <c r="BC40" s="6">
        <v>384</v>
      </c>
      <c r="BD40" s="6">
        <v>-172</v>
      </c>
      <c r="BE40" s="6">
        <v>-88</v>
      </c>
      <c r="BF40" s="6">
        <v>-250</v>
      </c>
      <c r="BG40" s="6">
        <f>+BF40</f>
        <v>-250</v>
      </c>
      <c r="BH40" s="6">
        <v>-99</v>
      </c>
      <c r="BI40" s="6">
        <v>272</v>
      </c>
      <c r="BJ40" s="6">
        <v>424</v>
      </c>
      <c r="BK40" s="6">
        <v>365</v>
      </c>
      <c r="BL40" s="6">
        <v>259</v>
      </c>
      <c r="BM40" s="6">
        <v>472</v>
      </c>
      <c r="BN40" s="6">
        <v>188</v>
      </c>
      <c r="BO40" s="6">
        <v>827</v>
      </c>
      <c r="BP40" s="6"/>
      <c r="BQ40" s="6"/>
      <c r="BR40" s="6"/>
      <c r="BS40" s="6"/>
      <c r="CA40" s="3">
        <f>-22-2</f>
        <v>-24</v>
      </c>
      <c r="CB40" s="3">
        <f>-42-19</f>
        <v>-61</v>
      </c>
      <c r="CC40" s="3">
        <f>-51+7</f>
        <v>-44</v>
      </c>
      <c r="CD40" s="3">
        <v>-50</v>
      </c>
      <c r="CE40" s="3">
        <v>-84</v>
      </c>
      <c r="CF40" s="3">
        <v>-31</v>
      </c>
      <c r="CG40" s="3">
        <v>91</v>
      </c>
      <c r="CH40" s="3">
        <v>391</v>
      </c>
      <c r="CI40" s="3">
        <v>448</v>
      </c>
      <c r="CJ40" s="3">
        <v>826</v>
      </c>
      <c r="CK40" s="3">
        <v>509</v>
      </c>
      <c r="CL40" s="3">
        <v>531</v>
      </c>
      <c r="CN40" s="3">
        <f t="shared" ref="CN40:CU40" si="103">+CM59*$CZ$58</f>
        <v>938.78</v>
      </c>
      <c r="CO40" s="3">
        <f t="shared" si="103"/>
        <v>2027.1830560000003</v>
      </c>
      <c r="CP40" s="3">
        <f t="shared" si="103"/>
        <v>3559.3807401184004</v>
      </c>
      <c r="CQ40" s="3">
        <f t="shared" si="103"/>
        <v>5428.1279276563428</v>
      </c>
      <c r="CR40" s="3">
        <f t="shared" si="103"/>
        <v>7600.767740649907</v>
      </c>
      <c r="CS40" s="3">
        <f t="shared" si="103"/>
        <v>10050.025175139366</v>
      </c>
      <c r="CT40" s="3">
        <f t="shared" si="103"/>
        <v>12795.417988065838</v>
      </c>
      <c r="CU40" s="3">
        <f t="shared" si="103"/>
        <v>15763.448231897983</v>
      </c>
    </row>
    <row r="41" spans="2:155" s="3" customFormat="1" x14ac:dyDescent="0.25">
      <c r="B41" s="3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f t="shared" ref="AM41:AN41" si="104">+AM39+AM40</f>
        <v>5610</v>
      </c>
      <c r="AN41" s="6">
        <f t="shared" si="104"/>
        <v>5868</v>
      </c>
      <c r="AO41" s="6">
        <f t="shared" ref="AO41:AQ41" si="105">+AO39+AO40</f>
        <v>5912</v>
      </c>
      <c r="AP41" s="6">
        <f t="shared" si="105"/>
        <v>7971</v>
      </c>
      <c r="AQ41" s="6">
        <f t="shared" si="105"/>
        <v>6523</v>
      </c>
      <c r="AR41" s="6">
        <f t="shared" ref="AR41" si="106">+AR39+AR40</f>
        <v>6832</v>
      </c>
      <c r="AS41" s="6">
        <f t="shared" ref="AS41:AT41" si="107">+AS39+AS40</f>
        <v>7329</v>
      </c>
      <c r="AT41" s="6">
        <f t="shared" si="107"/>
        <v>9169</v>
      </c>
      <c r="AU41" s="6">
        <f t="shared" ref="AU41:BB41" si="108">+AU39+AU40</f>
        <v>5861</v>
      </c>
      <c r="AV41" s="6">
        <f t="shared" si="108"/>
        <v>6131</v>
      </c>
      <c r="AW41" s="6">
        <f t="shared" si="108"/>
        <v>8133</v>
      </c>
      <c r="AX41" s="6">
        <f t="shared" si="108"/>
        <v>13055</v>
      </c>
      <c r="AY41" s="6">
        <f t="shared" si="108"/>
        <v>11503</v>
      </c>
      <c r="AZ41" s="6">
        <f t="shared" si="108"/>
        <v>12513</v>
      </c>
      <c r="BA41" s="6">
        <f t="shared" si="108"/>
        <v>10565</v>
      </c>
      <c r="BB41" s="6">
        <f t="shared" si="108"/>
        <v>12702</v>
      </c>
      <c r="BC41" s="6">
        <f>+BC39+BC40</f>
        <v>8908</v>
      </c>
      <c r="BD41" s="6">
        <f t="shared" ref="BD41:BJ41" si="109">+BD39+BD40</f>
        <v>8186</v>
      </c>
      <c r="BE41" s="6">
        <f t="shared" si="109"/>
        <v>5576</v>
      </c>
      <c r="BF41" s="6">
        <f t="shared" si="109"/>
        <v>6149</v>
      </c>
      <c r="BG41" s="6">
        <f t="shared" si="109"/>
        <v>10338.449999999999</v>
      </c>
      <c r="BH41" s="6">
        <f t="shared" si="109"/>
        <v>11163</v>
      </c>
      <c r="BI41" s="6">
        <f t="shared" si="109"/>
        <v>14020</v>
      </c>
      <c r="BJ41" s="6">
        <f t="shared" si="109"/>
        <v>16079.690000000002</v>
      </c>
      <c r="BK41" s="6">
        <f>+BK39+BK40</f>
        <v>14183</v>
      </c>
      <c r="BL41" s="6">
        <f>+BL39+BL40</f>
        <v>15106</v>
      </c>
      <c r="BM41" s="6">
        <f>+BM39+BM40</f>
        <v>17822</v>
      </c>
      <c r="BN41" s="6">
        <f>+BN39+BN40</f>
        <v>23553</v>
      </c>
      <c r="BO41" s="6">
        <f>+BO39+BO40</f>
        <v>18382</v>
      </c>
      <c r="BP41" s="6">
        <f t="shared" ref="BP41:BR41" si="110">+BP39+BP40</f>
        <v>19404.401600000005</v>
      </c>
      <c r="BQ41" s="6">
        <f t="shared" si="110"/>
        <v>21867.534400000004</v>
      </c>
      <c r="BR41" s="6">
        <f t="shared" si="110"/>
        <v>27693.696000000004</v>
      </c>
      <c r="BS41" s="6"/>
      <c r="BX41" s="3">
        <f t="shared" ref="BX41" si="111">+BX39+BX40</f>
        <v>-124</v>
      </c>
      <c r="BY41" s="3">
        <f t="shared" ref="BY41" si="112">+BY39+BY40</f>
        <v>-55</v>
      </c>
      <c r="BZ41" s="3">
        <f t="shared" ref="BZ41" si="113">+BZ39+BZ40</f>
        <v>262</v>
      </c>
      <c r="CA41" s="3">
        <f t="shared" ref="CA41:CK41" si="114">+CA39+CA40</f>
        <v>1008</v>
      </c>
      <c r="CB41" s="3">
        <f t="shared" si="114"/>
        <v>1695</v>
      </c>
      <c r="CC41" s="3">
        <f t="shared" si="114"/>
        <v>494</v>
      </c>
      <c r="CD41" s="3">
        <f t="shared" si="114"/>
        <v>2754</v>
      </c>
      <c r="CE41" s="3">
        <f t="shared" si="114"/>
        <v>4910</v>
      </c>
      <c r="CF41" s="3">
        <f t="shared" si="114"/>
        <v>6194</v>
      </c>
      <c r="CG41" s="3">
        <f t="shared" si="114"/>
        <v>12518</v>
      </c>
      <c r="CH41" s="3">
        <f t="shared" si="114"/>
        <v>20594</v>
      </c>
      <c r="CI41" s="3">
        <f t="shared" si="114"/>
        <v>25361</v>
      </c>
      <c r="CJ41" s="3">
        <f t="shared" si="114"/>
        <v>29812</v>
      </c>
      <c r="CK41" s="3">
        <f t="shared" si="114"/>
        <v>33180</v>
      </c>
      <c r="CL41" s="3">
        <f t="shared" ref="CL41" si="115">+CL39+CL40</f>
        <v>47284</v>
      </c>
      <c r="CM41" s="3">
        <f t="shared" ref="CM41" si="116">+CM39+CM40</f>
        <v>48391.790000000008</v>
      </c>
      <c r="CN41" s="3">
        <f t="shared" ref="CN41" si="117">+CN39+CN40</f>
        <v>66366.040000000008</v>
      </c>
      <c r="CO41" s="3">
        <f t="shared" ref="CO41" si="118">+CO39+CO40</f>
        <v>93426.688055999999</v>
      </c>
      <c r="CP41" s="3">
        <f t="shared" ref="CP41" si="119">+CP39+CP40</f>
        <v>113947.99924011843</v>
      </c>
      <c r="CQ41" s="3">
        <f t="shared" ref="CQ41" si="120">+CQ39+CQ40</f>
        <v>132478.03737765638</v>
      </c>
      <c r="CR41" s="3">
        <f t="shared" ref="CR41" si="121">+CR39+CR40</f>
        <v>149344.96551764998</v>
      </c>
      <c r="CS41" s="3">
        <f t="shared" ref="CS41" si="122">+CS39+CS40</f>
        <v>167402.00078819948</v>
      </c>
      <c r="CT41" s="3">
        <f t="shared" ref="CT41" si="123">+CT39+CT40</f>
        <v>180977.45389220395</v>
      </c>
      <c r="CU41" s="3">
        <f t="shared" ref="CU41" si="124">+CU39+CU40</f>
        <v>195140.16129062552</v>
      </c>
    </row>
    <row r="42" spans="2:155" s="3" customFormat="1" x14ac:dyDescent="0.25">
      <c r="B42" s="3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f>622+1</f>
        <v>623</v>
      </c>
      <c r="AN42" s="6">
        <v>762</v>
      </c>
      <c r="AO42" s="6">
        <v>775</v>
      </c>
      <c r="AP42" s="6">
        <v>1089</v>
      </c>
      <c r="AQ42" s="6">
        <v>2216</v>
      </c>
      <c r="AR42" s="6">
        <v>2216</v>
      </c>
      <c r="AS42" s="6">
        <v>1238</v>
      </c>
      <c r="AT42" s="6">
        <v>1820</v>
      </c>
      <c r="AU42" s="6">
        <v>959</v>
      </c>
      <c r="AV42" s="6">
        <v>953</v>
      </c>
      <c r="AW42" s="6">
        <v>287</v>
      </c>
      <c r="AX42" s="6">
        <v>1836</v>
      </c>
      <c r="AY42" s="6">
        <v>2006</v>
      </c>
      <c r="AZ42" s="6">
        <v>2119</v>
      </c>
      <c r="BA42" s="6">
        <v>1371</v>
      </c>
      <c r="BB42" s="6">
        <v>2417</v>
      </c>
      <c r="BC42" s="6">
        <v>1443</v>
      </c>
      <c r="BD42" s="6">
        <v>1499</v>
      </c>
      <c r="BE42" s="6">
        <v>1181</v>
      </c>
      <c r="BF42" s="6">
        <v>1497</v>
      </c>
      <c r="BG42" s="6">
        <f t="shared" ref="BG42" si="125">+BG41*0.19</f>
        <v>1964.3054999999997</v>
      </c>
      <c r="BH42" s="6">
        <v>1505</v>
      </c>
      <c r="BI42" s="6">
        <v>2437</v>
      </c>
      <c r="BJ42" s="6">
        <v>2791</v>
      </c>
      <c r="BK42" s="6">
        <v>1814</v>
      </c>
      <c r="BL42" s="6">
        <v>1641</v>
      </c>
      <c r="BM42" s="6">
        <v>2134</v>
      </c>
      <c r="BN42" s="6">
        <v>2715</v>
      </c>
      <c r="BO42" s="6">
        <v>1738</v>
      </c>
      <c r="BP42" s="6"/>
      <c r="BQ42" s="6"/>
      <c r="BR42" s="6"/>
      <c r="BS42" s="6"/>
      <c r="CA42" s="3">
        <v>402</v>
      </c>
      <c r="CB42" s="3">
        <v>695</v>
      </c>
      <c r="CC42" s="3">
        <v>441</v>
      </c>
      <c r="CD42" s="3">
        <v>1254</v>
      </c>
      <c r="CE42" s="3">
        <v>1970</v>
      </c>
      <c r="CF42" s="3">
        <v>2506</v>
      </c>
      <c r="CG42" s="3">
        <v>2301</v>
      </c>
      <c r="CH42" s="3">
        <v>4660</v>
      </c>
      <c r="CI42" s="3">
        <f>3249+1</f>
        <v>3250</v>
      </c>
      <c r="CJ42" s="3">
        <v>6327</v>
      </c>
      <c r="CK42" s="3">
        <v>4034</v>
      </c>
      <c r="CL42" s="3">
        <v>7914</v>
      </c>
      <c r="CM42" s="3">
        <f>+CM41*0.18</f>
        <v>8710.5222000000012</v>
      </c>
      <c r="CN42" s="3">
        <f t="shared" ref="CN42:CU42" si="126">+CN41*0.18</f>
        <v>11945.887200000001</v>
      </c>
      <c r="CO42" s="3">
        <f t="shared" si="126"/>
        <v>16816.803850079999</v>
      </c>
      <c r="CP42" s="3">
        <f t="shared" si="126"/>
        <v>20510.639863221317</v>
      </c>
      <c r="CQ42" s="3">
        <f t="shared" si="126"/>
        <v>23846.046727978148</v>
      </c>
      <c r="CR42" s="3">
        <f t="shared" si="126"/>
        <v>26882.093793176995</v>
      </c>
      <c r="CS42" s="3">
        <f t="shared" si="126"/>
        <v>30132.360141875906</v>
      </c>
      <c r="CT42" s="3">
        <f t="shared" si="126"/>
        <v>32575.941700596712</v>
      </c>
      <c r="CU42" s="3">
        <f t="shared" si="126"/>
        <v>35125.229032312593</v>
      </c>
    </row>
    <row r="43" spans="2:155" s="3" customFormat="1" x14ac:dyDescent="0.25">
      <c r="B43" s="3" t="s">
        <v>46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f t="shared" ref="AM43:AN43" si="127">+AM41-AM42</f>
        <v>4987</v>
      </c>
      <c r="AN43" s="6">
        <f t="shared" si="127"/>
        <v>5106</v>
      </c>
      <c r="AO43" s="6">
        <f t="shared" ref="AO43:AQ43" si="128">+AO41-AO42</f>
        <v>5137</v>
      </c>
      <c r="AP43" s="6">
        <f t="shared" si="128"/>
        <v>6882</v>
      </c>
      <c r="AQ43" s="6">
        <f t="shared" si="128"/>
        <v>4307</v>
      </c>
      <c r="AR43" s="6">
        <f t="shared" ref="AR43" si="129">+AR41-AR42</f>
        <v>4616</v>
      </c>
      <c r="AS43" s="6">
        <f t="shared" ref="AS43:AT43" si="130">+AS41-AS42</f>
        <v>6091</v>
      </c>
      <c r="AT43" s="6">
        <f t="shared" si="130"/>
        <v>7349</v>
      </c>
      <c r="AU43" s="6">
        <f t="shared" ref="AU43:AV43" si="131">+AU41-AU42</f>
        <v>4902</v>
      </c>
      <c r="AV43" s="6">
        <f t="shared" si="131"/>
        <v>5178</v>
      </c>
      <c r="AW43" s="6">
        <f t="shared" ref="AW43:BB43" si="132">+AW41-AW42</f>
        <v>7846</v>
      </c>
      <c r="AX43" s="6">
        <f t="shared" si="132"/>
        <v>11219</v>
      </c>
      <c r="AY43" s="6">
        <f t="shared" si="132"/>
        <v>9497</v>
      </c>
      <c r="AZ43" s="6">
        <f t="shared" si="132"/>
        <v>10394</v>
      </c>
      <c r="BA43" s="6">
        <f t="shared" si="132"/>
        <v>9194</v>
      </c>
      <c r="BB43" s="6">
        <f t="shared" si="132"/>
        <v>10285</v>
      </c>
      <c r="BC43" s="6">
        <f>+BC41-BC42</f>
        <v>7465</v>
      </c>
      <c r="BD43" s="6">
        <f t="shared" ref="BD43:BF43" si="133">+BD41-BD42</f>
        <v>6687</v>
      </c>
      <c r="BE43" s="6">
        <f t="shared" si="133"/>
        <v>4395</v>
      </c>
      <c r="BF43" s="6">
        <f t="shared" si="133"/>
        <v>4652</v>
      </c>
      <c r="BG43" s="6">
        <f t="shared" ref="BG43:BR43" si="134">+BG41-BG42</f>
        <v>8374.1444999999985</v>
      </c>
      <c r="BH43" s="6">
        <f t="shared" si="134"/>
        <v>9658</v>
      </c>
      <c r="BI43" s="6">
        <f t="shared" si="134"/>
        <v>11583</v>
      </c>
      <c r="BJ43" s="6">
        <f t="shared" si="134"/>
        <v>13288.690000000002</v>
      </c>
      <c r="BK43" s="6">
        <f t="shared" si="134"/>
        <v>12369</v>
      </c>
      <c r="BL43" s="6">
        <f t="shared" ref="BL43" si="135">+BL41-BL42</f>
        <v>13465</v>
      </c>
      <c r="BM43" s="6">
        <f t="shared" si="134"/>
        <v>15688</v>
      </c>
      <c r="BN43" s="6">
        <f t="shared" si="134"/>
        <v>20838</v>
      </c>
      <c r="BO43" s="6">
        <f t="shared" si="134"/>
        <v>16644</v>
      </c>
      <c r="BP43" s="6">
        <f t="shared" si="134"/>
        <v>19404.401600000005</v>
      </c>
      <c r="BQ43" s="6">
        <f t="shared" si="134"/>
        <v>21867.534400000004</v>
      </c>
      <c r="BR43" s="6">
        <f t="shared" si="134"/>
        <v>27693.696000000004</v>
      </c>
      <c r="BS43" s="6"/>
      <c r="BX43" s="3">
        <f t="shared" ref="BX43:BY43" si="136">+BX41-BX42</f>
        <v>-124</v>
      </c>
      <c r="BY43" s="3">
        <f t="shared" si="136"/>
        <v>-55</v>
      </c>
      <c r="BZ43" s="3">
        <f t="shared" ref="BZ43:CK43" si="137">+BZ41-BZ42</f>
        <v>262</v>
      </c>
      <c r="CA43" s="3">
        <f t="shared" si="137"/>
        <v>606</v>
      </c>
      <c r="CB43" s="3">
        <f t="shared" si="137"/>
        <v>1000</v>
      </c>
      <c r="CC43" s="3">
        <f t="shared" si="137"/>
        <v>53</v>
      </c>
      <c r="CD43" s="3">
        <f t="shared" si="137"/>
        <v>1500</v>
      </c>
      <c r="CE43" s="3">
        <f t="shared" si="137"/>
        <v>2940</v>
      </c>
      <c r="CF43" s="3">
        <f t="shared" si="137"/>
        <v>3688</v>
      </c>
      <c r="CG43" s="3">
        <f t="shared" si="137"/>
        <v>10217</v>
      </c>
      <c r="CH43" s="3">
        <f t="shared" si="137"/>
        <v>15934</v>
      </c>
      <c r="CI43" s="3">
        <f t="shared" si="137"/>
        <v>22111</v>
      </c>
      <c r="CJ43" s="3">
        <f t="shared" si="137"/>
        <v>23485</v>
      </c>
      <c r="CK43" s="3">
        <f t="shared" si="137"/>
        <v>29146</v>
      </c>
      <c r="CL43" s="3">
        <f t="shared" ref="CL43" si="138">+CL41-CL42</f>
        <v>39370</v>
      </c>
      <c r="CM43" s="3">
        <f t="shared" ref="CM43" si="139">+CM41-CM42</f>
        <v>39681.267800000009</v>
      </c>
      <c r="CN43" s="3">
        <f t="shared" ref="CN43" si="140">+CN41-CN42</f>
        <v>54420.152800000011</v>
      </c>
      <c r="CO43" s="3">
        <f t="shared" ref="CO43" si="141">+CO41-CO42</f>
        <v>76609.884205919996</v>
      </c>
      <c r="CP43" s="3">
        <f t="shared" ref="CP43" si="142">+CP41-CP42</f>
        <v>93437.359376897104</v>
      </c>
      <c r="CQ43" s="3">
        <f t="shared" ref="CQ43" si="143">+CQ41-CQ42</f>
        <v>108631.99064967824</v>
      </c>
      <c r="CR43" s="3">
        <f t="shared" ref="CR43" si="144">+CR41-CR42</f>
        <v>122462.87172447299</v>
      </c>
      <c r="CS43" s="3">
        <f t="shared" ref="CS43" si="145">+CS41-CS42</f>
        <v>137269.64064632356</v>
      </c>
      <c r="CT43" s="3">
        <f t="shared" ref="CT43" si="146">+CT41-CT42</f>
        <v>148401.51219160724</v>
      </c>
      <c r="CU43" s="3">
        <f t="shared" ref="CU43" si="147">+CU41-CU42</f>
        <v>160014.93225831294</v>
      </c>
      <c r="CV43" s="3">
        <f t="shared" ref="CV43:EA43" si="148">+CU43*(1+$CZ$57)</f>
        <v>160014.93225831294</v>
      </c>
      <c r="CW43" s="3">
        <f t="shared" si="148"/>
        <v>160014.93225831294</v>
      </c>
      <c r="CX43" s="3">
        <f t="shared" si="148"/>
        <v>160014.93225831294</v>
      </c>
      <c r="CY43" s="3">
        <f t="shared" si="148"/>
        <v>160014.93225831294</v>
      </c>
      <c r="CZ43" s="3">
        <f t="shared" si="148"/>
        <v>160014.93225831294</v>
      </c>
      <c r="DA43" s="3">
        <f t="shared" si="148"/>
        <v>160014.93225831294</v>
      </c>
      <c r="DB43" s="3">
        <f t="shared" si="148"/>
        <v>160014.93225831294</v>
      </c>
      <c r="DC43" s="3">
        <f t="shared" si="148"/>
        <v>160014.93225831294</v>
      </c>
      <c r="DD43" s="3">
        <f t="shared" si="148"/>
        <v>160014.93225831294</v>
      </c>
      <c r="DE43" s="3">
        <f t="shared" si="148"/>
        <v>160014.93225831294</v>
      </c>
      <c r="DF43" s="3">
        <f t="shared" si="148"/>
        <v>160014.93225831294</v>
      </c>
      <c r="DG43" s="3">
        <f t="shared" si="148"/>
        <v>160014.93225831294</v>
      </c>
      <c r="DH43" s="3">
        <f t="shared" si="148"/>
        <v>160014.93225831294</v>
      </c>
      <c r="DI43" s="3">
        <f t="shared" si="148"/>
        <v>160014.93225831294</v>
      </c>
      <c r="DJ43" s="3">
        <f t="shared" si="148"/>
        <v>160014.93225831294</v>
      </c>
      <c r="DK43" s="3">
        <f t="shared" si="148"/>
        <v>160014.93225831294</v>
      </c>
      <c r="DL43" s="3">
        <f t="shared" si="148"/>
        <v>160014.93225831294</v>
      </c>
      <c r="DM43" s="3">
        <f t="shared" si="148"/>
        <v>160014.93225831294</v>
      </c>
      <c r="DN43" s="3">
        <f t="shared" si="148"/>
        <v>160014.93225831294</v>
      </c>
      <c r="DO43" s="3">
        <f t="shared" si="148"/>
        <v>160014.93225831294</v>
      </c>
      <c r="DP43" s="3">
        <f t="shared" si="148"/>
        <v>160014.93225831294</v>
      </c>
      <c r="DQ43" s="3">
        <f t="shared" si="148"/>
        <v>160014.93225831294</v>
      </c>
      <c r="DR43" s="3">
        <f t="shared" si="148"/>
        <v>160014.93225831294</v>
      </c>
      <c r="DS43" s="3">
        <f t="shared" si="148"/>
        <v>160014.93225831294</v>
      </c>
      <c r="DT43" s="3">
        <f t="shared" si="148"/>
        <v>160014.93225831294</v>
      </c>
      <c r="DU43" s="3">
        <f t="shared" si="148"/>
        <v>160014.93225831294</v>
      </c>
      <c r="DV43" s="3">
        <f t="shared" si="148"/>
        <v>160014.93225831294</v>
      </c>
      <c r="DW43" s="3">
        <f t="shared" si="148"/>
        <v>160014.93225831294</v>
      </c>
      <c r="DX43" s="3">
        <f t="shared" si="148"/>
        <v>160014.93225831294</v>
      </c>
      <c r="DY43" s="3">
        <f t="shared" si="148"/>
        <v>160014.93225831294</v>
      </c>
      <c r="DZ43" s="3">
        <f t="shared" si="148"/>
        <v>160014.93225831294</v>
      </c>
      <c r="EA43" s="3">
        <f t="shared" si="148"/>
        <v>160014.93225831294</v>
      </c>
      <c r="EB43" s="3">
        <f t="shared" ref="EB43:EY43" si="149">+EA43*(1+$CZ$57)</f>
        <v>160014.93225831294</v>
      </c>
      <c r="EC43" s="3">
        <f t="shared" si="149"/>
        <v>160014.93225831294</v>
      </c>
      <c r="ED43" s="3">
        <f t="shared" si="149"/>
        <v>160014.93225831294</v>
      </c>
      <c r="EE43" s="3">
        <f t="shared" si="149"/>
        <v>160014.93225831294</v>
      </c>
      <c r="EF43" s="3">
        <f t="shared" si="149"/>
        <v>160014.93225831294</v>
      </c>
      <c r="EG43" s="3">
        <f t="shared" si="149"/>
        <v>160014.93225831294</v>
      </c>
      <c r="EH43" s="3">
        <f t="shared" si="149"/>
        <v>160014.93225831294</v>
      </c>
      <c r="EI43" s="3">
        <f t="shared" si="149"/>
        <v>160014.93225831294</v>
      </c>
      <c r="EJ43" s="3">
        <f t="shared" si="149"/>
        <v>160014.93225831294</v>
      </c>
      <c r="EK43" s="3">
        <f t="shared" si="149"/>
        <v>160014.93225831294</v>
      </c>
      <c r="EL43" s="3">
        <f t="shared" si="149"/>
        <v>160014.93225831294</v>
      </c>
      <c r="EM43" s="3">
        <f t="shared" si="149"/>
        <v>160014.93225831294</v>
      </c>
      <c r="EN43" s="3">
        <f t="shared" si="149"/>
        <v>160014.93225831294</v>
      </c>
      <c r="EO43" s="3">
        <f t="shared" si="149"/>
        <v>160014.93225831294</v>
      </c>
      <c r="EP43" s="3">
        <f t="shared" si="149"/>
        <v>160014.93225831294</v>
      </c>
      <c r="EQ43" s="3">
        <f t="shared" si="149"/>
        <v>160014.93225831294</v>
      </c>
      <c r="ER43" s="3">
        <f t="shared" si="149"/>
        <v>160014.93225831294</v>
      </c>
      <c r="ES43" s="3">
        <f t="shared" si="149"/>
        <v>160014.93225831294</v>
      </c>
      <c r="ET43" s="3">
        <f t="shared" si="149"/>
        <v>160014.93225831294</v>
      </c>
      <c r="EU43" s="3">
        <f t="shared" si="149"/>
        <v>160014.93225831294</v>
      </c>
      <c r="EV43" s="3">
        <f t="shared" si="149"/>
        <v>160014.93225831294</v>
      </c>
      <c r="EW43" s="3">
        <f t="shared" si="149"/>
        <v>160014.93225831294</v>
      </c>
      <c r="EX43" s="3">
        <f t="shared" si="149"/>
        <v>160014.93225831294</v>
      </c>
      <c r="EY43" s="3">
        <f t="shared" si="149"/>
        <v>160014.93225831294</v>
      </c>
    </row>
    <row r="44" spans="2:155" x14ac:dyDescent="0.25">
      <c r="B44" s="3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f t="shared" ref="AM44:AN44" si="150">+AM43/AM45</f>
        <v>1.6933786078098472</v>
      </c>
      <c r="AN44" s="9">
        <f t="shared" si="150"/>
        <v>1.7426621160409557</v>
      </c>
      <c r="AO44" s="9">
        <f t="shared" ref="AO44:AQ44" si="151">+AO43/AO45</f>
        <v>1.7634740817027119</v>
      </c>
      <c r="AP44" s="9">
        <f t="shared" si="151"/>
        <v>2.3846153846153846</v>
      </c>
      <c r="AQ44" s="9">
        <f t="shared" si="151"/>
        <v>1.4980869565217392</v>
      </c>
      <c r="AR44" s="9">
        <f t="shared" ref="AR44" si="152">+AR43/AR45</f>
        <v>1.6055652173913044</v>
      </c>
      <c r="AS44" s="9">
        <f t="shared" ref="AS44:AT44" si="153">+AS43/AS45</f>
        <v>2.1193458594293668</v>
      </c>
      <c r="AT44" s="9">
        <f t="shared" si="153"/>
        <v>2.559735283873215</v>
      </c>
      <c r="AU44" s="9">
        <f t="shared" ref="AU44:AV44" si="154">+AU43/AU45</f>
        <v>1.7092050209205021</v>
      </c>
      <c r="AV44" s="9">
        <f t="shared" si="154"/>
        <v>1.7985411601250434</v>
      </c>
      <c r="AW44" s="9">
        <f t="shared" ref="AW44:BB44" si="155">+AW43/AW45</f>
        <v>2.7139398132134209</v>
      </c>
      <c r="AX44" s="9">
        <f t="shared" si="155"/>
        <v>3.882006920415225</v>
      </c>
      <c r="AY44" s="9">
        <f t="shared" si="155"/>
        <v>3.2952810548230396</v>
      </c>
      <c r="AZ44" s="9">
        <f t="shared" si="155"/>
        <v>3.6127911018421965</v>
      </c>
      <c r="BA44" s="9">
        <f t="shared" si="155"/>
        <v>3.2158097236796084</v>
      </c>
      <c r="BB44" s="9">
        <f t="shared" si="155"/>
        <v>3.6745266166488033</v>
      </c>
      <c r="BC44" s="9">
        <f>+BC43/BC45</f>
        <v>2.7224653537563821</v>
      </c>
      <c r="BD44" s="9">
        <f t="shared" ref="BD44:BF44" si="156">+BD43/BD45</f>
        <v>2.4647991153704387</v>
      </c>
      <c r="BE44" s="9">
        <f t="shared" si="156"/>
        <v>1.6356531447711202</v>
      </c>
      <c r="BF44" s="9">
        <f t="shared" si="156"/>
        <v>1.7621212121212122</v>
      </c>
      <c r="BG44" s="9">
        <f t="shared" ref="BG44:BO44" si="157">+BG43/BG45</f>
        <v>3.1720244318181812</v>
      </c>
      <c r="BH44" s="9">
        <f t="shared" si="157"/>
        <v>3.6975497702909648</v>
      </c>
      <c r="BI44" s="9">
        <f t="shared" si="157"/>
        <v>4.3858386974630825</v>
      </c>
      <c r="BJ44" s="9">
        <f t="shared" si="157"/>
        <v>5.0527338403041835</v>
      </c>
      <c r="BK44" s="9">
        <f t="shared" si="157"/>
        <v>4.7119999999999997</v>
      </c>
      <c r="BL44" s="9">
        <f t="shared" ref="BL44" si="158">+BL43/BL45</f>
        <v>5.1590038314176248</v>
      </c>
      <c r="BM44" s="9">
        <f t="shared" si="157"/>
        <v>6.0338461538461541</v>
      </c>
      <c r="BN44" s="9">
        <f t="shared" si="157"/>
        <v>8.0176991150442483</v>
      </c>
      <c r="BO44" s="9">
        <f t="shared" si="157"/>
        <v>6.4262548262548265</v>
      </c>
      <c r="BP44" s="9"/>
      <c r="BQ44" s="9"/>
      <c r="BR44" s="9"/>
      <c r="BS44" s="9"/>
      <c r="BZ44" s="17"/>
      <c r="CA44" s="17">
        <f t="shared" ref="CA44:CK44" si="159">+CA43/CA45</f>
        <v>0.42857142857142855</v>
      </c>
      <c r="CB44" s="17">
        <f t="shared" si="159"/>
        <v>0.66312997347480107</v>
      </c>
      <c r="CC44" s="17">
        <f t="shared" si="159"/>
        <v>2.4469067405355493E-2</v>
      </c>
      <c r="CD44" s="17">
        <f t="shared" si="159"/>
        <v>0.59594755661501786</v>
      </c>
      <c r="CE44" s="17">
        <f t="shared" si="159"/>
        <v>1.1036036036036037</v>
      </c>
      <c r="CF44" s="17">
        <f t="shared" si="159"/>
        <v>1.2926743778478795</v>
      </c>
      <c r="CG44" s="17">
        <f t="shared" si="159"/>
        <v>3.4929914529914532</v>
      </c>
      <c r="CH44" s="17">
        <f t="shared" si="159"/>
        <v>5.4850243863516397</v>
      </c>
      <c r="CI44" s="17">
        <f t="shared" si="159"/>
        <v>7.5696679219445393</v>
      </c>
      <c r="CJ44" s="17">
        <f t="shared" si="159"/>
        <v>8.1658553546592483</v>
      </c>
      <c r="CK44" s="17">
        <f t="shared" si="159"/>
        <v>10.092105263157896</v>
      </c>
      <c r="CL44" s="17">
        <f t="shared" ref="CL44" si="160">+CL43/CL45</f>
        <v>13.770549143057012</v>
      </c>
      <c r="CM44" s="17">
        <f t="shared" ref="CM44" si="161">+CM43/CM45</f>
        <v>14.721301354108704</v>
      </c>
      <c r="CN44" s="17">
        <f t="shared" ref="CN44" si="162">+CN43/CN45</f>
        <v>20.189260916342057</v>
      </c>
      <c r="CO44" s="17">
        <f t="shared" ref="CO44" si="163">+CO43/CO45</f>
        <v>29.369324978309372</v>
      </c>
      <c r="CP44" s="17">
        <f t="shared" ref="CP44" si="164">+CP43/CP45</f>
        <v>35.820340953382058</v>
      </c>
      <c r="CQ44" s="17">
        <f t="shared" ref="CQ44" si="165">+CQ43/CQ45</f>
        <v>41.645386486363137</v>
      </c>
      <c r="CR44" s="17">
        <f t="shared" ref="CR44" si="166">+CR43/CR45</f>
        <v>46.947621899357102</v>
      </c>
      <c r="CS44" s="17">
        <f t="shared" ref="CS44" si="167">+CS43/CS45</f>
        <v>52.62397571260248</v>
      </c>
      <c r="CT44" s="17">
        <f t="shared" ref="CT44" si="168">+CT43/CT45</f>
        <v>56.89151320360638</v>
      </c>
      <c r="CU44" s="17">
        <f t="shared" ref="CU44" si="169">+CU43/CU45</f>
        <v>61.343658140047133</v>
      </c>
    </row>
    <row r="45" spans="2:155" s="3" customFormat="1" x14ac:dyDescent="0.25">
      <c r="B45" s="3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2945</v>
      </c>
      <c r="AN45" s="6">
        <v>2930</v>
      </c>
      <c r="AO45" s="6">
        <v>2913</v>
      </c>
      <c r="AP45" s="6">
        <v>2886</v>
      </c>
      <c r="AQ45" s="6">
        <v>2875</v>
      </c>
      <c r="AR45" s="6">
        <v>2875</v>
      </c>
      <c r="AS45" s="6">
        <v>2874</v>
      </c>
      <c r="AT45" s="6">
        <v>2871</v>
      </c>
      <c r="AU45" s="6">
        <v>2868</v>
      </c>
      <c r="AV45" s="6">
        <v>2879</v>
      </c>
      <c r="AW45" s="6">
        <v>2891</v>
      </c>
      <c r="AX45" s="6">
        <v>2890</v>
      </c>
      <c r="AY45" s="6">
        <v>2882</v>
      </c>
      <c r="AZ45" s="6">
        <v>2877</v>
      </c>
      <c r="BA45" s="6">
        <v>2859</v>
      </c>
      <c r="BB45" s="6">
        <v>2799</v>
      </c>
      <c r="BC45" s="6">
        <v>2742</v>
      </c>
      <c r="BD45" s="6">
        <v>2713</v>
      </c>
      <c r="BE45" s="6">
        <v>2687</v>
      </c>
      <c r="BF45" s="6">
        <v>2640</v>
      </c>
      <c r="BG45" s="6">
        <f>+BF45</f>
        <v>2640</v>
      </c>
      <c r="BH45" s="6">
        <v>2612</v>
      </c>
      <c r="BI45" s="6">
        <v>2641</v>
      </c>
      <c r="BJ45" s="6">
        <v>2630</v>
      </c>
      <c r="BK45" s="6">
        <v>2625</v>
      </c>
      <c r="BL45" s="6">
        <v>2610</v>
      </c>
      <c r="BM45" s="6">
        <v>2600</v>
      </c>
      <c r="BN45" s="6">
        <v>2599</v>
      </c>
      <c r="BO45" s="6">
        <v>2590</v>
      </c>
      <c r="BP45" s="6">
        <f>+BO45</f>
        <v>2590</v>
      </c>
      <c r="BQ45" s="6">
        <f>+BP45</f>
        <v>2590</v>
      </c>
      <c r="BR45" s="6">
        <f>+BQ45</f>
        <v>2590</v>
      </c>
      <c r="BS45" s="6"/>
      <c r="CA45" s="3">
        <v>1414</v>
      </c>
      <c r="CB45" s="3">
        <v>1508</v>
      </c>
      <c r="CC45" s="3">
        <v>2166</v>
      </c>
      <c r="CD45" s="3">
        <v>2517</v>
      </c>
      <c r="CE45" s="3">
        <v>2664</v>
      </c>
      <c r="CF45" s="3">
        <v>2853</v>
      </c>
      <c r="CG45" s="3">
        <v>2925</v>
      </c>
      <c r="CH45" s="3">
        <f>2395.921635+509.079123</f>
        <v>2905.0007580000001</v>
      </c>
      <c r="CI45" s="3">
        <v>2921</v>
      </c>
      <c r="CJ45" s="3">
        <v>2876</v>
      </c>
      <c r="CK45" s="3">
        <v>2888</v>
      </c>
      <c r="CL45" s="3">
        <v>2859</v>
      </c>
      <c r="CM45" s="3">
        <f>AVERAGE(BC45:BF45)</f>
        <v>2695.5</v>
      </c>
      <c r="CN45" s="3">
        <f t="shared" ref="CN45:CU45" si="170">+CM45</f>
        <v>2695.5</v>
      </c>
      <c r="CO45" s="3">
        <f>AVERAGE(BK45:BN45)</f>
        <v>2608.5</v>
      </c>
      <c r="CP45" s="3">
        <f t="shared" si="170"/>
        <v>2608.5</v>
      </c>
      <c r="CQ45" s="3">
        <f t="shared" si="170"/>
        <v>2608.5</v>
      </c>
      <c r="CR45" s="3">
        <f t="shared" si="170"/>
        <v>2608.5</v>
      </c>
      <c r="CS45" s="3">
        <f t="shared" si="170"/>
        <v>2608.5</v>
      </c>
      <c r="CT45" s="3">
        <f t="shared" si="170"/>
        <v>2608.5</v>
      </c>
      <c r="CU45" s="3">
        <f t="shared" si="170"/>
        <v>2608.5</v>
      </c>
    </row>
    <row r="46" spans="2:155" x14ac:dyDescent="0.25">
      <c r="BC46" s="6"/>
    </row>
    <row r="47" spans="2:155" s="4" customFormat="1" ht="13" x14ac:dyDescent="0.3">
      <c r="B47" s="7" t="s">
        <v>48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1">
        <f t="shared" ref="AQ47:AU47" si="171">+AQ32/AM32-1</f>
        <v>0.25998662878154777</v>
      </c>
      <c r="AR47" s="11">
        <f t="shared" si="171"/>
        <v>0.2762451817700855</v>
      </c>
      <c r="AS47" s="11">
        <f t="shared" si="171"/>
        <v>0.2859328331026445</v>
      </c>
      <c r="AT47" s="11">
        <f t="shared" si="171"/>
        <v>0.2464230814709707</v>
      </c>
      <c r="AU47" s="11">
        <f t="shared" si="171"/>
        <v>0.17642767128739134</v>
      </c>
      <c r="AV47" s="11">
        <f>+AV32/AR32-1</f>
        <v>0.10665640175293145</v>
      </c>
      <c r="AW47" s="11">
        <f>+AW32/AS32-1</f>
        <v>0.21629277135735325</v>
      </c>
      <c r="AX47" s="11">
        <f>+AX32/AT32-1</f>
        <v>0.33156247035385644</v>
      </c>
      <c r="AY47" s="11">
        <f>+AY32/AU32-1</f>
        <v>0.47550318543158365</v>
      </c>
      <c r="AZ47" s="11">
        <f>+AZ32/AV32-1</f>
        <v>0.5560014983678494</v>
      </c>
      <c r="BA47" s="11">
        <f t="shared" ref="BA47:BB47" si="172">+BA32/AW32-1</f>
        <v>0.35118770377270603</v>
      </c>
      <c r="BB47" s="11">
        <f t="shared" si="172"/>
        <v>0.19945141065830718</v>
      </c>
      <c r="BC47" s="11">
        <f>+BC32/AY32-1</f>
        <v>6.6371174200450911E-2</v>
      </c>
      <c r="BD47" s="11">
        <f>+BD32/AZ32-1</f>
        <v>-8.7698180692643568E-3</v>
      </c>
      <c r="BE47" s="11">
        <f>+BE32/BA32-1</f>
        <v>-4.4674250258531556E-2</v>
      </c>
      <c r="BF47" s="11">
        <f t="shared" ref="BF47" si="173">+BF32/BB32-1</f>
        <v>-4.4726916337501144E-2</v>
      </c>
      <c r="BG47" s="11">
        <f>+BG32/BC32-1</f>
        <v>2.6408198366060009E-2</v>
      </c>
      <c r="BH47" s="11">
        <f t="shared" ref="BH47" si="174">+BH32/BD32-1</f>
        <v>0.11022829782804799</v>
      </c>
      <c r="BI47" s="11">
        <f t="shared" ref="BI47" si="175">+BI32/BE32-1</f>
        <v>0.23208486685429741</v>
      </c>
      <c r="BJ47" s="11">
        <f t="shared" ref="BJ47" si="176">+BJ32/BF32-1</f>
        <v>0.24703870666873939</v>
      </c>
      <c r="BK47" s="11">
        <f t="shared" ref="BK47:BR47" si="177">+BK32/BG32-1</f>
        <v>0.27264793157619138</v>
      </c>
      <c r="BL47" s="11">
        <f t="shared" si="177"/>
        <v>0.2210069064658271</v>
      </c>
      <c r="BM47" s="11">
        <f t="shared" si="177"/>
        <v>0.18868974404029748</v>
      </c>
      <c r="BN47" s="11">
        <f t="shared" si="177"/>
        <v>0.20627757971628724</v>
      </c>
      <c r="BO47" s="11">
        <f>+BO32/BK32-1</f>
        <v>0.16071869428062002</v>
      </c>
      <c r="BP47" s="11">
        <f t="shared" si="177"/>
        <v>0.12000000000000011</v>
      </c>
      <c r="BQ47" s="11">
        <f t="shared" si="177"/>
        <v>0.12000000000000011</v>
      </c>
      <c r="BR47" s="11">
        <f t="shared" si="177"/>
        <v>0.12000000000000011</v>
      </c>
      <c r="BS47" s="11"/>
      <c r="BV47" s="18">
        <f t="shared" ref="BV47:CH47" si="178">+BV32/BU32-1</f>
        <v>22.560209424083769</v>
      </c>
      <c r="BW47" s="18">
        <f t="shared" si="178"/>
        <v>4.333333333333333</v>
      </c>
      <c r="BX47" s="18">
        <f t="shared" si="178"/>
        <v>2.1875</v>
      </c>
      <c r="BY47" s="18">
        <f t="shared" si="178"/>
        <v>0.77777777777777768</v>
      </c>
      <c r="BZ47" s="18">
        <f t="shared" si="178"/>
        <v>1.8566176470588234</v>
      </c>
      <c r="CA47" s="18">
        <f t="shared" si="178"/>
        <v>1.5405405405405403</v>
      </c>
      <c r="CB47" s="18">
        <f t="shared" si="178"/>
        <v>0.87993920972644379</v>
      </c>
      <c r="CC47" s="18">
        <f t="shared" si="178"/>
        <v>0.37132848288870934</v>
      </c>
      <c r="CD47" s="18">
        <f t="shared" si="178"/>
        <v>0.5468657889565729</v>
      </c>
      <c r="CE47" s="18">
        <f t="shared" si="178"/>
        <v>0.58358739837398366</v>
      </c>
      <c r="CF47" s="18">
        <f t="shared" si="178"/>
        <v>0.43815177282207607</v>
      </c>
      <c r="CG47" s="18">
        <f t="shared" si="178"/>
        <v>0.54161088799643009</v>
      </c>
      <c r="CH47" s="18">
        <f t="shared" si="178"/>
        <v>0.47090961719371882</v>
      </c>
      <c r="CI47" s="18">
        <f t="shared" ref="CI47" si="179">+CI32/CH32-1</f>
        <v>0.37352716896661997</v>
      </c>
      <c r="CJ47" s="18">
        <f>+CJ32/CI32-1</f>
        <v>0.26610910132884413</v>
      </c>
      <c r="CK47" s="18">
        <f>+CK32/CJ32-1</f>
        <v>0.21596390228722573</v>
      </c>
      <c r="CL47" s="18">
        <f>+CL32/CK32-1</f>
        <v>0.37182574303495608</v>
      </c>
      <c r="CM47" s="18">
        <f>+CM32/CL32-1</f>
        <v>-1.1193175554782941E-2</v>
      </c>
      <c r="CN47" s="18">
        <f t="shared" ref="CN47:CU47" si="180">+CN32/CM32-1</f>
        <v>0.15686610810486323</v>
      </c>
      <c r="CO47" s="18">
        <f t="shared" si="180"/>
        <v>0.21941275453851339</v>
      </c>
      <c r="CP47" s="18">
        <f t="shared" si="180"/>
        <v>0.12902370820668718</v>
      </c>
      <c r="CQ47" s="18">
        <f t="shared" si="180"/>
        <v>0.10000000000000009</v>
      </c>
      <c r="CR47" s="18">
        <f t="shared" si="180"/>
        <v>8.0000000000000071E-2</v>
      </c>
      <c r="CS47" s="18">
        <f t="shared" si="180"/>
        <v>8.0000000000000071E-2</v>
      </c>
      <c r="CT47" s="18">
        <f t="shared" si="180"/>
        <v>5.0000000000000044E-2</v>
      </c>
      <c r="CU47" s="18">
        <f t="shared" si="180"/>
        <v>5.0000000000000044E-2</v>
      </c>
    </row>
    <row r="48" spans="2:155" s="4" customFormat="1" ht="13" x14ac:dyDescent="0.3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1">
        <f>+AY27/AU27-1</f>
        <v>0.41985917173887088</v>
      </c>
      <c r="AZ48" s="11">
        <f t="shared" ref="AZ48:BB48" si="181">+AZ27/AV27-1</f>
        <v>0.47543879015343848</v>
      </c>
      <c r="BA48" s="11">
        <f t="shared" si="181"/>
        <v>0.31097316780136164</v>
      </c>
      <c r="BB48" s="11">
        <f t="shared" si="181"/>
        <v>0.14539923954372624</v>
      </c>
      <c r="BC48" s="11">
        <f>+BC27/AY27-1</f>
        <v>-1</v>
      </c>
      <c r="BD48" s="11">
        <f>+BD27/AZ27-1</f>
        <v>-1</v>
      </c>
      <c r="BE48" s="11">
        <f t="shared" ref="BE48" si="182">+BE27/BA27-1</f>
        <v>-1</v>
      </c>
      <c r="BF48" s="11"/>
      <c r="BG48" s="12"/>
      <c r="BH48" s="12"/>
      <c r="BI48" s="12"/>
    </row>
    <row r="49" spans="2:104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10">
        <v>0.15</v>
      </c>
      <c r="BD49" s="10">
        <v>0.15</v>
      </c>
      <c r="BE49" s="10">
        <v>0.17</v>
      </c>
      <c r="BF49" s="10"/>
      <c r="BG49" s="6"/>
      <c r="BH49" s="6"/>
      <c r="BI49" s="6"/>
    </row>
    <row r="50" spans="2:104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10">
        <v>-0.08</v>
      </c>
      <c r="BD50" s="10">
        <v>-0.14000000000000001</v>
      </c>
      <c r="BE50" s="10">
        <v>-0.18</v>
      </c>
      <c r="BF50" s="10">
        <v>-0.22</v>
      </c>
      <c r="BG50" s="6"/>
      <c r="BH50" s="6"/>
      <c r="BI50" s="6"/>
    </row>
    <row r="51" spans="2:104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10"/>
      <c r="AZ51" s="10"/>
      <c r="BA51" s="10"/>
      <c r="BB51" s="10">
        <f t="shared" ref="BB51" si="183">+BB30/AX30-1</f>
        <v>0.22315202231520215</v>
      </c>
      <c r="BC51" s="10">
        <f t="shared" ref="BC51:BK51" si="184">+BC30/AY30-1</f>
        <v>0.30149812734082393</v>
      </c>
      <c r="BD51" s="10">
        <f t="shared" si="184"/>
        <v>0.4819672131147541</v>
      </c>
      <c r="BE51" s="10">
        <f t="shared" si="184"/>
        <v>-0.489247311827957</v>
      </c>
      <c r="BF51" s="10">
        <f t="shared" si="184"/>
        <v>-0.17103762827822122</v>
      </c>
      <c r="BG51" s="10">
        <f t="shared" si="184"/>
        <v>-0.51223021582733819</v>
      </c>
      <c r="BH51" s="10">
        <f t="shared" si="184"/>
        <v>-0.38938053097345138</v>
      </c>
      <c r="BI51" s="10">
        <f t="shared" si="184"/>
        <v>-0.26315789473684215</v>
      </c>
      <c r="BJ51" s="10">
        <f t="shared" si="184"/>
        <v>0.47317744154057761</v>
      </c>
      <c r="BK51" s="10">
        <f t="shared" si="184"/>
        <v>0.29793510324483785</v>
      </c>
      <c r="BL51" s="10">
        <f t="shared" ref="BL51" si="185">+BL30/BH30-1</f>
        <v>0.27898550724637672</v>
      </c>
      <c r="BM51" s="10">
        <f t="shared" ref="BM51" si="186">+BM30/BI30-1</f>
        <v>0.28571428571428581</v>
      </c>
      <c r="BN51" s="10">
        <f t="shared" ref="BN51" si="187">+BN30/BJ30-1</f>
        <v>1.1204481792717047E-2</v>
      </c>
      <c r="BO51" s="10">
        <f t="shared" ref="BO51" si="188">+BO30/BK30-1</f>
        <v>-6.3636363636363602E-2</v>
      </c>
      <c r="BP51" s="10">
        <f t="shared" ref="BP51" si="189">+BP30/BL30-1</f>
        <v>-1</v>
      </c>
      <c r="BQ51" s="10">
        <f t="shared" ref="BQ51" si="190">+BQ30/BM30-1</f>
        <v>-1</v>
      </c>
      <c r="BR51" s="10">
        <f t="shared" ref="BR51" si="191">+BR30/BN30-1</f>
        <v>-1</v>
      </c>
      <c r="BS51" s="10"/>
      <c r="CK51" s="19">
        <f t="shared" ref="CK51" si="192">CK30/CJ30-1</f>
        <v>1.2734530938123751</v>
      </c>
      <c r="CL51" s="19">
        <f>CL30/CK30-1</f>
        <v>0.99648814749780512</v>
      </c>
      <c r="CM51" s="19">
        <f>CM30/CL30-1</f>
        <v>-5.0571679859278795E-2</v>
      </c>
    </row>
    <row r="52" spans="2:104" s="3" customFormat="1" x14ac:dyDescent="0.25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0">
        <f t="shared" ref="BA52:BD52" si="193">+BA38/AW38-1</f>
        <v>0.38761368557817244</v>
      </c>
      <c r="BB52" s="10">
        <f t="shared" si="193"/>
        <v>0.46108852979081982</v>
      </c>
      <c r="BC52" s="10">
        <f t="shared" si="193"/>
        <v>0.38470296004967919</v>
      </c>
      <c r="BD52" s="10">
        <f t="shared" si="193"/>
        <v>0.35019008045265676</v>
      </c>
      <c r="BE52" s="10">
        <f>+BE38/BA38-1</f>
        <v>0.27450062421972543</v>
      </c>
      <c r="BF52" s="10">
        <f t="shared" ref="BF52:BJ52" si="194">+BF38/BB38-1</f>
        <v>0.18265707694395439</v>
      </c>
      <c r="BG52" s="10">
        <f t="shared" si="194"/>
        <v>-9.9999999999999978E-2</v>
      </c>
      <c r="BH52" s="10">
        <f t="shared" si="194"/>
        <v>-3.1430068098480923E-2</v>
      </c>
      <c r="BI52" s="10">
        <f t="shared" si="194"/>
        <v>-0.13138239255540585</v>
      </c>
      <c r="BJ52" s="10">
        <f t="shared" si="194"/>
        <v>-8.0206540447504304E-2</v>
      </c>
      <c r="BK52" s="10">
        <f>+BK38/BG38-1</f>
        <v>0.32853310744035014</v>
      </c>
      <c r="BL52" s="10">
        <f t="shared" ref="BL52:BO52" si="195">+BL38/BH38-1</f>
        <v>0.14359113034072468</v>
      </c>
      <c r="BM52" s="10">
        <f t="shared" si="195"/>
        <v>0.11812799548914565</v>
      </c>
      <c r="BN52" s="10">
        <f t="shared" si="195"/>
        <v>9.2939121756487886E-3</v>
      </c>
      <c r="BO52" s="10">
        <f t="shared" si="195"/>
        <v>7.4388947927736426E-2</v>
      </c>
      <c r="BP52" s="10">
        <f t="shared" ref="BP52" si="196">+BP38/BL38-1</f>
        <v>0</v>
      </c>
      <c r="BQ52" s="10">
        <f t="shared" ref="BQ52" si="197">+BQ38/BM38-1</f>
        <v>0</v>
      </c>
      <c r="BR52" s="10">
        <f t="shared" ref="BR52" si="198">+BR38/BN38-1</f>
        <v>6.8228168839997494E-2</v>
      </c>
      <c r="BS52" s="10"/>
    </row>
    <row r="53" spans="2:104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2:104" s="3" customFormat="1" x14ac:dyDescent="0.25">
      <c r="B54" s="3" t="s">
        <v>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 t="shared" ref="AM54:BJ54" si="199">+AM34/AM32</f>
        <v>0.8389603877653351</v>
      </c>
      <c r="AN54" s="10">
        <f t="shared" si="199"/>
        <v>0.83266570931902351</v>
      </c>
      <c r="AO54" s="10">
        <f t="shared" si="199"/>
        <v>0.82385080498288044</v>
      </c>
      <c r="AP54" s="10">
        <f t="shared" si="199"/>
        <v>0.83469315360056762</v>
      </c>
      <c r="AQ54" s="10">
        <f t="shared" si="199"/>
        <v>0.81322544272733299</v>
      </c>
      <c r="AR54" s="10">
        <f t="shared" si="199"/>
        <v>0.80415729006277392</v>
      </c>
      <c r="AS54" s="10">
        <f t="shared" si="199"/>
        <v>0.82126671198731027</v>
      </c>
      <c r="AT54" s="10">
        <f t="shared" si="199"/>
        <v>0.83436106631249407</v>
      </c>
      <c r="AU54" s="10">
        <f t="shared" si="199"/>
        <v>0.80498393189378137</v>
      </c>
      <c r="AV54" s="10">
        <f t="shared" si="199"/>
        <v>0.7950981966072671</v>
      </c>
      <c r="AW54" s="10">
        <f t="shared" si="199"/>
        <v>0.80465766185374943</v>
      </c>
      <c r="AX54" s="10">
        <f t="shared" si="199"/>
        <v>0.81440581362211462</v>
      </c>
      <c r="AY54" s="10">
        <f t="shared" si="199"/>
        <v>0.80394329601467274</v>
      </c>
      <c r="AZ54" s="10">
        <f t="shared" si="199"/>
        <v>0.81432059703545756</v>
      </c>
      <c r="BA54" s="10">
        <f t="shared" si="199"/>
        <v>0.80106859703550504</v>
      </c>
      <c r="BB54" s="10">
        <f t="shared" si="199"/>
        <v>0.81146981081642955</v>
      </c>
      <c r="BC54" s="10">
        <f t="shared" si="199"/>
        <v>0.78482872294682526</v>
      </c>
      <c r="BD54" s="10">
        <f t="shared" si="199"/>
        <v>0.81985982929706469</v>
      </c>
      <c r="BE54" s="10">
        <f t="shared" si="199"/>
        <v>0.79375045103557773</v>
      </c>
      <c r="BF54" s="10">
        <f t="shared" si="199"/>
        <v>0.74083631276231932</v>
      </c>
      <c r="BG54" s="10">
        <f t="shared" si="199"/>
        <v>0.78999999999999992</v>
      </c>
      <c r="BH54" s="10">
        <f t="shared" si="199"/>
        <v>0.81421294415450485</v>
      </c>
      <c r="BI54" s="10">
        <f t="shared" si="199"/>
        <v>0.81813389562467054</v>
      </c>
      <c r="BJ54" s="10">
        <f t="shared" si="199"/>
        <v>0.79</v>
      </c>
      <c r="BK54" s="10">
        <f>+BK34/BK32</f>
        <v>0.81785763269784661</v>
      </c>
      <c r="BL54" s="10">
        <f t="shared" ref="BL54:BO54" si="200">+BL34/BL32</f>
        <v>0.81295590079598679</v>
      </c>
      <c r="BM54" s="10">
        <f t="shared" si="200"/>
        <v>0.81830052477272164</v>
      </c>
      <c r="BN54" s="10">
        <f t="shared" si="200"/>
        <v>0.81731941717474421</v>
      </c>
      <c r="BO54" s="10">
        <f t="shared" si="200"/>
        <v>0.82105213404546962</v>
      </c>
      <c r="BP54" s="10">
        <f t="shared" ref="BP54:BR54" si="201">+BP34/BP32</f>
        <v>0.83000000000000007</v>
      </c>
      <c r="BQ54" s="10">
        <f t="shared" si="201"/>
        <v>0.83</v>
      </c>
      <c r="BR54" s="10">
        <f t="shared" si="201"/>
        <v>0.83</v>
      </c>
      <c r="BS54" s="10"/>
      <c r="CI54" s="19">
        <f t="shared" ref="CI54:CU54" si="202">+CI34/CI32</f>
        <v>0.8324617643898421</v>
      </c>
      <c r="CJ54" s="19">
        <f t="shared" si="202"/>
        <v>0.81936998741106415</v>
      </c>
      <c r="CK54" s="19">
        <f t="shared" si="202"/>
        <v>0.80582795323678236</v>
      </c>
      <c r="CL54" s="19">
        <f t="shared" si="202"/>
        <v>0.80794376277251567</v>
      </c>
      <c r="CM54" s="19">
        <f t="shared" si="202"/>
        <v>0.81</v>
      </c>
      <c r="CN54" s="19">
        <f t="shared" si="202"/>
        <v>0.81</v>
      </c>
      <c r="CO54" s="19">
        <f t="shared" si="202"/>
        <v>0.81</v>
      </c>
      <c r="CP54" s="19">
        <f t="shared" si="202"/>
        <v>0.81</v>
      </c>
      <c r="CQ54" s="19">
        <f t="shared" si="202"/>
        <v>0.81</v>
      </c>
      <c r="CR54" s="19">
        <f t="shared" si="202"/>
        <v>0.81</v>
      </c>
      <c r="CS54" s="19">
        <f t="shared" si="202"/>
        <v>0.81</v>
      </c>
      <c r="CT54" s="19">
        <f t="shared" si="202"/>
        <v>0.81</v>
      </c>
      <c r="CU54" s="19">
        <f t="shared" si="202"/>
        <v>0.81</v>
      </c>
    </row>
    <row r="55" spans="2:104" s="3" customFormat="1" x14ac:dyDescent="0.25">
      <c r="B55" s="3" t="s">
        <v>201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 t="shared" ref="AM55:AO55" si="203">+AM39/AM32</f>
        <v>0.45537355841551064</v>
      </c>
      <c r="AN55" s="10">
        <f t="shared" si="203"/>
        <v>0.44312599198851182</v>
      </c>
      <c r="AO55" s="10">
        <f t="shared" si="203"/>
        <v>0.42114081736723247</v>
      </c>
      <c r="AP55" s="10">
        <f t="shared" ref="AP55:AS55" si="204">+AP39/AP32</f>
        <v>0.46233889085964291</v>
      </c>
      <c r="AQ55" s="10">
        <f t="shared" si="204"/>
        <v>0.41898255621144792</v>
      </c>
      <c r="AR55" s="10">
        <f t="shared" si="204"/>
        <v>0.39239606774843067</v>
      </c>
      <c r="AS55" s="10">
        <f t="shared" si="204"/>
        <v>0.40703602991162474</v>
      </c>
      <c r="AT55" s="10">
        <f t="shared" ref="AT55:AV55" si="205">+AT39/AT32</f>
        <v>0.42016886443411439</v>
      </c>
      <c r="AU55" s="10">
        <f t="shared" si="205"/>
        <v>0.33224333314540228</v>
      </c>
      <c r="AV55" s="10">
        <f t="shared" si="205"/>
        <v>0.31909883876491679</v>
      </c>
      <c r="AW55" s="10">
        <f t="shared" ref="AW55:AZ55" si="206">+AW39/AW32</f>
        <v>0.37447601304145317</v>
      </c>
      <c r="AX55" s="10">
        <f t="shared" si="206"/>
        <v>0.45507979481333716</v>
      </c>
      <c r="AY55" s="10">
        <f t="shared" si="206"/>
        <v>0.43475602766420846</v>
      </c>
      <c r="AZ55" s="10">
        <f t="shared" si="206"/>
        <v>0.42531898063761736</v>
      </c>
      <c r="BA55" s="10">
        <f t="shared" ref="BA55:BD55" si="207">+BA39/BA32</f>
        <v>0.35928990003447087</v>
      </c>
      <c r="BB55" s="10">
        <f t="shared" si="207"/>
        <v>0.37376377297971547</v>
      </c>
      <c r="BC55" s="10">
        <f t="shared" si="207"/>
        <v>0.30543213415508097</v>
      </c>
      <c r="BD55" s="10">
        <f t="shared" si="207"/>
        <v>0.28998681562695161</v>
      </c>
      <c r="BE55" s="10">
        <f>+BE39/BE32</f>
        <v>0.20437324096124701</v>
      </c>
      <c r="BF55" s="10">
        <f t="shared" ref="BF55:BJ55" si="208">+BF39/BF32</f>
        <v>0.19894295041193844</v>
      </c>
      <c r="BG55" s="10">
        <f t="shared" si="208"/>
        <v>0.36964391691394655</v>
      </c>
      <c r="BH55" s="10">
        <f t="shared" si="208"/>
        <v>0.35194849839057468</v>
      </c>
      <c r="BI55" s="10">
        <f t="shared" si="208"/>
        <v>0.40262402624026239</v>
      </c>
      <c r="BJ55" s="10">
        <f t="shared" si="208"/>
        <v>0.39030914213058771</v>
      </c>
      <c r="BK55" s="10">
        <f>+BK39/BK32</f>
        <v>0.37904265532848719</v>
      </c>
      <c r="BL55" s="10">
        <f t="shared" ref="BL55:BO55" si="209">+BL39/BL32</f>
        <v>0.38000051188861306</v>
      </c>
      <c r="BM55" s="10">
        <f t="shared" si="209"/>
        <v>0.4274557146024785</v>
      </c>
      <c r="BN55" s="10">
        <f t="shared" si="209"/>
        <v>0.48289759222899659</v>
      </c>
      <c r="BO55" s="10">
        <f t="shared" si="209"/>
        <v>0.41487450961856598</v>
      </c>
      <c r="BP55" s="10">
        <f t="shared" ref="BP55:BR55" si="210">+BP39/BP32</f>
        <v>0.44343268847555922</v>
      </c>
      <c r="BQ55" s="10">
        <f t="shared" si="210"/>
        <v>0.48103141949085432</v>
      </c>
      <c r="BR55" s="10">
        <f t="shared" si="210"/>
        <v>0.51103677349828014</v>
      </c>
      <c r="BS55" s="10"/>
      <c r="CI55" s="10">
        <f t="shared" ref="CI55:CU55" si="211">+CI39/CI32</f>
        <v>0.44616569361366809</v>
      </c>
      <c r="CJ55" s="10">
        <f t="shared" si="211"/>
        <v>0.41000325332050863</v>
      </c>
      <c r="CK55" s="10">
        <f t="shared" si="211"/>
        <v>0.3800500203571221</v>
      </c>
      <c r="CL55" s="10">
        <f t="shared" si="211"/>
        <v>0.39645040660058173</v>
      </c>
      <c r="CM55" s="10">
        <f t="shared" si="211"/>
        <v>0.4149918959943058</v>
      </c>
      <c r="CN55" s="10">
        <f t="shared" si="211"/>
        <v>0.48500203853196056</v>
      </c>
      <c r="CO55" s="10">
        <f t="shared" si="211"/>
        <v>0.55562009118541034</v>
      </c>
      <c r="CP55" s="10">
        <f t="shared" si="211"/>
        <v>0.59436788327220336</v>
      </c>
      <c r="CQ55" s="10">
        <f t="shared" si="211"/>
        <v>0.6218887646524538</v>
      </c>
      <c r="CR55" s="10">
        <f t="shared" si="211"/>
        <v>0.64242123163185649</v>
      </c>
      <c r="CS55" s="10">
        <f t="shared" si="211"/>
        <v>0.66033305823161959</v>
      </c>
      <c r="CT55" s="10">
        <f t="shared" si="211"/>
        <v>0.67217312788590167</v>
      </c>
      <c r="CU55" s="10">
        <f t="shared" si="211"/>
        <v>0.68277608863847261</v>
      </c>
      <c r="CY55" t="s">
        <v>112</v>
      </c>
      <c r="CZ55" s="3">
        <f>NPV(CZ56,CN43:EY43)</f>
        <v>1679101.4412069775</v>
      </c>
    </row>
    <row r="56" spans="2:104" s="3" customFormat="1" x14ac:dyDescent="0.25">
      <c r="B56" s="3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 t="shared" ref="AM56:BF56" si="212">+AM42/AM41</f>
        <v>0.11105169340463458</v>
      </c>
      <c r="AN56" s="10">
        <f t="shared" si="212"/>
        <v>0.12985685071574643</v>
      </c>
      <c r="AO56" s="10">
        <f t="shared" si="212"/>
        <v>0.13108930987821379</v>
      </c>
      <c r="AP56" s="10">
        <f t="shared" si="212"/>
        <v>0.13662024840045164</v>
      </c>
      <c r="AQ56" s="10">
        <f t="shared" si="212"/>
        <v>0.33972098727579336</v>
      </c>
      <c r="AR56" s="10">
        <f t="shared" si="212"/>
        <v>0.32435597189695553</v>
      </c>
      <c r="AS56" s="10">
        <f t="shared" si="212"/>
        <v>0.16891799699822621</v>
      </c>
      <c r="AT56" s="10">
        <f t="shared" si="212"/>
        <v>0.19849492856363835</v>
      </c>
      <c r="AU56" s="10">
        <f t="shared" si="212"/>
        <v>0.16362395495649207</v>
      </c>
      <c r="AV56" s="10">
        <f t="shared" si="212"/>
        <v>0.15543956940140272</v>
      </c>
      <c r="AW56" s="10">
        <f t="shared" si="212"/>
        <v>3.5288331488995447E-2</v>
      </c>
      <c r="AX56" s="10">
        <f t="shared" si="212"/>
        <v>0.14063577173496744</v>
      </c>
      <c r="AY56" s="10">
        <f t="shared" si="212"/>
        <v>0.17438928975049986</v>
      </c>
      <c r="AZ56" s="10">
        <f t="shared" si="212"/>
        <v>0.16934388236234316</v>
      </c>
      <c r="BA56" s="10">
        <f t="shared" si="212"/>
        <v>0.12976810222432561</v>
      </c>
      <c r="BB56" s="10">
        <f t="shared" si="212"/>
        <v>0.19028499448905684</v>
      </c>
      <c r="BC56" s="10">
        <f t="shared" si="212"/>
        <v>0.1619892231701841</v>
      </c>
      <c r="BD56" s="10">
        <f t="shared" si="212"/>
        <v>0.18311751771316884</v>
      </c>
      <c r="BE56" s="10">
        <f t="shared" si="212"/>
        <v>0.21180057388809181</v>
      </c>
      <c r="BF56" s="10">
        <f t="shared" si="212"/>
        <v>0.24345422019840623</v>
      </c>
      <c r="BG56" s="10">
        <f t="shared" ref="BG56:BJ56" si="213">+BG42/BG41</f>
        <v>0.19</v>
      </c>
      <c r="BH56" s="10">
        <f t="shared" si="213"/>
        <v>0.13482038878437697</v>
      </c>
      <c r="BI56" s="10">
        <f t="shared" si="213"/>
        <v>0.1738231098430813</v>
      </c>
      <c r="BJ56" s="10">
        <f t="shared" si="213"/>
        <v>0.17357299798690146</v>
      </c>
      <c r="BK56" s="10">
        <f>+BK42/BK41</f>
        <v>0.12789959811041388</v>
      </c>
      <c r="BL56" s="10">
        <f t="shared" ref="BL56:BO56" si="214">+BL42/BL41</f>
        <v>0.10863233152389778</v>
      </c>
      <c r="BM56" s="10">
        <f t="shared" si="214"/>
        <v>0.11973964762652901</v>
      </c>
      <c r="BN56" s="10">
        <f t="shared" si="214"/>
        <v>0.11527193988027003</v>
      </c>
      <c r="BO56" s="10">
        <f t="shared" si="214"/>
        <v>9.4549015341094556E-2</v>
      </c>
      <c r="BP56" s="10">
        <f t="shared" ref="BP56:BR56" si="215">+BP42/BP41</f>
        <v>0</v>
      </c>
      <c r="BQ56" s="10">
        <f t="shared" si="215"/>
        <v>0</v>
      </c>
      <c r="BR56" s="10">
        <f t="shared" si="215"/>
        <v>0</v>
      </c>
      <c r="BS56" s="10"/>
      <c r="CI56" s="19">
        <f t="shared" ref="CI56:CU56" si="216">+CI42/CI41</f>
        <v>0.12814952091794488</v>
      </c>
      <c r="CJ56" s="19">
        <f t="shared" si="216"/>
        <v>0.21222997450690997</v>
      </c>
      <c r="CK56" s="19">
        <f t="shared" si="216"/>
        <v>0.12157926461723931</v>
      </c>
      <c r="CL56" s="19">
        <f t="shared" si="216"/>
        <v>0.16737162676592504</v>
      </c>
      <c r="CM56" s="19">
        <f t="shared" si="216"/>
        <v>0.18</v>
      </c>
      <c r="CN56" s="19">
        <f t="shared" si="216"/>
        <v>0.18</v>
      </c>
      <c r="CO56" s="19">
        <f t="shared" si="216"/>
        <v>0.18</v>
      </c>
      <c r="CP56" s="19">
        <f t="shared" si="216"/>
        <v>0.18</v>
      </c>
      <c r="CQ56" s="19">
        <f t="shared" si="216"/>
        <v>0.18</v>
      </c>
      <c r="CR56" s="19">
        <f t="shared" si="216"/>
        <v>0.18</v>
      </c>
      <c r="CS56" s="19">
        <f t="shared" si="216"/>
        <v>0.18</v>
      </c>
      <c r="CT56" s="19">
        <f t="shared" si="216"/>
        <v>0.18</v>
      </c>
      <c r="CU56" s="19">
        <f t="shared" si="216"/>
        <v>0.18</v>
      </c>
      <c r="CY56" s="3" t="s">
        <v>113</v>
      </c>
      <c r="CZ56" s="19">
        <v>0.08</v>
      </c>
    </row>
    <row r="57" spans="2:104" x14ac:dyDescent="0.25">
      <c r="BC57" s="6"/>
      <c r="CY57" t="s">
        <v>114</v>
      </c>
      <c r="CZ57" s="19">
        <v>0</v>
      </c>
    </row>
    <row r="58" spans="2:104" x14ac:dyDescent="0.25">
      <c r="B58" t="s">
        <v>195</v>
      </c>
      <c r="BA58" s="6">
        <f t="shared" ref="BA58:BC58" si="217">+BA59-BA73</f>
        <v>64833</v>
      </c>
      <c r="BB58" s="6">
        <f t="shared" si="217"/>
        <v>54773</v>
      </c>
      <c r="BC58" s="6">
        <f t="shared" si="217"/>
        <v>50665</v>
      </c>
      <c r="BD58" s="6">
        <f t="shared" ref="BD58:BG58" si="218">+BD59-BD73</f>
        <v>47025</v>
      </c>
      <c r="BE58" s="6">
        <f t="shared" si="218"/>
        <v>38382</v>
      </c>
      <c r="BF58" s="6">
        <f t="shared" si="218"/>
        <v>37016</v>
      </c>
      <c r="BG58" s="6">
        <f t="shared" si="218"/>
        <v>33681</v>
      </c>
      <c r="BH58" s="6">
        <f t="shared" ref="BH58:BO58" si="219">+BH59-BH73</f>
        <v>41272</v>
      </c>
      <c r="BI58" s="6">
        <f t="shared" si="219"/>
        <v>48882</v>
      </c>
      <c r="BJ58" s="6">
        <f t="shared" si="219"/>
        <v>53159</v>
      </c>
      <c r="BK58" s="6">
        <f t="shared" si="219"/>
        <v>45951</v>
      </c>
      <c r="BL58" s="6">
        <f t="shared" si="219"/>
        <v>45898</v>
      </c>
      <c r="BM58" s="6">
        <f t="shared" si="219"/>
        <v>48148</v>
      </c>
      <c r="BN58" s="6">
        <f t="shared" si="219"/>
        <v>55059</v>
      </c>
      <c r="BO58" s="6">
        <f t="shared" si="219"/>
        <v>47569</v>
      </c>
      <c r="BP58" s="6"/>
      <c r="BQ58" s="6"/>
      <c r="BR58" s="6"/>
      <c r="BS58" s="6"/>
      <c r="CY58" s="3" t="s">
        <v>111</v>
      </c>
      <c r="CZ58" s="19">
        <v>0.02</v>
      </c>
    </row>
    <row r="59" spans="2:104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>
        <f>17576+44378+6234</f>
        <v>68188</v>
      </c>
      <c r="AY59" s="6">
        <f>19513+44706+6342</f>
        <v>70561</v>
      </c>
      <c r="AZ59" s="6">
        <f>16186+47894+6393</f>
        <v>70473</v>
      </c>
      <c r="BA59" s="6">
        <f>14496+43579+6758</f>
        <v>64833</v>
      </c>
      <c r="BB59" s="6">
        <f>16601+31397+6775</f>
        <v>54773</v>
      </c>
      <c r="BC59" s="6">
        <f>14886+29004+6775</f>
        <v>50665</v>
      </c>
      <c r="BD59" s="6">
        <f>12681+27808+6536</f>
        <v>47025</v>
      </c>
      <c r="BE59" s="6">
        <f>14308+27468+6528</f>
        <v>48304</v>
      </c>
      <c r="BF59" s="6">
        <f>14681+26057+6201</f>
        <v>46939</v>
      </c>
      <c r="BG59" s="6">
        <f>11551+25888+6167</f>
        <v>43606</v>
      </c>
      <c r="BH59" s="6">
        <f>28785+24661+6208</f>
        <v>59654</v>
      </c>
      <c r="BI59" s="6">
        <f>36890+24233+6142</f>
        <v>67265</v>
      </c>
      <c r="BJ59" s="6">
        <f>41862+23541+6141</f>
        <v>71544</v>
      </c>
      <c r="BK59" s="6">
        <f>32307+25813+6218</f>
        <v>64338</v>
      </c>
      <c r="BL59" s="6">
        <f>32045+26035+6207</f>
        <v>64287</v>
      </c>
      <c r="BM59" s="6">
        <f>43852+27048+6071</f>
        <v>76971</v>
      </c>
      <c r="BN59" s="6">
        <f>43889+33926+6070</f>
        <v>83885</v>
      </c>
      <c r="BO59" s="6">
        <f>28750+41480+6168</f>
        <v>76398</v>
      </c>
      <c r="BP59" s="6"/>
      <c r="BQ59" s="6"/>
      <c r="BR59" s="6"/>
      <c r="BS59" s="6"/>
      <c r="CL59" s="3">
        <f>+BB59</f>
        <v>54773</v>
      </c>
      <c r="CM59" s="3">
        <f>+BF59</f>
        <v>46939</v>
      </c>
      <c r="CN59" s="3">
        <f t="shared" ref="CN59:CU59" si="220">+CM59+CN43</f>
        <v>101359.15280000001</v>
      </c>
      <c r="CO59" s="3">
        <f t="shared" si="220"/>
        <v>177969.03700592002</v>
      </c>
      <c r="CP59" s="3">
        <f t="shared" si="220"/>
        <v>271406.39638281713</v>
      </c>
      <c r="CQ59" s="3">
        <f t="shared" si="220"/>
        <v>380038.38703249535</v>
      </c>
      <c r="CR59" s="3">
        <f t="shared" si="220"/>
        <v>502501.25875696831</v>
      </c>
      <c r="CS59" s="3">
        <f t="shared" si="220"/>
        <v>639770.89940329187</v>
      </c>
      <c r="CT59" s="3">
        <f t="shared" si="220"/>
        <v>788172.41159489914</v>
      </c>
      <c r="CU59" s="3">
        <f t="shared" si="220"/>
        <v>948187.34385321208</v>
      </c>
      <c r="CY59" s="3" t="s">
        <v>115</v>
      </c>
      <c r="CZ59" s="17">
        <f>CZ55/Main!M3</f>
        <v>648.30171475172881</v>
      </c>
    </row>
    <row r="60" spans="2:104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>
        <v>11335</v>
      </c>
      <c r="AY60" s="6">
        <v>10276</v>
      </c>
      <c r="AZ60" s="6">
        <v>11698</v>
      </c>
      <c r="BA60" s="6">
        <v>12088</v>
      </c>
      <c r="BB60" s="6">
        <v>14039</v>
      </c>
      <c r="BC60" s="6">
        <v>11390</v>
      </c>
      <c r="BD60" s="6">
        <v>11525</v>
      </c>
      <c r="BE60" s="6">
        <v>11227</v>
      </c>
      <c r="BF60" s="6">
        <v>13466</v>
      </c>
      <c r="BG60" s="6">
        <v>11044</v>
      </c>
      <c r="BH60" s="6">
        <v>12511</v>
      </c>
      <c r="BI60" s="6">
        <v>12944</v>
      </c>
      <c r="BJ60" s="3">
        <v>16169</v>
      </c>
      <c r="BK60" s="3">
        <v>13430</v>
      </c>
      <c r="BL60" s="3">
        <v>14505</v>
      </c>
      <c r="BM60" s="3">
        <v>14700</v>
      </c>
      <c r="BN60" s="3">
        <v>16994</v>
      </c>
      <c r="BO60" s="3">
        <v>14514</v>
      </c>
      <c r="CY60" s="3" t="s">
        <v>116</v>
      </c>
      <c r="CZ60" s="19">
        <f>CZ59/Main!M2-1</f>
        <v>-0.10207518732447529</v>
      </c>
    </row>
    <row r="61" spans="2:104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>
        <v>2381</v>
      </c>
      <c r="AY61" s="6">
        <v>2827</v>
      </c>
      <c r="AZ61" s="6">
        <v>4919</v>
      </c>
      <c r="BA61" s="6">
        <v>5258</v>
      </c>
      <c r="BB61" s="6">
        <v>4629</v>
      </c>
      <c r="BC61" s="6">
        <v>3985</v>
      </c>
      <c r="BD61" s="6">
        <v>3973</v>
      </c>
      <c r="BE61" s="6">
        <v>5312</v>
      </c>
      <c r="BF61" s="6">
        <v>5345</v>
      </c>
      <c r="BG61" s="6">
        <v>4000</v>
      </c>
      <c r="BH61" s="6">
        <v>3603</v>
      </c>
      <c r="BI61" s="6">
        <v>4311</v>
      </c>
      <c r="BJ61" s="3">
        <v>3793</v>
      </c>
      <c r="BK61" s="3">
        <v>3780</v>
      </c>
      <c r="BL61" s="3">
        <v>3846</v>
      </c>
      <c r="BM61" s="3">
        <v>5467</v>
      </c>
      <c r="BN61" s="3">
        <v>5236</v>
      </c>
      <c r="BO61" s="3">
        <v>5483</v>
      </c>
    </row>
    <row r="62" spans="2:104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>
        <v>45633</v>
      </c>
      <c r="AY62" s="6">
        <v>47720</v>
      </c>
      <c r="AZ62" s="6">
        <v>50909</v>
      </c>
      <c r="BA62" s="6">
        <v>53726</v>
      </c>
      <c r="BB62" s="6">
        <v>57809</v>
      </c>
      <c r="BC62" s="6">
        <v>61582</v>
      </c>
      <c r="BD62" s="6">
        <v>67588</v>
      </c>
      <c r="BE62" s="6">
        <v>73738</v>
      </c>
      <c r="BF62" s="6">
        <v>79518</v>
      </c>
      <c r="BG62" s="6">
        <v>84156</v>
      </c>
      <c r="BH62" s="6">
        <v>87949</v>
      </c>
      <c r="BI62" s="6">
        <v>91772</v>
      </c>
      <c r="BJ62" s="3">
        <v>96587</v>
      </c>
      <c r="BK62" s="3">
        <v>98908</v>
      </c>
      <c r="BL62" s="3">
        <v>102959</v>
      </c>
      <c r="BM62" s="3">
        <v>112162</v>
      </c>
      <c r="BN62" s="3">
        <v>121346</v>
      </c>
      <c r="BO62" s="3">
        <v>133567</v>
      </c>
    </row>
    <row r="63" spans="2:104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9348</v>
      </c>
      <c r="AY63" s="6">
        <v>10202</v>
      </c>
      <c r="AZ63" s="6">
        <v>10525</v>
      </c>
      <c r="BA63" s="6">
        <v>11063</v>
      </c>
      <c r="BB63" s="6">
        <v>12155</v>
      </c>
      <c r="BC63" s="6">
        <v>12241</v>
      </c>
      <c r="BD63" s="6">
        <v>14130</v>
      </c>
      <c r="BE63" s="6">
        <v>13641</v>
      </c>
      <c r="BF63" s="6">
        <v>12673</v>
      </c>
      <c r="BG63" s="6">
        <v>12899</v>
      </c>
      <c r="BH63" s="6">
        <v>12955</v>
      </c>
      <c r="BI63" s="6">
        <v>13033</v>
      </c>
      <c r="BJ63" s="3">
        <v>13294</v>
      </c>
      <c r="BK63" s="3">
        <v>13555</v>
      </c>
      <c r="BL63" s="3">
        <v>14058</v>
      </c>
      <c r="BM63" s="3">
        <v>14812</v>
      </c>
      <c r="BN63" s="3">
        <v>14922</v>
      </c>
      <c r="BO63" s="3">
        <v>15505</v>
      </c>
    </row>
    <row r="64" spans="2:104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>
        <f>623+19050</f>
        <v>19673</v>
      </c>
      <c r="AY64" s="6">
        <f>505+19056</f>
        <v>19561</v>
      </c>
      <c r="AZ64" s="6">
        <f>19219+514</f>
        <v>19733</v>
      </c>
      <c r="BA64" s="6">
        <f>365+19065</f>
        <v>19430</v>
      </c>
      <c r="BB64" s="6">
        <f>19197+634</f>
        <v>19831</v>
      </c>
      <c r="BC64" s="6">
        <f>910+19923</f>
        <v>20833</v>
      </c>
      <c r="BD64" s="6">
        <f>965+20229</f>
        <v>21194</v>
      </c>
      <c r="BE64" s="6">
        <f>875+20268</f>
        <v>21143</v>
      </c>
      <c r="BF64" s="6">
        <f>20306+897</f>
        <v>21203</v>
      </c>
      <c r="BG64" s="6">
        <f>949+20649</f>
        <v>21598</v>
      </c>
      <c r="BH64" s="6">
        <f>856+20659</f>
        <v>21515</v>
      </c>
      <c r="BI64" s="6">
        <f>813+20668</f>
        <v>21481</v>
      </c>
      <c r="BJ64" s="3">
        <f>788+20654</f>
        <v>21442</v>
      </c>
      <c r="BK64" s="3">
        <v>20654</v>
      </c>
      <c r="BL64" s="3">
        <v>20654</v>
      </c>
      <c r="BM64" s="3">
        <v>20654</v>
      </c>
      <c r="BN64" s="3">
        <v>20654</v>
      </c>
      <c r="BO64" s="3">
        <v>20654</v>
      </c>
    </row>
    <row r="65" spans="2:71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2758</v>
      </c>
      <c r="AY65" s="6">
        <v>2376</v>
      </c>
      <c r="AZ65" s="6">
        <v>2352</v>
      </c>
      <c r="BA65" s="6">
        <v>3187</v>
      </c>
      <c r="BB65" s="6">
        <v>2751</v>
      </c>
      <c r="BC65" s="6">
        <v>3522</v>
      </c>
      <c r="BD65" s="6">
        <v>4344</v>
      </c>
      <c r="BE65" s="6">
        <v>5529</v>
      </c>
      <c r="BF65" s="6">
        <v>6583</v>
      </c>
      <c r="BG65" s="6">
        <v>7188</v>
      </c>
      <c r="BH65" s="6">
        <v>8501</v>
      </c>
      <c r="BI65" s="6">
        <v>5468</v>
      </c>
      <c r="BJ65" s="3">
        <v>6794</v>
      </c>
      <c r="BK65" s="3">
        <v>8179</v>
      </c>
      <c r="BL65" s="3">
        <v>9929</v>
      </c>
      <c r="BM65" s="3">
        <v>11642</v>
      </c>
      <c r="BN65" s="3">
        <v>13017</v>
      </c>
      <c r="BO65" s="3">
        <v>14092</v>
      </c>
    </row>
    <row r="66" spans="2:71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>
        <f t="shared" ref="AX66:AY66" si="221">SUM(AX59:AX65)</f>
        <v>159316</v>
      </c>
      <c r="AY66" s="6">
        <f t="shared" si="221"/>
        <v>163523</v>
      </c>
      <c r="AZ66" s="6">
        <f t="shared" ref="AZ66:BA66" si="222">SUM(AZ59:AZ65)</f>
        <v>170609</v>
      </c>
      <c r="BA66" s="6">
        <f t="shared" si="222"/>
        <v>169585</v>
      </c>
      <c r="BB66" s="6">
        <f t="shared" ref="BB66" si="223">SUM(BB59:BB65)</f>
        <v>165987</v>
      </c>
      <c r="BC66" s="6">
        <f>SUM(BC59:BC65)</f>
        <v>164218</v>
      </c>
      <c r="BD66" s="6">
        <f>SUM(BD59:BD65)</f>
        <v>169779</v>
      </c>
      <c r="BE66" s="6">
        <f>SUM(BE59:BE65)</f>
        <v>178894</v>
      </c>
      <c r="BF66" s="6">
        <f t="shared" ref="BF66:BO66" si="224">SUM(BF59:BF65)</f>
        <v>185727</v>
      </c>
      <c r="BG66" s="6">
        <f t="shared" si="224"/>
        <v>184491</v>
      </c>
      <c r="BH66" s="6">
        <f t="shared" si="224"/>
        <v>206688</v>
      </c>
      <c r="BI66" s="6">
        <f t="shared" si="224"/>
        <v>216274</v>
      </c>
      <c r="BJ66" s="6">
        <f t="shared" si="224"/>
        <v>229623</v>
      </c>
      <c r="BK66" s="6">
        <f t="shared" si="224"/>
        <v>222844</v>
      </c>
      <c r="BL66" s="6">
        <f t="shared" si="224"/>
        <v>230238</v>
      </c>
      <c r="BM66" s="6">
        <f t="shared" si="224"/>
        <v>256408</v>
      </c>
      <c r="BN66" s="6">
        <f t="shared" si="224"/>
        <v>276054</v>
      </c>
      <c r="BO66" s="6">
        <f t="shared" si="224"/>
        <v>280213</v>
      </c>
    </row>
    <row r="67" spans="2:71" x14ac:dyDescent="0.25">
      <c r="BC67" s="6"/>
    </row>
    <row r="68" spans="2:71" x14ac:dyDescent="0.25">
      <c r="B68" t="s">
        <v>56</v>
      </c>
      <c r="AX68" s="6">
        <v>1331</v>
      </c>
      <c r="AY68" s="6">
        <v>878</v>
      </c>
      <c r="AZ68" s="6">
        <v>973</v>
      </c>
      <c r="BA68" s="6">
        <v>2195</v>
      </c>
      <c r="BB68" s="6">
        <v>4083</v>
      </c>
      <c r="BC68" s="6">
        <v>3246</v>
      </c>
      <c r="BD68" s="6">
        <v>4008</v>
      </c>
      <c r="BE68" s="6">
        <v>3871</v>
      </c>
      <c r="BF68" s="6">
        <v>4990</v>
      </c>
      <c r="BG68" s="6">
        <v>3672</v>
      </c>
      <c r="BH68" s="6">
        <v>3093</v>
      </c>
      <c r="BI68" s="6">
        <v>4372</v>
      </c>
      <c r="BJ68" s="3">
        <v>4849</v>
      </c>
      <c r="BK68" s="6">
        <v>3785</v>
      </c>
      <c r="BL68" s="3">
        <v>3173</v>
      </c>
      <c r="BM68" s="3">
        <v>7656</v>
      </c>
      <c r="BN68" s="3">
        <v>7687</v>
      </c>
      <c r="BO68" s="3">
        <v>8512</v>
      </c>
    </row>
    <row r="69" spans="2:71" x14ac:dyDescent="0.25">
      <c r="B69" t="s">
        <v>57</v>
      </c>
      <c r="AX69" s="6">
        <v>1093</v>
      </c>
      <c r="AY69" s="6">
        <v>1006</v>
      </c>
      <c r="AZ69" s="6">
        <v>949</v>
      </c>
      <c r="BA69" s="6">
        <v>909</v>
      </c>
      <c r="BB69" s="6">
        <v>1052</v>
      </c>
      <c r="BC69" s="6">
        <v>935</v>
      </c>
      <c r="BD69" s="6">
        <v>982</v>
      </c>
      <c r="BE69" s="6">
        <v>975</v>
      </c>
      <c r="BF69" s="6">
        <v>1117</v>
      </c>
      <c r="BG69" s="6">
        <v>885</v>
      </c>
      <c r="BH69" s="6">
        <v>772</v>
      </c>
      <c r="BI69" s="6">
        <v>770</v>
      </c>
      <c r="BJ69" s="3">
        <v>863</v>
      </c>
      <c r="BK69" s="6">
        <v>0</v>
      </c>
      <c r="BL69" s="3">
        <v>0</v>
      </c>
      <c r="BM69" s="3">
        <v>0</v>
      </c>
      <c r="BN69" s="3">
        <v>0</v>
      </c>
      <c r="BO69" s="3">
        <v>0</v>
      </c>
    </row>
    <row r="70" spans="2:71" x14ac:dyDescent="0.25">
      <c r="B70" t="s">
        <v>58</v>
      </c>
      <c r="AX70" s="6">
        <f>1023+9631</f>
        <v>10654</v>
      </c>
      <c r="AY70" s="6">
        <f>1040+10574</f>
        <v>11614</v>
      </c>
      <c r="AZ70" s="6">
        <f>1051+10956</f>
        <v>12007</v>
      </c>
      <c r="BA70" s="6">
        <f>1086+11554</f>
        <v>12640</v>
      </c>
      <c r="BB70" s="6">
        <f>1127+12746</f>
        <v>13873</v>
      </c>
      <c r="BC70" s="6">
        <f>1159+12894</f>
        <v>14053</v>
      </c>
      <c r="BD70" s="6">
        <f>1275+14792</f>
        <v>16067</v>
      </c>
      <c r="BE70" s="6">
        <f>1291+14687</f>
        <v>15978</v>
      </c>
      <c r="BF70" s="6">
        <f>1367+15301</f>
        <v>16668</v>
      </c>
      <c r="BG70" s="6">
        <f>1479+16171</f>
        <v>17650</v>
      </c>
      <c r="BH70" s="6">
        <f>1396+16440</f>
        <v>17836</v>
      </c>
      <c r="BI70" s="6">
        <f>1460+16374</f>
        <v>17834</v>
      </c>
      <c r="BJ70" s="3">
        <f>1623+17226</f>
        <v>18849</v>
      </c>
      <c r="BK70" s="6">
        <f>1676+17570</f>
        <v>19246</v>
      </c>
      <c r="BL70" s="3">
        <f>1917+17685</f>
        <v>19602</v>
      </c>
      <c r="BM70" s="3">
        <f>18208+2016</f>
        <v>20224</v>
      </c>
      <c r="BN70" s="3">
        <f>1942+18292</f>
        <v>20234</v>
      </c>
      <c r="BO70" s="3">
        <f>1976+18714</f>
        <v>20690</v>
      </c>
    </row>
    <row r="71" spans="2:71" x14ac:dyDescent="0.25">
      <c r="B71" t="s">
        <v>59</v>
      </c>
      <c r="AX71" s="6">
        <v>11152</v>
      </c>
      <c r="AY71" s="6">
        <v>9411</v>
      </c>
      <c r="AZ71" s="6">
        <v>11510</v>
      </c>
      <c r="BA71" s="6">
        <v>13158</v>
      </c>
      <c r="BB71" s="6">
        <v>14312</v>
      </c>
      <c r="BC71" s="6">
        <v>15226</v>
      </c>
      <c r="BD71" s="6">
        <v>15420</v>
      </c>
      <c r="BE71" s="6">
        <v>16036</v>
      </c>
      <c r="BF71" s="6">
        <v>19552</v>
      </c>
      <c r="BG71" s="6">
        <v>19345</v>
      </c>
      <c r="BH71" s="6">
        <v>24660</v>
      </c>
      <c r="BI71" s="6">
        <v>23929</v>
      </c>
      <c r="BJ71" s="3">
        <v>24625</v>
      </c>
      <c r="BK71" s="6">
        <v>22640</v>
      </c>
      <c r="BL71" s="3">
        <v>21914</v>
      </c>
      <c r="BM71" s="3">
        <v>23658</v>
      </c>
      <c r="BN71" s="3">
        <v>23967</v>
      </c>
      <c r="BO71" s="3">
        <v>23402</v>
      </c>
    </row>
    <row r="72" spans="2:71" x14ac:dyDescent="0.25">
      <c r="B72" t="s">
        <v>60</v>
      </c>
      <c r="AX72" s="6">
        <v>382</v>
      </c>
      <c r="AY72" s="6">
        <v>382</v>
      </c>
      <c r="AZ72" s="6">
        <v>391</v>
      </c>
      <c r="BA72" s="6">
        <v>464</v>
      </c>
      <c r="BB72" s="6">
        <v>561</v>
      </c>
      <c r="BC72" s="6">
        <v>520</v>
      </c>
      <c r="BD72" s="6">
        <v>532</v>
      </c>
      <c r="BE72" s="6">
        <v>514</v>
      </c>
      <c r="BF72" s="6">
        <v>0</v>
      </c>
      <c r="BG72" s="6"/>
      <c r="BH72" s="6"/>
      <c r="BI72" s="6"/>
      <c r="BJ72" s="3"/>
      <c r="BK72" s="6">
        <v>0</v>
      </c>
      <c r="BL72" s="3">
        <v>0</v>
      </c>
      <c r="BM72" s="3">
        <v>0</v>
      </c>
      <c r="BN72" s="3">
        <v>0</v>
      </c>
      <c r="BO72" s="3">
        <v>0</v>
      </c>
    </row>
    <row r="73" spans="2:71" x14ac:dyDescent="0.25">
      <c r="B73" t="s">
        <v>5</v>
      </c>
      <c r="AX73" s="6"/>
      <c r="AY73" s="6"/>
      <c r="AZ73" s="6"/>
      <c r="BA73" s="6"/>
      <c r="BB73" s="6"/>
      <c r="BC73" s="6"/>
      <c r="BD73" s="6"/>
      <c r="BE73" s="6">
        <v>9922</v>
      </c>
      <c r="BF73" s="6">
        <v>9923</v>
      </c>
      <c r="BG73" s="6">
        <v>9925</v>
      </c>
      <c r="BH73" s="6">
        <v>18382</v>
      </c>
      <c r="BI73" s="6">
        <v>18383</v>
      </c>
      <c r="BJ73" s="6">
        <v>18385</v>
      </c>
      <c r="BK73" s="6">
        <v>18387</v>
      </c>
      <c r="BL73" s="6">
        <v>18389</v>
      </c>
      <c r="BM73" s="6">
        <v>28823</v>
      </c>
      <c r="BN73" s="6">
        <v>28826</v>
      </c>
      <c r="BO73" s="6">
        <v>28829</v>
      </c>
      <c r="BP73" s="6"/>
      <c r="BQ73" s="6"/>
      <c r="BR73" s="6"/>
      <c r="BS73" s="6"/>
    </row>
    <row r="74" spans="2:71" x14ac:dyDescent="0.25">
      <c r="B74" t="s">
        <v>65</v>
      </c>
      <c r="AX74" s="6">
        <v>6414</v>
      </c>
      <c r="AY74" s="6">
        <v>6575</v>
      </c>
      <c r="AZ74" s="6">
        <v>6552</v>
      </c>
      <c r="BA74" s="6">
        <v>6859</v>
      </c>
      <c r="BB74" s="6">
        <v>7227</v>
      </c>
      <c r="BC74" s="6">
        <v>7010</v>
      </c>
      <c r="BD74" s="6">
        <v>7003</v>
      </c>
      <c r="BE74" s="6">
        <v>7504</v>
      </c>
      <c r="BF74" s="6">
        <v>7764</v>
      </c>
      <c r="BG74" s="6">
        <v>8219</v>
      </c>
      <c r="BH74" s="6">
        <v>7912</v>
      </c>
      <c r="BI74" s="6">
        <v>8113</v>
      </c>
      <c r="BJ74" s="3">
        <v>8884</v>
      </c>
      <c r="BK74" s="6">
        <f>1462+7795</f>
        <v>9257</v>
      </c>
      <c r="BL74" s="3">
        <f>7897+2500</f>
        <v>10397</v>
      </c>
      <c r="BM74" s="3">
        <f>2347+9171</f>
        <v>11518</v>
      </c>
      <c r="BN74" s="3">
        <f>9987+2716</f>
        <v>12703</v>
      </c>
      <c r="BO74" s="3">
        <f>10991+2760</f>
        <v>13751</v>
      </c>
    </row>
    <row r="75" spans="2:71" x14ac:dyDescent="0.25">
      <c r="B75" t="s">
        <v>64</v>
      </c>
      <c r="AX75" s="6">
        <v>50018</v>
      </c>
      <c r="AY75" s="6">
        <v>51160</v>
      </c>
      <c r="AZ75" s="6">
        <v>52845</v>
      </c>
      <c r="BA75" s="6">
        <v>54334</v>
      </c>
      <c r="BB75" s="6">
        <v>55811</v>
      </c>
      <c r="BC75" s="6">
        <v>57512</v>
      </c>
      <c r="BD75" s="6">
        <v>59929</v>
      </c>
      <c r="BE75" s="6">
        <v>62092</v>
      </c>
      <c r="BF75" s="6">
        <v>64444</v>
      </c>
      <c r="BG75" s="6">
        <v>66535</v>
      </c>
      <c r="BH75" s="6">
        <v>69159</v>
      </c>
      <c r="BI75" s="6">
        <v>71224</v>
      </c>
      <c r="BJ75" s="3">
        <v>73253</v>
      </c>
      <c r="BK75" s="6">
        <v>75391</v>
      </c>
      <c r="BL75" s="3">
        <v>78270</v>
      </c>
      <c r="BM75" s="3">
        <v>80749</v>
      </c>
      <c r="BN75" s="3">
        <v>83228</v>
      </c>
      <c r="BO75" s="3">
        <v>85568</v>
      </c>
    </row>
    <row r="76" spans="2:71" x14ac:dyDescent="0.25">
      <c r="B76" t="s">
        <v>63</v>
      </c>
      <c r="AX76" s="6">
        <v>927</v>
      </c>
      <c r="AY76" s="6">
        <v>154</v>
      </c>
      <c r="AZ76" s="6">
        <v>285</v>
      </c>
      <c r="BA76" s="6">
        <v>-207</v>
      </c>
      <c r="BB76" s="6">
        <v>-693</v>
      </c>
      <c r="BC76" s="6">
        <v>-1996</v>
      </c>
      <c r="BD76" s="6">
        <v>-3411</v>
      </c>
      <c r="BE76" s="6">
        <v>-5054</v>
      </c>
      <c r="BF76" s="6">
        <v>-3530</v>
      </c>
      <c r="BG76" s="6">
        <v>-2981</v>
      </c>
      <c r="BH76" s="6">
        <v>-3106</v>
      </c>
      <c r="BI76" s="6">
        <v>-3556</v>
      </c>
      <c r="BJ76" s="3">
        <v>-2155</v>
      </c>
      <c r="BK76" s="6">
        <v>-2655</v>
      </c>
      <c r="BL76" s="3">
        <v>-2695</v>
      </c>
      <c r="BM76" s="3">
        <v>-1192</v>
      </c>
      <c r="BN76" s="3">
        <v>-3097</v>
      </c>
      <c r="BO76" s="3">
        <v>-1865</v>
      </c>
    </row>
    <row r="77" spans="2:71" x14ac:dyDescent="0.25">
      <c r="B77" t="s">
        <v>62</v>
      </c>
      <c r="AX77" s="6">
        <v>77345</v>
      </c>
      <c r="AY77" s="6">
        <v>82343</v>
      </c>
      <c r="AZ77" s="6">
        <v>85097</v>
      </c>
      <c r="BA77" s="6">
        <v>79233</v>
      </c>
      <c r="BB77" s="6">
        <v>69761</v>
      </c>
      <c r="BC77" s="6">
        <v>67712</v>
      </c>
      <c r="BD77" s="6">
        <v>69249</v>
      </c>
      <c r="BE77" s="6">
        <v>67056</v>
      </c>
      <c r="BF77" s="6">
        <v>64799</v>
      </c>
      <c r="BG77" s="6">
        <v>61241</v>
      </c>
      <c r="BH77" s="6">
        <v>67980</v>
      </c>
      <c r="BI77" s="6">
        <v>75205</v>
      </c>
      <c r="BJ77" s="3">
        <v>82070</v>
      </c>
      <c r="BK77" s="6">
        <v>76793</v>
      </c>
      <c r="BL77" s="6">
        <v>81188</v>
      </c>
      <c r="BM77" s="3">
        <v>84972</v>
      </c>
      <c r="BN77" s="3">
        <v>102506</v>
      </c>
      <c r="BO77" s="3">
        <v>101326</v>
      </c>
    </row>
    <row r="78" spans="2:71" x14ac:dyDescent="0.25">
      <c r="B78" t="s">
        <v>61</v>
      </c>
      <c r="AX78" s="6">
        <f t="shared" ref="AX78:AY78" si="225">SUM(AX68:AX77)</f>
        <v>159316</v>
      </c>
      <c r="AY78" s="6">
        <f t="shared" si="225"/>
        <v>163523</v>
      </c>
      <c r="AZ78" s="6">
        <f t="shared" ref="AZ78:BA78" si="226">SUM(AZ68:AZ77)</f>
        <v>170609</v>
      </c>
      <c r="BA78" s="6">
        <f t="shared" si="226"/>
        <v>169585</v>
      </c>
      <c r="BB78" s="6">
        <f t="shared" ref="BB78:BE78" si="227">SUM(BB68:BB77)</f>
        <v>165987</v>
      </c>
      <c r="BC78" s="6">
        <f t="shared" si="227"/>
        <v>164218</v>
      </c>
      <c r="BD78" s="6">
        <f t="shared" si="227"/>
        <v>169779</v>
      </c>
      <c r="BE78" s="6">
        <f t="shared" si="227"/>
        <v>178894</v>
      </c>
      <c r="BF78" s="6">
        <f>SUM(BF68:BF77)</f>
        <v>185727</v>
      </c>
      <c r="BG78" s="6">
        <f>SUM(BG68:BG77)</f>
        <v>184491</v>
      </c>
      <c r="BH78" s="6">
        <f>SUM(BH68:BH77)</f>
        <v>206688</v>
      </c>
      <c r="BI78" s="6">
        <f>SUM(BI68:BI77)</f>
        <v>216274</v>
      </c>
      <c r="BJ78" s="6">
        <f>SUM(BJ68:BJ77)</f>
        <v>229623</v>
      </c>
      <c r="BK78" s="6">
        <f t="shared" ref="BK78:BO78" si="228">SUM(BK68:BK77)</f>
        <v>222844</v>
      </c>
      <c r="BL78" s="6">
        <f t="shared" si="228"/>
        <v>230238</v>
      </c>
      <c r="BM78" s="6">
        <f t="shared" si="228"/>
        <v>256408</v>
      </c>
      <c r="BN78" s="6">
        <f t="shared" si="228"/>
        <v>276054</v>
      </c>
      <c r="BO78" s="6">
        <f t="shared" si="228"/>
        <v>280213</v>
      </c>
    </row>
    <row r="79" spans="2:71" x14ac:dyDescent="0.25">
      <c r="BC79" s="6"/>
    </row>
    <row r="80" spans="2:71" x14ac:dyDescent="0.25">
      <c r="B80" t="s">
        <v>66</v>
      </c>
      <c r="AY80" s="6">
        <f t="shared" ref="AY80:BJ80" si="229">AY43</f>
        <v>9497</v>
      </c>
      <c r="AZ80" s="6">
        <f t="shared" si="229"/>
        <v>10394</v>
      </c>
      <c r="BA80" s="6">
        <f t="shared" si="229"/>
        <v>9194</v>
      </c>
      <c r="BB80" s="6">
        <f t="shared" si="229"/>
        <v>10285</v>
      </c>
      <c r="BC80" s="6">
        <f t="shared" si="229"/>
        <v>7465</v>
      </c>
      <c r="BD80" s="6">
        <f t="shared" si="229"/>
        <v>6687</v>
      </c>
      <c r="BE80" s="6">
        <f t="shared" si="229"/>
        <v>4395</v>
      </c>
      <c r="BF80" s="6">
        <f>BF43</f>
        <v>4652</v>
      </c>
      <c r="BG80" s="6">
        <f t="shared" si="229"/>
        <v>8374.1444999999985</v>
      </c>
      <c r="BH80" s="6">
        <f t="shared" si="229"/>
        <v>9658</v>
      </c>
      <c r="BI80" s="6">
        <f t="shared" si="229"/>
        <v>11583</v>
      </c>
      <c r="BJ80" s="6">
        <f t="shared" si="229"/>
        <v>13288.690000000002</v>
      </c>
      <c r="BK80" s="6">
        <f t="shared" ref="BK80:BO80" si="230">BK43</f>
        <v>12369</v>
      </c>
      <c r="BL80" s="6">
        <f t="shared" si="230"/>
        <v>13465</v>
      </c>
      <c r="BM80" s="6">
        <f t="shared" si="230"/>
        <v>15688</v>
      </c>
      <c r="BN80" s="6">
        <f t="shared" si="230"/>
        <v>20838</v>
      </c>
      <c r="BO80" s="6">
        <f t="shared" si="230"/>
        <v>16644</v>
      </c>
    </row>
    <row r="81" spans="2:81" x14ac:dyDescent="0.25">
      <c r="B81" t="s">
        <v>67</v>
      </c>
      <c r="AY81" s="6">
        <v>9497</v>
      </c>
      <c r="AZ81" s="6">
        <f>19892-AY81</f>
        <v>10395</v>
      </c>
      <c r="BA81" s="6">
        <f>29085-AZ81-AY81</f>
        <v>9193</v>
      </c>
      <c r="BB81" s="6">
        <v>10285</v>
      </c>
      <c r="BC81" s="6">
        <v>7465</v>
      </c>
      <c r="BD81" s="6">
        <v>6687</v>
      </c>
      <c r="BE81" s="6">
        <f>18547-BD81-BC81</f>
        <v>4395</v>
      </c>
      <c r="BF81" s="6">
        <f>23200-BE81-BD81-BC81</f>
        <v>4653</v>
      </c>
      <c r="BG81" s="6">
        <v>5709</v>
      </c>
      <c r="BH81" s="6">
        <f>13498-BG81</f>
        <v>7789</v>
      </c>
      <c r="BI81" s="6">
        <f>25081-BH81-BG81</f>
        <v>11583</v>
      </c>
      <c r="BJ81" s="3">
        <f>39098-BI81-BH81-BG81</f>
        <v>14017</v>
      </c>
      <c r="BK81" s="3">
        <v>12369</v>
      </c>
      <c r="BL81" s="3">
        <f>25834-BK81</f>
        <v>13465</v>
      </c>
      <c r="BM81" s="3">
        <f>41522-BL81-BK81</f>
        <v>15688</v>
      </c>
      <c r="BN81" s="3">
        <f>62360-BM81-BL81-BK81</f>
        <v>20838</v>
      </c>
      <c r="BO81" s="3">
        <v>16644</v>
      </c>
    </row>
    <row r="82" spans="2:81" x14ac:dyDescent="0.25">
      <c r="B82" t="s">
        <v>69</v>
      </c>
      <c r="AY82" s="6">
        <v>1972</v>
      </c>
      <c r="AZ82" s="6">
        <f>3958-AY82</f>
        <v>1986</v>
      </c>
      <c r="BA82" s="6">
        <f>5953-AZ82-AY82</f>
        <v>1995</v>
      </c>
      <c r="BB82" s="6">
        <v>2014</v>
      </c>
      <c r="BC82" s="6">
        <v>2156</v>
      </c>
      <c r="BD82" s="6">
        <v>1979</v>
      </c>
      <c r="BE82" s="6">
        <f>6310-BD82-BC82</f>
        <v>2175</v>
      </c>
      <c r="BF82" s="6">
        <f>8686-BE82-BD82-BC82</f>
        <v>2376</v>
      </c>
      <c r="BG82" s="6">
        <v>2524</v>
      </c>
      <c r="BH82" s="6">
        <f>5147-BG82</f>
        <v>2623</v>
      </c>
      <c r="BI82" s="6">
        <f>8006-BH82-BG82</f>
        <v>2859</v>
      </c>
      <c r="BJ82" s="3">
        <f>11178-BI82-BH82-BG82</f>
        <v>3172</v>
      </c>
      <c r="BK82" s="3">
        <v>3374</v>
      </c>
      <c r="BL82" s="3">
        <f>7011-BK82</f>
        <v>3637</v>
      </c>
      <c r="BM82" s="3">
        <f>11038-BL82-BK82</f>
        <v>4027</v>
      </c>
      <c r="BN82" s="3">
        <f>15498-BM82-BL82-BK82</f>
        <v>4460</v>
      </c>
      <c r="BO82" s="3">
        <v>3900</v>
      </c>
    </row>
    <row r="83" spans="2:81" x14ac:dyDescent="0.25">
      <c r="B83" t="s">
        <v>70</v>
      </c>
      <c r="AY83" s="6">
        <v>1830</v>
      </c>
      <c r="AZ83" s="6">
        <f>4379-AY83</f>
        <v>2549</v>
      </c>
      <c r="BA83" s="6">
        <f>6757-AZ83-AY83</f>
        <v>2378</v>
      </c>
      <c r="BB83" s="6">
        <v>2406</v>
      </c>
      <c r="BC83" s="6">
        <v>2498</v>
      </c>
      <c r="BD83" s="6">
        <v>3351</v>
      </c>
      <c r="BE83" s="6">
        <f>8984-BD83-BC83</f>
        <v>3135</v>
      </c>
      <c r="BF83" s="6">
        <f>11992-BE83-BD83-BC83</f>
        <v>3008</v>
      </c>
      <c r="BG83" s="6">
        <v>3051</v>
      </c>
      <c r="BH83" s="6">
        <f>7111-BG83</f>
        <v>4060</v>
      </c>
      <c r="BI83" s="6">
        <f>10603-BH83-BG83</f>
        <v>3492</v>
      </c>
      <c r="BJ83" s="3">
        <f>14027-BI83-BH83-BG83</f>
        <v>3424</v>
      </c>
      <c r="BK83" s="3">
        <v>3562</v>
      </c>
      <c r="BL83" s="3">
        <f>8178-BK83</f>
        <v>4616</v>
      </c>
      <c r="BM83" s="3">
        <f>12428-BL83-BK83</f>
        <v>4250</v>
      </c>
      <c r="BN83" s="3">
        <f>16690-BM83-BL83-BK83</f>
        <v>4262</v>
      </c>
      <c r="BO83" s="3">
        <v>4147</v>
      </c>
    </row>
    <row r="84" spans="2:81" x14ac:dyDescent="0.25">
      <c r="B84" t="s">
        <v>71</v>
      </c>
      <c r="AY84" s="6">
        <v>418</v>
      </c>
      <c r="AZ84" s="6">
        <f>647-AY84</f>
        <v>229</v>
      </c>
      <c r="BA84" s="6">
        <f>-139-AZ84-AY84</f>
        <v>-786</v>
      </c>
      <c r="BB84" s="6">
        <v>748</v>
      </c>
      <c r="BC84" s="6">
        <v>-563</v>
      </c>
      <c r="BD84" s="6">
        <v>-453</v>
      </c>
      <c r="BE84" s="6">
        <f>-2113-BD84-BC84</f>
        <v>-1097</v>
      </c>
      <c r="BF84" s="6">
        <f>-3286-BE84-BD84-BC84</f>
        <v>-1173</v>
      </c>
      <c r="BG84" s="6">
        <v>-620</v>
      </c>
      <c r="BH84" s="6">
        <f>-1757-BG84</f>
        <v>-1137</v>
      </c>
      <c r="BI84" s="6">
        <f>1292-BH84-BG84</f>
        <v>3049</v>
      </c>
      <c r="BJ84" s="3">
        <f>131-BI84-BH84-BG84</f>
        <v>-1161</v>
      </c>
      <c r="BK84" s="3">
        <v>-456</v>
      </c>
      <c r="BL84" s="3">
        <f>-2098-BK84</f>
        <v>-1642</v>
      </c>
      <c r="BM84" s="3">
        <f>-3406-BL84-BK84</f>
        <v>-1308</v>
      </c>
      <c r="BN84" s="3">
        <f>-4738-BM84-BL84-BK84</f>
        <v>-1332</v>
      </c>
      <c r="BO84" s="3">
        <v>-993</v>
      </c>
    </row>
    <row r="85" spans="2:81" x14ac:dyDescent="0.25">
      <c r="B85" t="s">
        <v>55</v>
      </c>
      <c r="AY85" s="6">
        <v>-66</v>
      </c>
      <c r="AZ85" s="6">
        <f>-88-AY85</f>
        <v>-22</v>
      </c>
      <c r="BA85" s="6">
        <f>-161-AZ85-AY85</f>
        <v>-73</v>
      </c>
      <c r="BB85" s="6">
        <v>34</v>
      </c>
      <c r="BC85" s="6">
        <v>-221</v>
      </c>
      <c r="BD85" s="6">
        <v>189</v>
      </c>
      <c r="BE85" s="6">
        <f>413-BD85-BC85+71</f>
        <v>516</v>
      </c>
      <c r="BF85" s="6">
        <f>2218+1341+463+178-BE85-BD85-BC85</f>
        <v>3716</v>
      </c>
      <c r="BG85" s="6">
        <f>770-7</f>
        <v>763</v>
      </c>
      <c r="BH85" s="6">
        <f>1002-BG85+204</f>
        <v>443</v>
      </c>
      <c r="BI85" s="6">
        <f>1342+278-BH85-BG85</f>
        <v>414</v>
      </c>
      <c r="BJ85" s="3">
        <f>2432-224+635-BI85-BH85-BG85</f>
        <v>1223</v>
      </c>
      <c r="BK85" s="3">
        <f>240-66</f>
        <v>174</v>
      </c>
      <c r="BL85" s="3">
        <f>280-71-BK85</f>
        <v>35</v>
      </c>
      <c r="BM85" s="3">
        <f>288-82-BL85-BK85</f>
        <v>-3</v>
      </c>
      <c r="BN85" s="3">
        <f>383+87-BM85-BL85-BK85</f>
        <v>264</v>
      </c>
      <c r="BO85" s="3">
        <v>-231</v>
      </c>
    </row>
    <row r="86" spans="2:81" x14ac:dyDescent="0.25">
      <c r="B86" t="s">
        <v>72</v>
      </c>
      <c r="AY86" s="6">
        <f>849-461-10-250-72-1681+6+210</f>
        <v>-1409</v>
      </c>
      <c r="AZ86" s="6">
        <f>-517-2313-195-134-133-200+9+184-AY86</f>
        <v>-1890</v>
      </c>
      <c r="BA86" s="6">
        <f>-1072-2566-184+560-163+895+87+527-AZ86-AY86</f>
        <v>1383</v>
      </c>
      <c r="BB86" s="6">
        <f>-2038+817-165+876+151+2462+100+414</f>
        <v>2617</v>
      </c>
      <c r="BC86" s="6">
        <f>2557+573-108-882-105+763-52-5</f>
        <v>2741</v>
      </c>
      <c r="BD86" s="6">
        <f>-522-435-25+237+73+1180+24-88</f>
        <v>444</v>
      </c>
      <c r="BE86" s="6">
        <f>1930-693-160-666-12+2942-35+446-BD86-BC86</f>
        <v>567</v>
      </c>
      <c r="BF86" s="6">
        <f>231+162-106+210+90+4210+886-BE86-BD86-BC86</f>
        <v>1931</v>
      </c>
      <c r="BG86" s="6">
        <f>2546+821+30-1104-240+334+184</f>
        <v>2571</v>
      </c>
      <c r="BH86" s="6">
        <f>1122+767+67-1155-356+5624+33-BG86</f>
        <v>3531</v>
      </c>
      <c r="BI86" s="6">
        <f>444-141+31-543-347+5702-39-BH86-BG86</f>
        <v>-995</v>
      </c>
      <c r="BJ86" s="3">
        <f>-2399+559-80+51-271+5352+624-BI86-BH86-BG86</f>
        <v>-1271</v>
      </c>
      <c r="BK86" s="3">
        <f>2520+100-94-1112-1274+83</f>
        <v>223</v>
      </c>
      <c r="BL86" s="3">
        <f>1350+16-41-862-1771+790-BK86</f>
        <v>-741</v>
      </c>
      <c r="BM86" s="3">
        <f>1493-168-70-195-1199+1691-BL86-BK86</f>
        <v>2070</v>
      </c>
      <c r="BN86" s="3">
        <f>-1485-698-270+373+323+2805-BM86-BL86-BK86</f>
        <v>-504</v>
      </c>
      <c r="BO86" s="3">
        <f>2804+360-52-1034-2231+712</f>
        <v>559</v>
      </c>
    </row>
    <row r="87" spans="2:81" x14ac:dyDescent="0.25">
      <c r="B87" t="s">
        <v>68</v>
      </c>
      <c r="AY87" s="6">
        <f t="shared" ref="AY87:BH87" si="231">SUM(AY81:AY86)</f>
        <v>12242</v>
      </c>
      <c r="AZ87" s="6">
        <f t="shared" si="231"/>
        <v>13247</v>
      </c>
      <c r="BA87" s="6">
        <f t="shared" si="231"/>
        <v>14090</v>
      </c>
      <c r="BB87" s="6">
        <f t="shared" si="231"/>
        <v>18104</v>
      </c>
      <c r="BC87" s="6">
        <f t="shared" si="231"/>
        <v>14076</v>
      </c>
      <c r="BD87" s="6">
        <f t="shared" si="231"/>
        <v>12197</v>
      </c>
      <c r="BE87" s="6">
        <f t="shared" si="231"/>
        <v>9691</v>
      </c>
      <c r="BF87" s="6">
        <f t="shared" si="231"/>
        <v>14511</v>
      </c>
      <c r="BG87" s="6">
        <f t="shared" si="231"/>
        <v>13998</v>
      </c>
      <c r="BH87" s="6">
        <f t="shared" si="231"/>
        <v>17309</v>
      </c>
      <c r="BI87" s="6">
        <f t="shared" ref="BI87:BO87" si="232">SUM(BI81:BI86)</f>
        <v>20402</v>
      </c>
      <c r="BJ87" s="6">
        <f t="shared" si="232"/>
        <v>19404</v>
      </c>
      <c r="BK87" s="3">
        <f t="shared" si="232"/>
        <v>19246</v>
      </c>
      <c r="BL87" s="3">
        <f t="shared" si="232"/>
        <v>19370</v>
      </c>
      <c r="BM87" s="3">
        <f t="shared" si="232"/>
        <v>24724</v>
      </c>
      <c r="BN87" s="3">
        <f t="shared" si="232"/>
        <v>27988</v>
      </c>
      <c r="BO87" s="3">
        <f t="shared" si="232"/>
        <v>24026</v>
      </c>
      <c r="CA87" s="3">
        <v>698</v>
      </c>
      <c r="CB87" s="3">
        <v>1549</v>
      </c>
      <c r="CC87" s="3">
        <v>1612</v>
      </c>
    </row>
    <row r="88" spans="2:81" x14ac:dyDescent="0.25">
      <c r="BC88" s="6"/>
      <c r="BD88" s="6"/>
    </row>
    <row r="89" spans="2:81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-4272</v>
      </c>
      <c r="AZ89" s="6">
        <f>-8884-AY89</f>
        <v>-4612</v>
      </c>
      <c r="BA89" s="6">
        <f>-13198-AZ89-AY89</f>
        <v>-4314</v>
      </c>
      <c r="BB89" s="6">
        <v>-5370</v>
      </c>
      <c r="BC89" s="6">
        <f>-5441+126</f>
        <v>-5315</v>
      </c>
      <c r="BD89" s="6">
        <f>-7572+44</f>
        <v>-7528</v>
      </c>
      <c r="BE89" s="6">
        <f>-22388-BD89-BC89+190</f>
        <v>-9355</v>
      </c>
      <c r="BF89" s="6">
        <f>-31431+245-BE89-BD89-BC89</f>
        <v>-8988</v>
      </c>
      <c r="BG89" s="6">
        <f>-6842+19</f>
        <v>-6823</v>
      </c>
      <c r="BH89" s="6">
        <f>-13058-BG89+101</f>
        <v>-6134</v>
      </c>
      <c r="BI89" s="6">
        <f>-19601+148-BH89-BG89</f>
        <v>-6496</v>
      </c>
      <c r="BJ89" s="3">
        <f>-27266-BI89-BH89-BG89+221</f>
        <v>-7592</v>
      </c>
      <c r="BK89" s="3">
        <v>-6400</v>
      </c>
      <c r="BL89" s="3">
        <f>-14573-BK89</f>
        <v>-8173</v>
      </c>
      <c r="BM89" s="3">
        <f>-22831-BL89-BK89</f>
        <v>-8258</v>
      </c>
      <c r="BN89" s="3">
        <f>-37256-BM89-BL89-BK89</f>
        <v>-14425</v>
      </c>
      <c r="BO89" s="3">
        <v>-12941</v>
      </c>
    </row>
    <row r="90" spans="2:81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f>-6231+1650+3981-2</f>
        <v>-602</v>
      </c>
      <c r="AZ90" s="6">
        <f>-16528+6337+6327-AY90-62</f>
        <v>-3324</v>
      </c>
      <c r="BA90" s="6">
        <f>-24314+15331+9318-46-160-AZ90-AY90</f>
        <v>4055</v>
      </c>
      <c r="BB90" s="6">
        <f>-6093+16340+1598-2-123</f>
        <v>11720</v>
      </c>
      <c r="BC90" s="6">
        <f>-4068+5065+402-10</f>
        <v>1389</v>
      </c>
      <c r="BD90" s="6">
        <f>-2220+2648+511-7</f>
        <v>932</v>
      </c>
      <c r="BE90" s="6">
        <f>-8885+9333+1562-BD90-BC90</f>
        <v>-311</v>
      </c>
      <c r="BF90" s="6">
        <f>-9626+11083+2075-BE90-BD90-BC90-5</f>
        <v>1517</v>
      </c>
      <c r="BG90" s="6">
        <f>-85+534-444</f>
        <v>5</v>
      </c>
      <c r="BH90" s="6">
        <f>-803+2351-BG90</f>
        <v>1543</v>
      </c>
      <c r="BI90" s="6">
        <f>-1810+3825-BH90-BG90</f>
        <v>467</v>
      </c>
      <c r="BJ90" s="3">
        <f>-2982+6184-BI90-BH90-BG90</f>
        <v>1187</v>
      </c>
      <c r="BK90" s="3">
        <f>-6887+4625-72</f>
        <v>-2334</v>
      </c>
      <c r="BL90" s="3">
        <f>-10176+7858-BK90</f>
        <v>16</v>
      </c>
      <c r="BM90" s="3">
        <f>-14644+11972-BL90-BK90</f>
        <v>-354</v>
      </c>
      <c r="BN90" s="3">
        <f>-25542+15789-BM90-BL90-BK90</f>
        <v>-7081</v>
      </c>
      <c r="BO90" s="3">
        <f>-11763+4784-90</f>
        <v>-7069</v>
      </c>
    </row>
    <row r="91" spans="2:81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</v>
      </c>
      <c r="AZ91" s="6">
        <f>-259-AY91</f>
        <v>-259</v>
      </c>
      <c r="BA91" s="6">
        <f>-330-AZ91-AY91</f>
        <v>-71</v>
      </c>
      <c r="BB91" s="6">
        <v>-521</v>
      </c>
      <c r="BC91" s="6">
        <v>-853</v>
      </c>
      <c r="BD91" s="6">
        <v>-363</v>
      </c>
      <c r="BE91" s="6">
        <f>-1250-1-BD91-BC91</f>
        <v>-35</v>
      </c>
      <c r="BF91" s="6">
        <f>-1312+1-BE91-BD91-BC91</f>
        <v>-60</v>
      </c>
      <c r="BG91" s="6">
        <v>75</v>
      </c>
      <c r="BH91" s="6">
        <f>-527-10-BG91</f>
        <v>-612</v>
      </c>
      <c r="BI91" s="6">
        <f>-565-20-BH91-BG91</f>
        <v>-48</v>
      </c>
      <c r="BJ91" s="3">
        <f>-629-23-BI91-BH91-BG91</f>
        <v>-67</v>
      </c>
      <c r="BK91" s="3">
        <v>0</v>
      </c>
      <c r="BL91" s="3">
        <f>-129-12-BK91</f>
        <v>-141</v>
      </c>
      <c r="BM91" s="3">
        <f>-261+112-BL91-BK91</f>
        <v>-8</v>
      </c>
      <c r="BN91" s="3">
        <f>-270+129-BM91-BL91-BK91</f>
        <v>8</v>
      </c>
      <c r="BO91" s="3">
        <v>0</v>
      </c>
    </row>
    <row r="92" spans="2:81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f t="shared" ref="AY92:BJ92" si="233">SUM(AY89:AY91)</f>
        <v>-4874</v>
      </c>
      <c r="AZ92" s="6">
        <f t="shared" si="233"/>
        <v>-8195</v>
      </c>
      <c r="BA92" s="6">
        <f t="shared" si="233"/>
        <v>-330</v>
      </c>
      <c r="BB92" s="6">
        <f t="shared" si="233"/>
        <v>5829</v>
      </c>
      <c r="BC92" s="6">
        <f t="shared" si="233"/>
        <v>-4779</v>
      </c>
      <c r="BD92" s="6">
        <f t="shared" si="233"/>
        <v>-6959</v>
      </c>
      <c r="BE92" s="6">
        <f t="shared" si="233"/>
        <v>-9701</v>
      </c>
      <c r="BF92" s="6">
        <f t="shared" si="233"/>
        <v>-7531</v>
      </c>
      <c r="BG92" s="6">
        <f t="shared" si="233"/>
        <v>-6743</v>
      </c>
      <c r="BH92" s="6">
        <f t="shared" si="233"/>
        <v>-5203</v>
      </c>
      <c r="BI92" s="6">
        <f t="shared" si="233"/>
        <v>-6077</v>
      </c>
      <c r="BJ92" s="6">
        <f t="shared" si="233"/>
        <v>-6472</v>
      </c>
      <c r="BK92" s="3">
        <f>SUM(BK89:BK91)</f>
        <v>-8734</v>
      </c>
      <c r="BL92" s="3">
        <f>SUM(BL89:BL91)</f>
        <v>-8298</v>
      </c>
      <c r="BM92" s="3">
        <f>SUM(BM89:BM91)</f>
        <v>-8620</v>
      </c>
      <c r="BN92" s="3">
        <f>SUM(BN89:BN91)</f>
        <v>-21498</v>
      </c>
      <c r="BO92" s="3">
        <f>SUM(BO89:BO91)</f>
        <v>-20010</v>
      </c>
    </row>
    <row r="93" spans="2:81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2:81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-1077</v>
      </c>
      <c r="AZ94" s="6">
        <f>-2432-AY94</f>
        <v>-1355</v>
      </c>
      <c r="BA94" s="6">
        <f>-4007-AZ94-AY94</f>
        <v>-1575</v>
      </c>
      <c r="BB94" s="6">
        <v>-1507</v>
      </c>
      <c r="BC94" s="6">
        <v>-925</v>
      </c>
      <c r="BD94" s="6">
        <v>-1002</v>
      </c>
      <c r="BE94" s="6">
        <f>-2938-BD94-BC94</f>
        <v>-1011</v>
      </c>
      <c r="BF94" s="6">
        <f>-3595-BE94-BD94-BC94</f>
        <v>-657</v>
      </c>
      <c r="BG94" s="6">
        <v>-1009</v>
      </c>
      <c r="BH94" s="6">
        <f>-2701-BG94</f>
        <v>-1692</v>
      </c>
      <c r="BI94" s="6">
        <f>-4789-BH94-BG94</f>
        <v>-2088</v>
      </c>
      <c r="BJ94" s="3">
        <f>-7012-BI94-BH94-BG94</f>
        <v>-2223</v>
      </c>
      <c r="BK94" s="3">
        <v>-3162</v>
      </c>
      <c r="BL94" s="3">
        <f>-6370-BK94</f>
        <v>-3208</v>
      </c>
      <c r="BM94" s="3">
        <f>-9913-BL94-BK94</f>
        <v>-3543</v>
      </c>
      <c r="BN94" s="3">
        <f>-13770-BM94-BL94-BK94</f>
        <v>-3857</v>
      </c>
      <c r="BO94" s="3">
        <v>-4883</v>
      </c>
    </row>
    <row r="95" spans="2:81" s="3" customFormat="1" x14ac:dyDescent="0.25">
      <c r="B95" s="3" t="s">
        <v>78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-3939</v>
      </c>
      <c r="AZ95" s="6">
        <f>-11018-AY95</f>
        <v>-7079</v>
      </c>
      <c r="BA95" s="6">
        <f>-24476-AZ95-AY95</f>
        <v>-13458</v>
      </c>
      <c r="BB95" s="6">
        <v>-20063</v>
      </c>
      <c r="BC95" s="6">
        <v>-9506</v>
      </c>
      <c r="BD95" s="6">
        <v>-5233</v>
      </c>
      <c r="BE95" s="6">
        <f>-21093-BD95-BC95</f>
        <v>-6354</v>
      </c>
      <c r="BF95" s="6">
        <f>-27956-BE95-BD95-BC95</f>
        <v>-6863</v>
      </c>
      <c r="BG95" s="6">
        <v>-9365</v>
      </c>
      <c r="BH95" s="6">
        <f>-10263-BG95</f>
        <v>-898</v>
      </c>
      <c r="BI95" s="6">
        <f>-13832-BH95-BG95</f>
        <v>-3569</v>
      </c>
      <c r="BJ95" s="3">
        <f>-19774-BI95-BH95-BG95</f>
        <v>-5942</v>
      </c>
      <c r="BK95" s="3">
        <v>-15008</v>
      </c>
      <c r="BL95" s="3">
        <f>-21307-BK95</f>
        <v>-6299</v>
      </c>
      <c r="BM95" s="3">
        <f>-30125-BL95-BK95</f>
        <v>-8818</v>
      </c>
      <c r="BN95" s="3">
        <f>-30125-BM95-BL95-BK95</f>
        <v>0</v>
      </c>
      <c r="BO95" s="3">
        <v>-12754</v>
      </c>
    </row>
    <row r="96" spans="2:81" s="3" customFormat="1" x14ac:dyDescent="0.25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>
        <v>0</v>
      </c>
      <c r="BH96" s="6">
        <v>0</v>
      </c>
      <c r="BI96" s="6">
        <v>0</v>
      </c>
      <c r="BJ96" s="3">
        <v>0</v>
      </c>
      <c r="BK96" s="3">
        <v>-1273</v>
      </c>
      <c r="BL96" s="3">
        <f>-2539-BK96</f>
        <v>-1266</v>
      </c>
      <c r="BM96" s="3">
        <f>-3802-BL96-BK96</f>
        <v>-1263</v>
      </c>
      <c r="BN96" s="3">
        <f>-5072-BM96-BL96-BK96</f>
        <v>-1270</v>
      </c>
      <c r="BO96" s="3">
        <v>-1329</v>
      </c>
    </row>
    <row r="97" spans="2:70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>
        <v>0</v>
      </c>
      <c r="BD97" s="6">
        <v>0</v>
      </c>
      <c r="BE97" s="6">
        <f>9921-BD97-BC97</f>
        <v>9921</v>
      </c>
      <c r="BF97" s="6">
        <v>0</v>
      </c>
      <c r="BG97" s="6">
        <v>0</v>
      </c>
      <c r="BH97" s="6">
        <v>8455</v>
      </c>
      <c r="BI97" s="6">
        <v>0</v>
      </c>
      <c r="BJ97" s="3">
        <v>0</v>
      </c>
      <c r="BK97" s="3">
        <v>0</v>
      </c>
      <c r="BL97" s="3">
        <v>0</v>
      </c>
      <c r="BM97" s="3">
        <v>10432</v>
      </c>
      <c r="BN97" s="3">
        <v>0</v>
      </c>
      <c r="BO97" s="3">
        <v>0</v>
      </c>
    </row>
    <row r="98" spans="2:70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f>-151+32-50</f>
        <v>-169</v>
      </c>
      <c r="AZ98" s="6">
        <f>-274-AY98+3-13</f>
        <v>-115</v>
      </c>
      <c r="BA98" s="6">
        <f>-505+15-13-AZ98-AY98</f>
        <v>-219</v>
      </c>
      <c r="BB98" s="6">
        <v>-172</v>
      </c>
      <c r="BC98" s="6">
        <f>-233+20-16</f>
        <v>-229</v>
      </c>
      <c r="BD98" s="6">
        <f>-219-79-30</f>
        <v>-328</v>
      </c>
      <c r="BE98" s="6">
        <f>-615-250-101-BD98-BC98</f>
        <v>-409</v>
      </c>
      <c r="BF98" s="6">
        <f>-850+344-BE98-BD98-BC98</f>
        <v>460</v>
      </c>
      <c r="BG98" s="6">
        <f>-264+122</f>
        <v>-142</v>
      </c>
      <c r="BH98" s="6">
        <f>-484-231-BG98</f>
        <v>-573</v>
      </c>
      <c r="BI98" s="6">
        <f>-751-182-BH98-BG98</f>
        <v>-218</v>
      </c>
      <c r="BJ98" s="3">
        <f>-1058-111-BI98-BH98-BG98</f>
        <v>-236</v>
      </c>
      <c r="BK98" s="3">
        <f>-315-9</f>
        <v>-324</v>
      </c>
      <c r="BL98" s="3">
        <f>-614-115-BK98</f>
        <v>-405</v>
      </c>
      <c r="BM98" s="3">
        <f>-1558-350-BL98-BK98</f>
        <v>-1179</v>
      </c>
      <c r="BN98" s="3">
        <f>-1969-277-BM98-BL98-BK98</f>
        <v>-338</v>
      </c>
      <c r="BO98" s="3">
        <f>-751+222</f>
        <v>-529</v>
      </c>
    </row>
    <row r="99" spans="2:70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f t="shared" ref="AY99:BA99" si="234">SUM(AY94:AY98)</f>
        <v>-5185</v>
      </c>
      <c r="AZ99" s="6">
        <f t="shared" si="234"/>
        <v>-8549</v>
      </c>
      <c r="BA99" s="6">
        <f t="shared" si="234"/>
        <v>-15252</v>
      </c>
      <c r="BB99" s="6">
        <f t="shared" ref="BB99" si="235">SUM(BB94:BB98)</f>
        <v>-21742</v>
      </c>
      <c r="BC99" s="6">
        <f t="shared" ref="BC99:BO99" si="236">SUM(BC94:BC98)</f>
        <v>-10660</v>
      </c>
      <c r="BD99" s="6">
        <f t="shared" si="236"/>
        <v>-6563</v>
      </c>
      <c r="BE99" s="6">
        <f t="shared" si="236"/>
        <v>2147</v>
      </c>
      <c r="BF99" s="6">
        <f t="shared" si="236"/>
        <v>-7060</v>
      </c>
      <c r="BG99" s="6">
        <f t="shared" si="236"/>
        <v>-10516</v>
      </c>
      <c r="BH99" s="6">
        <f t="shared" si="236"/>
        <v>5292</v>
      </c>
      <c r="BI99" s="6">
        <f t="shared" si="236"/>
        <v>-5875</v>
      </c>
      <c r="BJ99" s="6">
        <f t="shared" si="236"/>
        <v>-8401</v>
      </c>
      <c r="BK99" s="3">
        <f t="shared" si="236"/>
        <v>-19767</v>
      </c>
      <c r="BL99" s="3">
        <f t="shared" si="236"/>
        <v>-11178</v>
      </c>
      <c r="BM99" s="3">
        <f t="shared" si="236"/>
        <v>-4371</v>
      </c>
      <c r="BN99" s="3">
        <f t="shared" si="236"/>
        <v>-5465</v>
      </c>
      <c r="BO99" s="3">
        <f t="shared" si="236"/>
        <v>-19495</v>
      </c>
    </row>
    <row r="100" spans="2:70" x14ac:dyDescent="0.25">
      <c r="B100" t="s">
        <v>80</v>
      </c>
      <c r="AY100" s="1">
        <v>-246</v>
      </c>
      <c r="AZ100" s="1">
        <f>-129-AY100</f>
        <v>117</v>
      </c>
      <c r="BA100" s="1">
        <f>-344-AZ100-AY100</f>
        <v>-215</v>
      </c>
      <c r="BB100" s="1">
        <v>-130</v>
      </c>
      <c r="BC100" s="6">
        <v>-149</v>
      </c>
      <c r="BD100" s="1">
        <v>-550</v>
      </c>
      <c r="BE100" s="6">
        <f>-1063-BD100-BC100</f>
        <v>-364</v>
      </c>
      <c r="BF100" s="6">
        <f>-638-BE100-BD100-BC100</f>
        <v>425</v>
      </c>
      <c r="BG100" s="1">
        <v>85</v>
      </c>
      <c r="BH100" s="1">
        <f>71-BG100</f>
        <v>-14</v>
      </c>
      <c r="BI100" s="1">
        <f>-283-BH100-BG100</f>
        <v>-354</v>
      </c>
      <c r="BJ100">
        <f>113-BI100-BH100-BG100</f>
        <v>396</v>
      </c>
      <c r="BK100" s="3">
        <v>-288</v>
      </c>
      <c r="BL100" s="3">
        <f>-440-BK100</f>
        <v>-152</v>
      </c>
      <c r="BM100" s="3">
        <f>-72-BL100-BK100</f>
        <v>368</v>
      </c>
      <c r="BN100" s="3">
        <f>-786-BM100-BL100-BK100</f>
        <v>-714</v>
      </c>
      <c r="BO100" s="3">
        <v>112</v>
      </c>
    </row>
    <row r="101" spans="2:70" x14ac:dyDescent="0.25">
      <c r="B101" t="s">
        <v>81</v>
      </c>
      <c r="AY101" s="6">
        <f t="shared" ref="AY101:BJ101" si="237">+AY100+AY99+AY92+AY87</f>
        <v>1937</v>
      </c>
      <c r="AZ101" s="6">
        <f t="shared" si="237"/>
        <v>-3380</v>
      </c>
      <c r="BA101" s="6">
        <f t="shared" si="237"/>
        <v>-1707</v>
      </c>
      <c r="BB101" s="6">
        <f t="shared" si="237"/>
        <v>2061</v>
      </c>
      <c r="BC101" s="6">
        <f t="shared" si="237"/>
        <v>-1512</v>
      </c>
      <c r="BD101" s="6">
        <f t="shared" si="237"/>
        <v>-1875</v>
      </c>
      <c r="BE101" s="6">
        <f t="shared" si="237"/>
        <v>1773</v>
      </c>
      <c r="BF101" s="6">
        <f>+BF100+BF99+BF92+BF87</f>
        <v>345</v>
      </c>
      <c r="BG101" s="6">
        <f t="shared" si="237"/>
        <v>-3176</v>
      </c>
      <c r="BH101" s="6">
        <f t="shared" si="237"/>
        <v>17384</v>
      </c>
      <c r="BI101" s="6">
        <f t="shared" si="237"/>
        <v>8096</v>
      </c>
      <c r="BJ101" s="6">
        <f t="shared" si="237"/>
        <v>4927</v>
      </c>
      <c r="BK101" s="3">
        <f>+BK100+BK99+BK92+BK87</f>
        <v>-9543</v>
      </c>
      <c r="BL101" s="3">
        <f>+BL100+BL99+BL92+BL87</f>
        <v>-258</v>
      </c>
      <c r="BM101" s="3">
        <f>+BM100+BM99+BM92+BM87</f>
        <v>12101</v>
      </c>
      <c r="BN101" s="3">
        <f>+BN100+BN99+BN92+BN87</f>
        <v>311</v>
      </c>
      <c r="BO101" s="3">
        <f>+BO100+BO99+BO92+BO87</f>
        <v>-15367</v>
      </c>
    </row>
    <row r="102" spans="2:70" x14ac:dyDescent="0.25">
      <c r="BC102" s="6"/>
    </row>
    <row r="103" spans="2:70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43030</v>
      </c>
      <c r="AT103" s="6">
        <v>44942</v>
      </c>
      <c r="AU103" s="6"/>
      <c r="AV103" s="6"/>
      <c r="AW103" s="6"/>
      <c r="AX103" s="6"/>
      <c r="AY103" s="6"/>
      <c r="AZ103" s="6"/>
      <c r="BA103" s="6"/>
      <c r="BB103" s="6">
        <v>71970</v>
      </c>
      <c r="BC103" s="6">
        <v>77805</v>
      </c>
      <c r="BD103" s="6">
        <v>83553</v>
      </c>
      <c r="BE103" s="6">
        <v>87314</v>
      </c>
      <c r="BF103" s="6">
        <v>86000</v>
      </c>
      <c r="BG103" s="6">
        <v>77114</v>
      </c>
      <c r="BH103" s="6">
        <v>71469</v>
      </c>
      <c r="BI103" s="6">
        <v>66185</v>
      </c>
      <c r="BJ103" s="3">
        <v>67317</v>
      </c>
      <c r="BK103" s="3">
        <v>69329</v>
      </c>
      <c r="BL103" s="3">
        <v>70799</v>
      </c>
      <c r="BM103" s="3">
        <v>72404</v>
      </c>
      <c r="BN103" s="3">
        <v>74067</v>
      </c>
      <c r="BO103" s="3">
        <v>76834</v>
      </c>
    </row>
    <row r="104" spans="2:70" x14ac:dyDescent="0.25">
      <c r="B104" t="s">
        <v>199</v>
      </c>
      <c r="BC104" s="6">
        <f t="shared" ref="BC104:BO104" si="238">+BC103-BB103</f>
        <v>5835</v>
      </c>
      <c r="BD104" s="6">
        <f t="shared" si="238"/>
        <v>5748</v>
      </c>
      <c r="BE104" s="6">
        <f t="shared" si="238"/>
        <v>3761</v>
      </c>
      <c r="BF104" s="6">
        <f t="shared" si="238"/>
        <v>-1314</v>
      </c>
      <c r="BG104" s="6">
        <f t="shared" si="238"/>
        <v>-8886</v>
      </c>
      <c r="BH104" s="6">
        <f t="shared" si="238"/>
        <v>-5645</v>
      </c>
      <c r="BI104" s="6">
        <f t="shared" si="238"/>
        <v>-5284</v>
      </c>
      <c r="BJ104" s="6">
        <f t="shared" si="238"/>
        <v>1132</v>
      </c>
      <c r="BK104" s="6">
        <f t="shared" si="238"/>
        <v>2012</v>
      </c>
      <c r="BL104" s="6">
        <f t="shared" si="238"/>
        <v>1470</v>
      </c>
      <c r="BM104" s="6">
        <f t="shared" si="238"/>
        <v>1605</v>
      </c>
      <c r="BN104" s="6">
        <f t="shared" si="238"/>
        <v>1663</v>
      </c>
      <c r="BO104" s="6">
        <f t="shared" si="238"/>
        <v>2767</v>
      </c>
    </row>
    <row r="105" spans="2:70" x14ac:dyDescent="0.25">
      <c r="BC105" s="6"/>
      <c r="BD105" s="6"/>
    </row>
    <row r="106" spans="2:70" x14ac:dyDescent="0.25">
      <c r="B106" t="s">
        <v>126</v>
      </c>
      <c r="AY106" s="6">
        <f>+AY87+AY89</f>
        <v>7970</v>
      </c>
      <c r="AZ106" s="6">
        <f t="shared" ref="AZ106:BC106" si="239">+AZ87+AZ89</f>
        <v>8635</v>
      </c>
      <c r="BA106" s="6">
        <f t="shared" si="239"/>
        <v>9776</v>
      </c>
      <c r="BB106" s="6">
        <f t="shared" si="239"/>
        <v>12734</v>
      </c>
      <c r="BC106" s="6">
        <f t="shared" si="239"/>
        <v>8761</v>
      </c>
      <c r="BD106" s="6">
        <f t="shared" ref="BD106:BJ106" si="240">+BD87+BD89</f>
        <v>4669</v>
      </c>
      <c r="BE106" s="6">
        <f t="shared" si="240"/>
        <v>336</v>
      </c>
      <c r="BF106" s="6">
        <f t="shared" si="240"/>
        <v>5523</v>
      </c>
      <c r="BG106" s="6">
        <f t="shared" si="240"/>
        <v>7175</v>
      </c>
      <c r="BH106" s="6">
        <f t="shared" si="240"/>
        <v>11175</v>
      </c>
      <c r="BI106" s="6">
        <f t="shared" si="240"/>
        <v>13906</v>
      </c>
      <c r="BJ106" s="6">
        <f t="shared" si="240"/>
        <v>11812</v>
      </c>
      <c r="BK106" s="3">
        <f t="shared" ref="BK106" si="241">+BK87+BK89</f>
        <v>12846</v>
      </c>
      <c r="BL106" s="3">
        <f>+BL87+BL89</f>
        <v>11197</v>
      </c>
      <c r="BM106" s="3">
        <f>+BM87+BM89</f>
        <v>16466</v>
      </c>
      <c r="BN106" s="3">
        <f>+BN87+BN89</f>
        <v>13563</v>
      </c>
      <c r="BO106" s="3">
        <f>+BO87+BO89</f>
        <v>11085</v>
      </c>
    </row>
    <row r="107" spans="2:70" x14ac:dyDescent="0.25">
      <c r="B107" t="s">
        <v>127</v>
      </c>
      <c r="BB107" s="6">
        <f t="shared" ref="BB107:BC107" si="242">SUM(AY106:BB106)</f>
        <v>39115</v>
      </c>
      <c r="BC107" s="6">
        <f t="shared" si="242"/>
        <v>39906</v>
      </c>
      <c r="BD107" s="6">
        <f>SUM(BA106:BD106)</f>
        <v>35940</v>
      </c>
      <c r="BE107" s="6">
        <f>SUM(BB106:BE106)</f>
        <v>26500</v>
      </c>
      <c r="BF107" s="6">
        <f>SUM(BC106:BF106)</f>
        <v>19289</v>
      </c>
      <c r="BG107" s="6">
        <f t="shared" ref="BG107:BK107" si="243">SUM(BD106:BG106)</f>
        <v>17703</v>
      </c>
      <c r="BH107" s="6">
        <f t="shared" si="243"/>
        <v>24209</v>
      </c>
      <c r="BI107" s="6">
        <f t="shared" si="243"/>
        <v>37779</v>
      </c>
      <c r="BJ107" s="6">
        <f t="shared" si="243"/>
        <v>44068</v>
      </c>
      <c r="BK107" s="6">
        <f t="shared" si="243"/>
        <v>49739</v>
      </c>
      <c r="BL107" s="3">
        <f t="shared" ref="BL107:BM107" si="244">SUM(BI106:BL106)</f>
        <v>49761</v>
      </c>
      <c r="BM107" s="3">
        <f t="shared" si="244"/>
        <v>52321</v>
      </c>
      <c r="BN107" s="3">
        <f>SUM(BK106:BN106)</f>
        <v>54072</v>
      </c>
      <c r="BO107" s="3">
        <f>SUM(BL106:BO106)</f>
        <v>52311</v>
      </c>
    </row>
    <row r="108" spans="2:70" x14ac:dyDescent="0.25"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3"/>
      <c r="BM108" s="3"/>
      <c r="BN108" s="19">
        <f>+BN107/BB107-1</f>
        <v>0.3823852741914866</v>
      </c>
      <c r="BO108" s="19">
        <f>+BO107/BC107-1</f>
        <v>0.3108555104495565</v>
      </c>
    </row>
    <row r="109" spans="2:70" x14ac:dyDescent="0.25"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3"/>
      <c r="BM109" s="3"/>
      <c r="BN109" s="19"/>
      <c r="BO109" s="19"/>
    </row>
    <row r="110" spans="2:70" x14ac:dyDescent="0.25">
      <c r="B110" t="s">
        <v>257</v>
      </c>
      <c r="AY110" s="3">
        <f>SUM(AV32:AY32)</f>
        <v>94400</v>
      </c>
      <c r="AZ110" s="3">
        <f t="shared" ref="AY110:BM110" si="245">SUM(AW32:AZ32)</f>
        <v>104790</v>
      </c>
      <c r="BA110" s="3">
        <f t="shared" si="245"/>
        <v>112330</v>
      </c>
      <c r="BB110" s="3">
        <f t="shared" si="245"/>
        <v>117929</v>
      </c>
      <c r="BC110" s="3">
        <f t="shared" si="245"/>
        <v>119666</v>
      </c>
      <c r="BD110" s="3">
        <f t="shared" si="245"/>
        <v>119411</v>
      </c>
      <c r="BE110" s="3">
        <f t="shared" si="245"/>
        <v>118115</v>
      </c>
      <c r="BF110" s="3">
        <f t="shared" si="245"/>
        <v>116609</v>
      </c>
      <c r="BG110" s="3">
        <f t="shared" si="245"/>
        <v>117346</v>
      </c>
      <c r="BH110" s="3">
        <f t="shared" si="245"/>
        <v>120523</v>
      </c>
      <c r="BI110" s="3">
        <f t="shared" si="245"/>
        <v>126955</v>
      </c>
      <c r="BJ110" s="3">
        <f t="shared" si="245"/>
        <v>134901</v>
      </c>
      <c r="BK110" s="3">
        <f t="shared" si="245"/>
        <v>142711</v>
      </c>
      <c r="BL110" s="3">
        <f t="shared" si="245"/>
        <v>149783</v>
      </c>
      <c r="BM110" s="3">
        <f t="shared" si="245"/>
        <v>156226</v>
      </c>
      <c r="BN110" s="3">
        <f>SUM(BK32:BN32)</f>
        <v>164500</v>
      </c>
      <c r="BO110" s="3">
        <f>SUM(BL32:BO32)</f>
        <v>170359</v>
      </c>
      <c r="BP110" s="3">
        <f>SUM(BM32:BP32)</f>
        <v>175047.52000000002</v>
      </c>
      <c r="BQ110" s="3">
        <f>SUM(BN32:BQ32)</f>
        <v>179918.2</v>
      </c>
      <c r="BR110" s="3">
        <f>SUM(BO32:BR32)</f>
        <v>185724.40000000002</v>
      </c>
    </row>
    <row r="111" spans="2:70" x14ac:dyDescent="0.25">
      <c r="BN111" s="19"/>
      <c r="BO111" s="19"/>
      <c r="BR111" s="19"/>
    </row>
    <row r="112" spans="2:70" s="3" customFormat="1" x14ac:dyDescent="0.25">
      <c r="B112" s="3" t="s">
        <v>194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>
        <v>-2631</v>
      </c>
      <c r="BB112" s="6"/>
      <c r="BC112" s="6"/>
      <c r="BD112" s="6"/>
      <c r="BE112" s="6">
        <v>-3672</v>
      </c>
      <c r="BF112" s="6"/>
      <c r="BG112" s="6"/>
      <c r="BH112" s="6"/>
      <c r="BI112" s="6"/>
    </row>
    <row r="113" spans="2:57" x14ac:dyDescent="0.25">
      <c r="B113" t="s">
        <v>197</v>
      </c>
      <c r="BA113" s="10"/>
      <c r="BB113" s="10">
        <f>SUM(BA30:BB30)/SUM(AW30:AX30)-1</f>
        <v>1.0013947001394699</v>
      </c>
      <c r="BC113" s="10">
        <f>SUM(BB30:BC30)/SUM(AX30:AY30)-1</f>
        <v>0.25659472422062346</v>
      </c>
      <c r="BD113" s="10">
        <f>SUM(BC30:BD30)/SUM(AY30:AZ30)-1</f>
        <v>0.36710369487485095</v>
      </c>
      <c r="BE113" s="10">
        <f>SUM(BD30:BE30)/SUM(AZ30:BA30)-1</f>
        <v>-0.14600231749710313</v>
      </c>
    </row>
    <row r="115" spans="2:57" x14ac:dyDescent="0.25">
      <c r="B115" t="s">
        <v>198</v>
      </c>
      <c r="BA115" s="6">
        <v>13054</v>
      </c>
      <c r="BB115" s="6"/>
      <c r="BC115" s="6"/>
      <c r="BD115" s="6"/>
      <c r="BE115" s="6">
        <v>9336</v>
      </c>
    </row>
    <row r="116" spans="2:57" x14ac:dyDescent="0.25">
      <c r="B116" t="s">
        <v>202</v>
      </c>
      <c r="BE116" s="10">
        <f>+BE115/BE32</f>
        <v>0.33686945226239445</v>
      </c>
    </row>
    <row r="118" spans="2:57" x14ac:dyDescent="0.25">
      <c r="B118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1640625" defaultRowHeight="12.5" x14ac:dyDescent="0.25"/>
  <cols>
    <col min="1" max="1" width="5" bestFit="1" customWidth="1"/>
    <col min="2" max="2" width="9.26953125" bestFit="1" customWidth="1"/>
    <col min="3" max="3" width="10.453125" bestFit="1" customWidth="1"/>
  </cols>
  <sheetData>
    <row r="1" spans="1:8" x14ac:dyDescent="0.25">
      <c r="A1" t="s">
        <v>7</v>
      </c>
    </row>
    <row r="2" spans="1:8" x14ac:dyDescent="0.25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5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5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5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5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5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5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5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2025-07-08T13:11:23Z</dcterms:modified>
</cp:coreProperties>
</file>