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F24209C-CA79-4E69-8010-BC48B328DDDD}" xr6:coauthVersionLast="47" xr6:coauthVersionMax="47" xr10:uidLastSave="{00000000-0000-0000-0000-000000000000}"/>
  <bookViews>
    <workbookView xWindow="39370" yWindow="2230" windowWidth="22230" windowHeight="14240" activeTab="2" xr2:uid="{7EAA9F4B-2180-43E9-BF31-83948DE28599}"/>
  </bookViews>
  <sheets>
    <sheet name="Main" sheetId="1" r:id="rId1"/>
    <sheet name="Model" sheetId="2" r:id="rId2"/>
    <sheet name="Crysvi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3" i="2" l="1"/>
  <c r="AY24" i="2"/>
  <c r="AX24" i="2"/>
  <c r="AO21" i="2"/>
  <c r="AP21" i="2" s="1"/>
  <c r="AN21" i="2"/>
  <c r="AM23" i="2"/>
  <c r="AM21" i="2"/>
  <c r="AL25" i="2"/>
  <c r="AK25" i="2"/>
  <c r="AJ25" i="2"/>
  <c r="AL24" i="2"/>
  <c r="AK24" i="2"/>
  <c r="AJ24" i="2"/>
  <c r="AL23" i="2"/>
  <c r="AK23" i="2"/>
  <c r="AJ23" i="2"/>
  <c r="AL21" i="2"/>
  <c r="AK21" i="2"/>
  <c r="AJ21" i="2"/>
  <c r="AL18" i="2"/>
  <c r="AK18" i="2"/>
  <c r="AJ18" i="2"/>
  <c r="AL17" i="2"/>
  <c r="AK17" i="2"/>
  <c r="AJ17" i="2"/>
  <c r="AL16" i="2"/>
  <c r="AK16" i="2"/>
  <c r="AJ16" i="2"/>
  <c r="AL15" i="2"/>
  <c r="AK15" i="2"/>
  <c r="AJ15" i="2"/>
  <c r="AW28" i="2"/>
  <c r="AV28" i="2"/>
  <c r="AU28" i="2"/>
  <c r="AT28" i="2"/>
  <c r="AS28" i="2"/>
  <c r="AR28" i="2"/>
  <c r="AQ28" i="2"/>
  <c r="AP28" i="2"/>
  <c r="AO28" i="2"/>
  <c r="AN28" i="2"/>
  <c r="AO26" i="2"/>
  <c r="AP26" i="2" s="1"/>
  <c r="AQ26" i="2" s="1"/>
  <c r="AR26" i="2" s="1"/>
  <c r="AS26" i="2" s="1"/>
  <c r="AT26" i="2" s="1"/>
  <c r="AU26" i="2" s="1"/>
  <c r="AV26" i="2" s="1"/>
  <c r="AW26" i="2" s="1"/>
  <c r="AN26" i="2"/>
  <c r="AJ26" i="2"/>
  <c r="AK26" i="2"/>
  <c r="AL26" i="2"/>
  <c r="AM26" i="2"/>
  <c r="AO22" i="2"/>
  <c r="AO24" i="2" s="1"/>
  <c r="AO25" i="2" s="1"/>
  <c r="AN22" i="2"/>
  <c r="AN24" i="2" s="1"/>
  <c r="AN25" i="2" s="1"/>
  <c r="AM22" i="2"/>
  <c r="AM24" i="2" s="1"/>
  <c r="AM25" i="2" s="1"/>
  <c r="AL22" i="2"/>
  <c r="AJ22" i="2"/>
  <c r="AW19" i="2"/>
  <c r="AW20" i="2" s="1"/>
  <c r="AV19" i="2"/>
  <c r="AV20" i="2" s="1"/>
  <c r="AU19" i="2"/>
  <c r="AU20" i="2" s="1"/>
  <c r="AT19" i="2"/>
  <c r="AT20" i="2" s="1"/>
  <c r="AS19" i="2"/>
  <c r="AS20" i="2" s="1"/>
  <c r="AR19" i="2"/>
  <c r="AR20" i="2" s="1"/>
  <c r="AQ19" i="2"/>
  <c r="AQ20" i="2" s="1"/>
  <c r="AP19" i="2"/>
  <c r="AP20" i="2" s="1"/>
  <c r="AO19" i="2"/>
  <c r="AO20" i="2" s="1"/>
  <c r="AN19" i="2"/>
  <c r="AN20" i="2" s="1"/>
  <c r="AL19" i="2"/>
  <c r="AL20" i="2" s="1"/>
  <c r="AK19" i="2"/>
  <c r="AJ19" i="2"/>
  <c r="AJ20" i="2" s="1"/>
  <c r="AM19" i="2"/>
  <c r="AM20" i="2" s="1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O17" i="2"/>
  <c r="AP17" i="2" s="1"/>
  <c r="AQ17" i="2" s="1"/>
  <c r="AR17" i="2" s="1"/>
  <c r="AS17" i="2" s="1"/>
  <c r="AT17" i="2" s="1"/>
  <c r="AU17" i="2" s="1"/>
  <c r="AV17" i="2" s="1"/>
  <c r="AW17" i="2" s="1"/>
  <c r="AN17" i="2"/>
  <c r="AM18" i="2"/>
  <c r="AM17" i="2"/>
  <c r="AW15" i="2"/>
  <c r="AW16" i="2" s="1"/>
  <c r="AV15" i="2"/>
  <c r="AV16" i="2" s="1"/>
  <c r="AU15" i="2"/>
  <c r="AU16" i="2" s="1"/>
  <c r="AT15" i="2"/>
  <c r="AT16" i="2" s="1"/>
  <c r="AS15" i="2"/>
  <c r="AS16" i="2" s="1"/>
  <c r="AR15" i="2"/>
  <c r="AR16" i="2" s="1"/>
  <c r="AQ15" i="2"/>
  <c r="AQ16" i="2" s="1"/>
  <c r="AP15" i="2"/>
  <c r="AP16" i="2" s="1"/>
  <c r="AO15" i="2"/>
  <c r="AO16" i="2" s="1"/>
  <c r="AN15" i="2"/>
  <c r="AN16" i="2" s="1"/>
  <c r="AM16" i="2"/>
  <c r="AM15" i="2"/>
  <c r="AW9" i="2"/>
  <c r="AV9" i="2"/>
  <c r="AU9" i="2"/>
  <c r="AT9" i="2"/>
  <c r="AS9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N8" i="2"/>
  <c r="AO8" i="2" s="1"/>
  <c r="AP8" i="2" s="1"/>
  <c r="AQ8" i="2" s="1"/>
  <c r="AR8" i="2" s="1"/>
  <c r="AS8" i="2" s="1"/>
  <c r="AT8" i="2" s="1"/>
  <c r="AU8" i="2" s="1"/>
  <c r="AV8" i="2" s="1"/>
  <c r="AW8" i="2" s="1"/>
  <c r="AN7" i="2"/>
  <c r="AO6" i="2"/>
  <c r="AP6" i="2" s="1"/>
  <c r="AQ6" i="2" s="1"/>
  <c r="AR6" i="2" s="1"/>
  <c r="AS6" i="2" s="1"/>
  <c r="AT6" i="2" s="1"/>
  <c r="AU6" i="2" s="1"/>
  <c r="AV6" i="2" s="1"/>
  <c r="AW6" i="2" s="1"/>
  <c r="AN6" i="2"/>
  <c r="AO5" i="2"/>
  <c r="AP5" i="2" s="1"/>
  <c r="AQ5" i="2" s="1"/>
  <c r="AR5" i="2" s="1"/>
  <c r="AS5" i="2" s="1"/>
  <c r="AT5" i="2" s="1"/>
  <c r="AU5" i="2" s="1"/>
  <c r="AV5" i="2" s="1"/>
  <c r="AW5" i="2" s="1"/>
  <c r="AO4" i="2"/>
  <c r="AP4" i="2" s="1"/>
  <c r="AO3" i="2"/>
  <c r="AP3" i="2" s="1"/>
  <c r="AN5" i="2"/>
  <c r="AN4" i="2"/>
  <c r="AN3" i="2"/>
  <c r="AW13" i="2"/>
  <c r="AV13" i="2"/>
  <c r="AU13" i="2"/>
  <c r="AT13" i="2"/>
  <c r="AS13" i="2"/>
  <c r="AR13" i="2"/>
  <c r="AQ13" i="2"/>
  <c r="AP13" i="2"/>
  <c r="AO13" i="2"/>
  <c r="AN13" i="2"/>
  <c r="AN12" i="2"/>
  <c r="AJ10" i="2"/>
  <c r="AJ9" i="2"/>
  <c r="AJ8" i="2"/>
  <c r="AJ7" i="2"/>
  <c r="AJ6" i="2"/>
  <c r="AJ5" i="2"/>
  <c r="AJ4" i="2"/>
  <c r="AJ13" i="2"/>
  <c r="AJ12" i="2"/>
  <c r="AJ14" i="2"/>
  <c r="AJ3" i="2"/>
  <c r="AK10" i="2"/>
  <c r="AK9" i="2"/>
  <c r="AK8" i="2"/>
  <c r="AK7" i="2"/>
  <c r="AK6" i="2"/>
  <c r="AK5" i="2"/>
  <c r="AK4" i="2"/>
  <c r="AK13" i="2"/>
  <c r="AK12" i="2"/>
  <c r="AK14" i="2"/>
  <c r="AK28" i="2" s="1"/>
  <c r="AK3" i="2"/>
  <c r="BA2" i="2"/>
  <c r="BB2" i="2" s="1"/>
  <c r="AZ2" i="2"/>
  <c r="AP2" i="2"/>
  <c r="AQ2" i="2" s="1"/>
  <c r="AR2" i="2" s="1"/>
  <c r="AS2" i="2" s="1"/>
  <c r="AT2" i="2" s="1"/>
  <c r="AU2" i="2" s="1"/>
  <c r="AV2" i="2" s="1"/>
  <c r="AW2" i="2" s="1"/>
  <c r="AX2" i="2" s="1"/>
  <c r="AY2" i="2" s="1"/>
  <c r="AO2" i="2"/>
  <c r="AM14" i="2"/>
  <c r="AM10" i="2"/>
  <c r="AM9" i="2"/>
  <c r="AM8" i="2"/>
  <c r="AM7" i="2"/>
  <c r="AM6" i="2"/>
  <c r="AM5" i="2"/>
  <c r="AM4" i="2"/>
  <c r="AM3" i="2"/>
  <c r="AL9" i="2"/>
  <c r="AL8" i="2"/>
  <c r="AL7" i="2"/>
  <c r="AL6" i="2"/>
  <c r="AL5" i="2"/>
  <c r="AL4" i="2"/>
  <c r="AL3" i="2"/>
  <c r="AM13" i="2"/>
  <c r="AM12" i="2"/>
  <c r="AL12" i="2"/>
  <c r="AL13" i="2"/>
  <c r="AL10" i="2"/>
  <c r="AD18" i="2"/>
  <c r="AC18" i="2"/>
  <c r="AB18" i="2"/>
  <c r="AD17" i="2"/>
  <c r="AC17" i="2"/>
  <c r="AB17" i="2"/>
  <c r="AB21" i="2"/>
  <c r="AC21" i="2" s="1"/>
  <c r="AD21" i="2" s="1"/>
  <c r="AB26" i="2"/>
  <c r="AC26" i="2" s="1"/>
  <c r="AD26" i="2" s="1"/>
  <c r="AB12" i="2"/>
  <c r="AB8" i="2"/>
  <c r="AC8" i="2" s="1"/>
  <c r="AD8" i="2" s="1"/>
  <c r="AB7" i="2"/>
  <c r="AC7" i="2" s="1"/>
  <c r="AD7" i="2" s="1"/>
  <c r="AB3" i="2"/>
  <c r="AC3" i="2" s="1"/>
  <c r="AC5" i="2"/>
  <c r="AD5" i="2" s="1"/>
  <c r="AB5" i="2"/>
  <c r="AB4" i="2"/>
  <c r="AC4" i="2" s="1"/>
  <c r="AB6" i="2"/>
  <c r="AC6" i="2" s="1"/>
  <c r="AD6" i="2" s="1"/>
  <c r="AA12" i="2"/>
  <c r="AA11" i="2"/>
  <c r="Z12" i="2"/>
  <c r="Y12" i="2"/>
  <c r="Z11" i="2"/>
  <c r="Y11" i="2"/>
  <c r="AA14" i="2"/>
  <c r="AD19" i="2"/>
  <c r="AC19" i="2"/>
  <c r="AB19" i="2"/>
  <c r="AA19" i="2"/>
  <c r="Z19" i="2"/>
  <c r="Y19" i="2"/>
  <c r="L5" i="1"/>
  <c r="I13" i="2"/>
  <c r="I12" i="2"/>
  <c r="I14" i="2" s="1"/>
  <c r="I16" i="2" s="1"/>
  <c r="I11" i="2"/>
  <c r="M12" i="2"/>
  <c r="M11" i="2"/>
  <c r="M14" i="2" s="1"/>
  <c r="M16" i="2" s="1"/>
  <c r="N13" i="2"/>
  <c r="M13" i="2"/>
  <c r="N12" i="2"/>
  <c r="N11" i="2"/>
  <c r="O12" i="2"/>
  <c r="O11" i="2"/>
  <c r="O14" i="2" s="1"/>
  <c r="O16" i="2" s="1"/>
  <c r="P19" i="2"/>
  <c r="P12" i="2"/>
  <c r="P11" i="2"/>
  <c r="P14" i="2" s="1"/>
  <c r="Q5" i="2"/>
  <c r="Q12" i="2"/>
  <c r="Q14" i="2" s="1"/>
  <c r="Q16" i="2" s="1"/>
  <c r="Q11" i="2"/>
  <c r="U12" i="2"/>
  <c r="U14" i="2" s="1"/>
  <c r="U11" i="2"/>
  <c r="R12" i="2"/>
  <c r="R11" i="2"/>
  <c r="R14" i="2" s="1"/>
  <c r="R16" i="2" s="1"/>
  <c r="V12" i="2"/>
  <c r="V11" i="2"/>
  <c r="T21" i="2"/>
  <c r="T19" i="2"/>
  <c r="T12" i="2"/>
  <c r="T11" i="2"/>
  <c r="X19" i="2"/>
  <c r="X12" i="2"/>
  <c r="X11" i="2"/>
  <c r="S19" i="2"/>
  <c r="S12" i="2"/>
  <c r="S11" i="2"/>
  <c r="S14" i="2" s="1"/>
  <c r="S28" i="2" s="1"/>
  <c r="W12" i="2"/>
  <c r="W11" i="2"/>
  <c r="W19" i="2"/>
  <c r="V19" i="2"/>
  <c r="U19" i="2"/>
  <c r="R19" i="2"/>
  <c r="Q19" i="2"/>
  <c r="O19" i="2"/>
  <c r="N19" i="2"/>
  <c r="M19" i="2"/>
  <c r="L19" i="2"/>
  <c r="L20" i="2" s="1"/>
  <c r="L22" i="2" s="1"/>
  <c r="L24" i="2" s="1"/>
  <c r="L25" i="2" s="1"/>
  <c r="K19" i="2"/>
  <c r="K20" i="2" s="1"/>
  <c r="K22" i="2" s="1"/>
  <c r="K24" i="2" s="1"/>
  <c r="K25" i="2" s="1"/>
  <c r="J19" i="2"/>
  <c r="J20" i="2" s="1"/>
  <c r="J22" i="2" s="1"/>
  <c r="J24" i="2" s="1"/>
  <c r="J25" i="2" s="1"/>
  <c r="I19" i="2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V14" i="2"/>
  <c r="V28" i="2" s="1"/>
  <c r="L4" i="1"/>
  <c r="L7" i="1" s="1"/>
  <c r="AZ24" i="2" l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AQ21" i="2"/>
  <c r="AP22" i="2"/>
  <c r="AP24" i="2" s="1"/>
  <c r="AP25" i="2" s="1"/>
  <c r="AK20" i="2"/>
  <c r="AK22" i="2" s="1"/>
  <c r="AO7" i="2"/>
  <c r="AP7" i="2" s="1"/>
  <c r="AQ7" i="2" s="1"/>
  <c r="AR7" i="2" s="1"/>
  <c r="AS7" i="2" s="1"/>
  <c r="AT7" i="2" s="1"/>
  <c r="AU7" i="2" s="1"/>
  <c r="AV7" i="2" s="1"/>
  <c r="AW7" i="2" s="1"/>
  <c r="AQ3" i="2"/>
  <c r="AP12" i="2"/>
  <c r="AP14" i="2" s="1"/>
  <c r="AQ4" i="2"/>
  <c r="AO12" i="2"/>
  <c r="AN14" i="2"/>
  <c r="AL14" i="2"/>
  <c r="AM28" i="2" s="1"/>
  <c r="AC11" i="2"/>
  <c r="AD3" i="2"/>
  <c r="AD11" i="2" s="1"/>
  <c r="AD4" i="2"/>
  <c r="AD12" i="2" s="1"/>
  <c r="AC12" i="2"/>
  <c r="Q28" i="2"/>
  <c r="V16" i="2"/>
  <c r="V20" i="2" s="1"/>
  <c r="V22" i="2" s="1"/>
  <c r="V24" i="2" s="1"/>
  <c r="V25" i="2" s="1"/>
  <c r="M20" i="2"/>
  <c r="M22" i="2" s="1"/>
  <c r="M24" i="2" s="1"/>
  <c r="M25" i="2" s="1"/>
  <c r="AB11" i="2"/>
  <c r="AB14" i="2" s="1"/>
  <c r="O20" i="2"/>
  <c r="O22" i="2" s="1"/>
  <c r="O24" i="2" s="1"/>
  <c r="O25" i="2" s="1"/>
  <c r="X14" i="2"/>
  <c r="X16" i="2" s="1"/>
  <c r="X20" i="2" s="1"/>
  <c r="X22" i="2" s="1"/>
  <c r="X24" i="2" s="1"/>
  <c r="X25" i="2" s="1"/>
  <c r="AA28" i="2"/>
  <c r="R20" i="2"/>
  <c r="R22" i="2" s="1"/>
  <c r="R24" i="2" s="1"/>
  <c r="R25" i="2" s="1"/>
  <c r="N14" i="2"/>
  <c r="N16" i="2" s="1"/>
  <c r="T14" i="2"/>
  <c r="T16" i="2" s="1"/>
  <c r="T20" i="2" s="1"/>
  <c r="T22" i="2" s="1"/>
  <c r="T24" i="2" s="1"/>
  <c r="T25" i="2" s="1"/>
  <c r="U16" i="2"/>
  <c r="U20" i="2" s="1"/>
  <c r="U22" i="2" s="1"/>
  <c r="U24" i="2" s="1"/>
  <c r="U25" i="2" s="1"/>
  <c r="U28" i="2"/>
  <c r="Y14" i="2"/>
  <c r="Z14" i="2"/>
  <c r="Z16" i="2" s="1"/>
  <c r="Z20" i="2" s="1"/>
  <c r="Z22" i="2" s="1"/>
  <c r="Z24" i="2" s="1"/>
  <c r="Z25" i="2" s="1"/>
  <c r="AB28" i="2"/>
  <c r="AA16" i="2"/>
  <c r="AA20" i="2" s="1"/>
  <c r="AA22" i="2" s="1"/>
  <c r="AA24" i="2" s="1"/>
  <c r="AA25" i="2" s="1"/>
  <c r="Z28" i="2"/>
  <c r="I20" i="2"/>
  <c r="I22" i="2" s="1"/>
  <c r="I24" i="2" s="1"/>
  <c r="I25" i="2" s="1"/>
  <c r="R28" i="2"/>
  <c r="N20" i="2"/>
  <c r="N22" i="2" s="1"/>
  <c r="N24" i="2" s="1"/>
  <c r="N25" i="2" s="1"/>
  <c r="P16" i="2"/>
  <c r="P20" i="2"/>
  <c r="P22" i="2" s="1"/>
  <c r="P24" i="2" s="1"/>
  <c r="P25" i="2" s="1"/>
  <c r="Q20" i="2"/>
  <c r="Q22" i="2" s="1"/>
  <c r="Q24" i="2" s="1"/>
  <c r="Q25" i="2" s="1"/>
  <c r="S16" i="2"/>
  <c r="S20" i="2" s="1"/>
  <c r="W14" i="2"/>
  <c r="W16" i="2" s="1"/>
  <c r="W20" i="2" s="1"/>
  <c r="W22" i="2" s="1"/>
  <c r="W24" i="2" s="1"/>
  <c r="W25" i="2" s="1"/>
  <c r="AZ32" i="2" l="1"/>
  <c r="AQ22" i="2"/>
  <c r="AQ24" i="2" s="1"/>
  <c r="AQ25" i="2" s="1"/>
  <c r="AR21" i="2"/>
  <c r="AL28" i="2"/>
  <c r="AO14" i="2"/>
  <c r="AQ12" i="2"/>
  <c r="AR4" i="2"/>
  <c r="AR3" i="2"/>
  <c r="T28" i="2"/>
  <c r="X28" i="2"/>
  <c r="AD14" i="2"/>
  <c r="AB15" i="2"/>
  <c r="AB16" i="2" s="1"/>
  <c r="AB20" i="2" s="1"/>
  <c r="AB22" i="2" s="1"/>
  <c r="AB24" i="2" s="1"/>
  <c r="AB25" i="2" s="1"/>
  <c r="S22" i="2"/>
  <c r="S24" i="2" s="1"/>
  <c r="S25" i="2" s="1"/>
  <c r="AC14" i="2"/>
  <c r="Y28" i="2"/>
  <c r="Y16" i="2"/>
  <c r="Y20" i="2" s="1"/>
  <c r="Y22" i="2" s="1"/>
  <c r="Y24" i="2" s="1"/>
  <c r="Y25" i="2" s="1"/>
  <c r="W28" i="2"/>
  <c r="AR22" i="2" l="1"/>
  <c r="AR24" i="2" s="1"/>
  <c r="AR25" i="2" s="1"/>
  <c r="AS21" i="2"/>
  <c r="AS3" i="2"/>
  <c r="AS4" i="2"/>
  <c r="AR12" i="2"/>
  <c r="AR14" i="2" s="1"/>
  <c r="AQ14" i="2"/>
  <c r="AC15" i="2"/>
  <c r="AC16" i="2" s="1"/>
  <c r="AC20" i="2" s="1"/>
  <c r="AC22" i="2" s="1"/>
  <c r="AC24" i="2" s="1"/>
  <c r="AC25" i="2" s="1"/>
  <c r="AD15" i="2"/>
  <c r="AD16" i="2"/>
  <c r="AD20" i="2" s="1"/>
  <c r="AD22" i="2" s="1"/>
  <c r="AD24" i="2" s="1"/>
  <c r="AD25" i="2" s="1"/>
  <c r="AD28" i="2"/>
  <c r="AC28" i="2"/>
  <c r="AT21" i="2" l="1"/>
  <c r="AS22" i="2"/>
  <c r="AS24" i="2" s="1"/>
  <c r="AS25" i="2" s="1"/>
  <c r="AS12" i="2"/>
  <c r="AT4" i="2"/>
  <c r="AT3" i="2"/>
  <c r="AT22" i="2" l="1"/>
  <c r="AT24" i="2" s="1"/>
  <c r="AT25" i="2" s="1"/>
  <c r="AU21" i="2"/>
  <c r="AU3" i="2"/>
  <c r="AU4" i="2"/>
  <c r="AT12" i="2"/>
  <c r="AT14" i="2" s="1"/>
  <c r="AS14" i="2"/>
  <c r="AV21" i="2" l="1"/>
  <c r="AU22" i="2"/>
  <c r="AU24" i="2" s="1"/>
  <c r="AU25" i="2" s="1"/>
  <c r="AV3" i="2"/>
  <c r="AV4" i="2"/>
  <c r="AU12" i="2"/>
  <c r="AW21" i="2" l="1"/>
  <c r="AW22" i="2" s="1"/>
  <c r="AW24" i="2" s="1"/>
  <c r="AW25" i="2" s="1"/>
  <c r="AV22" i="2"/>
  <c r="AV24" i="2" s="1"/>
  <c r="AV25" i="2" s="1"/>
  <c r="AW4" i="2"/>
  <c r="AW12" i="2" s="1"/>
  <c r="AV12" i="2"/>
  <c r="AW3" i="2"/>
  <c r="AW14" i="2" s="1"/>
  <c r="AV14" i="2"/>
  <c r="AU14" i="2"/>
</calcChain>
</file>

<file path=xl/sharedStrings.xml><?xml version="1.0" encoding="utf-8"?>
<sst xmlns="http://schemas.openxmlformats.org/spreadsheetml/2006/main" count="106" uniqueCount="92">
  <si>
    <t>Price</t>
  </si>
  <si>
    <t>Shares</t>
  </si>
  <si>
    <t>MC</t>
  </si>
  <si>
    <t>Cash</t>
  </si>
  <si>
    <t>Debt</t>
  </si>
  <si>
    <t>EV</t>
  </si>
  <si>
    <t>Q124</t>
  </si>
  <si>
    <t>Name</t>
  </si>
  <si>
    <t>UX701</t>
  </si>
  <si>
    <t>Wilson's Disease</t>
  </si>
  <si>
    <t>Phase</t>
  </si>
  <si>
    <t>II</t>
  </si>
  <si>
    <t>GTX-102</t>
  </si>
  <si>
    <t>Angelman Syndrome</t>
  </si>
  <si>
    <t>Crysvita</t>
  </si>
  <si>
    <t>Dojolvi</t>
  </si>
  <si>
    <t>Mepsevii</t>
  </si>
  <si>
    <t>Evkeeza</t>
  </si>
  <si>
    <t>UX143 (setrusumab)</t>
  </si>
  <si>
    <t>Osteogenesis Imperfecta</t>
  </si>
  <si>
    <t>UX111</t>
  </si>
  <si>
    <t>Sanfilippo</t>
  </si>
  <si>
    <t>MOA</t>
  </si>
  <si>
    <t>GT</t>
  </si>
  <si>
    <t>Sclerostin</t>
  </si>
  <si>
    <t>DTX401</t>
  </si>
  <si>
    <t>GSDIa</t>
  </si>
  <si>
    <t>DTX301</t>
  </si>
  <si>
    <t>OTC Deficiency</t>
  </si>
  <si>
    <t>III</t>
  </si>
  <si>
    <t>Main</t>
  </si>
  <si>
    <t>Product</t>
  </si>
  <si>
    <t>Royalty</t>
  </si>
  <si>
    <t>Collab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</si>
  <si>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</si>
  <si>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</si>
  <si>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</si>
  <si>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</si>
  <si>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</si>
  <si>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</si>
  <si>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</si>
  <si>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</si>
  <si>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</si>
  <si>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</si>
  <si>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</si>
  <si>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</si>
  <si>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</si>
  <si>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</si>
  <si>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</si>
  <si>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</si>
  <si>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</si>
  <si>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</si>
  <si>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</si>
  <si>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</si>
  <si>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</si>
  <si>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</si>
  <si>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</si>
  <si>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</si>
  <si>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Operating Expenses</t>
  </si>
  <si>
    <t>Operating Income</t>
  </si>
  <si>
    <t>COGS</t>
  </si>
  <si>
    <t>Gross Margin</t>
  </si>
  <si>
    <t>R&amp;D</t>
  </si>
  <si>
    <t>SG&amp;A</t>
  </si>
  <si>
    <t>EPS</t>
  </si>
  <si>
    <t>Net Income</t>
  </si>
  <si>
    <t>Taxes</t>
  </si>
  <si>
    <t>Pretax Income</t>
  </si>
  <si>
    <t>Interest Income</t>
  </si>
  <si>
    <t>Revenue y/y</t>
  </si>
  <si>
    <t>Crysvita Sales</t>
  </si>
  <si>
    <t>Crysvita JV</t>
  </si>
  <si>
    <t>Crysvita EU Royalty</t>
  </si>
  <si>
    <t>Daiichi</t>
  </si>
  <si>
    <t>Q125</t>
  </si>
  <si>
    <t>Q225</t>
  </si>
  <si>
    <t>Q325</t>
  </si>
  <si>
    <t>Q425</t>
  </si>
  <si>
    <t>setrusumab</t>
  </si>
  <si>
    <t>Maturity</t>
  </si>
  <si>
    <t>Discount</t>
  </si>
  <si>
    <t>NPV</t>
  </si>
  <si>
    <t>Share</t>
  </si>
  <si>
    <t>Indication</t>
  </si>
  <si>
    <t>X-linked Hypophosphatemia</t>
  </si>
  <si>
    <t>Approved</t>
  </si>
  <si>
    <t>Brand</t>
  </si>
  <si>
    <t>Generic</t>
  </si>
  <si>
    <t>burosumab</t>
  </si>
  <si>
    <t>X-Linked Hypophosphatemia</t>
  </si>
  <si>
    <t>Economics</t>
  </si>
  <si>
    <t>Kyowa 2013 deal. Sold economics of OMERS &amp; 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</si>
</sst>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CB7F824-F76B-4310-9E38-4777C8DCA5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34584</xdr:colOff>
      <xdr:row>0</xdr:row>
      <xdr:rowOff>0</xdr:rowOff>
    </xdr:from>
    <xdr:to>
      <xdr:col>27</xdr:col>
      <xdr:colOff>34584</xdr:colOff>
      <xdr:row>72</xdr:row>
      <xdr:rowOff>110434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88BCCE-8C41-AD98-4CB0-2BB69FDAFBAC}"/>
            </a:ext>
          </a:extLst>
        </xdr:cNvPr>
        <xdr:cNvCxnSpPr/>
      </xdr:nvCxnSpPr>
      <xdr:spPr>
        <a:xfrm>
          <a:off x="17632367" y="0"/>
          <a:ext cx="0" cy="114852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15810</xdr:colOff>
      <xdr:row>0</xdr:row>
      <xdr:rowOff>0</xdr:rowOff>
    </xdr:from>
    <xdr:to>
      <xdr:col>38</xdr:col>
      <xdr:colOff>15810</xdr:colOff>
      <xdr:row>72</xdr:row>
      <xdr:rowOff>110434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05283F-9AC2-4834-8467-7265BBADC95C}"/>
            </a:ext>
          </a:extLst>
        </xdr:cNvPr>
        <xdr:cNvCxnSpPr/>
      </xdr:nvCxnSpPr>
      <xdr:spPr>
        <a:xfrm>
          <a:off x="24294897" y="0"/>
          <a:ext cx="0" cy="116453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2020-BC36-4BFD-8C36-D62E271332A9}">
  <dimension ref="B2:M13"/>
  <sheetViews>
    <sheetView zoomScale="145" zoomScaleNormal="145" workbookViewId="0">
      <selection activeCell="D3" sqref="D3"/>
    </sheetView>
  </sheetViews>
  <sheetFormatPr defaultRowHeight="12.5" x14ac:dyDescent="0.25"/>
  <cols>
    <col min="1" max="1" width="3.26953125" customWidth="1"/>
    <col min="2" max="2" width="18.26953125" bestFit="1" customWidth="1"/>
    <col min="3" max="3" width="22.1796875" bestFit="1" customWidth="1"/>
    <col min="4" max="4" width="8.90625" bestFit="1" customWidth="1"/>
  </cols>
  <sheetData>
    <row r="2" spans="2:13" x14ac:dyDescent="0.25">
      <c r="B2" s="8" t="s">
        <v>7</v>
      </c>
      <c r="C2" s="9" t="s">
        <v>83</v>
      </c>
      <c r="D2" s="9" t="s">
        <v>85</v>
      </c>
      <c r="E2" s="9"/>
      <c r="F2" s="9"/>
      <c r="G2" s="9"/>
      <c r="H2" s="9"/>
      <c r="I2" s="10"/>
      <c r="K2" t="s">
        <v>0</v>
      </c>
      <c r="L2" s="21">
        <v>39.700000000000003</v>
      </c>
    </row>
    <row r="3" spans="2:13" x14ac:dyDescent="0.25">
      <c r="B3" s="3" t="s">
        <v>14</v>
      </c>
      <c r="C3" t="s">
        <v>84</v>
      </c>
      <c r="D3" s="23">
        <v>43207</v>
      </c>
      <c r="I3" s="4"/>
      <c r="K3" t="s">
        <v>1</v>
      </c>
      <c r="L3" s="1">
        <v>94.542034999999998</v>
      </c>
      <c r="M3" s="2" t="s">
        <v>74</v>
      </c>
    </row>
    <row r="4" spans="2:13" x14ac:dyDescent="0.25">
      <c r="B4" s="3" t="s">
        <v>15</v>
      </c>
      <c r="I4" s="4"/>
      <c r="K4" t="s">
        <v>2</v>
      </c>
      <c r="L4" s="1">
        <f>+L2*L3</f>
        <v>3753.3187895000001</v>
      </c>
    </row>
    <row r="5" spans="2:13" x14ac:dyDescent="0.25">
      <c r="B5" s="3" t="s">
        <v>17</v>
      </c>
      <c r="I5" s="4"/>
      <c r="K5" t="s">
        <v>3</v>
      </c>
      <c r="L5" s="1">
        <f>127.055+367.385+68.563</f>
        <v>563.00300000000004</v>
      </c>
      <c r="M5" s="2" t="s">
        <v>74</v>
      </c>
    </row>
    <row r="6" spans="2:13" x14ac:dyDescent="0.25">
      <c r="B6" s="3" t="s">
        <v>16</v>
      </c>
      <c r="I6" s="4"/>
      <c r="K6" t="s">
        <v>4</v>
      </c>
      <c r="L6" s="1">
        <v>0</v>
      </c>
      <c r="M6" s="2" t="s">
        <v>74</v>
      </c>
    </row>
    <row r="7" spans="2:13" x14ac:dyDescent="0.25">
      <c r="B7" s="8"/>
      <c r="C7" s="9"/>
      <c r="D7" s="12" t="s">
        <v>10</v>
      </c>
      <c r="E7" s="12" t="s">
        <v>22</v>
      </c>
      <c r="F7" s="12"/>
      <c r="G7" s="12"/>
      <c r="H7" s="12"/>
      <c r="I7" s="10"/>
      <c r="K7" t="s">
        <v>5</v>
      </c>
      <c r="L7" s="1">
        <f>+L4-L5+L6</f>
        <v>3190.3157894999999</v>
      </c>
    </row>
    <row r="8" spans="2:13" x14ac:dyDescent="0.25">
      <c r="B8" s="3" t="s">
        <v>8</v>
      </c>
      <c r="C8" t="s">
        <v>9</v>
      </c>
      <c r="D8" s="13" t="s">
        <v>11</v>
      </c>
      <c r="E8" s="13" t="s">
        <v>23</v>
      </c>
      <c r="F8" s="13"/>
      <c r="G8" s="13"/>
      <c r="H8" s="13"/>
      <c r="I8" s="4"/>
    </row>
    <row r="9" spans="2:13" x14ac:dyDescent="0.25">
      <c r="B9" s="3" t="s">
        <v>12</v>
      </c>
      <c r="C9" t="s">
        <v>13</v>
      </c>
      <c r="D9" s="13"/>
      <c r="E9" s="13"/>
      <c r="F9" s="13"/>
      <c r="G9" s="13"/>
      <c r="H9" s="13"/>
      <c r="I9" s="4"/>
    </row>
    <row r="10" spans="2:13" x14ac:dyDescent="0.25">
      <c r="B10" s="11" t="s">
        <v>18</v>
      </c>
      <c r="C10" t="s">
        <v>19</v>
      </c>
      <c r="D10" s="13" t="s">
        <v>11</v>
      </c>
      <c r="E10" s="13" t="s">
        <v>24</v>
      </c>
      <c r="F10" s="13"/>
      <c r="G10" s="13"/>
      <c r="H10" s="13"/>
      <c r="I10" s="4"/>
    </row>
    <row r="11" spans="2:13" x14ac:dyDescent="0.25">
      <c r="B11" s="11" t="s">
        <v>25</v>
      </c>
      <c r="C11" t="s">
        <v>26</v>
      </c>
      <c r="D11" s="13"/>
      <c r="E11" s="13" t="s">
        <v>23</v>
      </c>
      <c r="F11" s="13"/>
      <c r="G11" s="13"/>
      <c r="H11" s="13"/>
      <c r="I11" s="4"/>
    </row>
    <row r="12" spans="2:13" x14ac:dyDescent="0.25">
      <c r="B12" s="11" t="s">
        <v>27</v>
      </c>
      <c r="C12" t="s">
        <v>28</v>
      </c>
      <c r="D12" s="13" t="s">
        <v>29</v>
      </c>
      <c r="E12" s="13" t="s">
        <v>23</v>
      </c>
      <c r="F12" s="13"/>
      <c r="G12" s="13"/>
      <c r="H12" s="13"/>
      <c r="I12" s="4"/>
    </row>
    <row r="13" spans="2:13" x14ac:dyDescent="0.25">
      <c r="B13" s="5" t="s">
        <v>20</v>
      </c>
      <c r="C13" s="6" t="s">
        <v>21</v>
      </c>
      <c r="D13" s="14"/>
      <c r="E13" s="14" t="s">
        <v>23</v>
      </c>
      <c r="F13" s="14"/>
      <c r="G13" s="14"/>
      <c r="H13" s="14"/>
      <c r="I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2C2-6B65-42EA-86D4-7E669CBFF9A5}">
  <dimension ref="A1:DI33"/>
  <sheetViews>
    <sheetView zoomScale="115" zoomScaleNormal="115" workbookViewId="0">
      <pane xSplit="2" ySplit="2" topLeftCell="S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5" x14ac:dyDescent="0.25"/>
  <cols>
    <col min="1" max="1" width="5" bestFit="1" customWidth="1"/>
    <col min="2" max="2" width="18.1796875" bestFit="1" customWidth="1"/>
    <col min="3" max="26" width="9.1796875" style="2"/>
    <col min="52" max="52" width="9.6328125" bestFit="1" customWidth="1"/>
  </cols>
  <sheetData>
    <row r="1" spans="1:54" x14ac:dyDescent="0.25">
      <c r="A1" s="20" t="s">
        <v>30</v>
      </c>
    </row>
    <row r="2" spans="1:54" x14ac:dyDescent="0.25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6</v>
      </c>
      <c r="X2" s="2" t="s">
        <v>55</v>
      </c>
      <c r="Y2" s="2" t="s">
        <v>56</v>
      </c>
      <c r="Z2" s="2" t="s">
        <v>57</v>
      </c>
      <c r="AA2" s="2" t="s">
        <v>74</v>
      </c>
      <c r="AB2" s="2" t="s">
        <v>75</v>
      </c>
      <c r="AC2" s="2" t="s">
        <v>76</v>
      </c>
      <c r="AD2" s="2" t="s">
        <v>77</v>
      </c>
      <c r="AJ2">
        <v>2022</v>
      </c>
      <c r="AK2">
        <v>2023</v>
      </c>
      <c r="AL2">
        <v>2024</v>
      </c>
      <c r="AM2">
        <v>2025</v>
      </c>
      <c r="AN2">
        <v>2026</v>
      </c>
      <c r="AO2">
        <f>+AN2+1</f>
        <v>2027</v>
      </c>
      <c r="AP2">
        <f t="shared" ref="AP2:BB2" si="0">+AO2+1</f>
        <v>2028</v>
      </c>
      <c r="AQ2">
        <f t="shared" si="0"/>
        <v>2029</v>
      </c>
      <c r="AR2">
        <f t="shared" si="0"/>
        <v>2030</v>
      </c>
      <c r="AS2">
        <f t="shared" si="0"/>
        <v>2031</v>
      </c>
      <c r="AT2">
        <f t="shared" si="0"/>
        <v>2032</v>
      </c>
      <c r="AU2">
        <f t="shared" si="0"/>
        <v>2033</v>
      </c>
      <c r="AV2">
        <f t="shared" si="0"/>
        <v>2034</v>
      </c>
      <c r="AW2">
        <f t="shared" si="0"/>
        <v>2035</v>
      </c>
      <c r="AX2">
        <f t="shared" si="0"/>
        <v>2036</v>
      </c>
      <c r="AY2">
        <f t="shared" si="0"/>
        <v>2037</v>
      </c>
      <c r="AZ2">
        <f t="shared" si="0"/>
        <v>2038</v>
      </c>
      <c r="BA2">
        <f t="shared" si="0"/>
        <v>2039</v>
      </c>
      <c r="BB2">
        <f t="shared" si="0"/>
        <v>2040</v>
      </c>
    </row>
    <row r="3" spans="1:54" s="1" customFormat="1" x14ac:dyDescent="0.25">
      <c r="B3" s="1" t="s">
        <v>70</v>
      </c>
      <c r="C3" s="15"/>
      <c r="D3" s="15"/>
      <c r="E3" s="15"/>
      <c r="F3" s="15"/>
      <c r="G3" s="15"/>
      <c r="H3" s="15"/>
      <c r="I3" s="15">
        <v>3.2770000000000001</v>
      </c>
      <c r="J3" s="15"/>
      <c r="K3" s="15"/>
      <c r="L3" s="15"/>
      <c r="M3" s="15">
        <v>7.3780000000000001</v>
      </c>
      <c r="N3" s="15">
        <v>5.2720000000000002</v>
      </c>
      <c r="O3" s="15">
        <v>9.3940000000000001</v>
      </c>
      <c r="P3" s="15">
        <v>12.401999999999999</v>
      </c>
      <c r="Q3" s="15">
        <v>13.183999999999999</v>
      </c>
      <c r="R3" s="15">
        <v>7.6980000000000004</v>
      </c>
      <c r="S3" s="15">
        <v>21.234000000000002</v>
      </c>
      <c r="T3" s="15">
        <v>16.884</v>
      </c>
      <c r="U3" s="15">
        <v>19.2</v>
      </c>
      <c r="V3" s="15">
        <v>18.379000000000001</v>
      </c>
      <c r="W3" s="15">
        <v>36.241</v>
      </c>
      <c r="X3" s="15">
        <v>40.448999999999998</v>
      </c>
      <c r="Y3" s="15">
        <v>35.603999999999999</v>
      </c>
      <c r="Z3" s="15">
        <v>22.414999999999999</v>
      </c>
      <c r="AA3" s="1">
        <v>55.08</v>
      </c>
      <c r="AB3" s="1">
        <f>+AA3+2</f>
        <v>57.08</v>
      </c>
      <c r="AC3" s="1">
        <f>+AB3+2</f>
        <v>59.08</v>
      </c>
      <c r="AD3" s="1">
        <f>+AC3+2</f>
        <v>61.08</v>
      </c>
      <c r="AJ3" s="1">
        <f>SUM(O3:R3)</f>
        <v>42.677999999999997</v>
      </c>
      <c r="AK3" s="1">
        <f>SUM(S3:V3)</f>
        <v>75.697000000000003</v>
      </c>
      <c r="AL3" s="1">
        <f>SUM(W3:Z3)</f>
        <v>134.709</v>
      </c>
      <c r="AM3" s="1">
        <f>SUM(AA3:AD3)</f>
        <v>232.32</v>
      </c>
      <c r="AN3" s="1">
        <f>+AM3</f>
        <v>232.32</v>
      </c>
      <c r="AO3" s="1">
        <f t="shared" ref="AO3:AW3" si="1">+AN3</f>
        <v>232.32</v>
      </c>
      <c r="AP3" s="1">
        <f t="shared" si="1"/>
        <v>232.32</v>
      </c>
      <c r="AQ3" s="1">
        <f t="shared" si="1"/>
        <v>232.32</v>
      </c>
      <c r="AR3" s="1">
        <f t="shared" si="1"/>
        <v>232.32</v>
      </c>
      <c r="AS3" s="1">
        <f t="shared" si="1"/>
        <v>232.32</v>
      </c>
      <c r="AT3" s="1">
        <f t="shared" si="1"/>
        <v>232.32</v>
      </c>
      <c r="AU3" s="1">
        <f t="shared" si="1"/>
        <v>232.32</v>
      </c>
      <c r="AV3" s="1">
        <f t="shared" si="1"/>
        <v>232.32</v>
      </c>
      <c r="AW3" s="1">
        <f t="shared" si="1"/>
        <v>232.32</v>
      </c>
    </row>
    <row r="4" spans="1:54" s="1" customFormat="1" x14ac:dyDescent="0.25">
      <c r="B4" s="1" t="s">
        <v>71</v>
      </c>
      <c r="C4" s="15"/>
      <c r="D4" s="15"/>
      <c r="E4" s="15"/>
      <c r="F4" s="15"/>
      <c r="G4" s="15"/>
      <c r="H4" s="15"/>
      <c r="I4" s="15">
        <v>34.058</v>
      </c>
      <c r="J4" s="15"/>
      <c r="K4" s="15"/>
      <c r="L4" s="15"/>
      <c r="M4" s="15">
        <v>42.970999999999997</v>
      </c>
      <c r="N4" s="15">
        <v>50.210999999999999</v>
      </c>
      <c r="O4" s="15">
        <v>45.164000000000001</v>
      </c>
      <c r="P4" s="15">
        <v>51.609000000000002</v>
      </c>
      <c r="Q4" s="15">
        <v>5.3730000000000002</v>
      </c>
      <c r="R4" s="15">
        <v>66.903000000000006</v>
      </c>
      <c r="S4" s="15">
        <v>49.905999999999999</v>
      </c>
      <c r="T4" s="15">
        <v>61.314</v>
      </c>
      <c r="U4" s="15">
        <v>50.23</v>
      </c>
      <c r="V4" s="15">
        <v>70.123999999999995</v>
      </c>
      <c r="W4" s="15">
        <v>40.402000000000001</v>
      </c>
      <c r="X4" s="15">
        <v>67.045000000000002</v>
      </c>
      <c r="Y4" s="15">
        <v>55.984999999999999</v>
      </c>
      <c r="Z4" s="15">
        <v>85.534000000000006</v>
      </c>
      <c r="AA4" s="1">
        <v>40.853000000000002</v>
      </c>
      <c r="AB4" s="1">
        <f>+AA4+1</f>
        <v>41.853000000000002</v>
      </c>
      <c r="AC4" s="1">
        <f>+AB4+1</f>
        <v>42.853000000000002</v>
      </c>
      <c r="AD4" s="1">
        <f>+AC4+1</f>
        <v>43.853000000000002</v>
      </c>
      <c r="AJ4" s="1">
        <f t="shared" ref="AJ4:AJ10" si="2">SUM(O4:R4)</f>
        <v>169.04900000000001</v>
      </c>
      <c r="AK4" s="1">
        <f t="shared" ref="AK4:AK10" si="3">SUM(S4:V4)</f>
        <v>231.57399999999998</v>
      </c>
      <c r="AL4" s="1">
        <f>SUM(W4:Z4)</f>
        <v>248.96600000000001</v>
      </c>
      <c r="AM4" s="1">
        <f>SUM(AA4:AD4)</f>
        <v>169.41200000000001</v>
      </c>
      <c r="AN4" s="1">
        <f>+AM4</f>
        <v>169.41200000000001</v>
      </c>
      <c r="AO4" s="1">
        <f t="shared" ref="AO4:AW4" si="4">+AN4</f>
        <v>169.41200000000001</v>
      </c>
      <c r="AP4" s="1">
        <f t="shared" si="4"/>
        <v>169.41200000000001</v>
      </c>
      <c r="AQ4" s="1">
        <f t="shared" si="4"/>
        <v>169.41200000000001</v>
      </c>
      <c r="AR4" s="1">
        <f t="shared" si="4"/>
        <v>169.41200000000001</v>
      </c>
      <c r="AS4" s="1">
        <f t="shared" si="4"/>
        <v>169.41200000000001</v>
      </c>
      <c r="AT4" s="1">
        <f t="shared" si="4"/>
        <v>169.41200000000001</v>
      </c>
      <c r="AU4" s="1">
        <f t="shared" si="4"/>
        <v>169.41200000000001</v>
      </c>
      <c r="AV4" s="1">
        <f t="shared" si="4"/>
        <v>169.41200000000001</v>
      </c>
      <c r="AW4" s="1">
        <f t="shared" si="4"/>
        <v>169.41200000000001</v>
      </c>
    </row>
    <row r="5" spans="1:54" s="1" customFormat="1" x14ac:dyDescent="0.25">
      <c r="B5" s="1" t="s">
        <v>72</v>
      </c>
      <c r="C5" s="15"/>
      <c r="D5" s="15"/>
      <c r="E5" s="15"/>
      <c r="F5" s="15"/>
      <c r="G5" s="15"/>
      <c r="H5" s="15"/>
      <c r="I5" s="15">
        <v>3.331</v>
      </c>
      <c r="J5" s="15"/>
      <c r="K5" s="15"/>
      <c r="L5" s="15"/>
      <c r="M5" s="15">
        <v>4.665</v>
      </c>
      <c r="N5" s="15">
        <v>4.7409999999999997</v>
      </c>
      <c r="O5" s="15">
        <v>4.8380000000000001</v>
      </c>
      <c r="P5" s="15">
        <v>5.423</v>
      </c>
      <c r="Q5" s="15">
        <f>51.348</f>
        <v>51.347999999999999</v>
      </c>
      <c r="R5" s="15">
        <v>6.0579999999999998</v>
      </c>
      <c r="S5" s="15">
        <v>4.8819999999999997</v>
      </c>
      <c r="T5" s="15">
        <v>4.8159999999999998</v>
      </c>
      <c r="U5" s="15">
        <v>5.4729999999999999</v>
      </c>
      <c r="V5" s="15">
        <v>5.6120000000000001</v>
      </c>
      <c r="W5" s="15">
        <v>5.9420000000000002</v>
      </c>
      <c r="X5" s="15">
        <v>6.1760000000000002</v>
      </c>
      <c r="Y5" s="15">
        <v>6.258</v>
      </c>
      <c r="Z5" s="15">
        <v>7.4729999999999999</v>
      </c>
      <c r="AA5" s="1">
        <v>6.9320000000000004</v>
      </c>
      <c r="AB5" s="1">
        <f>+AA5</f>
        <v>6.9320000000000004</v>
      </c>
      <c r="AC5" s="1">
        <f>+AB5</f>
        <v>6.9320000000000004</v>
      </c>
      <c r="AD5" s="1">
        <f>+AC5</f>
        <v>6.9320000000000004</v>
      </c>
      <c r="AJ5" s="1">
        <f t="shared" si="2"/>
        <v>67.667000000000002</v>
      </c>
      <c r="AK5" s="1">
        <f t="shared" si="3"/>
        <v>20.783000000000001</v>
      </c>
      <c r="AL5" s="1">
        <f>SUM(W5:Z5)</f>
        <v>25.849</v>
      </c>
      <c r="AM5" s="1">
        <f>SUM(AA5:AD5)</f>
        <v>27.728000000000002</v>
      </c>
      <c r="AN5" s="1">
        <f>+AM5</f>
        <v>27.728000000000002</v>
      </c>
      <c r="AO5" s="1">
        <f t="shared" ref="AO5:AW5" si="5">+AN5</f>
        <v>27.728000000000002</v>
      </c>
      <c r="AP5" s="1">
        <f t="shared" si="5"/>
        <v>27.728000000000002</v>
      </c>
      <c r="AQ5" s="1">
        <f t="shared" si="5"/>
        <v>27.728000000000002</v>
      </c>
      <c r="AR5" s="1">
        <f t="shared" si="5"/>
        <v>27.728000000000002</v>
      </c>
      <c r="AS5" s="1">
        <f t="shared" si="5"/>
        <v>27.728000000000002</v>
      </c>
      <c r="AT5" s="1">
        <f t="shared" si="5"/>
        <v>27.728000000000002</v>
      </c>
      <c r="AU5" s="1">
        <f t="shared" si="5"/>
        <v>27.728000000000002</v>
      </c>
      <c r="AV5" s="1">
        <f t="shared" si="5"/>
        <v>27.728000000000002</v>
      </c>
      <c r="AW5" s="1">
        <f t="shared" si="5"/>
        <v>27.728000000000002</v>
      </c>
    </row>
    <row r="6" spans="1:54" s="1" customFormat="1" x14ac:dyDescent="0.25">
      <c r="B6" s="1" t="s">
        <v>15</v>
      </c>
      <c r="C6" s="15"/>
      <c r="D6" s="15"/>
      <c r="E6" s="15"/>
      <c r="F6" s="15"/>
      <c r="G6" s="15"/>
      <c r="H6" s="15"/>
      <c r="I6" s="15">
        <v>3.8620000000000001</v>
      </c>
      <c r="J6" s="15"/>
      <c r="K6" s="15"/>
      <c r="L6" s="15"/>
      <c r="M6" s="15">
        <v>10.654</v>
      </c>
      <c r="N6" s="15">
        <v>11.824999999999999</v>
      </c>
      <c r="O6" s="15">
        <v>12.429</v>
      </c>
      <c r="P6" s="15">
        <v>13.497</v>
      </c>
      <c r="Q6" s="15">
        <v>13.273999999999999</v>
      </c>
      <c r="R6" s="15">
        <v>16.411999999999999</v>
      </c>
      <c r="S6" s="15">
        <v>14.303000000000001</v>
      </c>
      <c r="T6" s="15">
        <v>16.491</v>
      </c>
      <c r="U6" s="15">
        <v>16.553000000000001</v>
      </c>
      <c r="V6" s="15">
        <v>23.286000000000001</v>
      </c>
      <c r="W6" s="15">
        <v>16.361999999999998</v>
      </c>
      <c r="X6" s="15">
        <v>19.355</v>
      </c>
      <c r="Y6" s="15">
        <v>21.373999999999999</v>
      </c>
      <c r="Z6" s="15">
        <v>31.103000000000002</v>
      </c>
      <c r="AA6" s="1">
        <v>17.009</v>
      </c>
      <c r="AB6" s="1">
        <f>+AA6+4</f>
        <v>21.009</v>
      </c>
      <c r="AC6" s="1">
        <f>+AB6+4</f>
        <v>25.009</v>
      </c>
      <c r="AD6" s="1">
        <f>+AC6+4</f>
        <v>29.009</v>
      </c>
      <c r="AJ6" s="1">
        <f t="shared" si="2"/>
        <v>55.612000000000002</v>
      </c>
      <c r="AK6" s="1">
        <f t="shared" si="3"/>
        <v>70.63300000000001</v>
      </c>
      <c r="AL6" s="1">
        <f>SUM(W6:Z6)</f>
        <v>88.193999999999988</v>
      </c>
      <c r="AM6" s="1">
        <f>SUM(AA6:AD6)</f>
        <v>92.036000000000001</v>
      </c>
      <c r="AN6" s="1">
        <f>+AM6*1.01</f>
        <v>92.956360000000004</v>
      </c>
      <c r="AO6" s="1">
        <f t="shared" ref="AO6:AW6" si="6">+AN6*1.01</f>
        <v>93.885923599999998</v>
      </c>
      <c r="AP6" s="1">
        <f t="shared" si="6"/>
        <v>94.824782835999997</v>
      </c>
      <c r="AQ6" s="1">
        <f t="shared" si="6"/>
        <v>95.773030664359993</v>
      </c>
      <c r="AR6" s="1">
        <f t="shared" si="6"/>
        <v>96.73076097100359</v>
      </c>
      <c r="AS6" s="1">
        <f t="shared" si="6"/>
        <v>97.698068580713624</v>
      </c>
      <c r="AT6" s="1">
        <f t="shared" si="6"/>
        <v>98.675049266520759</v>
      </c>
      <c r="AU6" s="1">
        <f t="shared" si="6"/>
        <v>99.661799759185968</v>
      </c>
      <c r="AV6" s="1">
        <f t="shared" si="6"/>
        <v>100.65841775677782</v>
      </c>
      <c r="AW6" s="1">
        <f t="shared" si="6"/>
        <v>101.6650019343456</v>
      </c>
    </row>
    <row r="7" spans="1:54" s="1" customFormat="1" x14ac:dyDescent="0.25">
      <c r="B7" s="1" t="s">
        <v>16</v>
      </c>
      <c r="C7" s="15"/>
      <c r="D7" s="15"/>
      <c r="E7" s="15"/>
      <c r="F7" s="15"/>
      <c r="G7" s="15"/>
      <c r="H7" s="15"/>
      <c r="I7" s="15">
        <v>4.0759999999999996</v>
      </c>
      <c r="J7" s="15"/>
      <c r="K7" s="15"/>
      <c r="L7" s="15"/>
      <c r="M7" s="15">
        <v>3.9180000000000001</v>
      </c>
      <c r="N7" s="15">
        <v>3.1110000000000002</v>
      </c>
      <c r="O7" s="15">
        <v>4.8609999999999998</v>
      </c>
      <c r="P7" s="15">
        <v>4.9329999999999998</v>
      </c>
      <c r="Q7" s="15">
        <v>6.0449999999999999</v>
      </c>
      <c r="R7" s="15">
        <v>4.798</v>
      </c>
      <c r="S7" s="15">
        <v>8.48</v>
      </c>
      <c r="T7" s="15">
        <v>8.4390000000000001</v>
      </c>
      <c r="U7" s="15">
        <v>5.633</v>
      </c>
      <c r="V7" s="15">
        <v>7.8890000000000002</v>
      </c>
      <c r="W7" s="15">
        <v>6.6109999999999998</v>
      </c>
      <c r="X7" s="15">
        <v>6.1449999999999996</v>
      </c>
      <c r="Y7" s="15">
        <v>9.6159999999999997</v>
      </c>
      <c r="Z7" s="15">
        <v>7.9779999999999998</v>
      </c>
      <c r="AA7" s="1">
        <v>8.3870000000000005</v>
      </c>
      <c r="AB7" s="1">
        <f>+AA7</f>
        <v>8.3870000000000005</v>
      </c>
      <c r="AC7" s="1">
        <f>+AB7+1</f>
        <v>9.3870000000000005</v>
      </c>
      <c r="AD7" s="1">
        <f>+AC7</f>
        <v>9.3870000000000005</v>
      </c>
      <c r="AJ7" s="1">
        <f t="shared" si="2"/>
        <v>20.637</v>
      </c>
      <c r="AK7" s="1">
        <f t="shared" si="3"/>
        <v>30.440999999999999</v>
      </c>
      <c r="AL7" s="1">
        <f>SUM(W7:Z7)</f>
        <v>30.35</v>
      </c>
      <c r="AM7" s="1">
        <f>SUM(AA7:AD7)</f>
        <v>35.548000000000002</v>
      </c>
      <c r="AN7" s="1">
        <f t="shared" ref="AN7:AW7" si="7">+AM7*1.01</f>
        <v>35.903480000000002</v>
      </c>
      <c r="AO7" s="1">
        <f t="shared" si="7"/>
        <v>36.262514800000005</v>
      </c>
      <c r="AP7" s="1">
        <f t="shared" si="7"/>
        <v>36.625139948000005</v>
      </c>
      <c r="AQ7" s="1">
        <f t="shared" si="7"/>
        <v>36.991391347480004</v>
      </c>
      <c r="AR7" s="1">
        <f t="shared" si="7"/>
        <v>37.361305260954808</v>
      </c>
      <c r="AS7" s="1">
        <f t="shared" si="7"/>
        <v>37.734918313564357</v>
      </c>
      <c r="AT7" s="1">
        <f t="shared" si="7"/>
        <v>38.112267496699999</v>
      </c>
      <c r="AU7" s="1">
        <f t="shared" si="7"/>
        <v>38.493390171667002</v>
      </c>
      <c r="AV7" s="1">
        <f t="shared" si="7"/>
        <v>38.878324073383673</v>
      </c>
      <c r="AW7" s="1">
        <f t="shared" si="7"/>
        <v>39.26710731411751</v>
      </c>
    </row>
    <row r="8" spans="1:54" s="1" customFormat="1" x14ac:dyDescent="0.25">
      <c r="B8" s="1" t="s">
        <v>17</v>
      </c>
      <c r="C8" s="15"/>
      <c r="D8" s="15"/>
      <c r="E8" s="15"/>
      <c r="F8" s="15"/>
      <c r="G8" s="15"/>
      <c r="H8" s="15"/>
      <c r="I8" s="15">
        <v>0</v>
      </c>
      <c r="J8" s="15"/>
      <c r="K8" s="15"/>
      <c r="L8" s="15"/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0.21199999999999999</v>
      </c>
      <c r="T8" s="15">
        <v>0.36499999999999999</v>
      </c>
      <c r="U8" s="15">
        <v>0.96299999999999997</v>
      </c>
      <c r="V8" s="15">
        <v>2.1019999999999999</v>
      </c>
      <c r="W8" s="15">
        <v>3.2749999999999999</v>
      </c>
      <c r="X8" s="15">
        <v>7.8559999999999999</v>
      </c>
      <c r="Y8" s="15">
        <v>10.657</v>
      </c>
      <c r="Z8" s="15">
        <v>10.374000000000001</v>
      </c>
      <c r="AA8" s="1">
        <v>11.031000000000001</v>
      </c>
      <c r="AB8" s="1">
        <f>+AA8+1</f>
        <v>12.031000000000001</v>
      </c>
      <c r="AC8" s="1">
        <f>+AB8+1</f>
        <v>13.031000000000001</v>
      </c>
      <c r="AD8" s="1">
        <f>+AC8+1</f>
        <v>14.031000000000001</v>
      </c>
      <c r="AJ8" s="1">
        <f t="shared" si="2"/>
        <v>0</v>
      </c>
      <c r="AK8" s="1">
        <f t="shared" si="3"/>
        <v>3.6419999999999999</v>
      </c>
      <c r="AL8" s="1">
        <f>SUM(W8:Z8)</f>
        <v>32.161999999999999</v>
      </c>
      <c r="AM8" s="1">
        <f>SUM(AA8:AD8)</f>
        <v>50.124000000000002</v>
      </c>
      <c r="AN8" s="1">
        <f t="shared" ref="AN8:AW8" si="8">+AM8*1.01</f>
        <v>50.625240000000005</v>
      </c>
      <c r="AO8" s="1">
        <f t="shared" si="8"/>
        <v>51.131492400000006</v>
      </c>
      <c r="AP8" s="1">
        <f t="shared" si="8"/>
        <v>51.642807324000003</v>
      </c>
      <c r="AQ8" s="1">
        <f t="shared" si="8"/>
        <v>52.159235397240003</v>
      </c>
      <c r="AR8" s="1">
        <f t="shared" si="8"/>
        <v>52.680827751212405</v>
      </c>
      <c r="AS8" s="1">
        <f t="shared" si="8"/>
        <v>53.207636028724529</v>
      </c>
      <c r="AT8" s="1">
        <f t="shared" si="8"/>
        <v>53.739712389011778</v>
      </c>
      <c r="AU8" s="1">
        <f t="shared" si="8"/>
        <v>54.277109512901895</v>
      </c>
      <c r="AV8" s="1">
        <f t="shared" si="8"/>
        <v>54.819880608030914</v>
      </c>
      <c r="AW8" s="1">
        <f t="shared" si="8"/>
        <v>55.368079414111222</v>
      </c>
    </row>
    <row r="9" spans="1:54" s="1" customFormat="1" x14ac:dyDescent="0.25">
      <c r="B9" s="1" t="s">
        <v>78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J9" s="1">
        <f t="shared" si="2"/>
        <v>0</v>
      </c>
      <c r="AK9" s="1">
        <f t="shared" si="3"/>
        <v>0</v>
      </c>
      <c r="AL9" s="1">
        <f>SUM(W9:Z9)</f>
        <v>0</v>
      </c>
      <c r="AM9" s="1">
        <f>SUM(AA9:AD9)</f>
        <v>0</v>
      </c>
      <c r="AN9" s="1">
        <v>100</v>
      </c>
      <c r="AO9" s="1">
        <v>150</v>
      </c>
      <c r="AP9" s="1">
        <v>200</v>
      </c>
      <c r="AQ9" s="1">
        <v>250</v>
      </c>
      <c r="AR9" s="1">
        <v>300</v>
      </c>
      <c r="AS9" s="1">
        <f>+AR9*1.03</f>
        <v>309</v>
      </c>
      <c r="AT9" s="1">
        <f>+AS9*1.03</f>
        <v>318.27</v>
      </c>
      <c r="AU9" s="1">
        <f>+AT9*1.03</f>
        <v>327.81810000000002</v>
      </c>
      <c r="AV9" s="1">
        <f>+AU9*1.03</f>
        <v>337.65264300000001</v>
      </c>
      <c r="AW9" s="1">
        <f>+AV9*1.03</f>
        <v>347.78222228999999</v>
      </c>
    </row>
    <row r="10" spans="1:54" s="1" customFormat="1" x14ac:dyDescent="0.25">
      <c r="B10" s="1" t="s">
        <v>73</v>
      </c>
      <c r="C10" s="15"/>
      <c r="D10" s="15"/>
      <c r="E10" s="15"/>
      <c r="F10" s="15"/>
      <c r="G10" s="15"/>
      <c r="H10" s="15"/>
      <c r="I10" s="15">
        <v>32.866</v>
      </c>
      <c r="J10" s="15"/>
      <c r="K10" s="15"/>
      <c r="L10" s="15"/>
      <c r="M10" s="15">
        <v>12.061</v>
      </c>
      <c r="N10" s="15">
        <v>8.2289999999999992</v>
      </c>
      <c r="O10" s="15">
        <v>3.2490000000000001</v>
      </c>
      <c r="P10" s="15">
        <v>1.4790000000000001</v>
      </c>
      <c r="Q10" s="15">
        <v>1.4790000000000001</v>
      </c>
      <c r="R10" s="15">
        <v>1.4790000000000001</v>
      </c>
      <c r="S10" s="15">
        <v>1.4790000000000001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">
        <v>0</v>
      </c>
      <c r="AB10" s="1">
        <v>0</v>
      </c>
      <c r="AC10" s="1">
        <v>0</v>
      </c>
      <c r="AD10" s="1">
        <v>0</v>
      </c>
      <c r="AJ10" s="1">
        <f t="shared" si="2"/>
        <v>7.6859999999999999</v>
      </c>
      <c r="AK10" s="1">
        <f t="shared" si="3"/>
        <v>1.4790000000000001</v>
      </c>
      <c r="AL10" s="1">
        <f t="shared" ref="AL4:AL13" si="9">SUM(W10:Z10)</f>
        <v>0</v>
      </c>
      <c r="AM10" s="1">
        <f>SUM(AA10:AD10)</f>
        <v>0</v>
      </c>
    </row>
    <row r="11" spans="1:54" s="1" customFormat="1" x14ac:dyDescent="0.25">
      <c r="B11" s="1" t="s">
        <v>31</v>
      </c>
      <c r="C11" s="15"/>
      <c r="D11" s="15"/>
      <c r="E11" s="15"/>
      <c r="F11" s="15"/>
      <c r="G11" s="15"/>
      <c r="H11" s="15"/>
      <c r="I11" s="15">
        <f t="shared" ref="I11" si="10">+I3+I6+I7+I8</f>
        <v>11.215</v>
      </c>
      <c r="J11" s="15"/>
      <c r="K11" s="15"/>
      <c r="L11" s="15"/>
      <c r="M11" s="15">
        <f t="shared" ref="M11" si="11">+M3+M6+M7+M8</f>
        <v>21.95</v>
      </c>
      <c r="N11" s="15">
        <f t="shared" ref="N11:O11" si="12">+N3+N6+N7+N8</f>
        <v>20.208000000000002</v>
      </c>
      <c r="O11" s="15">
        <f t="shared" si="12"/>
        <v>26.684000000000001</v>
      </c>
      <c r="P11" s="15">
        <f>+P3+P6+P7+P8</f>
        <v>30.832000000000001</v>
      </c>
      <c r="Q11" s="15">
        <f>+Q3+Q6+Q7+Q8</f>
        <v>32.503</v>
      </c>
      <c r="R11" s="15">
        <f>+R3+R6+R7+R8</f>
        <v>28.908000000000001</v>
      </c>
      <c r="S11" s="15">
        <f>+S3+S6+S7+S8</f>
        <v>44.229000000000013</v>
      </c>
      <c r="T11" s="15">
        <f>T3+T6+T7+T8</f>
        <v>42.179000000000002</v>
      </c>
      <c r="U11" s="15">
        <f>+U3+U6+U7+U8</f>
        <v>42.349000000000004</v>
      </c>
      <c r="V11" s="15">
        <f>+V3+V6+V7+V8</f>
        <v>51.656000000000006</v>
      </c>
      <c r="W11" s="15">
        <f>+W3+W6+W7+W8</f>
        <v>62.48899999999999</v>
      </c>
      <c r="X11" s="15">
        <f>X3+X6+X7+X8</f>
        <v>73.804999999999993</v>
      </c>
      <c r="Y11" s="15">
        <f>Y3+Y6+Y7+Y8</f>
        <v>77.250999999999991</v>
      </c>
      <c r="Z11" s="15">
        <f>Z3+Z6+Z7+Z8</f>
        <v>71.87</v>
      </c>
      <c r="AA11" s="15">
        <f>AA3+AA6+AA7+AA8</f>
        <v>91.507000000000005</v>
      </c>
      <c r="AB11" s="15">
        <f t="shared" ref="AB11:AD11" si="13">AB3+AB6+AB7+AB8</f>
        <v>98.507000000000005</v>
      </c>
      <c r="AC11" s="15">
        <f t="shared" si="13"/>
        <v>106.50700000000001</v>
      </c>
      <c r="AD11" s="15">
        <f t="shared" si="13"/>
        <v>113.50700000000001</v>
      </c>
      <c r="AJ11" s="15">
        <f>AJ3+AJ6+AJ7+AJ8+AJ9</f>
        <v>118.92699999999999</v>
      </c>
      <c r="AK11" s="15">
        <f t="shared" ref="AK11:AW11" si="14">AK3+AK6+AK7+AK8+AK9</f>
        <v>180.41300000000001</v>
      </c>
      <c r="AL11" s="15">
        <f t="shared" si="14"/>
        <v>285.41499999999996</v>
      </c>
      <c r="AM11" s="15">
        <f t="shared" si="14"/>
        <v>410.02800000000002</v>
      </c>
      <c r="AN11" s="15">
        <f t="shared" si="14"/>
        <v>511.80508000000003</v>
      </c>
      <c r="AO11" s="15">
        <f t="shared" si="14"/>
        <v>563.59993080000004</v>
      </c>
      <c r="AP11" s="15">
        <f t="shared" si="14"/>
        <v>615.41273010800001</v>
      </c>
      <c r="AQ11" s="15">
        <f t="shared" si="14"/>
        <v>667.24365740908001</v>
      </c>
      <c r="AR11" s="15">
        <f t="shared" si="14"/>
        <v>719.09289398317082</v>
      </c>
      <c r="AS11" s="15">
        <f t="shared" si="14"/>
        <v>729.96062292300257</v>
      </c>
      <c r="AT11" s="15">
        <f t="shared" si="14"/>
        <v>741.11702915223259</v>
      </c>
      <c r="AU11" s="15">
        <f t="shared" si="14"/>
        <v>752.57039944375492</v>
      </c>
      <c r="AV11" s="15">
        <f t="shared" si="14"/>
        <v>764.32926543819246</v>
      </c>
      <c r="AW11" s="15">
        <f t="shared" si="14"/>
        <v>776.4024109525742</v>
      </c>
    </row>
    <row r="12" spans="1:54" s="1" customFormat="1" x14ac:dyDescent="0.25">
      <c r="B12" s="1" t="s">
        <v>32</v>
      </c>
      <c r="C12" s="15"/>
      <c r="D12" s="15"/>
      <c r="E12" s="15"/>
      <c r="F12" s="15"/>
      <c r="G12" s="15"/>
      <c r="H12" s="15"/>
      <c r="I12" s="15">
        <f t="shared" ref="I12" si="15">+I4+I5</f>
        <v>37.389000000000003</v>
      </c>
      <c r="J12" s="15"/>
      <c r="K12" s="15"/>
      <c r="L12" s="15"/>
      <c r="M12" s="15">
        <f t="shared" ref="M12" si="16">+M4+M5</f>
        <v>47.635999999999996</v>
      </c>
      <c r="N12" s="15">
        <f t="shared" ref="N12:O12" si="17">+N4+N5</f>
        <v>54.951999999999998</v>
      </c>
      <c r="O12" s="15">
        <f t="shared" si="17"/>
        <v>50.002000000000002</v>
      </c>
      <c r="P12" s="15">
        <f>+P4+P5</f>
        <v>57.032000000000004</v>
      </c>
      <c r="Q12" s="15">
        <f>+Q4+Q5</f>
        <v>56.720999999999997</v>
      </c>
      <c r="R12" s="15">
        <f>+R4+R5</f>
        <v>72.961000000000013</v>
      </c>
      <c r="S12" s="15">
        <f>+S4+S5</f>
        <v>54.787999999999997</v>
      </c>
      <c r="T12" s="15">
        <f>+T4+T5</f>
        <v>66.13</v>
      </c>
      <c r="U12" s="15">
        <f>+U4+U5</f>
        <v>55.702999999999996</v>
      </c>
      <c r="V12" s="15">
        <f>+V4+V5</f>
        <v>75.73599999999999</v>
      </c>
      <c r="W12" s="15">
        <f>+W4+W5</f>
        <v>46.344000000000001</v>
      </c>
      <c r="X12" s="15">
        <f>+X4+X5</f>
        <v>73.221000000000004</v>
      </c>
      <c r="Y12" s="15">
        <f>+Y4+Y5</f>
        <v>62.243000000000002</v>
      </c>
      <c r="Z12" s="15">
        <f>+Z4+Z5</f>
        <v>93.007000000000005</v>
      </c>
      <c r="AA12" s="15">
        <f>+AA4+AA5</f>
        <v>47.785000000000004</v>
      </c>
      <c r="AB12" s="15">
        <f t="shared" ref="AB12:AD12" si="18">+AB4+AB5</f>
        <v>48.785000000000004</v>
      </c>
      <c r="AC12" s="15">
        <f t="shared" si="18"/>
        <v>49.785000000000004</v>
      </c>
      <c r="AD12" s="15">
        <f t="shared" si="18"/>
        <v>50.785000000000004</v>
      </c>
      <c r="AJ12" s="15">
        <f t="shared" ref="AJ12:AK12" si="19">+AJ4+AJ5</f>
        <v>236.71600000000001</v>
      </c>
      <c r="AK12" s="15">
        <f t="shared" ref="AK12:AL12" si="20">+AK4+AK5</f>
        <v>252.35699999999997</v>
      </c>
      <c r="AL12" s="15">
        <f t="shared" ref="AL12:AM12" si="21">+AL4+AL5</f>
        <v>274.815</v>
      </c>
      <c r="AM12" s="15">
        <f t="shared" si="21"/>
        <v>197.14000000000001</v>
      </c>
      <c r="AN12" s="15">
        <f t="shared" ref="AN12:AW12" si="22">+AN4+AN5</f>
        <v>197.14000000000001</v>
      </c>
      <c r="AO12" s="15">
        <f t="shared" si="22"/>
        <v>197.14000000000001</v>
      </c>
      <c r="AP12" s="15">
        <f t="shared" si="22"/>
        <v>197.14000000000001</v>
      </c>
      <c r="AQ12" s="15">
        <f t="shared" si="22"/>
        <v>197.14000000000001</v>
      </c>
      <c r="AR12" s="15">
        <f t="shared" si="22"/>
        <v>197.14000000000001</v>
      </c>
      <c r="AS12" s="15">
        <f t="shared" si="22"/>
        <v>197.14000000000001</v>
      </c>
      <c r="AT12" s="15">
        <f t="shared" si="22"/>
        <v>197.14000000000001</v>
      </c>
      <c r="AU12" s="15">
        <f t="shared" si="22"/>
        <v>197.14000000000001</v>
      </c>
      <c r="AV12" s="15">
        <f t="shared" si="22"/>
        <v>197.14000000000001</v>
      </c>
      <c r="AW12" s="15">
        <f t="shared" si="22"/>
        <v>197.14000000000001</v>
      </c>
    </row>
    <row r="13" spans="1:54" s="1" customFormat="1" x14ac:dyDescent="0.25">
      <c r="B13" s="1" t="s">
        <v>33</v>
      </c>
      <c r="C13" s="15"/>
      <c r="D13" s="15"/>
      <c r="E13" s="15"/>
      <c r="F13" s="15"/>
      <c r="G13" s="15"/>
      <c r="H13" s="15"/>
      <c r="I13" s="15">
        <f>+I10</f>
        <v>32.866</v>
      </c>
      <c r="J13" s="15"/>
      <c r="K13" s="15"/>
      <c r="L13" s="15"/>
      <c r="M13" s="15">
        <f>+M10</f>
        <v>12.061</v>
      </c>
      <c r="N13" s="15">
        <f>+N10</f>
        <v>8.2289999999999992</v>
      </c>
      <c r="O13" s="15">
        <v>3.2490000000000001</v>
      </c>
      <c r="P13" s="15">
        <v>1.4790000000000001</v>
      </c>
      <c r="Q13" s="15">
        <v>1.4790000000000001</v>
      </c>
      <c r="R13" s="15">
        <v>1.4790000000000001</v>
      </c>
      <c r="S13" s="15">
        <v>1.4790000000000001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">
        <v>0</v>
      </c>
      <c r="AB13" s="1">
        <v>0</v>
      </c>
      <c r="AC13" s="1">
        <v>0</v>
      </c>
      <c r="AD13" s="1">
        <v>0</v>
      </c>
      <c r="AJ13" s="1">
        <f t="shared" ref="AJ13" si="23">SUM(U13:X13)</f>
        <v>0</v>
      </c>
      <c r="AK13" s="1">
        <f t="shared" ref="AK13" si="24">SUM(V13:Y13)</f>
        <v>0</v>
      </c>
      <c r="AL13" s="1">
        <f t="shared" si="9"/>
        <v>0</v>
      </c>
      <c r="AM13" s="1">
        <f t="shared" ref="AM13" si="25">SUM(X13:AA13)</f>
        <v>0</v>
      </c>
      <c r="AN13" s="1">
        <f t="shared" ref="AN13" si="26">SUM(Y13:AB13)</f>
        <v>0</v>
      </c>
      <c r="AO13" s="1">
        <f t="shared" ref="AO13" si="27">SUM(Z13:AC13)</f>
        <v>0</v>
      </c>
      <c r="AP13" s="1">
        <f t="shared" ref="AP13" si="28">SUM(AA13:AD13)</f>
        <v>0</v>
      </c>
      <c r="AQ13" s="1">
        <f t="shared" ref="AQ13" si="29">SUM(AB13:AE13)</f>
        <v>0</v>
      </c>
      <c r="AR13" s="1">
        <f t="shared" ref="AR13" si="30">SUM(AC13:AF13)</f>
        <v>0</v>
      </c>
      <c r="AS13" s="1">
        <f t="shared" ref="AS13" si="31">SUM(AD13:AG13)</f>
        <v>0</v>
      </c>
      <c r="AT13" s="1">
        <f t="shared" ref="AT13" si="32">SUM(AE13:AH13)</f>
        <v>0</v>
      </c>
      <c r="AU13" s="1">
        <f t="shared" ref="AU13" si="33">SUM(AF13:AI13)</f>
        <v>0</v>
      </c>
      <c r="AV13" s="1">
        <f t="shared" ref="AV13" si="34">SUM(AG13:AJ13)</f>
        <v>0</v>
      </c>
      <c r="AW13" s="1">
        <f t="shared" ref="AW13" si="35">SUM(AH13:AK13)</f>
        <v>0</v>
      </c>
    </row>
    <row r="14" spans="1:54" s="16" customFormat="1" ht="13" x14ac:dyDescent="0.3">
      <c r="B14" s="16" t="s">
        <v>34</v>
      </c>
      <c r="C14" s="17"/>
      <c r="D14" s="17"/>
      <c r="E14" s="17"/>
      <c r="F14" s="17"/>
      <c r="G14" s="17"/>
      <c r="H14" s="17"/>
      <c r="I14" s="17">
        <f t="shared" ref="I14" si="36">SUM(I11:I13)</f>
        <v>81.47</v>
      </c>
      <c r="J14" s="17"/>
      <c r="K14" s="17"/>
      <c r="L14" s="17"/>
      <c r="M14" s="17">
        <f t="shared" ref="M14:P14" si="37">SUM(M11:M13)</f>
        <v>81.646999999999991</v>
      </c>
      <c r="N14" s="17">
        <f t="shared" si="37"/>
        <v>83.388999999999996</v>
      </c>
      <c r="O14" s="17">
        <f t="shared" si="37"/>
        <v>79.935000000000002</v>
      </c>
      <c r="P14" s="17">
        <f t="shared" si="37"/>
        <v>89.343000000000004</v>
      </c>
      <c r="Q14" s="17">
        <f t="shared" ref="Q14:U14" si="38">SUM(Q11:Q13)</f>
        <v>90.702999999999989</v>
      </c>
      <c r="R14" s="17">
        <f t="shared" si="38"/>
        <v>103.34800000000001</v>
      </c>
      <c r="S14" s="17">
        <f t="shared" si="38"/>
        <v>100.49600000000001</v>
      </c>
      <c r="T14" s="17">
        <f t="shared" ref="T14:W14" si="39">SUM(T11:T13)</f>
        <v>108.309</v>
      </c>
      <c r="U14" s="17">
        <f t="shared" si="38"/>
        <v>98.051999999999992</v>
      </c>
      <c r="V14" s="17">
        <f t="shared" si="39"/>
        <v>127.392</v>
      </c>
      <c r="W14" s="17">
        <f t="shared" si="39"/>
        <v>108.833</v>
      </c>
      <c r="X14" s="17">
        <f>SUM(X11:X13)</f>
        <v>147.02600000000001</v>
      </c>
      <c r="Y14" s="17">
        <f>SUM(Y11:Y13)</f>
        <v>139.494</v>
      </c>
      <c r="Z14" s="17">
        <f>SUM(Z11:Z13)</f>
        <v>164.87700000000001</v>
      </c>
      <c r="AA14" s="17">
        <f>SUM(AA11:AA13)</f>
        <v>139.292</v>
      </c>
      <c r="AB14" s="17">
        <f>SUM(AB11:AB13)</f>
        <v>147.292</v>
      </c>
      <c r="AC14" s="17">
        <f>SUM(AC11:AC13)</f>
        <v>156.292</v>
      </c>
      <c r="AD14" s="17">
        <f>SUM(AD11:AD13)</f>
        <v>164.292</v>
      </c>
      <c r="AJ14" s="17">
        <f t="shared" ref="AJ14" si="40">SUM(AJ11:AJ13)</f>
        <v>355.64300000000003</v>
      </c>
      <c r="AK14" s="17">
        <f t="shared" ref="AK14" si="41">SUM(AK11:AK13)</f>
        <v>432.77</v>
      </c>
      <c r="AL14" s="17">
        <f>SUM(AL11:AL13)</f>
        <v>560.23</v>
      </c>
      <c r="AM14" s="17">
        <f>SUM(AM11:AM13)</f>
        <v>607.16800000000001</v>
      </c>
      <c r="AN14" s="17">
        <f t="shared" ref="AN14:AW14" si="42">SUM(AN11:AN13)</f>
        <v>708.94508000000008</v>
      </c>
      <c r="AO14" s="17">
        <f t="shared" si="42"/>
        <v>760.73993080000002</v>
      </c>
      <c r="AP14" s="17">
        <f t="shared" si="42"/>
        <v>812.55273010799999</v>
      </c>
      <c r="AQ14" s="17">
        <f t="shared" si="42"/>
        <v>864.38365740908</v>
      </c>
      <c r="AR14" s="17">
        <f t="shared" si="42"/>
        <v>916.23289398317081</v>
      </c>
      <c r="AS14" s="17">
        <f t="shared" si="42"/>
        <v>927.10062292300256</v>
      </c>
      <c r="AT14" s="17">
        <f t="shared" si="42"/>
        <v>938.25702915223258</v>
      </c>
      <c r="AU14" s="17">
        <f t="shared" si="42"/>
        <v>949.71039944375491</v>
      </c>
      <c r="AV14" s="17">
        <f t="shared" si="42"/>
        <v>961.46926543819245</v>
      </c>
      <c r="AW14" s="17">
        <f t="shared" si="42"/>
        <v>973.54241095257419</v>
      </c>
    </row>
    <row r="15" spans="1:54" s="1" customFormat="1" x14ac:dyDescent="0.25">
      <c r="B15" s="1" t="s">
        <v>60</v>
      </c>
      <c r="C15" s="15"/>
      <c r="D15" s="15"/>
      <c r="E15" s="15"/>
      <c r="F15" s="15"/>
      <c r="G15" s="15"/>
      <c r="H15" s="15"/>
      <c r="I15" s="15">
        <v>2.3479999999999999</v>
      </c>
      <c r="J15" s="15"/>
      <c r="K15" s="15"/>
      <c r="L15" s="15"/>
      <c r="M15" s="15">
        <v>4.1749999999999998</v>
      </c>
      <c r="N15" s="15">
        <v>3.5089999999999999</v>
      </c>
      <c r="O15" s="15">
        <v>6.1</v>
      </c>
      <c r="P15" s="15">
        <v>8.27</v>
      </c>
      <c r="Q15" s="15">
        <v>8.6310000000000002</v>
      </c>
      <c r="R15" s="15">
        <v>5.319</v>
      </c>
      <c r="S15" s="15">
        <v>12.257</v>
      </c>
      <c r="T15" s="15">
        <v>9.9139999999999997</v>
      </c>
      <c r="U15" s="15">
        <v>10.987</v>
      </c>
      <c r="V15" s="15">
        <v>12.051</v>
      </c>
      <c r="W15" s="15">
        <v>17.533000000000001</v>
      </c>
      <c r="X15" s="15">
        <v>21.28</v>
      </c>
      <c r="Y15" s="15">
        <v>21.021000000000001</v>
      </c>
      <c r="Z15" s="15">
        <v>16.893999999999998</v>
      </c>
      <c r="AA15" s="1">
        <v>28.661999999999999</v>
      </c>
      <c r="AB15" s="1">
        <f>+AB14*0.1</f>
        <v>14.729200000000001</v>
      </c>
      <c r="AC15" s="1">
        <f>+AC14*0.1</f>
        <v>15.629200000000001</v>
      </c>
      <c r="AD15" s="1">
        <f>+AD14*0.1</f>
        <v>16.429200000000002</v>
      </c>
      <c r="AJ15" s="1">
        <f t="shared" ref="AJ15" si="43">SUM(O15:R15)</f>
        <v>28.319999999999997</v>
      </c>
      <c r="AK15" s="1">
        <f t="shared" ref="AK15" si="44">SUM(S15:V15)</f>
        <v>45.209000000000003</v>
      </c>
      <c r="AL15" s="1">
        <f>SUM(W15:Z15)</f>
        <v>76.728000000000009</v>
      </c>
      <c r="AM15" s="1">
        <f>+AM14*0.1</f>
        <v>60.716800000000006</v>
      </c>
      <c r="AN15" s="1">
        <f t="shared" ref="AN15:AW15" si="45">+AN14*0.1</f>
        <v>70.894508000000016</v>
      </c>
      <c r="AO15" s="1">
        <f t="shared" si="45"/>
        <v>76.073993080000008</v>
      </c>
      <c r="AP15" s="1">
        <f t="shared" si="45"/>
        <v>81.255273010800011</v>
      </c>
      <c r="AQ15" s="1">
        <f t="shared" si="45"/>
        <v>86.438365740908012</v>
      </c>
      <c r="AR15" s="1">
        <f t="shared" si="45"/>
        <v>91.623289398317084</v>
      </c>
      <c r="AS15" s="1">
        <f t="shared" si="45"/>
        <v>92.710062292300265</v>
      </c>
      <c r="AT15" s="1">
        <f t="shared" si="45"/>
        <v>93.82570291522326</v>
      </c>
      <c r="AU15" s="1">
        <f t="shared" si="45"/>
        <v>94.971039944375491</v>
      </c>
      <c r="AV15" s="1">
        <f t="shared" si="45"/>
        <v>96.146926543819248</v>
      </c>
      <c r="AW15" s="1">
        <f t="shared" si="45"/>
        <v>97.354241095257422</v>
      </c>
    </row>
    <row r="16" spans="1:54" s="1" customFormat="1" x14ac:dyDescent="0.25">
      <c r="B16" s="1" t="s">
        <v>61</v>
      </c>
      <c r="C16" s="15"/>
      <c r="D16" s="15"/>
      <c r="E16" s="15"/>
      <c r="F16" s="15"/>
      <c r="G16" s="15"/>
      <c r="H16" s="15"/>
      <c r="I16" s="15">
        <f>+I14-I15</f>
        <v>79.122</v>
      </c>
      <c r="J16" s="15"/>
      <c r="K16" s="15"/>
      <c r="L16" s="15"/>
      <c r="M16" s="15">
        <f t="shared" ref="M16:X16" si="46">+M14-M15</f>
        <v>77.471999999999994</v>
      </c>
      <c r="N16" s="15">
        <f t="shared" si="46"/>
        <v>79.88</v>
      </c>
      <c r="O16" s="15">
        <f t="shared" si="46"/>
        <v>73.835000000000008</v>
      </c>
      <c r="P16" s="15">
        <f t="shared" si="46"/>
        <v>81.073000000000008</v>
      </c>
      <c r="Q16" s="15">
        <f t="shared" si="46"/>
        <v>82.071999999999989</v>
      </c>
      <c r="R16" s="15">
        <f t="shared" si="46"/>
        <v>98.029000000000011</v>
      </c>
      <c r="S16" s="15">
        <f t="shared" si="46"/>
        <v>88.239000000000004</v>
      </c>
      <c r="T16" s="15">
        <f t="shared" si="46"/>
        <v>98.394999999999996</v>
      </c>
      <c r="U16" s="15">
        <f t="shared" si="46"/>
        <v>87.064999999999998</v>
      </c>
      <c r="V16" s="15">
        <f t="shared" si="46"/>
        <v>115.34099999999999</v>
      </c>
      <c r="W16" s="15">
        <f t="shared" si="46"/>
        <v>91.3</v>
      </c>
      <c r="X16" s="15">
        <f t="shared" si="46"/>
        <v>125.74600000000001</v>
      </c>
      <c r="Y16" s="15">
        <f t="shared" ref="Y16" si="47">+Y14-Y15</f>
        <v>118.473</v>
      </c>
      <c r="Z16" s="15">
        <f t="shared" ref="Z16" si="48">+Z14-Z15</f>
        <v>147.983</v>
      </c>
      <c r="AA16" s="15">
        <f t="shared" ref="AA16" si="49">+AA14-AA15</f>
        <v>110.63</v>
      </c>
      <c r="AB16" s="15">
        <f t="shared" ref="AB16" si="50">+AB14-AB15</f>
        <v>132.56280000000001</v>
      </c>
      <c r="AC16" s="15">
        <f t="shared" ref="AC16" si="51">+AC14-AC15</f>
        <v>140.6628</v>
      </c>
      <c r="AD16" s="15">
        <f t="shared" ref="AD16" si="52">+AD14-AD15</f>
        <v>147.86279999999999</v>
      </c>
      <c r="AJ16" s="1">
        <f>+AJ14-AJ15</f>
        <v>327.32300000000004</v>
      </c>
      <c r="AK16" s="1">
        <f>+AK14-AK15</f>
        <v>387.56099999999998</v>
      </c>
      <c r="AL16" s="1">
        <f>+AL14-AL15</f>
        <v>483.50200000000001</v>
      </c>
      <c r="AM16" s="1">
        <f>+AM14-AM15</f>
        <v>546.45119999999997</v>
      </c>
      <c r="AN16" s="1">
        <f t="shared" ref="AN16:AW16" si="53">+AN14-AN15</f>
        <v>638.0505720000001</v>
      </c>
      <c r="AO16" s="1">
        <f t="shared" si="53"/>
        <v>684.66593771999999</v>
      </c>
      <c r="AP16" s="1">
        <f t="shared" si="53"/>
        <v>731.29745709719998</v>
      </c>
      <c r="AQ16" s="1">
        <f t="shared" si="53"/>
        <v>777.94529166817199</v>
      </c>
      <c r="AR16" s="1">
        <f t="shared" si="53"/>
        <v>824.60960458485374</v>
      </c>
      <c r="AS16" s="1">
        <f t="shared" si="53"/>
        <v>834.39056063070234</v>
      </c>
      <c r="AT16" s="1">
        <f t="shared" si="53"/>
        <v>844.43132623700933</v>
      </c>
      <c r="AU16" s="1">
        <f t="shared" si="53"/>
        <v>854.73935949937936</v>
      </c>
      <c r="AV16" s="1">
        <f t="shared" si="53"/>
        <v>865.32233889437316</v>
      </c>
      <c r="AW16" s="1">
        <f t="shared" si="53"/>
        <v>876.18816985731678</v>
      </c>
    </row>
    <row r="17" spans="2:113" s="1" customFormat="1" x14ac:dyDescent="0.25">
      <c r="B17" s="1" t="s">
        <v>62</v>
      </c>
      <c r="C17" s="15"/>
      <c r="D17" s="15"/>
      <c r="E17" s="15"/>
      <c r="F17" s="15"/>
      <c r="G17" s="15"/>
      <c r="H17" s="15"/>
      <c r="I17" s="15">
        <v>87.313999999999993</v>
      </c>
      <c r="J17" s="15"/>
      <c r="K17" s="15"/>
      <c r="L17" s="15"/>
      <c r="M17" s="15">
        <v>113.417</v>
      </c>
      <c r="N17" s="15">
        <v>123.01300000000001</v>
      </c>
      <c r="O17" s="15">
        <v>143.155</v>
      </c>
      <c r="P17" s="15">
        <v>154.529</v>
      </c>
      <c r="Q17" s="15">
        <v>237.297</v>
      </c>
      <c r="R17" s="15">
        <v>170.80799999999999</v>
      </c>
      <c r="S17" s="15">
        <v>164.94900000000001</v>
      </c>
      <c r="T17" s="15">
        <v>164.94900000000001</v>
      </c>
      <c r="U17" s="15">
        <v>157.245</v>
      </c>
      <c r="V17" s="15">
        <v>160.55699999999999</v>
      </c>
      <c r="W17" s="15">
        <v>178.48699999999999</v>
      </c>
      <c r="X17" s="15">
        <v>161.50299999999999</v>
      </c>
      <c r="Y17" s="15">
        <v>170.10900000000001</v>
      </c>
      <c r="Z17" s="15">
        <v>187.76599999999999</v>
      </c>
      <c r="AA17" s="1">
        <v>165.77199999999999</v>
      </c>
      <c r="AB17" s="1">
        <f>+X17</f>
        <v>161.50299999999999</v>
      </c>
      <c r="AC17" s="1">
        <f t="shared" ref="AC17:AC18" si="54">+Y17</f>
        <v>170.10900000000001</v>
      </c>
      <c r="AD17" s="1">
        <f t="shared" ref="AD17:AD18" si="55">+Z17</f>
        <v>187.76599999999999</v>
      </c>
      <c r="AJ17" s="1">
        <f t="shared" ref="AJ17:AJ18" si="56">SUM(O17:R17)</f>
        <v>705.78899999999999</v>
      </c>
      <c r="AK17" s="1">
        <f t="shared" ref="AK17:AK18" si="57">SUM(S17:V17)</f>
        <v>647.70000000000005</v>
      </c>
      <c r="AL17" s="1">
        <f>SUM(W17:Z17)</f>
        <v>697.86500000000001</v>
      </c>
      <c r="AM17" s="1">
        <f t="shared" ref="AM17:AM18" si="58">SUM(AA17:AD17)</f>
        <v>685.15</v>
      </c>
      <c r="AN17" s="1">
        <f>+AM17*0.9</f>
        <v>616.63499999999999</v>
      </c>
      <c r="AO17" s="1">
        <f t="shared" ref="AO17:AW17" si="59">+AN17*0.9</f>
        <v>554.97149999999999</v>
      </c>
      <c r="AP17" s="1">
        <f t="shared" si="59"/>
        <v>499.47435000000002</v>
      </c>
      <c r="AQ17" s="1">
        <f t="shared" si="59"/>
        <v>449.52691500000003</v>
      </c>
      <c r="AR17" s="1">
        <f t="shared" si="59"/>
        <v>404.57422350000002</v>
      </c>
      <c r="AS17" s="1">
        <f t="shared" si="59"/>
        <v>364.11680115000001</v>
      </c>
      <c r="AT17" s="1">
        <f t="shared" si="59"/>
        <v>327.70512103500005</v>
      </c>
      <c r="AU17" s="1">
        <f t="shared" si="59"/>
        <v>294.93460893150007</v>
      </c>
      <c r="AV17" s="1">
        <f t="shared" si="59"/>
        <v>265.44114803835009</v>
      </c>
      <c r="AW17" s="1">
        <f t="shared" si="59"/>
        <v>238.89703323451508</v>
      </c>
    </row>
    <row r="18" spans="2:113" s="1" customFormat="1" x14ac:dyDescent="0.25">
      <c r="B18" s="1" t="s">
        <v>63</v>
      </c>
      <c r="C18" s="15"/>
      <c r="D18" s="15"/>
      <c r="E18" s="15"/>
      <c r="F18" s="15"/>
      <c r="G18" s="15"/>
      <c r="H18" s="15"/>
      <c r="I18" s="15">
        <v>42.122999999999998</v>
      </c>
      <c r="J18" s="15"/>
      <c r="K18" s="15"/>
      <c r="L18" s="15"/>
      <c r="M18" s="15">
        <v>53.883000000000003</v>
      </c>
      <c r="N18" s="15">
        <v>59.430999999999997</v>
      </c>
      <c r="O18" s="15">
        <v>67.311999999999998</v>
      </c>
      <c r="P18" s="15">
        <v>68.137</v>
      </c>
      <c r="Q18" s="15">
        <v>69.840999999999994</v>
      </c>
      <c r="R18" s="15">
        <v>72.849000000000004</v>
      </c>
      <c r="S18" s="15"/>
      <c r="T18" s="15">
        <v>81.403000000000006</v>
      </c>
      <c r="U18" s="15">
        <v>74.917000000000002</v>
      </c>
      <c r="V18" s="15">
        <v>76.832999999999998</v>
      </c>
      <c r="W18" s="15">
        <v>78.16</v>
      </c>
      <c r="X18" s="15">
        <v>80.603999999999999</v>
      </c>
      <c r="Y18" s="15">
        <v>80.350999999999999</v>
      </c>
      <c r="Z18" s="15">
        <v>82.495000000000005</v>
      </c>
      <c r="AA18" s="1">
        <v>87.796999999999997</v>
      </c>
      <c r="AB18" s="1">
        <f t="shared" ref="AB18" si="60">+X18</f>
        <v>80.603999999999999</v>
      </c>
      <c r="AC18" s="1">
        <f t="shared" si="54"/>
        <v>80.350999999999999</v>
      </c>
      <c r="AD18" s="1">
        <f t="shared" si="55"/>
        <v>82.495000000000005</v>
      </c>
      <c r="AJ18" s="1">
        <f t="shared" si="56"/>
        <v>278.13900000000001</v>
      </c>
      <c r="AK18" s="1">
        <f t="shared" si="57"/>
        <v>233.15299999999999</v>
      </c>
      <c r="AL18" s="1">
        <f>SUM(W18:Z18)</f>
        <v>321.61</v>
      </c>
      <c r="AM18" s="1">
        <f t="shared" si="58"/>
        <v>331.24700000000001</v>
      </c>
      <c r="AN18" s="1">
        <f t="shared" ref="AN18:AW18" si="61">+AM18*0.9</f>
        <v>298.1223</v>
      </c>
      <c r="AO18" s="1">
        <f t="shared" si="61"/>
        <v>268.31007</v>
      </c>
      <c r="AP18" s="1">
        <f t="shared" si="61"/>
        <v>241.479063</v>
      </c>
      <c r="AQ18" s="1">
        <f t="shared" si="61"/>
        <v>217.33115670000001</v>
      </c>
      <c r="AR18" s="1">
        <f t="shared" si="61"/>
        <v>195.59804103000002</v>
      </c>
      <c r="AS18" s="1">
        <f t="shared" si="61"/>
        <v>176.03823692700001</v>
      </c>
      <c r="AT18" s="1">
        <f t="shared" si="61"/>
        <v>158.43441323430002</v>
      </c>
      <c r="AU18" s="1">
        <f t="shared" si="61"/>
        <v>142.59097191087002</v>
      </c>
      <c r="AV18" s="1">
        <f t="shared" si="61"/>
        <v>128.33187471978303</v>
      </c>
      <c r="AW18" s="1">
        <f t="shared" si="61"/>
        <v>115.49868724780472</v>
      </c>
    </row>
    <row r="19" spans="2:113" s="1" customFormat="1" x14ac:dyDescent="0.25">
      <c r="B19" s="1" t="s">
        <v>58</v>
      </c>
      <c r="C19" s="15">
        <f t="shared" ref="C19:W19" si="62">+C17+C18</f>
        <v>0</v>
      </c>
      <c r="D19" s="15">
        <f t="shared" si="62"/>
        <v>0</v>
      </c>
      <c r="E19" s="15">
        <f t="shared" si="62"/>
        <v>0</v>
      </c>
      <c r="F19" s="15">
        <f t="shared" si="62"/>
        <v>0</v>
      </c>
      <c r="G19" s="15">
        <f t="shared" si="62"/>
        <v>0</v>
      </c>
      <c r="H19" s="15">
        <f t="shared" si="62"/>
        <v>0</v>
      </c>
      <c r="I19" s="15">
        <f t="shared" si="62"/>
        <v>129.43699999999998</v>
      </c>
      <c r="J19" s="15">
        <f t="shared" si="62"/>
        <v>0</v>
      </c>
      <c r="K19" s="15">
        <f t="shared" si="62"/>
        <v>0</v>
      </c>
      <c r="L19" s="15">
        <f t="shared" si="62"/>
        <v>0</v>
      </c>
      <c r="M19" s="15">
        <f t="shared" si="62"/>
        <v>167.3</v>
      </c>
      <c r="N19" s="15">
        <f t="shared" si="62"/>
        <v>182.44400000000002</v>
      </c>
      <c r="O19" s="15">
        <f t="shared" si="62"/>
        <v>210.46699999999998</v>
      </c>
      <c r="P19" s="15">
        <f t="shared" ref="P19" si="63">+P17+P18</f>
        <v>222.666</v>
      </c>
      <c r="Q19" s="15">
        <f t="shared" si="62"/>
        <v>307.13799999999998</v>
      </c>
      <c r="R19" s="15">
        <f t="shared" si="62"/>
        <v>243.65699999999998</v>
      </c>
      <c r="S19" s="15">
        <f>+S17+S18</f>
        <v>164.94900000000001</v>
      </c>
      <c r="T19" s="15">
        <f>+T17+T18</f>
        <v>246.35200000000003</v>
      </c>
      <c r="U19" s="15">
        <f t="shared" si="62"/>
        <v>232.16200000000001</v>
      </c>
      <c r="V19" s="15">
        <f t="shared" si="62"/>
        <v>237.39</v>
      </c>
      <c r="W19" s="15">
        <f t="shared" si="62"/>
        <v>256.64699999999999</v>
      </c>
      <c r="X19" s="15">
        <f>+X17+X18</f>
        <v>242.10699999999997</v>
      </c>
      <c r="Y19" s="15">
        <f t="shared" ref="Y19:AD19" si="64">+Y17+Y18</f>
        <v>250.46</v>
      </c>
      <c r="Z19" s="15">
        <f t="shared" si="64"/>
        <v>270.26099999999997</v>
      </c>
      <c r="AA19" s="15">
        <f t="shared" si="64"/>
        <v>253.56899999999999</v>
      </c>
      <c r="AB19" s="15">
        <f t="shared" si="64"/>
        <v>242.10699999999997</v>
      </c>
      <c r="AC19" s="15">
        <f t="shared" si="64"/>
        <v>250.46</v>
      </c>
      <c r="AD19" s="15">
        <f t="shared" si="64"/>
        <v>270.26099999999997</v>
      </c>
      <c r="AJ19" s="15">
        <f t="shared" ref="AJ19" si="65">+AJ17+AJ18</f>
        <v>983.928</v>
      </c>
      <c r="AK19" s="15">
        <f t="shared" ref="AK19" si="66">+AK17+AK18</f>
        <v>880.85300000000007</v>
      </c>
      <c r="AL19" s="15">
        <f t="shared" ref="AL19" si="67">+AL17+AL18</f>
        <v>1019.475</v>
      </c>
      <c r="AM19" s="15">
        <f t="shared" ref="AM19" si="68">+AM17+AM18</f>
        <v>1016.3969999999999</v>
      </c>
      <c r="AN19" s="15">
        <f t="shared" ref="AN19" si="69">+AN17+AN18</f>
        <v>914.75729999999999</v>
      </c>
      <c r="AO19" s="15">
        <f t="shared" ref="AO19" si="70">+AO17+AO18</f>
        <v>823.28156999999999</v>
      </c>
      <c r="AP19" s="15">
        <f t="shared" ref="AP19" si="71">+AP17+AP18</f>
        <v>740.95341299999995</v>
      </c>
      <c r="AQ19" s="15">
        <f t="shared" ref="AQ19" si="72">+AQ17+AQ18</f>
        <v>666.85807169999998</v>
      </c>
      <c r="AR19" s="15">
        <f t="shared" ref="AR19" si="73">+AR17+AR18</f>
        <v>600.17226453000001</v>
      </c>
      <c r="AS19" s="15">
        <f t="shared" ref="AS19" si="74">+AS17+AS18</f>
        <v>540.15503807699997</v>
      </c>
      <c r="AT19" s="15">
        <f t="shared" ref="AT19" si="75">+AT17+AT18</f>
        <v>486.13953426930004</v>
      </c>
      <c r="AU19" s="15">
        <f t="shared" ref="AU19" si="76">+AU17+AU18</f>
        <v>437.52558084237012</v>
      </c>
      <c r="AV19" s="15">
        <f t="shared" ref="AV19" si="77">+AV17+AV18</f>
        <v>393.77302275813315</v>
      </c>
      <c r="AW19" s="15">
        <f t="shared" ref="AW19" si="78">+AW17+AW18</f>
        <v>354.3957204823198</v>
      </c>
    </row>
    <row r="20" spans="2:113" s="1" customFormat="1" x14ac:dyDescent="0.25">
      <c r="B20" s="1" t="s">
        <v>59</v>
      </c>
      <c r="C20" s="15">
        <f t="shared" ref="C20:W20" si="79">+C16-C19</f>
        <v>0</v>
      </c>
      <c r="D20" s="15">
        <f t="shared" si="79"/>
        <v>0</v>
      </c>
      <c r="E20" s="15">
        <f t="shared" si="79"/>
        <v>0</v>
      </c>
      <c r="F20" s="15">
        <f t="shared" si="79"/>
        <v>0</v>
      </c>
      <c r="G20" s="15">
        <f t="shared" si="79"/>
        <v>0</v>
      </c>
      <c r="H20" s="15">
        <f t="shared" si="79"/>
        <v>0</v>
      </c>
      <c r="I20" s="15">
        <f t="shared" si="79"/>
        <v>-50.314999999999984</v>
      </c>
      <c r="J20" s="15">
        <f t="shared" si="79"/>
        <v>0</v>
      </c>
      <c r="K20" s="15">
        <f t="shared" si="79"/>
        <v>0</v>
      </c>
      <c r="L20" s="15">
        <f t="shared" si="79"/>
        <v>0</v>
      </c>
      <c r="M20" s="15">
        <f t="shared" si="79"/>
        <v>-89.828000000000017</v>
      </c>
      <c r="N20" s="15">
        <f t="shared" si="79"/>
        <v>-102.56400000000002</v>
      </c>
      <c r="O20" s="15">
        <f t="shared" si="79"/>
        <v>-136.63199999999998</v>
      </c>
      <c r="P20" s="15">
        <f t="shared" ref="P20" si="80">+P16-P19</f>
        <v>-141.59299999999999</v>
      </c>
      <c r="Q20" s="15">
        <f t="shared" si="79"/>
        <v>-225.06599999999997</v>
      </c>
      <c r="R20" s="15">
        <f t="shared" si="79"/>
        <v>-145.62799999999999</v>
      </c>
      <c r="S20" s="15">
        <f>+S16-S19</f>
        <v>-76.710000000000008</v>
      </c>
      <c r="T20" s="15">
        <f>+T16-T19</f>
        <v>-147.95700000000005</v>
      </c>
      <c r="U20" s="15">
        <f t="shared" si="79"/>
        <v>-145.09700000000001</v>
      </c>
      <c r="V20" s="15">
        <f t="shared" si="79"/>
        <v>-122.04899999999999</v>
      </c>
      <c r="W20" s="15">
        <f t="shared" si="79"/>
        <v>-165.34699999999998</v>
      </c>
      <c r="X20" s="15">
        <f>+X16-X19</f>
        <v>-116.36099999999996</v>
      </c>
      <c r="Y20" s="15">
        <f t="shared" ref="Y20:AD20" si="81">+Y16-Y19</f>
        <v>-131.98700000000002</v>
      </c>
      <c r="Z20" s="15">
        <f t="shared" si="81"/>
        <v>-122.27799999999996</v>
      </c>
      <c r="AA20" s="15">
        <f t="shared" si="81"/>
        <v>-142.93899999999999</v>
      </c>
      <c r="AB20" s="15">
        <f t="shared" si="81"/>
        <v>-109.54419999999996</v>
      </c>
      <c r="AC20" s="15">
        <f t="shared" si="81"/>
        <v>-109.7972</v>
      </c>
      <c r="AD20" s="15">
        <f t="shared" si="81"/>
        <v>-122.39819999999997</v>
      </c>
      <c r="AJ20" s="15">
        <f t="shared" ref="AJ20" si="82">+AJ16-AJ19</f>
        <v>-656.60500000000002</v>
      </c>
      <c r="AK20" s="15">
        <f t="shared" ref="AK20" si="83">+AK16-AK19</f>
        <v>-493.29200000000009</v>
      </c>
      <c r="AL20" s="15">
        <f t="shared" ref="AL20" si="84">+AL16-AL19</f>
        <v>-535.97299999999996</v>
      </c>
      <c r="AM20" s="15">
        <f t="shared" ref="AM20" si="85">+AM16-AM19</f>
        <v>-469.94579999999996</v>
      </c>
      <c r="AN20" s="15">
        <f t="shared" ref="AN20" si="86">+AN16-AN19</f>
        <v>-276.70672799999988</v>
      </c>
      <c r="AO20" s="15">
        <f t="shared" ref="AO20" si="87">+AO16-AO19</f>
        <v>-138.61563228</v>
      </c>
      <c r="AP20" s="15">
        <f t="shared" ref="AP20" si="88">+AP16-AP19</f>
        <v>-9.655955902799974</v>
      </c>
      <c r="AQ20" s="15">
        <f t="shared" ref="AQ20" si="89">+AQ16-AQ19</f>
        <v>111.08721996817201</v>
      </c>
      <c r="AR20" s="15">
        <f t="shared" ref="AR20" si="90">+AR16-AR19</f>
        <v>224.43734005485373</v>
      </c>
      <c r="AS20" s="15">
        <f t="shared" ref="AS20" si="91">+AS16-AS19</f>
        <v>294.23552255370237</v>
      </c>
      <c r="AT20" s="15">
        <f t="shared" ref="AT20" si="92">+AT16-AT19</f>
        <v>358.29179196770929</v>
      </c>
      <c r="AU20" s="15">
        <f t="shared" ref="AU20" si="93">+AU16-AU19</f>
        <v>417.21377865700924</v>
      </c>
      <c r="AV20" s="15">
        <f t="shared" ref="AV20" si="94">+AV16-AV19</f>
        <v>471.54931613624001</v>
      </c>
      <c r="AW20" s="15">
        <f t="shared" ref="AW20" si="95">+AW16-AW19</f>
        <v>521.79244937499698</v>
      </c>
    </row>
    <row r="21" spans="2:113" s="1" customFormat="1" x14ac:dyDescent="0.25">
      <c r="B21" s="1" t="s">
        <v>68</v>
      </c>
      <c r="C21" s="15"/>
      <c r="D21" s="15"/>
      <c r="E21" s="15"/>
      <c r="F21" s="15"/>
      <c r="G21" s="15"/>
      <c r="H21" s="15"/>
      <c r="I21" s="15">
        <v>1.885</v>
      </c>
      <c r="J21" s="15"/>
      <c r="K21" s="15"/>
      <c r="L21" s="15"/>
      <c r="M21" s="15">
        <v>-7.0000000000000001E-3</v>
      </c>
      <c r="N21" s="15">
        <v>0.03</v>
      </c>
      <c r="O21" s="15">
        <v>0.78300000000000003</v>
      </c>
      <c r="P21" s="15">
        <v>-3.1E-2</v>
      </c>
      <c r="Q21" s="15">
        <v>2.3780000000000001</v>
      </c>
      <c r="R21" s="15">
        <v>6.3780000000000001</v>
      </c>
      <c r="S21" s="15">
        <v>3.9750000000000001</v>
      </c>
      <c r="T21" s="15">
        <f>-15.375+3.975</f>
        <v>-11.4</v>
      </c>
      <c r="U21" s="15">
        <v>5.1820000000000004</v>
      </c>
      <c r="V21" s="15">
        <v>10.596</v>
      </c>
      <c r="W21" s="15">
        <v>7.2190000000000003</v>
      </c>
      <c r="X21" s="15">
        <v>5.5720000000000001</v>
      </c>
      <c r="Y21" s="15">
        <v>13.808</v>
      </c>
      <c r="Z21" s="15">
        <v>5.944</v>
      </c>
      <c r="AA21" s="1">
        <v>7.6680000000000001</v>
      </c>
      <c r="AB21" s="1">
        <f>+AA21</f>
        <v>7.6680000000000001</v>
      </c>
      <c r="AC21" s="1">
        <f>+AB21</f>
        <v>7.6680000000000001</v>
      </c>
      <c r="AD21" s="1">
        <f>+AC21</f>
        <v>7.6680000000000001</v>
      </c>
      <c r="AJ21" s="1">
        <f t="shared" ref="AJ21" si="96">SUM(O21:R21)</f>
        <v>9.5079999999999991</v>
      </c>
      <c r="AK21" s="1">
        <f t="shared" ref="AK21" si="97">SUM(S21:V21)</f>
        <v>8.3529999999999998</v>
      </c>
      <c r="AL21" s="1">
        <f>SUM(W21:Z21)</f>
        <v>32.542999999999999</v>
      </c>
      <c r="AM21" s="1">
        <f>SUM(AA21:AD21)</f>
        <v>30.672000000000001</v>
      </c>
      <c r="AN21" s="1">
        <f>+AM21</f>
        <v>30.672000000000001</v>
      </c>
      <c r="AO21" s="1">
        <f t="shared" ref="AO21:AW21" si="98">+AN21</f>
        <v>30.672000000000001</v>
      </c>
      <c r="AP21" s="1">
        <f t="shared" si="98"/>
        <v>30.672000000000001</v>
      </c>
      <c r="AQ21" s="1">
        <f t="shared" si="98"/>
        <v>30.672000000000001</v>
      </c>
      <c r="AR21" s="1">
        <f t="shared" si="98"/>
        <v>30.672000000000001</v>
      </c>
      <c r="AS21" s="1">
        <f t="shared" si="98"/>
        <v>30.672000000000001</v>
      </c>
      <c r="AT21" s="1">
        <f t="shared" si="98"/>
        <v>30.672000000000001</v>
      </c>
      <c r="AU21" s="1">
        <f t="shared" si="98"/>
        <v>30.672000000000001</v>
      </c>
      <c r="AV21" s="1">
        <f t="shared" si="98"/>
        <v>30.672000000000001</v>
      </c>
      <c r="AW21" s="1">
        <f t="shared" si="98"/>
        <v>30.672000000000001</v>
      </c>
    </row>
    <row r="22" spans="2:113" s="1" customFormat="1" x14ac:dyDescent="0.25">
      <c r="B22" s="1" t="s">
        <v>67</v>
      </c>
      <c r="C22" s="15"/>
      <c r="D22" s="15"/>
      <c r="E22" s="15"/>
      <c r="F22" s="15"/>
      <c r="G22" s="15"/>
      <c r="H22" s="15"/>
      <c r="I22" s="15">
        <f t="shared" ref="I22:M22" si="99">+I20+I21</f>
        <v>-48.429999999999986</v>
      </c>
      <c r="J22" s="15">
        <f t="shared" si="99"/>
        <v>0</v>
      </c>
      <c r="K22" s="15">
        <f t="shared" si="99"/>
        <v>0</v>
      </c>
      <c r="L22" s="15">
        <f t="shared" si="99"/>
        <v>0</v>
      </c>
      <c r="M22" s="15">
        <f t="shared" si="99"/>
        <v>-89.835000000000022</v>
      </c>
      <c r="N22" s="15">
        <f t="shared" ref="N22:X22" si="100">+N20+N21</f>
        <v>-102.53400000000002</v>
      </c>
      <c r="O22" s="15">
        <f t="shared" si="100"/>
        <v>-135.84899999999999</v>
      </c>
      <c r="P22" s="15">
        <f t="shared" si="100"/>
        <v>-141.624</v>
      </c>
      <c r="Q22" s="15">
        <f t="shared" si="100"/>
        <v>-222.68799999999999</v>
      </c>
      <c r="R22" s="15">
        <f t="shared" si="100"/>
        <v>-139.25</v>
      </c>
      <c r="S22" s="15">
        <f t="shared" si="100"/>
        <v>-72.735000000000014</v>
      </c>
      <c r="T22" s="15">
        <f t="shared" si="100"/>
        <v>-159.35700000000006</v>
      </c>
      <c r="U22" s="15">
        <f t="shared" si="100"/>
        <v>-139.91500000000002</v>
      </c>
      <c r="V22" s="15">
        <f t="shared" si="100"/>
        <v>-111.45299999999999</v>
      </c>
      <c r="W22" s="15">
        <f t="shared" si="100"/>
        <v>-158.12799999999999</v>
      </c>
      <c r="X22" s="15">
        <f t="shared" si="100"/>
        <v>-110.78899999999996</v>
      </c>
      <c r="Y22" s="15">
        <f t="shared" ref="Y22" si="101">+Y20+Y21</f>
        <v>-118.17900000000003</v>
      </c>
      <c r="Z22" s="15">
        <f t="shared" ref="Z22" si="102">+Z20+Z21</f>
        <v>-116.33399999999996</v>
      </c>
      <c r="AA22" s="15">
        <f t="shared" ref="AA22" si="103">+AA20+AA21</f>
        <v>-135.27099999999999</v>
      </c>
      <c r="AB22" s="15">
        <f t="shared" ref="AB22" si="104">+AB20+AB21</f>
        <v>-101.87619999999995</v>
      </c>
      <c r="AC22" s="15">
        <f t="shared" ref="AC22" si="105">+AC20+AC21</f>
        <v>-102.1292</v>
      </c>
      <c r="AD22" s="15">
        <f t="shared" ref="AD22" si="106">+AD20+AD21</f>
        <v>-114.73019999999997</v>
      </c>
      <c r="AJ22" s="15">
        <f t="shared" ref="AJ22" si="107">+AJ20+AJ21</f>
        <v>-647.09699999999998</v>
      </c>
      <c r="AK22" s="15">
        <f t="shared" ref="AK22" si="108">+AK20+AK21</f>
        <v>-484.93900000000008</v>
      </c>
      <c r="AL22" s="15">
        <f t="shared" ref="AL22" si="109">+AL20+AL21</f>
        <v>-503.42999999999995</v>
      </c>
      <c r="AM22" s="15">
        <f t="shared" ref="AM22" si="110">+AM20+AM21</f>
        <v>-439.27379999999994</v>
      </c>
      <c r="AN22" s="15">
        <f t="shared" ref="AN22" si="111">+AN20+AN21</f>
        <v>-246.03472799999989</v>
      </c>
      <c r="AO22" s="15">
        <f t="shared" ref="AO22" si="112">+AO20+AO21</f>
        <v>-107.94363228</v>
      </c>
      <c r="AP22" s="15">
        <f t="shared" ref="AP22" si="113">+AP20+AP21</f>
        <v>21.016044097200027</v>
      </c>
      <c r="AQ22" s="15">
        <f t="shared" ref="AQ22" si="114">+AQ20+AQ21</f>
        <v>141.759219968172</v>
      </c>
      <c r="AR22" s="15">
        <f t="shared" ref="AR22" si="115">+AR20+AR21</f>
        <v>255.10934005485373</v>
      </c>
      <c r="AS22" s="15">
        <f t="shared" ref="AS22" si="116">+AS20+AS21</f>
        <v>324.90752255370239</v>
      </c>
      <c r="AT22" s="15">
        <f t="shared" ref="AT22" si="117">+AT20+AT21</f>
        <v>388.96379196770931</v>
      </c>
      <c r="AU22" s="15">
        <f t="shared" ref="AU22" si="118">+AU20+AU21</f>
        <v>447.88577865700927</v>
      </c>
      <c r="AV22" s="15">
        <f t="shared" ref="AV22" si="119">+AV20+AV21</f>
        <v>502.22131613624003</v>
      </c>
      <c r="AW22" s="15">
        <f t="shared" ref="AW22" si="120">+AW20+AW21</f>
        <v>552.464449374997</v>
      </c>
    </row>
    <row r="23" spans="2:113" s="1" customFormat="1" x14ac:dyDescent="0.25">
      <c r="B23" s="1" t="s">
        <v>66</v>
      </c>
      <c r="C23" s="15"/>
      <c r="D23" s="15"/>
      <c r="E23" s="15"/>
      <c r="F23" s="15"/>
      <c r="G23" s="15"/>
      <c r="H23" s="15"/>
      <c r="I23" s="15">
        <v>-0.313</v>
      </c>
      <c r="J23" s="15"/>
      <c r="K23" s="15"/>
      <c r="L23" s="15"/>
      <c r="M23" s="15">
        <v>0.182</v>
      </c>
      <c r="N23" s="15">
        <v>0.02</v>
      </c>
      <c r="O23" s="15">
        <v>0.55800000000000005</v>
      </c>
      <c r="P23" s="15">
        <v>0.30199999999999999</v>
      </c>
      <c r="Q23" s="15">
        <v>6.2869999999999999</v>
      </c>
      <c r="R23" s="15">
        <v>-1.4510000000000001</v>
      </c>
      <c r="S23" s="15">
        <v>0.73199999999999998</v>
      </c>
      <c r="T23" s="15">
        <v>0.73199999999999998</v>
      </c>
      <c r="U23" s="15">
        <v>0.65</v>
      </c>
      <c r="V23" s="15">
        <v>-3.702</v>
      </c>
      <c r="W23" s="15">
        <v>0.45500000000000002</v>
      </c>
      <c r="X23" s="15">
        <v>0.85799999999999998</v>
      </c>
      <c r="Y23" s="15">
        <v>-0.30299999999999999</v>
      </c>
      <c r="Z23" s="15">
        <v>0</v>
      </c>
      <c r="AA23" s="1">
        <v>0</v>
      </c>
      <c r="AB23" s="1">
        <v>0</v>
      </c>
      <c r="AC23" s="1">
        <v>0</v>
      </c>
      <c r="AD23" s="1">
        <v>0</v>
      </c>
      <c r="AJ23" s="1">
        <f t="shared" ref="AJ23" si="121">SUM(O23:R23)</f>
        <v>5.6959999999999997</v>
      </c>
      <c r="AK23" s="1">
        <f t="shared" ref="AK23" si="122">SUM(S23:V23)</f>
        <v>-1.5880000000000001</v>
      </c>
      <c r="AL23" s="1">
        <f>SUM(W23:Z23)</f>
        <v>1.01</v>
      </c>
      <c r="AM23" s="1">
        <f>SUM(AA23:AD23)</f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</row>
    <row r="24" spans="2:113" s="1" customFormat="1" x14ac:dyDescent="0.25">
      <c r="B24" s="1" t="s">
        <v>65</v>
      </c>
      <c r="C24" s="15"/>
      <c r="D24" s="15"/>
      <c r="E24" s="15"/>
      <c r="F24" s="15"/>
      <c r="G24" s="15"/>
      <c r="H24" s="15"/>
      <c r="I24" s="15">
        <f t="shared" ref="I24:M24" si="123">+I22-I23</f>
        <v>-48.116999999999983</v>
      </c>
      <c r="J24" s="15">
        <f t="shared" si="123"/>
        <v>0</v>
      </c>
      <c r="K24" s="15">
        <f t="shared" si="123"/>
        <v>0</v>
      </c>
      <c r="L24" s="15">
        <f t="shared" si="123"/>
        <v>0</v>
      </c>
      <c r="M24" s="15">
        <f t="shared" si="123"/>
        <v>-90.017000000000024</v>
      </c>
      <c r="N24" s="15">
        <f t="shared" ref="N24:X24" si="124">+N22-N23</f>
        <v>-102.55400000000002</v>
      </c>
      <c r="O24" s="15">
        <f t="shared" si="124"/>
        <v>-136.40699999999998</v>
      </c>
      <c r="P24" s="15">
        <f t="shared" si="124"/>
        <v>-141.92599999999999</v>
      </c>
      <c r="Q24" s="15">
        <f t="shared" si="124"/>
        <v>-228.97499999999999</v>
      </c>
      <c r="R24" s="15">
        <f t="shared" si="124"/>
        <v>-137.79900000000001</v>
      </c>
      <c r="S24" s="15">
        <f t="shared" si="124"/>
        <v>-73.467000000000013</v>
      </c>
      <c r="T24" s="15">
        <f t="shared" si="124"/>
        <v>-160.08900000000006</v>
      </c>
      <c r="U24" s="15">
        <f t="shared" si="124"/>
        <v>-140.56500000000003</v>
      </c>
      <c r="V24" s="15">
        <f t="shared" si="124"/>
        <v>-107.75099999999999</v>
      </c>
      <c r="W24" s="15">
        <f t="shared" si="124"/>
        <v>-158.583</v>
      </c>
      <c r="X24" s="15">
        <f t="shared" si="124"/>
        <v>-111.64699999999996</v>
      </c>
      <c r="Y24" s="15">
        <f t="shared" ref="Y24" si="125">+Y22-Y23</f>
        <v>-117.87600000000003</v>
      </c>
      <c r="Z24" s="15">
        <f t="shared" ref="Z24" si="126">+Z22-Z23</f>
        <v>-116.33399999999996</v>
      </c>
      <c r="AA24" s="15">
        <f t="shared" ref="AA24" si="127">+AA22-AA23</f>
        <v>-135.27099999999999</v>
      </c>
      <c r="AB24" s="15">
        <f t="shared" ref="AB24" si="128">+AB22-AB23</f>
        <v>-101.87619999999995</v>
      </c>
      <c r="AC24" s="15">
        <f t="shared" ref="AC24" si="129">+AC22-AC23</f>
        <v>-102.1292</v>
      </c>
      <c r="AD24" s="15">
        <f t="shared" ref="AD24" si="130">+AD22-AD23</f>
        <v>-114.73019999999997</v>
      </c>
      <c r="AJ24" s="1">
        <f>+-AJ22-AJ23</f>
        <v>641.40099999999995</v>
      </c>
      <c r="AK24" s="1">
        <f>+-AK22-AK23</f>
        <v>486.5270000000001</v>
      </c>
      <c r="AL24" s="1">
        <f>+-AL22-AL23</f>
        <v>502.41999999999996</v>
      </c>
      <c r="AM24" s="1">
        <f>+-AM22-AM23</f>
        <v>439.27379999999994</v>
      </c>
      <c r="AN24" s="1">
        <f>+AN22-AN23</f>
        <v>-246.03472799999989</v>
      </c>
      <c r="AO24" s="1">
        <f t="shared" ref="AO24:AW24" si="131">+AO22-AO23</f>
        <v>-107.94363228</v>
      </c>
      <c r="AP24" s="1">
        <f t="shared" si="131"/>
        <v>21.016044097200027</v>
      </c>
      <c r="AQ24" s="1">
        <f t="shared" si="131"/>
        <v>141.759219968172</v>
      </c>
      <c r="AR24" s="1">
        <f t="shared" si="131"/>
        <v>255.10934005485373</v>
      </c>
      <c r="AS24" s="1">
        <f t="shared" si="131"/>
        <v>324.90752255370239</v>
      </c>
      <c r="AT24" s="1">
        <f t="shared" si="131"/>
        <v>388.96379196770931</v>
      </c>
      <c r="AU24" s="1">
        <f t="shared" si="131"/>
        <v>447.88577865700927</v>
      </c>
      <c r="AV24" s="1">
        <f t="shared" si="131"/>
        <v>502.22131613624003</v>
      </c>
      <c r="AW24" s="1">
        <f t="shared" si="131"/>
        <v>552.464449374997</v>
      </c>
      <c r="AX24" s="1">
        <f>+AW24*(1+$AZ$30)</f>
        <v>524.84122690624713</v>
      </c>
      <c r="AY24" s="1">
        <f t="shared" ref="AY24:DI24" si="132">+AX24*(1+$AZ$30)</f>
        <v>498.59916556093475</v>
      </c>
      <c r="AZ24" s="1">
        <f t="shared" si="132"/>
        <v>473.66920728288801</v>
      </c>
      <c r="BA24" s="1">
        <f t="shared" si="132"/>
        <v>449.98574691874359</v>
      </c>
      <c r="BB24" s="1">
        <f t="shared" si="132"/>
        <v>427.48645957280638</v>
      </c>
      <c r="BC24" s="1">
        <f t="shared" si="132"/>
        <v>406.11213659416603</v>
      </c>
      <c r="BD24" s="1">
        <f t="shared" si="132"/>
        <v>385.80652976445771</v>
      </c>
      <c r="BE24" s="1">
        <f t="shared" si="132"/>
        <v>366.51620327623482</v>
      </c>
      <c r="BF24" s="1">
        <f t="shared" si="132"/>
        <v>348.19039311242307</v>
      </c>
      <c r="BG24" s="1">
        <f t="shared" si="132"/>
        <v>330.78087345680188</v>
      </c>
      <c r="BH24" s="1">
        <f t="shared" si="132"/>
        <v>314.24182978396175</v>
      </c>
      <c r="BI24" s="1">
        <f t="shared" si="132"/>
        <v>298.52973829476366</v>
      </c>
      <c r="BJ24" s="1">
        <f t="shared" si="132"/>
        <v>283.60325138002548</v>
      </c>
      <c r="BK24" s="1">
        <f t="shared" si="132"/>
        <v>269.42308881102417</v>
      </c>
      <c r="BL24" s="1">
        <f t="shared" si="132"/>
        <v>255.95193437047294</v>
      </c>
      <c r="BM24" s="1">
        <f t="shared" si="132"/>
        <v>243.15433765194928</v>
      </c>
      <c r="BN24" s="1">
        <f t="shared" si="132"/>
        <v>230.99662076935181</v>
      </c>
      <c r="BO24" s="1">
        <f t="shared" si="132"/>
        <v>219.44678973088421</v>
      </c>
      <c r="BP24" s="1">
        <f t="shared" si="132"/>
        <v>208.47445024433998</v>
      </c>
      <c r="BQ24" s="1">
        <f t="shared" si="132"/>
        <v>198.05072773212297</v>
      </c>
      <c r="BR24" s="1">
        <f t="shared" si="132"/>
        <v>188.14819134551681</v>
      </c>
      <c r="BS24" s="1">
        <f t="shared" si="132"/>
        <v>178.74078177824097</v>
      </c>
      <c r="BT24" s="1">
        <f t="shared" si="132"/>
        <v>169.80374268932891</v>
      </c>
      <c r="BU24" s="1">
        <f t="shared" si="132"/>
        <v>161.31355555486246</v>
      </c>
      <c r="BV24" s="1">
        <f t="shared" si="132"/>
        <v>153.24787777711933</v>
      </c>
      <c r="BW24" s="1">
        <f t="shared" si="132"/>
        <v>145.58548388826335</v>
      </c>
      <c r="BX24" s="1">
        <f t="shared" si="132"/>
        <v>138.30620969385018</v>
      </c>
      <c r="BY24" s="1">
        <f t="shared" si="132"/>
        <v>131.39089920915765</v>
      </c>
      <c r="BZ24" s="1">
        <f t="shared" si="132"/>
        <v>124.82135424869976</v>
      </c>
      <c r="CA24" s="1">
        <f t="shared" si="132"/>
        <v>118.58028653626477</v>
      </c>
      <c r="CB24" s="1">
        <f t="shared" si="132"/>
        <v>112.65127220945152</v>
      </c>
      <c r="CC24" s="1">
        <f t="shared" si="132"/>
        <v>107.01870859897893</v>
      </c>
      <c r="CD24" s="1">
        <f t="shared" si="132"/>
        <v>101.66777316902999</v>
      </c>
      <c r="CE24" s="1">
        <f t="shared" si="132"/>
        <v>96.584384510578488</v>
      </c>
      <c r="CF24" s="1">
        <f t="shared" si="132"/>
        <v>91.755165285049557</v>
      </c>
      <c r="CG24" s="1">
        <f t="shared" si="132"/>
        <v>87.167407020797071</v>
      </c>
      <c r="CH24" s="1">
        <f t="shared" si="132"/>
        <v>82.809036669757219</v>
      </c>
      <c r="CI24" s="1">
        <f t="shared" si="132"/>
        <v>78.66858483626936</v>
      </c>
      <c r="CJ24" s="1">
        <f t="shared" si="132"/>
        <v>74.73515559445589</v>
      </c>
      <c r="CK24" s="1">
        <f t="shared" si="132"/>
        <v>70.998397814733096</v>
      </c>
      <c r="CL24" s="1">
        <f t="shared" si="132"/>
        <v>67.448477923996435</v>
      </c>
      <c r="CM24" s="1">
        <f t="shared" si="132"/>
        <v>64.076054027796616</v>
      </c>
      <c r="CN24" s="1">
        <f t="shared" si="132"/>
        <v>60.872251326406783</v>
      </c>
      <c r="CO24" s="1">
        <f t="shared" si="132"/>
        <v>57.828638760086442</v>
      </c>
      <c r="CP24" s="1">
        <f t="shared" si="132"/>
        <v>54.937206822082118</v>
      </c>
      <c r="CQ24" s="1">
        <f t="shared" si="132"/>
        <v>52.190346480978008</v>
      </c>
      <c r="CR24" s="1">
        <f t="shared" si="132"/>
        <v>49.580829156929106</v>
      </c>
      <c r="CS24" s="1">
        <f t="shared" si="132"/>
        <v>47.101787699082649</v>
      </c>
      <c r="CT24" s="1">
        <f t="shared" si="132"/>
        <v>44.746698314128516</v>
      </c>
      <c r="CU24" s="1">
        <f t="shared" si="132"/>
        <v>42.509363398422089</v>
      </c>
      <c r="CV24" s="1">
        <f t="shared" si="132"/>
        <v>40.383895228500982</v>
      </c>
      <c r="CW24" s="1">
        <f t="shared" si="132"/>
        <v>38.364700467075934</v>
      </c>
      <c r="CX24" s="1">
        <f t="shared" si="132"/>
        <v>36.446465443722133</v>
      </c>
      <c r="CY24" s="1">
        <f t="shared" si="132"/>
        <v>34.624142171536022</v>
      </c>
      <c r="CZ24" s="1">
        <f t="shared" si="132"/>
        <v>32.892935062959218</v>
      </c>
      <c r="DA24" s="1">
        <f t="shared" si="132"/>
        <v>31.248288309811254</v>
      </c>
      <c r="DB24" s="1">
        <f t="shared" si="132"/>
        <v>29.685873894320689</v>
      </c>
      <c r="DC24" s="1">
        <f t="shared" si="132"/>
        <v>28.201580199604653</v>
      </c>
      <c r="DD24" s="1">
        <f t="shared" si="132"/>
        <v>26.79150118962442</v>
      </c>
      <c r="DE24" s="1">
        <f t="shared" si="132"/>
        <v>25.451926130143196</v>
      </c>
      <c r="DF24" s="1">
        <f t="shared" si="132"/>
        <v>24.179329823636035</v>
      </c>
      <c r="DG24" s="1">
        <f t="shared" si="132"/>
        <v>22.970363332454234</v>
      </c>
      <c r="DH24" s="1">
        <f t="shared" si="132"/>
        <v>21.821845165831522</v>
      </c>
      <c r="DI24" s="1">
        <f t="shared" si="132"/>
        <v>20.730752907539944</v>
      </c>
    </row>
    <row r="25" spans="2:113" x14ac:dyDescent="0.25">
      <c r="B25" t="s">
        <v>64</v>
      </c>
      <c r="I25" s="18">
        <f t="shared" ref="I25:M25" si="133">+I24/I26</f>
        <v>-0.79286930746506767</v>
      </c>
      <c r="J25" s="18" t="e">
        <f t="shared" si="133"/>
        <v>#DIV/0!</v>
      </c>
      <c r="K25" s="18" t="e">
        <f t="shared" si="133"/>
        <v>#DIV/0!</v>
      </c>
      <c r="L25" s="18" t="e">
        <f t="shared" si="133"/>
        <v>#DIV/0!</v>
      </c>
      <c r="M25" s="18">
        <f t="shared" si="133"/>
        <v>-1.3262102185737119</v>
      </c>
      <c r="N25" s="18">
        <f t="shared" ref="N25:X25" si="134">+N24/N26</f>
        <v>-1.4955984162646163</v>
      </c>
      <c r="O25" s="18">
        <f t="shared" si="134"/>
        <v>-1.9622200534697662</v>
      </c>
      <c r="P25" s="18">
        <f t="shared" si="134"/>
        <v>-2.0296785609592445</v>
      </c>
      <c r="Q25" s="18">
        <f t="shared" si="134"/>
        <v>-3.2685419039919288</v>
      </c>
      <c r="R25" s="18">
        <f t="shared" si="134"/>
        <v>-1.9642864473857069</v>
      </c>
      <c r="S25" s="18">
        <f t="shared" si="134"/>
        <v>-1.0362352862720752</v>
      </c>
      <c r="T25" s="18">
        <f t="shared" si="134"/>
        <v>-2.2580188485171608</v>
      </c>
      <c r="U25" s="18">
        <f t="shared" si="134"/>
        <v>-1.9614315836993368</v>
      </c>
      <c r="V25" s="18">
        <f t="shared" si="134"/>
        <v>-1.3283098743248072</v>
      </c>
      <c r="W25" s="18">
        <f t="shared" si="134"/>
        <v>-1.8814803242263878</v>
      </c>
      <c r="X25" s="18">
        <f t="shared" si="134"/>
        <v>-1.2895164542562898</v>
      </c>
      <c r="Y25" s="18">
        <f t="shared" ref="Y25" si="135">+Y24/Y26</f>
        <v>-1.2343812693732079</v>
      </c>
      <c r="Z25" s="18">
        <f t="shared" ref="Z25" si="136">+Z24/Z26</f>
        <v>-1.2158469461337911</v>
      </c>
      <c r="AA25" s="18">
        <f t="shared" ref="AA25" si="137">+AA24/AA26</f>
        <v>-1.404848858094905</v>
      </c>
      <c r="AB25" s="18">
        <f t="shared" ref="AB25" si="138">+AB24/AB26</f>
        <v>-1.0580291654312315</v>
      </c>
      <c r="AC25" s="18">
        <f t="shared" ref="AC25" si="139">+AC24/AC26</f>
        <v>-1.060656681758442</v>
      </c>
      <c r="AD25" s="18">
        <f t="shared" ref="AD25" si="140">+AD24/AD26</f>
        <v>-1.1915236115575405</v>
      </c>
      <c r="AJ25" s="21">
        <f>+AJ24/AJ26</f>
        <v>9.1743921387339569</v>
      </c>
      <c r="AK25" s="21">
        <f>+AK24/AK26</f>
        <v>6.6063965896210775</v>
      </c>
      <c r="AL25" s="21">
        <f>+AL24/AL26</f>
        <v>5.5509542663742391</v>
      </c>
      <c r="AM25" s="21">
        <f>+AM24/AM26</f>
        <v>4.5620517059902692</v>
      </c>
      <c r="AN25" s="21">
        <f>+AN24/AN26</f>
        <v>-2.5551789125717295</v>
      </c>
      <c r="AO25" s="21">
        <f t="shared" ref="AO25:AW25" si="141">+AO24/AO26</f>
        <v>-1.1210421195021427</v>
      </c>
      <c r="AP25" s="21">
        <f t="shared" si="141"/>
        <v>0.21826086560773286</v>
      </c>
      <c r="AQ25" s="21">
        <f t="shared" si="141"/>
        <v>1.4722318774660565</v>
      </c>
      <c r="AR25" s="21">
        <f t="shared" si="141"/>
        <v>2.6494227518492961</v>
      </c>
      <c r="AS25" s="21">
        <f t="shared" si="141"/>
        <v>3.3743075902892228</v>
      </c>
      <c r="AT25" s="21">
        <f t="shared" si="141"/>
        <v>4.0395601347376795</v>
      </c>
      <c r="AU25" s="21">
        <f t="shared" si="141"/>
        <v>4.6514908938593411</v>
      </c>
      <c r="AV25" s="21">
        <f t="shared" si="141"/>
        <v>5.2157893597660783</v>
      </c>
      <c r="AW25" s="21">
        <f t="shared" si="141"/>
        <v>5.7375864068610056</v>
      </c>
    </row>
    <row r="26" spans="2:113" s="1" customFormat="1" x14ac:dyDescent="0.25">
      <c r="B26" s="1" t="s">
        <v>1</v>
      </c>
      <c r="C26" s="15"/>
      <c r="D26" s="15"/>
      <c r="E26" s="15"/>
      <c r="F26" s="15"/>
      <c r="G26" s="15"/>
      <c r="H26" s="15"/>
      <c r="I26" s="15">
        <v>60.687176999999998</v>
      </c>
      <c r="J26" s="15"/>
      <c r="K26" s="15"/>
      <c r="L26" s="15"/>
      <c r="M26" s="15">
        <v>67.875362999999993</v>
      </c>
      <c r="N26" s="15">
        <v>68.570545999999993</v>
      </c>
      <c r="O26" s="15">
        <v>69.516667999999996</v>
      </c>
      <c r="P26" s="15">
        <v>69.925358000000003</v>
      </c>
      <c r="Q26" s="15">
        <v>70.054173000000006</v>
      </c>
      <c r="R26" s="15">
        <v>70.152191999999999</v>
      </c>
      <c r="S26" s="15">
        <v>70.897991000000005</v>
      </c>
      <c r="T26" s="15">
        <v>70.897991000000005</v>
      </c>
      <c r="U26" s="15">
        <v>71.664492999999993</v>
      </c>
      <c r="V26" s="15">
        <v>81.118872999999994</v>
      </c>
      <c r="W26" s="15">
        <v>84.286292000000003</v>
      </c>
      <c r="X26" s="15">
        <v>86.580516000000003</v>
      </c>
      <c r="Y26" s="15">
        <v>95.493995999999996</v>
      </c>
      <c r="Z26" s="15">
        <v>95.681450999999996</v>
      </c>
      <c r="AA26" s="1">
        <v>96.288650000000004</v>
      </c>
      <c r="AB26" s="1">
        <f>+AA26</f>
        <v>96.288650000000004</v>
      </c>
      <c r="AC26" s="1">
        <f>+AB26</f>
        <v>96.288650000000004</v>
      </c>
      <c r="AD26" s="1">
        <f>+AC26</f>
        <v>96.288650000000004</v>
      </c>
      <c r="AJ26" s="1">
        <f>AVERAGE(O26:R26)</f>
        <v>69.912097750000001</v>
      </c>
      <c r="AK26" s="1">
        <f>AVERAGE(S26:V26)</f>
        <v>73.644836999999995</v>
      </c>
      <c r="AL26" s="1">
        <f>AVERAGE(W26:Z26)</f>
        <v>90.510563749999989</v>
      </c>
      <c r="AM26" s="1">
        <f>AVERAGE(AA26:AD26)</f>
        <v>96.288650000000004</v>
      </c>
      <c r="AN26" s="1">
        <f>+AM26</f>
        <v>96.288650000000004</v>
      </c>
      <c r="AO26" s="1">
        <f t="shared" ref="AO26:AW26" si="142">+AN26</f>
        <v>96.288650000000004</v>
      </c>
      <c r="AP26" s="1">
        <f t="shared" si="142"/>
        <v>96.288650000000004</v>
      </c>
      <c r="AQ26" s="1">
        <f t="shared" si="142"/>
        <v>96.288650000000004</v>
      </c>
      <c r="AR26" s="1">
        <f t="shared" si="142"/>
        <v>96.288650000000004</v>
      </c>
      <c r="AS26" s="1">
        <f t="shared" si="142"/>
        <v>96.288650000000004</v>
      </c>
      <c r="AT26" s="1">
        <f t="shared" si="142"/>
        <v>96.288650000000004</v>
      </c>
      <c r="AU26" s="1">
        <f t="shared" si="142"/>
        <v>96.288650000000004</v>
      </c>
      <c r="AV26" s="1">
        <f t="shared" si="142"/>
        <v>96.288650000000004</v>
      </c>
      <c r="AW26" s="1">
        <f t="shared" si="142"/>
        <v>96.288650000000004</v>
      </c>
    </row>
    <row r="28" spans="2:113" x14ac:dyDescent="0.25">
      <c r="B28" s="1" t="s">
        <v>69</v>
      </c>
      <c r="Q28" s="19">
        <f t="shared" ref="Q28:X28" si="143">+Q14/M14-1</f>
        <v>0.11091650642399586</v>
      </c>
      <c r="R28" s="19">
        <f t="shared" si="143"/>
        <v>0.23934811545887369</v>
      </c>
      <c r="S28" s="19">
        <f t="shared" si="143"/>
        <v>0.25722149246262593</v>
      </c>
      <c r="T28" s="19">
        <f t="shared" si="143"/>
        <v>0.21228299922769533</v>
      </c>
      <c r="U28" s="19">
        <f t="shared" si="143"/>
        <v>8.102267841195987E-2</v>
      </c>
      <c r="V28" s="19">
        <f t="shared" si="143"/>
        <v>0.2326508495568369</v>
      </c>
      <c r="W28" s="19">
        <f t="shared" si="143"/>
        <v>8.2958525712466091E-2</v>
      </c>
      <c r="X28" s="19">
        <f t="shared" si="143"/>
        <v>0.35746798511665712</v>
      </c>
      <c r="Y28" s="19">
        <f t="shared" ref="Y28" si="144">+Y14/U14-1</f>
        <v>0.4226532860115042</v>
      </c>
      <c r="Z28" s="19">
        <f t="shared" ref="Z28" si="145">+Z14/V14-1</f>
        <v>0.29424924642049755</v>
      </c>
      <c r="AA28" s="19">
        <f t="shared" ref="AA28" si="146">+AA14/W14-1</f>
        <v>0.27986915733279427</v>
      </c>
      <c r="AB28" s="19">
        <f t="shared" ref="AB28" si="147">+AB14/X14-1</f>
        <v>1.8092038142913935E-3</v>
      </c>
      <c r="AC28" s="19">
        <f t="shared" ref="AC28" si="148">+AC14/Y14-1</f>
        <v>0.12042095000501818</v>
      </c>
      <c r="AD28" s="19">
        <f t="shared" ref="AD28" si="149">+AD14/Z14-1</f>
        <v>-3.5480994923489106E-3</v>
      </c>
      <c r="AK28" s="22">
        <f>+AK14/AJ14-1</f>
        <v>0.21686635193157167</v>
      </c>
      <c r="AL28" s="22">
        <f>+AL14/AK14-1</f>
        <v>0.29452133927952495</v>
      </c>
      <c r="AM28" s="22">
        <f>+AM14/AL14-1</f>
        <v>8.3783446084643831E-2</v>
      </c>
      <c r="AN28" s="22">
        <f t="shared" ref="AN28:AW28" si="150">+AN14/AM14-1</f>
        <v>0.16762589596289668</v>
      </c>
      <c r="AO28" s="22">
        <f t="shared" si="150"/>
        <v>7.3059045419992197E-2</v>
      </c>
      <c r="AP28" s="22">
        <f t="shared" si="150"/>
        <v>6.8108426033997249E-2</v>
      </c>
      <c r="AQ28" s="22">
        <f t="shared" si="150"/>
        <v>6.3787770787738118E-2</v>
      </c>
      <c r="AR28" s="22">
        <f t="shared" si="150"/>
        <v>5.9984054684125709E-2</v>
      </c>
      <c r="AS28" s="22">
        <f t="shared" si="150"/>
        <v>1.1861317151129702E-2</v>
      </c>
      <c r="AT28" s="22">
        <f t="shared" si="150"/>
        <v>1.2033651961159908E-2</v>
      </c>
      <c r="AU28" s="22">
        <f t="shared" si="150"/>
        <v>1.2207071128335745E-2</v>
      </c>
      <c r="AV28" s="22">
        <f t="shared" si="150"/>
        <v>1.2381528096696348E-2</v>
      </c>
      <c r="AW28" s="22">
        <f t="shared" si="150"/>
        <v>1.2556974984405E-2</v>
      </c>
    </row>
    <row r="30" spans="2:113" x14ac:dyDescent="0.25">
      <c r="AY30" t="s">
        <v>79</v>
      </c>
      <c r="AZ30" s="22">
        <v>-0.05</v>
      </c>
    </row>
    <row r="31" spans="2:113" x14ac:dyDescent="0.25">
      <c r="AY31" t="s">
        <v>80</v>
      </c>
      <c r="AZ31" s="22">
        <v>0.09</v>
      </c>
    </row>
    <row r="32" spans="2:113" x14ac:dyDescent="0.25">
      <c r="AY32" t="s">
        <v>81</v>
      </c>
      <c r="AZ32" s="1">
        <f>NPV(AZ31,AN24:DS24)</f>
        <v>2645.0966415077396</v>
      </c>
    </row>
    <row r="33" spans="51:52" x14ac:dyDescent="0.25">
      <c r="AY33" t="s">
        <v>82</v>
      </c>
      <c r="AZ33" s="21">
        <f>AZ32/Main!L3</f>
        <v>27.977995623933204</v>
      </c>
    </row>
  </sheetData>
  <hyperlinks>
    <hyperlink ref="A1" location="Main!A1" display="Main" xr:uid="{74030F7E-4FAD-4277-B06A-F1F43FD70CF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2A8F-273D-40F0-975B-DB1EB69656E8}">
  <dimension ref="A1:C5"/>
  <sheetViews>
    <sheetView tabSelected="1" zoomScale="205" zoomScaleNormal="205" workbookViewId="0">
      <selection activeCell="B6" sqref="B6"/>
    </sheetView>
  </sheetViews>
  <sheetFormatPr defaultRowHeight="12.5" x14ac:dyDescent="0.25"/>
  <cols>
    <col min="1" max="1" width="4.6328125" bestFit="1" customWidth="1"/>
  </cols>
  <sheetData>
    <row r="1" spans="1:3" x14ac:dyDescent="0.25">
      <c r="A1" t="s">
        <v>30</v>
      </c>
    </row>
    <row r="2" spans="1:3" x14ac:dyDescent="0.25">
      <c r="B2" t="s">
        <v>86</v>
      </c>
      <c r="C2" t="s">
        <v>14</v>
      </c>
    </row>
    <row r="3" spans="1:3" x14ac:dyDescent="0.25">
      <c r="B3" t="s">
        <v>87</v>
      </c>
      <c r="C3" t="s">
        <v>88</v>
      </c>
    </row>
    <row r="4" spans="1:3" x14ac:dyDescent="0.25">
      <c r="B4" t="s">
        <v>83</v>
      </c>
      <c r="C4" t="s">
        <v>89</v>
      </c>
    </row>
    <row r="5" spans="1:3" x14ac:dyDescent="0.25">
      <c r="B5" t="s">
        <v>90</v>
      </c>
      <c r="C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Crysvita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2024-10-06T12:52:59Z</dcterms:created>
  <dcterms:modified xsi:type="dcterms:W3CDTF">2025-07-09T20:05:00Z</dcterms:modified>
</cp:coreProperties>
</file>