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codeName="ThisWorkbook"/>
  <mc:AlternateContent xmlns:mc="http://schemas.openxmlformats.org/markup-compatibility/2006">
    <mc:Choice Requires="x15">
      <x15ac:absPath xmlns:x15ac="http://schemas.microsoft.com/office/spreadsheetml/2010/11/ac" url="C:\Users\Martin Shkreli\code\models\"/>
    </mc:Choice>
  </mc:AlternateContent>
  <xr:revisionPtr revIDLastSave="0" documentId="13_ncr:1_{698064FF-74BC-4218-84EC-0582A5E4B68E}" xr6:coauthVersionLast="47" xr6:coauthVersionMax="47" xr10:uidLastSave="{00000000-0000-0000-0000-000000000000}"/>
  <bookViews>
    <workbookView xWindow="37000" yWindow="4170" windowWidth="32770" windowHeight="1538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J5" i="71" l="1"/>
  <c r="FJ28" i="71"/>
  <c r="DJ189" i="71"/>
  <c r="DK189" i="71"/>
  <c r="DH189" i="71"/>
  <c r="DG189" i="71"/>
  <c r="DJ188" i="71"/>
  <c r="DI188" i="71"/>
  <c r="DI189" i="71" s="1"/>
  <c r="DH188" i="71"/>
  <c r="DG188" i="71"/>
  <c r="DK188" i="71"/>
  <c r="BR189" i="71"/>
  <c r="DG187" i="71"/>
  <c r="DJ187" i="71"/>
  <c r="DI187" i="71"/>
  <c r="DH187" i="71"/>
  <c r="DK187" i="71"/>
  <c r="DK217" i="71"/>
  <c r="DK219" i="71"/>
  <c r="DK218" i="71"/>
  <c r="DK210" i="71"/>
  <c r="DK196" i="71"/>
  <c r="DK149" i="71"/>
  <c r="DK185" i="71"/>
  <c r="DK181" i="71"/>
  <c r="DK178" i="71"/>
  <c r="DK179" i="71" s="1"/>
  <c r="DK172" i="71"/>
  <c r="DK173" i="71"/>
  <c r="DK160" i="71"/>
  <c r="DK157" i="71"/>
  <c r="DK150" i="71"/>
  <c r="DK72" i="71"/>
  <c r="DN219" i="71"/>
  <c r="DM219" i="71"/>
  <c r="DL219" i="71"/>
  <c r="DN213" i="71"/>
  <c r="DM213" i="71"/>
  <c r="DL213" i="71"/>
  <c r="DK213" i="71"/>
  <c r="DN205" i="71"/>
  <c r="DN221" i="71" s="1"/>
  <c r="DM205" i="71"/>
  <c r="DM221" i="71" s="1"/>
  <c r="DL205" i="71"/>
  <c r="DL221" i="71" s="1"/>
  <c r="DK205" i="71"/>
  <c r="DJ185" i="71"/>
  <c r="DJ162" i="71"/>
  <c r="DJ173" i="71" s="1"/>
  <c r="DJ170" i="71"/>
  <c r="DI178" i="71"/>
  <c r="DJ178" i="71"/>
  <c r="DJ157" i="71"/>
  <c r="DJ150" i="71"/>
  <c r="DJ160" i="71" s="1"/>
  <c r="ER64" i="71"/>
  <c r="ER63" i="71"/>
  <c r="ER61" i="71"/>
  <c r="ER60" i="71"/>
  <c r="ER59" i="71"/>
  <c r="ER57" i="71"/>
  <c r="ER56" i="71"/>
  <c r="ER55" i="71"/>
  <c r="ER54" i="71"/>
  <c r="ER53" i="71"/>
  <c r="ER52" i="71"/>
  <c r="ER51" i="71"/>
  <c r="ER50" i="71"/>
  <c r="ER49" i="71"/>
  <c r="ER48" i="71"/>
  <c r="ER47" i="71"/>
  <c r="ER46" i="71"/>
  <c r="ER45" i="71"/>
  <c r="ER44" i="71"/>
  <c r="ER43" i="71"/>
  <c r="ER42" i="71"/>
  <c r="ER41" i="71"/>
  <c r="ER40" i="71"/>
  <c r="ER39" i="71"/>
  <c r="ER38" i="71"/>
  <c r="ER37" i="71"/>
  <c r="ER36"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1" i="71"/>
  <c r="DL29" i="71"/>
  <c r="DM29" i="71" s="1"/>
  <c r="DN29" i="71" s="1"/>
  <c r="DK221" i="71" l="1"/>
  <c r="DJ179" i="71"/>
  <c r="FC21" i="71"/>
  <c r="FD21" i="71" s="1"/>
  <c r="FE21" i="71" s="1"/>
  <c r="FF21" i="71" s="1"/>
  <c r="FG21" i="71" s="1"/>
  <c r="FH21" i="71" s="1"/>
  <c r="FI21" i="71" s="1"/>
  <c r="FJ21" i="71" s="1"/>
  <c r="FA21" i="71" l="1"/>
  <c r="EZ21" i="71"/>
  <c r="DA208" i="71" l="1"/>
  <c r="DA185" i="71"/>
  <c r="DA72" i="71"/>
  <c r="DF185" i="71"/>
  <c r="DF178" i="71"/>
  <c r="DJ181" i="71" s="1"/>
  <c r="DF170" i="71"/>
  <c r="DF173" i="71" s="1"/>
  <c r="DF157" i="71"/>
  <c r="DF156" i="71"/>
  <c r="DF154" i="71"/>
  <c r="DF152" i="71"/>
  <c r="DF151" i="71"/>
  <c r="DF150" i="71"/>
  <c r="DF160" i="71" s="1"/>
  <c r="DE220" i="71"/>
  <c r="DF220" i="71" s="1"/>
  <c r="DE216" i="71"/>
  <c r="DF216" i="71" s="1"/>
  <c r="DE209" i="71"/>
  <c r="DF209" i="71" s="1"/>
  <c r="DE185" i="71"/>
  <c r="DE178" i="71"/>
  <c r="DE181" i="71" s="1"/>
  <c r="DE170" i="71"/>
  <c r="DE173" i="71" s="1"/>
  <c r="DE157" i="71"/>
  <c r="DE150" i="71"/>
  <c r="DE160" i="71" s="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G181" i="71" s="1"/>
  <c r="DH178" i="71"/>
  <c r="DI185" i="71"/>
  <c r="DH185" i="71"/>
  <c r="DI181" i="71"/>
  <c r="DI170" i="71"/>
  <c r="DI173" i="71" s="1"/>
  <c r="DI157" i="71"/>
  <c r="DI150" i="71"/>
  <c r="DI149" i="71" s="1"/>
  <c r="DE72" i="71"/>
  <c r="DI72" i="71"/>
  <c r="FD31" i="71"/>
  <c r="FE31" i="71" s="1"/>
  <c r="FF31" i="71" s="1"/>
  <c r="FG31" i="71" s="1"/>
  <c r="FH31" i="71" s="1"/>
  <c r="FI31" i="71" s="1"/>
  <c r="FJ31" i="71" s="1"/>
  <c r="DK88" i="71"/>
  <c r="DL6" i="71"/>
  <c r="DL88" i="71" s="1"/>
  <c r="DL5" i="71"/>
  <c r="DL89" i="71" s="1"/>
  <c r="DM6" i="71"/>
  <c r="DM88" i="71" s="1"/>
  <c r="EZ48" i="71"/>
  <c r="EY37" i="71"/>
  <c r="EY36" i="71"/>
  <c r="EY20" i="71"/>
  <c r="DE32" i="71"/>
  <c r="DH72" i="71"/>
  <c r="DH54" i="71"/>
  <c r="DL54" i="71" s="1"/>
  <c r="DH172" i="71"/>
  <c r="DH173" i="71" s="1"/>
  <c r="DH157" i="71"/>
  <c r="DH150" i="71"/>
  <c r="DH149" i="71" s="1"/>
  <c r="DG218" i="71"/>
  <c r="DH218" i="71" s="1"/>
  <c r="DI218" i="71" s="1"/>
  <c r="DJ218" i="71" s="1"/>
  <c r="DG217" i="71"/>
  <c r="DG219" i="71" s="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L39" i="71"/>
  <c r="DM38" i="71"/>
  <c r="DL38" i="71"/>
  <c r="DM33" i="71"/>
  <c r="DL33" i="71"/>
  <c r="DM28" i="71"/>
  <c r="DM91" i="71" s="1"/>
  <c r="DL28" i="71"/>
  <c r="DL91" i="71" s="1"/>
  <c r="DK91" i="71"/>
  <c r="DM27" i="71"/>
  <c r="DL27" i="71"/>
  <c r="DM19" i="71"/>
  <c r="DL19" i="71"/>
  <c r="DM18" i="71"/>
  <c r="DL18" i="71"/>
  <c r="DM14" i="71"/>
  <c r="DL14" i="71"/>
  <c r="DM12" i="71"/>
  <c r="DL12" i="71"/>
  <c r="DM11" i="71"/>
  <c r="DM90" i="71" s="1"/>
  <c r="DL11" i="71"/>
  <c r="DL90" i="71" s="1"/>
  <c r="DK90" i="71"/>
  <c r="DM5" i="71"/>
  <c r="DM89" i="71" s="1"/>
  <c r="DK89" i="71"/>
  <c r="DN4" i="71"/>
  <c r="DM4" i="71"/>
  <c r="DM87" i="71" s="1"/>
  <c r="DL4" i="71"/>
  <c r="DL87" i="71" s="1"/>
  <c r="DK87" i="71"/>
  <c r="DM3" i="71"/>
  <c r="DM86" i="71" s="1"/>
  <c r="DL3" i="71"/>
  <c r="DL86" i="71" s="1"/>
  <c r="DK86" i="71"/>
  <c r="DM50" i="71"/>
  <c r="DL50" i="71"/>
  <c r="DN54" i="71"/>
  <c r="DM54" i="71"/>
  <c r="DM52" i="71"/>
  <c r="DN52" i="71"/>
  <c r="DL52" i="71"/>
  <c r="DL51" i="71"/>
  <c r="DL93" i="71" s="1"/>
  <c r="DN51" i="71"/>
  <c r="DN93" i="71" s="1"/>
  <c r="DM51" i="71"/>
  <c r="DM93" i="71" s="1"/>
  <c r="DL55" i="71"/>
  <c r="DL94" i="71" s="1"/>
  <c r="DK94" i="71"/>
  <c r="DN55" i="71"/>
  <c r="DN94" i="71" s="1"/>
  <c r="DM55" i="71"/>
  <c r="DM94" i="71" s="1"/>
  <c r="DN62" i="71"/>
  <c r="DM62" i="71"/>
  <c r="DL62" i="71"/>
  <c r="DK96" i="71"/>
  <c r="DN59" i="71"/>
  <c r="DN96" i="71" s="1"/>
  <c r="DM59" i="71"/>
  <c r="DM96" i="71" s="1"/>
  <c r="DL59" i="71"/>
  <c r="DL96" i="71" s="1"/>
  <c r="DL58" i="71"/>
  <c r="DL95" i="71" s="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L34" i="71"/>
  <c r="DM34" i="71" s="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D216" i="7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R62" i="71" s="1"/>
  <c r="DC217" i="71"/>
  <c r="DD217" i="71" s="1"/>
  <c r="DE217" i="71" s="1"/>
  <c r="DC218" i="71"/>
  <c r="DC219" i="71" s="1"/>
  <c r="DC210" i="71"/>
  <c r="DD210" i="71" s="1"/>
  <c r="DE210" i="71" s="1"/>
  <c r="DF210" i="71" s="1"/>
  <c r="DC205" i="71"/>
  <c r="DB185" i="71"/>
  <c r="DC185" i="71"/>
  <c r="DC170" i="71"/>
  <c r="DC168" i="71"/>
  <c r="DC157" i="71"/>
  <c r="DC150" i="71"/>
  <c r="DC155" i="71" s="1"/>
  <c r="EY47" i="71"/>
  <c r="EX47" i="71"/>
  <c r="EY45" i="71"/>
  <c r="EX45" i="71"/>
  <c r="EY44" i="71"/>
  <c r="EX44" i="71"/>
  <c r="EY43" i="71"/>
  <c r="EX43" i="71"/>
  <c r="EY42" i="71"/>
  <c r="EX42" i="71"/>
  <c r="EY41" i="71"/>
  <c r="EX41" i="71"/>
  <c r="EY40" i="71"/>
  <c r="EX40" i="71"/>
  <c r="EX25" i="71"/>
  <c r="EX24" i="71"/>
  <c r="EX23" i="71"/>
  <c r="EX22" i="71"/>
  <c r="EX20" i="71"/>
  <c r="EY17" i="71"/>
  <c r="EX17" i="71"/>
  <c r="EY16" i="71"/>
  <c r="EX16" i="71"/>
  <c r="EY15" i="71"/>
  <c r="EX15" i="71"/>
  <c r="EY9" i="71"/>
  <c r="EX9" i="71"/>
  <c r="EY8" i="71"/>
  <c r="EX8" i="71"/>
  <c r="DN33" i="71"/>
  <c r="DN28" i="71"/>
  <c r="DN91" i="71" s="1"/>
  <c r="DJ87" i="71"/>
  <c r="DN5" i="71"/>
  <c r="DN89" i="71" s="1"/>
  <c r="EU78" i="71"/>
  <c r="ET78" i="71"/>
  <c r="ES78" i="71"/>
  <c r="EU75" i="71"/>
  <c r="ES69" i="71"/>
  <c r="ES66" i="71"/>
  <c r="EU69" i="71"/>
  <c r="ET69" i="71"/>
  <c r="ET66" i="71"/>
  <c r="EU68" i="71"/>
  <c r="EU66" i="71"/>
  <c r="EW75" i="71"/>
  <c r="EW69" i="71"/>
  <c r="EW66" i="71"/>
  <c r="EW62" i="71"/>
  <c r="EW64" i="71"/>
  <c r="EV64" i="71"/>
  <c r="EV142" i="71"/>
  <c r="EW142" i="71"/>
  <c r="DB170" i="71"/>
  <c r="DB168" i="71"/>
  <c r="DB157" i="71"/>
  <c r="DB150" i="71"/>
  <c r="DB149" i="71" s="1"/>
  <c r="EW149" i="71" s="1"/>
  <c r="EU64" i="71"/>
  <c r="ET64" i="71"/>
  <c r="ES64" i="71"/>
  <c r="EV62" i="71"/>
  <c r="EU62" i="71"/>
  <c r="ET62" i="71"/>
  <c r="ES62" i="71"/>
  <c r="ES61" i="71"/>
  <c r="ES60" i="71"/>
  <c r="EW59" i="71"/>
  <c r="EV59" i="71"/>
  <c r="EU59" i="71"/>
  <c r="ET59" i="71"/>
  <c r="ES59" i="71"/>
  <c r="EW58" i="71"/>
  <c r="EV58" i="71"/>
  <c r="EU58" i="71"/>
  <c r="EW55" i="71"/>
  <c r="EV55" i="71"/>
  <c r="EU55" i="71"/>
  <c r="ET55" i="71"/>
  <c r="ES55" i="71"/>
  <c r="EW51" i="71"/>
  <c r="EV51" i="71"/>
  <c r="EU51" i="71"/>
  <c r="ET51" i="71"/>
  <c r="ES51" i="71"/>
  <c r="EW50" i="71"/>
  <c r="EU50" i="71"/>
  <c r="ET50" i="71"/>
  <c r="ES50" i="71"/>
  <c r="EW49" i="71"/>
  <c r="EV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J205" i="71" l="1"/>
  <c r="CE65" i="71"/>
  <c r="CE67" i="71" s="1"/>
  <c r="ER58" i="71"/>
  <c r="EZ33" i="71"/>
  <c r="EZ29" i="71"/>
  <c r="DE213" i="71"/>
  <c r="DH181" i="71"/>
  <c r="DF149" i="71"/>
  <c r="EX149" i="71" s="1"/>
  <c r="DF179" i="71"/>
  <c r="DI205" i="71"/>
  <c r="DE179" i="71"/>
  <c r="DE205" i="71"/>
  <c r="DF193" i="71"/>
  <c r="DF205" i="71" s="1"/>
  <c r="DF217" i="71"/>
  <c r="DB220" i="71"/>
  <c r="EZ6" i="71"/>
  <c r="FA6" i="71" s="1"/>
  <c r="FB6" i="71" s="1"/>
  <c r="FC6" i="71" s="1"/>
  <c r="DI160" i="71"/>
  <c r="DH205" i="71"/>
  <c r="DB198" i="71"/>
  <c r="DE149" i="71"/>
  <c r="DA201" i="71"/>
  <c r="DB201" i="71" s="1"/>
  <c r="DF208" i="71"/>
  <c r="DF213" i="71" s="1"/>
  <c r="DA207" i="71"/>
  <c r="DB207" i="71" s="1"/>
  <c r="DA199" i="71"/>
  <c r="DB199" i="71" s="1"/>
  <c r="DB202" i="71"/>
  <c r="EZ34" i="71"/>
  <c r="DI179" i="71"/>
  <c r="DH210" i="71"/>
  <c r="DI210" i="71" s="1"/>
  <c r="DJ210" i="71" s="1"/>
  <c r="DI208" i="71"/>
  <c r="DG160" i="71"/>
  <c r="DB193" i="71"/>
  <c r="EY34" i="71"/>
  <c r="DA215" i="71"/>
  <c r="DB204" i="71"/>
  <c r="DA198" i="71"/>
  <c r="DA200" i="71"/>
  <c r="DB200" i="71" s="1"/>
  <c r="DB194" i="71"/>
  <c r="DH160" i="71"/>
  <c r="DB195" i="71"/>
  <c r="EZ27" i="71"/>
  <c r="DA216" i="71"/>
  <c r="DB216" i="71" s="1"/>
  <c r="EZ51" i="71"/>
  <c r="DB203" i="71"/>
  <c r="DB211" i="71"/>
  <c r="DH217" i="71"/>
  <c r="DI217" i="71" s="1"/>
  <c r="DB197" i="71"/>
  <c r="DK93" i="71"/>
  <c r="DN87" i="71"/>
  <c r="EZ28" i="71"/>
  <c r="DN88" i="71"/>
  <c r="EZ5" i="71"/>
  <c r="FA5" i="71" s="1"/>
  <c r="FB5" i="71" s="1"/>
  <c r="FC5" i="71" s="1"/>
  <c r="DJ94" i="71"/>
  <c r="EZ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EX28" i="71"/>
  <c r="CA65" i="71"/>
  <c r="CA67" i="71" s="1"/>
  <c r="CA71" i="71" s="1"/>
  <c r="CA74" i="71" s="1"/>
  <c r="CA76" i="71" s="1"/>
  <c r="CA77" i="71" s="1"/>
  <c r="CZ217" i="71"/>
  <c r="CH90" i="71"/>
  <c r="DB218" i="71"/>
  <c r="DD218" i="71"/>
  <c r="DD205" i="71"/>
  <c r="DB212" i="71"/>
  <c r="CZ205" i="71"/>
  <c r="DB196" i="71"/>
  <c r="DD213" i="71"/>
  <c r="DD181" i="71"/>
  <c r="DC213" i="71"/>
  <c r="DC221" i="71" s="1"/>
  <c r="DD149" i="71"/>
  <c r="CL84" i="71"/>
  <c r="CB65" i="71"/>
  <c r="CB67" i="71" s="1"/>
  <c r="CB71" i="71" s="1"/>
  <c r="CB74" i="71" s="1"/>
  <c r="CB76" i="71" s="1"/>
  <c r="CB77" i="71" s="1"/>
  <c r="CE71" i="71"/>
  <c r="CE74" i="71" s="1"/>
  <c r="CE76" i="71" s="1"/>
  <c r="CE77" i="71" s="1"/>
  <c r="CG67" i="71"/>
  <c r="CG71" i="71" s="1"/>
  <c r="CG74" i="71" s="1"/>
  <c r="CG76" i="71" s="1"/>
  <c r="CG77" i="71" s="1"/>
  <c r="CJ81" i="71"/>
  <c r="CF71" i="71"/>
  <c r="CF74" i="71" s="1"/>
  <c r="CF76" i="71" s="1"/>
  <c r="CF77" i="71" s="1"/>
  <c r="EX26" i="71"/>
  <c r="EY6" i="71"/>
  <c r="EX48" i="71"/>
  <c r="EX4" i="71"/>
  <c r="EX33" i="71"/>
  <c r="EY5" i="71"/>
  <c r="EX6" i="71"/>
  <c r="EY33" i="71"/>
  <c r="DB173" i="71"/>
  <c r="DB179" i="71" s="1"/>
  <c r="EX5" i="71"/>
  <c r="EY48" i="71"/>
  <c r="EY27" i="71"/>
  <c r="EX29" i="71"/>
  <c r="EY28" i="71"/>
  <c r="EX27" i="71"/>
  <c r="DB155" i="71"/>
  <c r="DB160" i="71" s="1"/>
  <c r="EX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S72" i="71" s="1"/>
  <c r="CK75" i="71"/>
  <c r="ES75" i="71" s="1"/>
  <c r="CO75" i="71"/>
  <c r="ET75" i="71" s="1"/>
  <c r="CK68" i="71"/>
  <c r="CK84" i="71" s="1"/>
  <c r="CO68" i="71"/>
  <c r="CO72" i="71"/>
  <c r="ET72" i="71" s="1"/>
  <c r="CL65" i="71"/>
  <c r="CL67" i="71" s="1"/>
  <c r="CL71" i="71" s="1"/>
  <c r="CL74" i="71" s="1"/>
  <c r="CL76" i="71" s="1"/>
  <c r="CL77" i="71" s="1"/>
  <c r="CM65" i="71"/>
  <c r="CN65" i="71"/>
  <c r="CP65" i="71"/>
  <c r="CK58" i="71"/>
  <c r="CO58" i="71"/>
  <c r="CV65" i="71"/>
  <c r="CV67" i="71" s="1"/>
  <c r="CV99" i="71" s="1"/>
  <c r="CV72" i="71"/>
  <c r="CZ72" i="71"/>
  <c r="CZ70" i="71"/>
  <c r="EU25" i="71"/>
  <c r="EU24" i="71"/>
  <c r="EU23" i="71"/>
  <c r="EU22" i="71"/>
  <c r="EU19" i="71"/>
  <c r="EU14" i="71"/>
  <c r="EU11" i="71"/>
  <c r="EU10" i="71"/>
  <c r="EU7" i="71"/>
  <c r="EU6" i="71"/>
  <c r="EU5" i="71"/>
  <c r="EU4" i="71"/>
  <c r="EU3" i="71"/>
  <c r="CX170" i="71"/>
  <c r="CX178" i="71"/>
  <c r="DB181" i="71" s="1"/>
  <c r="CX168" i="71"/>
  <c r="CX157" i="71"/>
  <c r="CX150" i="71"/>
  <c r="CX149" i="71" s="1"/>
  <c r="CY178" i="71"/>
  <c r="DC181" i="71" s="1"/>
  <c r="CY170" i="71"/>
  <c r="CY168" i="71"/>
  <c r="CY157" i="71"/>
  <c r="CY150" i="71"/>
  <c r="EV68" i="71"/>
  <c r="EV78" i="71"/>
  <c r="EV75" i="71"/>
  <c r="EV66" i="71"/>
  <c r="EV69" i="71"/>
  <c r="EV83" i="71" s="1"/>
  <c r="EW25" i="71"/>
  <c r="EW24" i="71"/>
  <c r="EW23" i="71"/>
  <c r="EW22" i="71"/>
  <c r="EW20" i="71"/>
  <c r="EV7" i="71"/>
  <c r="EV25" i="71"/>
  <c r="EV24" i="71"/>
  <c r="EV23" i="71"/>
  <c r="EV22" i="71"/>
  <c r="EV20" i="71"/>
  <c r="EV19" i="71"/>
  <c r="EV14" i="71"/>
  <c r="EV11" i="71"/>
  <c r="EV10" i="71"/>
  <c r="EV6" i="71"/>
  <c r="EV5" i="71"/>
  <c r="EV4" i="71"/>
  <c r="EV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EZ50" i="71" s="1"/>
  <c r="DN18" i="71"/>
  <c r="EZ18" i="71" s="1"/>
  <c r="DN19" i="71"/>
  <c r="EZ19" i="71" s="1"/>
  <c r="DN39" i="71"/>
  <c r="EZ39" i="71" s="1"/>
  <c r="DN38" i="71"/>
  <c r="EZ38" i="71" s="1"/>
  <c r="DN14" i="71"/>
  <c r="EZ14" i="71" s="1"/>
  <c r="DN12" i="71"/>
  <c r="EZ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U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O23" i="71"/>
  <c r="EP23" i="71" s="1"/>
  <c r="EQ23" i="71" s="1"/>
  <c r="ES23" i="71" s="1"/>
  <c r="ET23" i="71" s="1"/>
  <c r="FN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EY83" i="71"/>
  <c r="EX83" i="71"/>
  <c r="EU83" i="71"/>
  <c r="ET83" i="71"/>
  <c r="ES83" i="71"/>
  <c r="ER83" i="71"/>
  <c r="EQ83" i="71"/>
  <c r="EP83" i="71"/>
  <c r="EN60" i="71"/>
  <c r="EO60" i="71" s="1"/>
  <c r="EP60" i="71" s="1"/>
  <c r="EQ60" i="71" s="1"/>
  <c r="EN62" i="71"/>
  <c r="EO62" i="71" s="1"/>
  <c r="EP62" i="71" s="1"/>
  <c r="EQ62" i="71" s="1"/>
  <c r="EM62" i="71"/>
  <c r="EL62" i="71"/>
  <c r="EV2" i="71"/>
  <c r="EW2" i="71" s="1"/>
  <c r="EX2" i="71" s="1"/>
  <c r="EY2" i="71" s="1"/>
  <c r="EZ2" i="71" s="1"/>
  <c r="FA2" i="71" s="1"/>
  <c r="FB2" i="71" s="1"/>
  <c r="FC2" i="71" s="1"/>
  <c r="FD2" i="71" s="1"/>
  <c r="FE2" i="71" s="1"/>
  <c r="FF2" i="71" s="1"/>
  <c r="FG2" i="71" s="1"/>
  <c r="FH2" i="71" s="1"/>
  <c r="FI2" i="71" s="1"/>
  <c r="FJ2" i="71" s="1"/>
  <c r="EN30" i="71"/>
  <c r="EO30" i="71" s="1"/>
  <c r="EP30" i="71" s="1"/>
  <c r="EQ30" i="71" s="1"/>
  <c r="EN78" i="71"/>
  <c r="EO78" i="71" s="1"/>
  <c r="EP78" i="71" s="1"/>
  <c r="EQ78" i="71" s="1"/>
  <c r="EM78" i="71"/>
  <c r="EN69" i="71"/>
  <c r="EM68" i="71"/>
  <c r="EM66" i="71"/>
  <c r="EN66" i="71"/>
  <c r="EN64" i="71"/>
  <c r="EO64" i="71" s="1"/>
  <c r="EN61" i="71"/>
  <c r="EN59" i="71"/>
  <c r="EO59" i="71" s="1"/>
  <c r="EP59" i="71" s="1"/>
  <c r="EQ59" i="71" s="1"/>
  <c r="EN55" i="71"/>
  <c r="EO55" i="71" s="1"/>
  <c r="EP55" i="71" s="1"/>
  <c r="EQ55" i="71" s="1"/>
  <c r="EN51" i="71"/>
  <c r="EO51" i="71" s="1"/>
  <c r="EP51" i="71" s="1"/>
  <c r="EQ51" i="71" s="1"/>
  <c r="EN25" i="71"/>
  <c r="EN48" i="71"/>
  <c r="EN18" i="71"/>
  <c r="EN23" i="71"/>
  <c r="EN16" i="71"/>
  <c r="EN37" i="71"/>
  <c r="EN12" i="71"/>
  <c r="EN36" i="71"/>
  <c r="EN10" i="71"/>
  <c r="EN6" i="71"/>
  <c r="EN4" i="71"/>
  <c r="EM3" i="71"/>
  <c r="EN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N68" i="71" s="1"/>
  <c r="BT97" i="71"/>
  <c r="BT94" i="71"/>
  <c r="BT93" i="71"/>
  <c r="BQ185" i="71"/>
  <c r="BQ178" i="71"/>
  <c r="BQ168" i="71"/>
  <c r="BQ173" i="71" s="1"/>
  <c r="BQ157" i="71"/>
  <c r="BQ150" i="71"/>
  <c r="BQ146" i="71" s="1"/>
  <c r="BT86" i="71"/>
  <c r="BT87" i="71"/>
  <c r="BT83" i="71"/>
  <c r="BO189" i="71"/>
  <c r="EM64" i="71"/>
  <c r="EM121" i="71" s="1"/>
  <c r="EM233" i="71" s="1"/>
  <c r="EM61" i="71"/>
  <c r="EM60" i="71"/>
  <c r="EM59" i="71"/>
  <c r="EM55" i="71"/>
  <c r="EM51" i="71"/>
  <c r="EL30" i="71"/>
  <c r="EL25" i="71"/>
  <c r="EM30" i="71"/>
  <c r="EM40" i="71"/>
  <c r="EM25" i="71"/>
  <c r="EM48" i="71"/>
  <c r="EM23" i="71"/>
  <c r="EM18" i="71"/>
  <c r="EM16" i="71"/>
  <c r="EM37" i="71"/>
  <c r="EM12" i="71"/>
  <c r="BN157" i="71"/>
  <c r="BN150" i="71"/>
  <c r="BN155" i="71" s="1"/>
  <c r="BN178" i="71"/>
  <c r="BN168" i="71"/>
  <c r="BN173" i="71" s="1"/>
  <c r="BP178" i="71"/>
  <c r="BP168" i="71"/>
  <c r="BP173" i="71" s="1"/>
  <c r="BP157" i="71"/>
  <c r="BP150" i="71"/>
  <c r="BP155" i="71" s="1"/>
  <c r="EM22" i="71"/>
  <c r="EM36" i="71"/>
  <c r="EL36" i="71"/>
  <c r="EL22" i="71"/>
  <c r="EM10" i="71"/>
  <c r="EL10" i="71"/>
  <c r="EM6" i="71"/>
  <c r="EL6" i="71"/>
  <c r="EM4" i="71"/>
  <c r="EL4" i="71"/>
  <c r="BN73" i="71"/>
  <c r="EM73" i="71" s="1"/>
  <c r="BN50" i="71"/>
  <c r="BP50" i="71"/>
  <c r="BO73" i="71"/>
  <c r="EN73" i="71" s="1"/>
  <c r="BO50" i="71"/>
  <c r="BO11" i="71"/>
  <c r="BO178" i="71"/>
  <c r="BO168" i="71"/>
  <c r="BO173" i="71" s="1"/>
  <c r="BO157" i="71"/>
  <c r="BO150" i="71"/>
  <c r="BO155" i="71" s="1"/>
  <c r="BP11" i="71"/>
  <c r="BN11" i="71"/>
  <c r="EL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K3" i="71"/>
  <c r="EJ3" i="71"/>
  <c r="BL75" i="71"/>
  <c r="EM75" i="71" s="1"/>
  <c r="BL86" i="71"/>
  <c r="BL50" i="71"/>
  <c r="BL11" i="71"/>
  <c r="BK11" i="71"/>
  <c r="EL78" i="71"/>
  <c r="EL69" i="71"/>
  <c r="EL68" i="71"/>
  <c r="EL132" i="71"/>
  <c r="EM69" i="71"/>
  <c r="BR83" i="71"/>
  <c r="BN83" i="71"/>
  <c r="BN84" i="71"/>
  <c r="BR84" i="71"/>
  <c r="BJ121" i="71"/>
  <c r="BJ75" i="71"/>
  <c r="EL75" i="71" s="1"/>
  <c r="BJ72" i="71"/>
  <c r="BJ97" i="71"/>
  <c r="BJ96" i="71"/>
  <c r="BJ95" i="71"/>
  <c r="BJ94" i="71"/>
  <c r="BJ93" i="71"/>
  <c r="BJ86" i="71"/>
  <c r="BJ50" i="71"/>
  <c r="BJ107" i="71" s="1"/>
  <c r="BF50" i="71"/>
  <c r="BF107" i="71" s="1"/>
  <c r="EK64" i="71"/>
  <c r="EK121" i="71" s="1"/>
  <c r="EK233" i="71" s="1"/>
  <c r="EK62" i="71"/>
  <c r="EK61" i="71"/>
  <c r="EK60" i="71"/>
  <c r="EK57" i="71"/>
  <c r="EK56" i="71"/>
  <c r="EK55" i="71"/>
  <c r="EK51" i="71"/>
  <c r="EK18" i="71"/>
  <c r="EK17" i="71"/>
  <c r="EK16" i="71"/>
  <c r="EK37" i="71"/>
  <c r="EK15" i="71"/>
  <c r="EK12" i="71"/>
  <c r="EK22" i="71"/>
  <c r="EK36" i="71"/>
  <c r="EK11" i="71"/>
  <c r="EK10" i="71"/>
  <c r="EK9" i="71"/>
  <c r="EL64" i="71"/>
  <c r="EL121" i="71" s="1"/>
  <c r="EL233" i="71" s="1"/>
  <c r="EL61" i="71"/>
  <c r="EL60" i="71"/>
  <c r="EL57" i="71"/>
  <c r="EM96" i="71" s="1"/>
  <c r="EL56" i="71"/>
  <c r="EM95" i="71" s="1"/>
  <c r="EL55" i="71"/>
  <c r="EL51" i="71"/>
  <c r="EL23" i="71"/>
  <c r="EL40" i="71"/>
  <c r="EL18" i="71"/>
  <c r="EL17" i="71"/>
  <c r="EL16" i="71"/>
  <c r="EL37" i="71"/>
  <c r="EL15" i="71"/>
  <c r="EL12" i="71"/>
  <c r="EL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K72" i="71"/>
  <c r="EK78" i="71"/>
  <c r="EK241" i="71" s="1"/>
  <c r="EK69" i="71"/>
  <c r="EK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L238" i="71"/>
  <c r="EK238" i="71"/>
  <c r="EJ238" i="71"/>
  <c r="EI238" i="71"/>
  <c r="EH238" i="71"/>
  <c r="EG238" i="71"/>
  <c r="EF238" i="71"/>
  <c r="EE238" i="71"/>
  <c r="ED238" i="71"/>
  <c r="EC238" i="71"/>
  <c r="EB238" i="71"/>
  <c r="EA238" i="71"/>
  <c r="DZ238" i="71"/>
  <c r="DY238" i="71"/>
  <c r="DX238" i="71"/>
  <c r="DW238" i="71"/>
  <c r="DV238" i="71"/>
  <c r="DU238" i="71"/>
  <c r="DT238" i="71"/>
  <c r="DS238" i="71"/>
  <c r="DR238" i="71"/>
  <c r="DQ238" i="71"/>
  <c r="EG241" i="71"/>
  <c r="EB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I145" i="71"/>
  <c r="EH145" i="71"/>
  <c r="EJ145" i="71"/>
  <c r="EJ168" i="71"/>
  <c r="EJ173" i="71" s="1"/>
  <c r="EJ157" i="71"/>
  <c r="EJ150" i="71"/>
  <c r="EJ146" i="71" s="1"/>
  <c r="EH132" i="71"/>
  <c r="EI132" i="71"/>
  <c r="EJ132" i="71"/>
  <c r="EJ64" i="71"/>
  <c r="EJ121" i="71" s="1"/>
  <c r="EJ62" i="71"/>
  <c r="EJ61" i="71"/>
  <c r="EJ60" i="71"/>
  <c r="EJ57" i="71"/>
  <c r="EJ56" i="71"/>
  <c r="EJ55" i="71"/>
  <c r="EJ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J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G150" i="71"/>
  <c r="EG155" i="71" s="1"/>
  <c r="AM150" i="71"/>
  <c r="AM155" i="71" s="1"/>
  <c r="BB121" i="71"/>
  <c r="BA121" i="71"/>
  <c r="EJ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DY17" i="71"/>
  <c r="DW36" i="71"/>
  <c r="DV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E64" i="71"/>
  <c r="EE62" i="71"/>
  <c r="EE61" i="71"/>
  <c r="EE55" i="71"/>
  <c r="EE56" i="71"/>
  <c r="EE57" i="71"/>
  <c r="EF64" i="71"/>
  <c r="EF121" i="71" s="1"/>
  <c r="EF62" i="71"/>
  <c r="EF61" i="71"/>
  <c r="EF51" i="71"/>
  <c r="EF55" i="71"/>
  <c r="EF56" i="71"/>
  <c r="EF57" i="71"/>
  <c r="EE51" i="71"/>
  <c r="EA50" i="71"/>
  <c r="EB50" i="71"/>
  <c r="EC50" i="71"/>
  <c r="ED50" i="71"/>
  <c r="ED64" i="71"/>
  <c r="ED63" i="71"/>
  <c r="ED62" i="71"/>
  <c r="ED61" i="71"/>
  <c r="ED57" i="71"/>
  <c r="ED56" i="71"/>
  <c r="ED55" i="71"/>
  <c r="ED51" i="71"/>
  <c r="EC63" i="71"/>
  <c r="EC62" i="71"/>
  <c r="EC61" i="71"/>
  <c r="EC57" i="71"/>
  <c r="EC56" i="71"/>
  <c r="EC55" i="71"/>
  <c r="EC51" i="71"/>
  <c r="S51" i="71"/>
  <c r="EB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J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3" i="71"/>
  <c r="AV50" i="71"/>
  <c r="AV65" i="71" s="1"/>
  <c r="AV264" i="71" s="1"/>
  <c r="AW50" i="71"/>
  <c r="AX50" i="71"/>
  <c r="AX65" i="71" s="1"/>
  <c r="AX264" i="71" s="1"/>
  <c r="EI51" i="71"/>
  <c r="EI55" i="71"/>
  <c r="EI56" i="71"/>
  <c r="EI57" i="71"/>
  <c r="EI60" i="71"/>
  <c r="EI61" i="71"/>
  <c r="EI62" i="71"/>
  <c r="EI64" i="71"/>
  <c r="EI121" i="71" s="1"/>
  <c r="EI3" i="71"/>
  <c r="EI10" i="71"/>
  <c r="EI36" i="71"/>
  <c r="EI17" i="71"/>
  <c r="EI22" i="71"/>
  <c r="EI12" i="71"/>
  <c r="AW15" i="71"/>
  <c r="EI15" i="71" s="1"/>
  <c r="EI37" i="71"/>
  <c r="EI16" i="71"/>
  <c r="EI45" i="71"/>
  <c r="EI18" i="71"/>
  <c r="EI66" i="71"/>
  <c r="AT50" i="71"/>
  <c r="AT107" i="71" s="1"/>
  <c r="AS11" i="71"/>
  <c r="AS50" i="71" s="1"/>
  <c r="AR11" i="71"/>
  <c r="AR22" i="71"/>
  <c r="AQ11" i="71"/>
  <c r="AQ22" i="71"/>
  <c r="EH51" i="71"/>
  <c r="EH45" i="71"/>
  <c r="EH43" i="71"/>
  <c r="EH16" i="71"/>
  <c r="EH37" i="71"/>
  <c r="EH15" i="71"/>
  <c r="EH12" i="71"/>
  <c r="EH17" i="71"/>
  <c r="EH36" i="71"/>
  <c r="EH10" i="71"/>
  <c r="EH9" i="71"/>
  <c r="EH3" i="71"/>
  <c r="EH55" i="71"/>
  <c r="EH56" i="71"/>
  <c r="EH57" i="71"/>
  <c r="EH60" i="71"/>
  <c r="EH61" i="71"/>
  <c r="EH62" i="71"/>
  <c r="AQ63" i="71"/>
  <c r="AQ114" i="71" s="1"/>
  <c r="AR63" i="71"/>
  <c r="AR114" i="71" s="1"/>
  <c r="AS63" i="71"/>
  <c r="AS114" i="71" s="1"/>
  <c r="EH64" i="71"/>
  <c r="EH121" i="71" s="1"/>
  <c r="EH66" i="71"/>
  <c r="EH68" i="71"/>
  <c r="AT69" i="71"/>
  <c r="EH69" i="71" s="1"/>
  <c r="AR72" i="71"/>
  <c r="EH72" i="71" s="1"/>
  <c r="AS73" i="71"/>
  <c r="AT73" i="71" s="1"/>
  <c r="EH73" i="71" s="1"/>
  <c r="EH78" i="71"/>
  <c r="EH241" i="71" s="1"/>
  <c r="EI68" i="71"/>
  <c r="EI69" i="71"/>
  <c r="EI72" i="71"/>
  <c r="AX73" i="71"/>
  <c r="EI73" i="71" s="1"/>
  <c r="AX75" i="71"/>
  <c r="EI75" i="71" s="1"/>
  <c r="EG64" i="71"/>
  <c r="EG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E60" i="71"/>
  <c r="AA8" i="71"/>
  <c r="AB8" i="71"/>
  <c r="AC8" i="71"/>
  <c r="AD8" i="71"/>
  <c r="AA36" i="71"/>
  <c r="AB36" i="71"/>
  <c r="AC36" i="71"/>
  <c r="AD36" i="71"/>
  <c r="AA17" i="71"/>
  <c r="AB17" i="71"/>
  <c r="AC17" i="71"/>
  <c r="AD17" i="71"/>
  <c r="AA22" i="71"/>
  <c r="AB22" i="71"/>
  <c r="AC22" i="71"/>
  <c r="AD22" i="71"/>
  <c r="ED44" i="71"/>
  <c r="ED41" i="71"/>
  <c r="AA43" i="71"/>
  <c r="AB43" i="71"/>
  <c r="AC43" i="71"/>
  <c r="AD43" i="71"/>
  <c r="ED60" i="71"/>
  <c r="W8" i="71"/>
  <c r="X8" i="71"/>
  <c r="Y8" i="71"/>
  <c r="Z8" i="71"/>
  <c r="W36" i="71"/>
  <c r="X36" i="71"/>
  <c r="Y36" i="71"/>
  <c r="Z36" i="71"/>
  <c r="W17" i="71"/>
  <c r="X17" i="71"/>
  <c r="Y17" i="71"/>
  <c r="Z17" i="71"/>
  <c r="W22" i="71"/>
  <c r="X22" i="71"/>
  <c r="Y22" i="71"/>
  <c r="Z22" i="71"/>
  <c r="EC41" i="71"/>
  <c r="W43" i="71"/>
  <c r="X43" i="71"/>
  <c r="Y43" i="71"/>
  <c r="Z43" i="71"/>
  <c r="EC60" i="71"/>
  <c r="AI22" i="71"/>
  <c r="AJ22" i="71"/>
  <c r="AK22" i="71"/>
  <c r="AI8" i="71"/>
  <c r="AJ8" i="71"/>
  <c r="AK8" i="71"/>
  <c r="AI36" i="71"/>
  <c r="AJ36" i="71"/>
  <c r="AK36" i="71"/>
  <c r="AL36" i="71"/>
  <c r="EF60" i="71"/>
  <c r="EG51" i="71"/>
  <c r="EG55" i="71"/>
  <c r="EG56" i="71"/>
  <c r="EG57" i="71"/>
  <c r="EG60" i="71"/>
  <c r="EG61" i="71"/>
  <c r="EG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I78" i="71"/>
  <c r="EI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1" i="71"/>
  <c r="DY41" i="71"/>
  <c r="L41" i="71"/>
  <c r="M41" i="71"/>
  <c r="N41" i="71"/>
  <c r="O41" i="71"/>
  <c r="P41" i="71"/>
  <c r="Q41" i="71"/>
  <c r="R41" i="71"/>
  <c r="EB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DW51" i="71"/>
  <c r="G51" i="71"/>
  <c r="C51" i="71" s="1"/>
  <c r="H51" i="71"/>
  <c r="D51" i="71" s="1"/>
  <c r="I51" i="71"/>
  <c r="E51" i="71" s="1"/>
  <c r="J51" i="71"/>
  <c r="F51" i="71"/>
  <c r="EA55" i="71"/>
  <c r="EA94" i="71" s="1"/>
  <c r="EB55" i="71"/>
  <c r="DX56" i="71"/>
  <c r="G56" i="71"/>
  <c r="C56" i="71" s="1"/>
  <c r="H56" i="71"/>
  <c r="L95" i="71" s="1"/>
  <c r="I56" i="71"/>
  <c r="M95" i="71" s="1"/>
  <c r="J56" i="71"/>
  <c r="DZ56" i="71"/>
  <c r="EA56" i="71"/>
  <c r="EB56" i="71"/>
  <c r="F56" i="71"/>
  <c r="G57" i="71"/>
  <c r="K96" i="71" s="1"/>
  <c r="H57" i="71"/>
  <c r="I57" i="71"/>
  <c r="M96" i="71" s="1"/>
  <c r="F57" i="71"/>
  <c r="J57" i="71"/>
  <c r="N96" i="71" s="1"/>
  <c r="DZ57" i="71"/>
  <c r="EA57" i="71"/>
  <c r="EB57" i="71"/>
  <c r="G60" i="71"/>
  <c r="C60" i="71" s="1"/>
  <c r="H60" i="71"/>
  <c r="D60" i="71" s="1"/>
  <c r="I60" i="71"/>
  <c r="F60" i="71"/>
  <c r="J60" i="71"/>
  <c r="K60" i="71"/>
  <c r="L60" i="71"/>
  <c r="M60" i="71"/>
  <c r="N60" i="71"/>
  <c r="EA60" i="71"/>
  <c r="EB60" i="71"/>
  <c r="DW61" i="71"/>
  <c r="G61" i="71"/>
  <c r="C61" i="71" s="1"/>
  <c r="H61" i="71"/>
  <c r="I61" i="71"/>
  <c r="J61" i="71"/>
  <c r="K61" i="71"/>
  <c r="L61" i="71"/>
  <c r="M61" i="71"/>
  <c r="N61" i="71"/>
  <c r="EA61" i="71"/>
  <c r="EB61" i="71"/>
  <c r="F61" i="71"/>
  <c r="DX62" i="71"/>
  <c r="DW62" i="71" s="1"/>
  <c r="G62" i="71"/>
  <c r="K97" i="71" s="1"/>
  <c r="H62" i="71"/>
  <c r="L97" i="71" s="1"/>
  <c r="I62" i="71"/>
  <c r="M97" i="71" s="1"/>
  <c r="J62" i="71"/>
  <c r="N97" i="71" s="1"/>
  <c r="EA62" i="71"/>
  <c r="EB62" i="71"/>
  <c r="F62" i="71"/>
  <c r="DY63" i="71"/>
  <c r="EA63" i="71"/>
  <c r="EB63" i="71"/>
  <c r="DY66" i="71"/>
  <c r="DY67" i="71" s="1"/>
  <c r="EG66" i="71"/>
  <c r="DP67" i="71"/>
  <c r="DP71" i="71" s="1"/>
  <c r="DQ67" i="71"/>
  <c r="DQ99" i="71" s="1"/>
  <c r="DR67" i="71"/>
  <c r="DR71" i="71" s="1"/>
  <c r="DS67" i="71"/>
  <c r="DS71" i="71" s="1"/>
  <c r="DS102" i="71" s="1"/>
  <c r="DT67" i="71"/>
  <c r="DT99" i="71" s="1"/>
  <c r="DU67" i="71"/>
  <c r="DU235" i="71" s="1"/>
  <c r="DV67" i="71"/>
  <c r="DV71" i="71" s="1"/>
  <c r="DV102" i="71" s="1"/>
  <c r="DW67" i="71"/>
  <c r="DX67" i="71"/>
  <c r="DX71" i="71" s="1"/>
  <c r="DZ67" i="71"/>
  <c r="DZ235" i="71" s="1"/>
  <c r="EA67" i="71"/>
  <c r="EA235" i="71" s="1"/>
  <c r="EB67" i="71"/>
  <c r="EB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G68" i="71"/>
  <c r="AN69" i="71"/>
  <c r="EG69" i="71" s="1"/>
  <c r="DP72" i="71"/>
  <c r="DQ72" i="71"/>
  <c r="DR72" i="71"/>
  <c r="DS72" i="71"/>
  <c r="DT72" i="71"/>
  <c r="DU72" i="71"/>
  <c r="DV73" i="71"/>
  <c r="DW73" i="71"/>
  <c r="DX73" i="71"/>
  <c r="DY73" i="71"/>
  <c r="DZ73" i="71"/>
  <c r="EA73" i="71"/>
  <c r="EB73" i="71"/>
  <c r="EC73" i="71"/>
  <c r="ED73" i="71"/>
  <c r="EE73" i="71"/>
  <c r="EF73" i="71"/>
  <c r="C73" i="71"/>
  <c r="D73" i="71"/>
  <c r="E73" i="71"/>
  <c r="G73" i="71"/>
  <c r="H73" i="71"/>
  <c r="I73" i="71"/>
  <c r="K73" i="71"/>
  <c r="L73" i="71"/>
  <c r="M73" i="71"/>
  <c r="O73" i="71"/>
  <c r="P73" i="71"/>
  <c r="Q73" i="71"/>
  <c r="T73" i="71"/>
  <c r="U73" i="71"/>
  <c r="W73" i="71"/>
  <c r="X73" i="71"/>
  <c r="Y73" i="71"/>
  <c r="AA73" i="71"/>
  <c r="AB73" i="71"/>
  <c r="AC73" i="71"/>
  <c r="AG73" i="71"/>
  <c r="AH75" i="71"/>
  <c r="DP78" i="71"/>
  <c r="DQ78" i="71"/>
  <c r="DQ241" i="71" s="1"/>
  <c r="DR78" i="71"/>
  <c r="DR241" i="71" s="1"/>
  <c r="DS78" i="71"/>
  <c r="DS241" i="71" s="1"/>
  <c r="DT78" i="71"/>
  <c r="DT241" i="71" s="1"/>
  <c r="DU78" i="71"/>
  <c r="DU241" i="71" s="1"/>
  <c r="DV78" i="71"/>
  <c r="DV241" i="71" s="1"/>
  <c r="DW78" i="71"/>
  <c r="DW241" i="71" s="1"/>
  <c r="DX78" i="71"/>
  <c r="DX241" i="71" s="1"/>
  <c r="DY78" i="71"/>
  <c r="DY241" i="71" s="1"/>
  <c r="DZ78" i="71"/>
  <c r="DZ241" i="71" s="1"/>
  <c r="EA78" i="71"/>
  <c r="EA241" i="71" s="1"/>
  <c r="EC78" i="71"/>
  <c r="EC241" i="71" s="1"/>
  <c r="ED78" i="71"/>
  <c r="ED241" i="71" s="1"/>
  <c r="EE78" i="71"/>
  <c r="EE241" i="71" s="1"/>
  <c r="EF78" i="71"/>
  <c r="EF241" i="71" s="1"/>
  <c r="C78" i="71"/>
  <c r="D78" i="71"/>
  <c r="E78" i="71"/>
  <c r="F78" i="71"/>
  <c r="G78" i="71"/>
  <c r="H78" i="71"/>
  <c r="I78" i="71"/>
  <c r="J78" i="71"/>
  <c r="K78" i="71"/>
  <c r="L78" i="71"/>
  <c r="M78" i="71"/>
  <c r="N78" i="71"/>
  <c r="O78" i="71"/>
  <c r="P78" i="71"/>
  <c r="Q78" i="71"/>
  <c r="R78" i="71"/>
  <c r="S78" i="71"/>
  <c r="Z78" i="71"/>
  <c r="DQ81" i="71"/>
  <c r="DR81" i="71"/>
  <c r="DS81" i="71"/>
  <c r="DT81" i="71"/>
  <c r="DU81" i="71"/>
  <c r="DV81" i="71"/>
  <c r="DW81" i="71"/>
  <c r="DX81" i="71"/>
  <c r="DY81" i="71"/>
  <c r="DZ81" i="71"/>
  <c r="EA81" i="71"/>
  <c r="EB81" i="71"/>
  <c r="H81" i="71"/>
  <c r="I81" i="71"/>
  <c r="J81" i="71"/>
  <c r="K81" i="71"/>
  <c r="L81" i="71"/>
  <c r="M81" i="71"/>
  <c r="N81" i="71"/>
  <c r="O81" i="71"/>
  <c r="P81" i="71"/>
  <c r="Q81" i="71"/>
  <c r="R81" i="71"/>
  <c r="S81" i="71"/>
  <c r="T81" i="71"/>
  <c r="U81" i="71"/>
  <c r="V81" i="71"/>
  <c r="W81" i="71"/>
  <c r="X81" i="71"/>
  <c r="Y81" i="71"/>
  <c r="Z81" i="71"/>
  <c r="EF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P101" i="71"/>
  <c r="DQ101" i="71"/>
  <c r="DR101" i="71"/>
  <c r="DS101" i="71"/>
  <c r="DT101" i="71"/>
  <c r="DU101" i="71"/>
  <c r="DV101" i="71"/>
  <c r="DW101" i="71"/>
  <c r="DX101" i="71"/>
  <c r="DY101" i="71"/>
  <c r="DZ101" i="71"/>
  <c r="EA101" i="71"/>
  <c r="E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F108" i="71"/>
  <c r="EF109" i="71" s="1"/>
  <c r="DS109" i="71"/>
  <c r="DT109" i="71"/>
  <c r="DU109" i="71"/>
  <c r="DV109" i="71"/>
  <c r="DW109" i="71"/>
  <c r="DX109" i="71"/>
  <c r="DY109" i="71"/>
  <c r="DZ109" i="71"/>
  <c r="EA109" i="71"/>
  <c r="EB109" i="71"/>
  <c r="EC109" i="71"/>
  <c r="ED109" i="71"/>
  <c r="EE109" i="71"/>
  <c r="W109" i="71"/>
  <c r="X109" i="71"/>
  <c r="Y109" i="71"/>
  <c r="Z109" i="71"/>
  <c r="AA109" i="71"/>
  <c r="AB109" i="71"/>
  <c r="AC109" i="71"/>
  <c r="AD109" i="71"/>
  <c r="AE109" i="71"/>
  <c r="DS110" i="71"/>
  <c r="DT110" i="71"/>
  <c r="DU110" i="71"/>
  <c r="DV110" i="71"/>
  <c r="DW110" i="71"/>
  <c r="DX110" i="71"/>
  <c r="DY110" i="71"/>
  <c r="DZ110" i="71"/>
  <c r="EA110" i="71"/>
  <c r="EB110" i="71"/>
  <c r="Z110" i="71"/>
  <c r="DT111" i="71"/>
  <c r="DU111" i="71"/>
  <c r="DV111" i="71"/>
  <c r="DW111" i="71"/>
  <c r="DX111" i="71"/>
  <c r="DY111" i="71"/>
  <c r="DZ111" i="71"/>
  <c r="EA111" i="71"/>
  <c r="EB111" i="71"/>
  <c r="EC111" i="71"/>
  <c r="ED111" i="71"/>
  <c r="EE111" i="71"/>
  <c r="EF111" i="71"/>
  <c r="AT114" i="71"/>
  <c r="AV114" i="71"/>
  <c r="AV254" i="71" s="1"/>
  <c r="AW114" i="71"/>
  <c r="AX114" i="71"/>
  <c r="AM115" i="71"/>
  <c r="DS116" i="71"/>
  <c r="DT116" i="71"/>
  <c r="DU116" i="71"/>
  <c r="DV116" i="71"/>
  <c r="DW116" i="71"/>
  <c r="DX116" i="71"/>
  <c r="DY116" i="71"/>
  <c r="DZ116" i="71"/>
  <c r="EA116" i="71"/>
  <c r="EB116" i="71"/>
  <c r="ED116" i="71"/>
  <c r="W116" i="71"/>
  <c r="X116" i="71"/>
  <c r="Y116" i="71"/>
  <c r="Z116" i="71"/>
  <c r="AA116" i="71"/>
  <c r="AB116" i="71"/>
  <c r="AC116" i="71"/>
  <c r="AD116" i="71"/>
  <c r="AE116" i="71"/>
  <c r="DS117" i="71"/>
  <c r="DT117" i="71"/>
  <c r="DU117" i="71"/>
  <c r="DV117" i="71"/>
  <c r="DW117" i="71"/>
  <c r="DX117" i="71"/>
  <c r="DY117" i="71"/>
  <c r="DZ117" i="71"/>
  <c r="EA117" i="71"/>
  <c r="EB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S123" i="71"/>
  <c r="DT123" i="71"/>
  <c r="DU123" i="71"/>
  <c r="DV123" i="71"/>
  <c r="DW123" i="71"/>
  <c r="DX123" i="71"/>
  <c r="DY123" i="71"/>
  <c r="DZ123" i="71"/>
  <c r="EA123" i="71"/>
  <c r="EB123" i="71"/>
  <c r="EC123" i="71"/>
  <c r="ED123" i="71"/>
  <c r="EE123" i="71"/>
  <c r="DS124" i="71"/>
  <c r="DT124" i="71"/>
  <c r="DU124" i="71"/>
  <c r="DV124" i="71"/>
  <c r="DW124" i="71"/>
  <c r="DX124" i="71"/>
  <c r="DY124" i="71"/>
  <c r="DZ124" i="71"/>
  <c r="EA124" i="71"/>
  <c r="EB124" i="71"/>
  <c r="EB132" i="71"/>
  <c r="EC132" i="71"/>
  <c r="ED132" i="71"/>
  <c r="EE132" i="71"/>
  <c r="EF132" i="71"/>
  <c r="EF150" i="71"/>
  <c r="AP150" i="71"/>
  <c r="AP146" i="71" s="1"/>
  <c r="AQ150" i="71"/>
  <c r="AQ146" i="71" s="1"/>
  <c r="AR150" i="71"/>
  <c r="AR146" i="71" s="1"/>
  <c r="AS150" i="71"/>
  <c r="AS146" i="71" s="1"/>
  <c r="AT150" i="71"/>
  <c r="AT146" i="71" s="1"/>
  <c r="AU150" i="71"/>
  <c r="AU146" i="71" s="1"/>
  <c r="AV150" i="71"/>
  <c r="AV146" i="71" s="1"/>
  <c r="EG157" i="71"/>
  <c r="AM157" i="71"/>
  <c r="AP157" i="71"/>
  <c r="AQ157" i="71"/>
  <c r="AR157" i="71"/>
  <c r="AS157" i="71"/>
  <c r="AT157" i="71"/>
  <c r="AU157" i="71"/>
  <c r="AV157" i="71"/>
  <c r="EG168" i="71"/>
  <c r="EG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S229" i="71"/>
  <c r="DT229" i="71"/>
  <c r="DU229" i="71"/>
  <c r="DV229" i="71"/>
  <c r="DW229" i="71"/>
  <c r="DX229" i="71"/>
  <c r="DY229" i="71"/>
  <c r="DZ229" i="71"/>
  <c r="EA229" i="71"/>
  <c r="EB229" i="71"/>
  <c r="EC229" i="71"/>
  <c r="ED229" i="71"/>
  <c r="EE229" i="71"/>
  <c r="EF229" i="71"/>
  <c r="DS231" i="71"/>
  <c r="DT231" i="71"/>
  <c r="DU231" i="71"/>
  <c r="DV231" i="71"/>
  <c r="DW231" i="71"/>
  <c r="DX231" i="71"/>
  <c r="DY231" i="71"/>
  <c r="DZ231" i="71"/>
  <c r="EA231" i="71"/>
  <c r="EB231" i="71"/>
  <c r="ED231" i="71"/>
  <c r="DS233" i="71"/>
  <c r="DT233" i="71"/>
  <c r="DU233" i="71"/>
  <c r="DV233" i="71"/>
  <c r="DW233" i="71"/>
  <c r="DX233" i="71"/>
  <c r="DY233" i="71"/>
  <c r="DZ233" i="71"/>
  <c r="EA233" i="71"/>
  <c r="EB233" i="71"/>
  <c r="EC233" i="71"/>
  <c r="ED233" i="71"/>
  <c r="EE233" i="71"/>
  <c r="G249" i="71"/>
  <c r="H249" i="71"/>
  <c r="I249" i="71"/>
  <c r="J249" i="71"/>
  <c r="G250" i="71"/>
  <c r="H250" i="71"/>
  <c r="I250" i="71"/>
  <c r="J250" i="71"/>
  <c r="DY251" i="71"/>
  <c r="DZ251" i="71"/>
  <c r="EA251"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S254" i="71"/>
  <c r="T254" i="71"/>
  <c r="U254" i="71"/>
  <c r="V254" i="71"/>
  <c r="W254" i="71"/>
  <c r="X254" i="71"/>
  <c r="Y254" i="71"/>
  <c r="Z254" i="71"/>
  <c r="AA254" i="71"/>
  <c r="AB254" i="71"/>
  <c r="AC254" i="71"/>
  <c r="AD254" i="71"/>
  <c r="AE254" i="71"/>
  <c r="EB257" i="71"/>
  <c r="EC257" i="71"/>
  <c r="ED257" i="71"/>
  <c r="EE257" i="71"/>
  <c r="EF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L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7" i="71"/>
  <c r="EJ36"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5" i="71"/>
  <c r="EJ16" i="71"/>
  <c r="K15" i="11" s="1"/>
  <c r="EJ78" i="71"/>
  <c r="EJ241" i="71" s="1"/>
  <c r="EJ69" i="71"/>
  <c r="EJ68" i="71"/>
  <c r="EJ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6" i="71"/>
  <c r="AB15" i="69"/>
  <c r="P62" i="5"/>
  <c r="O65" i="5"/>
  <c r="V44" i="5"/>
  <c r="V46" i="5"/>
  <c r="V47" i="5"/>
  <c r="V48" i="5"/>
  <c r="V49" i="5"/>
  <c r="U46" i="5"/>
  <c r="U47" i="5"/>
  <c r="U48" i="5"/>
  <c r="U49" i="5"/>
  <c r="I68" i="5"/>
  <c r="J69" i="5"/>
  <c r="S33" i="5"/>
  <c r="S34" i="5"/>
  <c r="R34" i="5"/>
  <c r="S32" i="5"/>
  <c r="AF22" i="45"/>
  <c r="R32" i="5"/>
  <c r="R37" i="5"/>
  <c r="R38" i="5"/>
  <c r="I74" i="5"/>
  <c r="I75" i="5"/>
  <c r="AA12" i="69"/>
  <c r="AB12" i="69"/>
  <c r="EN96" i="71"/>
  <c r="EN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6" i="71"/>
  <c r="EO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6" i="71"/>
  <c r="EQ96" i="71"/>
  <c r="EQ95" i="71"/>
  <c r="EP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219" i="71" l="1"/>
  <c r="DJ217" i="71"/>
  <c r="DJ219" i="71" s="1"/>
  <c r="CI81" i="71"/>
  <c r="DI213" i="71"/>
  <c r="DI221" i="71" s="1"/>
  <c r="DJ208" i="71"/>
  <c r="DJ213" i="71" s="1"/>
  <c r="DJ221" i="71" s="1"/>
  <c r="FA29" i="7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D219" i="71"/>
  <c r="DD221" i="71" s="1"/>
  <c r="DE218" i="71"/>
  <c r="CZ219" i="71"/>
  <c r="DA217" i="71"/>
  <c r="DB217" i="71" s="1"/>
  <c r="DB205" i="71"/>
  <c r="DB215" i="71"/>
  <c r="DA210" i="71"/>
  <c r="DB210" i="71" s="1"/>
  <c r="DA209" i="71"/>
  <c r="DB209" i="71" s="1"/>
  <c r="DH213" i="71"/>
  <c r="DA205" i="71"/>
  <c r="DH219" i="71"/>
  <c r="DL26" i="71"/>
  <c r="DM26" i="71" s="1"/>
  <c r="DN26" i="71" s="1"/>
  <c r="DL30" i="71"/>
  <c r="DM30" i="71" s="1"/>
  <c r="DN30" i="71" s="1"/>
  <c r="CI85" i="71"/>
  <c r="DG71" i="71"/>
  <c r="DG74" i="71" s="1"/>
  <c r="DG76" i="71" s="1"/>
  <c r="CH85" i="71"/>
  <c r="CZ213" i="71"/>
  <c r="CZ221" i="71" s="1"/>
  <c r="CY221" i="71"/>
  <c r="CG85" i="71"/>
  <c r="CH81" i="71"/>
  <c r="CF81" i="71"/>
  <c r="CG81" i="71"/>
  <c r="CF85" i="71"/>
  <c r="CE81" i="71"/>
  <c r="CE85" i="71"/>
  <c r="CL85" i="71"/>
  <c r="CJ85" i="71"/>
  <c r="EY4" i="71"/>
  <c r="BZ83" i="71"/>
  <c r="CD83" i="71"/>
  <c r="BZ70" i="71"/>
  <c r="BX65" i="71"/>
  <c r="BX67" i="71" s="1"/>
  <c r="BX71" i="71" s="1"/>
  <c r="CL81" i="71"/>
  <c r="EY26" i="71"/>
  <c r="EW72" i="71"/>
  <c r="EY30" i="71"/>
  <c r="DF90" i="71"/>
  <c r="DE86" i="71"/>
  <c r="CO70" i="71"/>
  <c r="ET68" i="71"/>
  <c r="CK70" i="71"/>
  <c r="ES68" i="71"/>
  <c r="EX12" i="71"/>
  <c r="EY12" i="71"/>
  <c r="EX18" i="71"/>
  <c r="EY18" i="71"/>
  <c r="EX13" i="71"/>
  <c r="EY38" i="71"/>
  <c r="FA38" i="71" s="1"/>
  <c r="FB38" i="71" s="1"/>
  <c r="FC38" i="71" s="1"/>
  <c r="FD38" i="71" s="1"/>
  <c r="FE38" i="71" s="1"/>
  <c r="FF38" i="71" s="1"/>
  <c r="FG38" i="71" s="1"/>
  <c r="FH38" i="71" s="1"/>
  <c r="FI38" i="71" s="1"/>
  <c r="FJ38" i="71" s="1"/>
  <c r="EX38" i="71"/>
  <c r="EY39" i="71"/>
  <c r="FA39" i="71" s="1"/>
  <c r="FB39" i="71" s="1"/>
  <c r="FC39" i="71" s="1"/>
  <c r="FD39" i="71" s="1"/>
  <c r="FE39" i="71" s="1"/>
  <c r="FF39" i="71" s="1"/>
  <c r="EX39" i="71"/>
  <c r="EY19" i="71"/>
  <c r="EX19" i="71"/>
  <c r="EY14" i="71"/>
  <c r="EX14" i="71"/>
  <c r="EY50" i="71"/>
  <c r="EX50" i="71"/>
  <c r="EY29" i="71"/>
  <c r="CO65" i="71"/>
  <c r="CO67" i="71" s="1"/>
  <c r="ET58" i="71"/>
  <c r="DD90" i="71"/>
  <c r="EX11" i="71"/>
  <c r="DE90" i="71"/>
  <c r="CK65" i="71"/>
  <c r="CK81" i="71" s="1"/>
  <c r="ES58" i="71"/>
  <c r="DF86" i="71"/>
  <c r="CU65" i="71"/>
  <c r="CU81" i="71" s="1"/>
  <c r="EV50" i="71"/>
  <c r="CX67" i="71"/>
  <c r="CX99" i="71" s="1"/>
  <c r="DB81" i="71"/>
  <c r="EW83" i="71"/>
  <c r="EJ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L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V70" i="71"/>
  <c r="EW86" i="71"/>
  <c r="EV72" i="71"/>
  <c r="CY155" i="71"/>
  <c r="CY160" i="71" s="1"/>
  <c r="EW10" i="71"/>
  <c r="FA27" i="71"/>
  <c r="FB27" i="71" s="1"/>
  <c r="FC27" i="71" s="1"/>
  <c r="FD27" i="71" s="1"/>
  <c r="FE27" i="71" s="1"/>
  <c r="FF27" i="71" s="1"/>
  <c r="FG27" i="71" s="1"/>
  <c r="FH27" i="71" s="1"/>
  <c r="FI27" i="71" s="1"/>
  <c r="FJ27" i="71" s="1"/>
  <c r="EX59" i="71"/>
  <c r="EY59" i="71" s="1"/>
  <c r="EZ59" i="71" s="1"/>
  <c r="FA59" i="71" s="1"/>
  <c r="FB59" i="71" s="1"/>
  <c r="FC59" i="71" s="1"/>
  <c r="FD59" i="71" s="1"/>
  <c r="FE59" i="71" s="1"/>
  <c r="FF59" i="71" s="1"/>
  <c r="FG59" i="71" s="1"/>
  <c r="FH59" i="71" s="1"/>
  <c r="FI59" i="71" s="1"/>
  <c r="FJ59" i="71" s="1"/>
  <c r="EW11" i="71"/>
  <c r="FA28" i="71"/>
  <c r="FB28" i="71" s="1"/>
  <c r="FC28" i="71" s="1"/>
  <c r="FD28" i="71" s="1"/>
  <c r="FE28" i="71" s="1"/>
  <c r="FF28" i="71" s="1"/>
  <c r="FG28" i="71" s="1"/>
  <c r="FH28" i="71" s="1"/>
  <c r="FI28" i="71" s="1"/>
  <c r="EW14" i="71"/>
  <c r="EW97" i="71"/>
  <c r="FA48" i="71"/>
  <c r="FB48" i="71" s="1"/>
  <c r="FC48" i="71" s="1"/>
  <c r="FD48" i="71" s="1"/>
  <c r="FE48" i="71" s="1"/>
  <c r="FF48" i="71" s="1"/>
  <c r="FG48" i="71" s="1"/>
  <c r="FH48" i="71" s="1"/>
  <c r="FI48" i="71" s="1"/>
  <c r="FJ48" i="71" s="1"/>
  <c r="EW19" i="71"/>
  <c r="FA33" i="71"/>
  <c r="FB33" i="71" s="1"/>
  <c r="FC33" i="71" s="1"/>
  <c r="FD33" i="71" s="1"/>
  <c r="FE33" i="71" s="1"/>
  <c r="FF33" i="71" s="1"/>
  <c r="FG33" i="71" s="1"/>
  <c r="FH33" i="71" s="1"/>
  <c r="FI33" i="71" s="1"/>
  <c r="FJ33" i="71" s="1"/>
  <c r="EW4" i="71"/>
  <c r="EX51" i="71"/>
  <c r="EY51" i="71" s="1"/>
  <c r="FA51" i="71" s="1"/>
  <c r="FB51" i="71" s="1"/>
  <c r="FC51" i="71" s="1"/>
  <c r="FD51" i="71" s="1"/>
  <c r="FE51" i="71" s="1"/>
  <c r="FF51" i="71" s="1"/>
  <c r="FG51" i="71" s="1"/>
  <c r="FH51" i="71" s="1"/>
  <c r="FI51" i="71" s="1"/>
  <c r="FJ51" i="71" s="1"/>
  <c r="EW5" i="71"/>
  <c r="FD5" i="71" s="1"/>
  <c r="FE5" i="71" s="1"/>
  <c r="FF5" i="71" s="1"/>
  <c r="FG5" i="71" s="1"/>
  <c r="FH5" i="71" s="1"/>
  <c r="FI5" i="71" s="1"/>
  <c r="EX55" i="71"/>
  <c r="EY55" i="71" s="1"/>
  <c r="EZ55" i="71" s="1"/>
  <c r="FA55" i="71" s="1"/>
  <c r="FB55" i="71" s="1"/>
  <c r="FC55" i="71" s="1"/>
  <c r="FD55" i="71" s="1"/>
  <c r="FE55" i="71" s="1"/>
  <c r="FF55" i="71" s="1"/>
  <c r="FG55" i="71" s="1"/>
  <c r="FH55" i="71" s="1"/>
  <c r="FI55" i="71" s="1"/>
  <c r="FJ55" i="71" s="1"/>
  <c r="EX78" i="71"/>
  <c r="EY78" i="71" s="1"/>
  <c r="EZ78" i="71" s="1"/>
  <c r="FA78" i="71" s="1"/>
  <c r="FB78" i="71" s="1"/>
  <c r="EW6" i="71"/>
  <c r="AZ71" i="71"/>
  <c r="AZ74" i="71" s="1"/>
  <c r="AZ76" i="71" s="1"/>
  <c r="AZ105" i="71" s="1"/>
  <c r="AZ101" i="71"/>
  <c r="AZ107" i="71"/>
  <c r="AZ110" i="71" s="1"/>
  <c r="EG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H96" i="71"/>
  <c r="EK84" i="71"/>
  <c r="EQ97" i="71"/>
  <c r="EP97" i="71"/>
  <c r="EO97" i="71"/>
  <c r="BA107" i="71"/>
  <c r="BE111" i="71" s="1"/>
  <c r="BD65" i="71"/>
  <c r="BD117" i="71" s="1"/>
  <c r="EH94" i="71"/>
  <c r="E62" i="71"/>
  <c r="I97" i="71" s="1"/>
  <c r="S86" i="71"/>
  <c r="BE179" i="71"/>
  <c r="AL254" i="71"/>
  <c r="EG95" i="71"/>
  <c r="AC86" i="71"/>
  <c r="AM116" i="71"/>
  <c r="BP181" i="71"/>
  <c r="EO10" i="71"/>
  <c r="EP10" i="71" s="1"/>
  <c r="EQ10" i="71" s="1"/>
  <c r="D71" i="71"/>
  <c r="D102" i="71" s="1"/>
  <c r="EJ94" i="71"/>
  <c r="EO36" i="71"/>
  <c r="EP36" i="71" s="1"/>
  <c r="EQ36" i="71" s="1"/>
  <c r="AL118" i="71"/>
  <c r="P99" i="71"/>
  <c r="EH97" i="71"/>
  <c r="AN86" i="71"/>
  <c r="EP64" i="71"/>
  <c r="EQ64" i="71" s="1"/>
  <c r="EQ121" i="71" s="1"/>
  <c r="EQ233" i="71" s="1"/>
  <c r="EO121" i="71"/>
  <c r="EO233" i="71" s="1"/>
  <c r="EI97" i="71"/>
  <c r="BB160" i="71"/>
  <c r="EK75" i="71"/>
  <c r="BJ65" i="71"/>
  <c r="BJ101" i="71" s="1"/>
  <c r="EG96" i="71"/>
  <c r="EN121" i="71"/>
  <c r="EN233" i="71" s="1"/>
  <c r="I99" i="71"/>
  <c r="EI95" i="71"/>
  <c r="EG12" i="71"/>
  <c r="AB86" i="71"/>
  <c r="ED97" i="71"/>
  <c r="EN97" i="71"/>
  <c r="BF125" i="71"/>
  <c r="BN107" i="71"/>
  <c r="DU99" i="71"/>
  <c r="N99" i="71"/>
  <c r="EC16" i="71"/>
  <c r="ED15" i="71"/>
  <c r="H251" i="71"/>
  <c r="H74" i="71"/>
  <c r="H76" i="71" s="1"/>
  <c r="H105" i="71" s="1"/>
  <c r="H99" i="71"/>
  <c r="AN254" i="71"/>
  <c r="DU71" i="71"/>
  <c r="DU102" i="71" s="1"/>
  <c r="AW65" i="71"/>
  <c r="BA81" i="71" s="1"/>
  <c r="BA132" i="71" s="1"/>
  <c r="BA129" i="71" s="1"/>
  <c r="BA266" i="71" s="1"/>
  <c r="V86" i="71"/>
  <c r="EG36" i="71"/>
  <c r="J95" i="71"/>
  <c r="DV234" i="71"/>
  <c r="DS235" i="71"/>
  <c r="AY160" i="71"/>
  <c r="EM86" i="71"/>
  <c r="DY15" i="71"/>
  <c r="Y74" i="71"/>
  <c r="Y104" i="71" s="1"/>
  <c r="EG43" i="71"/>
  <c r="Z86" i="71"/>
  <c r="EE42" i="71"/>
  <c r="EA51" i="71"/>
  <c r="EF94" i="71"/>
  <c r="BI181" i="71"/>
  <c r="AV147" i="71"/>
  <c r="ED234" i="71"/>
  <c r="EG16" i="71"/>
  <c r="EF97" i="71"/>
  <c r="AE86" i="71"/>
  <c r="EG22" i="71"/>
  <c r="Y102" i="71"/>
  <c r="AY65" i="71"/>
  <c r="AY264" i="71" s="1"/>
  <c r="DZ43" i="71"/>
  <c r="EA42" i="71"/>
  <c r="DX42" i="71"/>
  <c r="K95" i="71"/>
  <c r="N95" i="71"/>
  <c r="EG17" i="71"/>
  <c r="Q99" i="71"/>
  <c r="BI65" i="71"/>
  <c r="BV83" i="71"/>
  <c r="BV86" i="71"/>
  <c r="BU88" i="71"/>
  <c r="BT107" i="71"/>
  <c r="Y99" i="71"/>
  <c r="AS65" i="71"/>
  <c r="AS101" i="71" s="1"/>
  <c r="BL181" i="71"/>
  <c r="BD125" i="71"/>
  <c r="BD126" i="71" s="1"/>
  <c r="EK97" i="71"/>
  <c r="EL86" i="71"/>
  <c r="EK83" i="71"/>
  <c r="EE15" i="71"/>
  <c r="EB22" i="71"/>
  <c r="EJ95" i="71"/>
  <c r="EA99" i="71"/>
  <c r="BB146" i="71"/>
  <c r="BC190" i="71" s="1"/>
  <c r="BK160" i="71"/>
  <c r="BC109" i="71"/>
  <c r="BC111" i="71"/>
  <c r="AI116" i="71"/>
  <c r="AM118" i="71"/>
  <c r="EE36" i="71"/>
  <c r="BC65" i="71"/>
  <c r="BC147" i="71" s="1"/>
  <c r="EI96" i="71"/>
  <c r="EB42" i="71"/>
  <c r="EN88" i="71"/>
  <c r="BT84" i="71"/>
  <c r="BC125" i="71"/>
  <c r="DT234" i="71"/>
  <c r="EB95" i="71"/>
  <c r="EC43" i="71"/>
  <c r="ED36" i="71"/>
  <c r="AD86" i="71"/>
  <c r="BN146" i="71"/>
  <c r="BN190" i="71" s="1"/>
  <c r="BR146" i="71"/>
  <c r="BR190" i="71" s="1"/>
  <c r="DV235" i="71"/>
  <c r="BC155" i="71"/>
  <c r="BC160" i="71" s="1"/>
  <c r="EH95" i="71"/>
  <c r="DZ17" i="71"/>
  <c r="EC36" i="71"/>
  <c r="EI114" i="71"/>
  <c r="EI231" i="71" s="1"/>
  <c r="EJ97" i="71"/>
  <c r="G74" i="71"/>
  <c r="G103" i="71" s="1"/>
  <c r="EB17" i="71"/>
  <c r="EB36" i="71"/>
  <c r="DX8" i="71"/>
  <c r="EB8" i="71"/>
  <c r="EF95" i="71"/>
  <c r="EA96" i="71"/>
  <c r="AA65" i="71"/>
  <c r="AA110" i="71" s="1"/>
  <c r="AL86" i="71"/>
  <c r="EC97" i="71"/>
  <c r="EE94" i="71"/>
  <c r="AM160" i="71"/>
  <c r="BM65" i="71"/>
  <c r="BM147" i="71" s="1"/>
  <c r="G99" i="71"/>
  <c r="BM181" i="71"/>
  <c r="EN86" i="71"/>
  <c r="EK86" i="71"/>
  <c r="R99" i="71"/>
  <c r="I251" i="71"/>
  <c r="DY56" i="71"/>
  <c r="DY95" i="71" s="1"/>
  <c r="EG3" i="71"/>
  <c r="EG86" i="71" s="1"/>
  <c r="AV190" i="71"/>
  <c r="BP84" i="71"/>
  <c r="BH179" i="71"/>
  <c r="EO24" i="71"/>
  <c r="EP24" i="71" s="1"/>
  <c r="DZ71" i="71"/>
  <c r="DZ99" i="71"/>
  <c r="AZ100" i="71"/>
  <c r="M99" i="71"/>
  <c r="AS125" i="71"/>
  <c r="DX99" i="71"/>
  <c r="EA95" i="71"/>
  <c r="DY42" i="71"/>
  <c r="DX36" i="71"/>
  <c r="AR50" i="71"/>
  <c r="AR107" i="71" s="1"/>
  <c r="AE50" i="71"/>
  <c r="AE65" i="71" s="1"/>
  <c r="AE67" i="71" s="1"/>
  <c r="AE71" i="71" s="1"/>
  <c r="AE102" i="71" s="1"/>
  <c r="EB15" i="71"/>
  <c r="EG15" i="71"/>
  <c r="EF22" i="71"/>
  <c r="X86" i="71"/>
  <c r="AJ86" i="71"/>
  <c r="ED96" i="71"/>
  <c r="EF96" i="71"/>
  <c r="BA125" i="71"/>
  <c r="BA126" i="71" s="1"/>
  <c r="AY146" i="71"/>
  <c r="AY190" i="71" s="1"/>
  <c r="BI125" i="71"/>
  <c r="BR107" i="71"/>
  <c r="DZ22" i="71"/>
  <c r="F71" i="71"/>
  <c r="F102" i="71" s="1"/>
  <c r="DS99" i="71"/>
  <c r="DS74" i="71"/>
  <c r="DS103" i="71" s="1"/>
  <c r="AZ81" i="71"/>
  <c r="AZ132" i="71" s="1"/>
  <c r="AZ129" i="71" s="1"/>
  <c r="AZ266" i="71" s="1"/>
  <c r="AV101" i="71"/>
  <c r="AI86" i="71"/>
  <c r="AW125" i="71"/>
  <c r="AH254" i="71"/>
  <c r="EB99" i="71"/>
  <c r="BA155" i="71"/>
  <c r="BA160" i="71" s="1"/>
  <c r="AQ125" i="71"/>
  <c r="S74" i="71"/>
  <c r="S103" i="71" s="1"/>
  <c r="BB257" i="71"/>
  <c r="AV67" i="71"/>
  <c r="AV99" i="71" s="1"/>
  <c r="V71" i="71"/>
  <c r="EJ50" i="71"/>
  <c r="EJ65" i="71" s="1"/>
  <c r="Z124" i="71"/>
  <c r="C57" i="71"/>
  <c r="G96" i="71" s="1"/>
  <c r="AV100" i="71"/>
  <c r="AX155" i="71"/>
  <c r="AX160" i="71" s="1"/>
  <c r="J96" i="71"/>
  <c r="DY22" i="71"/>
  <c r="BO65" i="71"/>
  <c r="BO101" i="71" s="1"/>
  <c r="BV93" i="71"/>
  <c r="BF65" i="71"/>
  <c r="BF110" i="71" s="1"/>
  <c r="AZ124" i="71"/>
  <c r="AV117" i="71"/>
  <c r="AI254" i="71"/>
  <c r="BB107" i="71"/>
  <c r="BB110" i="71" s="1"/>
  <c r="AO125" i="71"/>
  <c r="AV107" i="71"/>
  <c r="AV110" i="71" s="1"/>
  <c r="J251" i="71"/>
  <c r="EB234" i="71"/>
  <c r="EB236" i="71" s="1"/>
  <c r="EE95" i="71"/>
  <c r="K74" i="71"/>
  <c r="K104" i="71" s="1"/>
  <c r="EK114" i="71"/>
  <c r="EK231" i="71" s="1"/>
  <c r="K99" i="71"/>
  <c r="AS107" i="71"/>
  <c r="AS111" i="71" s="1"/>
  <c r="DX234" i="71"/>
  <c r="BE118" i="71"/>
  <c r="EL96" i="71"/>
  <c r="BK179" i="71"/>
  <c r="BQ188" i="71"/>
  <c r="BQ187" i="71" s="1"/>
  <c r="AS118" i="71"/>
  <c r="BG65" i="71"/>
  <c r="BG100" i="71" s="1"/>
  <c r="AZ155" i="71"/>
  <c r="AZ160" i="71" s="1"/>
  <c r="EL95" i="71"/>
  <c r="T71" i="71"/>
  <c r="DV99" i="71"/>
  <c r="DZ60" i="71"/>
  <c r="AQ257" i="71"/>
  <c r="D62" i="71"/>
  <c r="H97" i="71" s="1"/>
  <c r="BI118" i="71"/>
  <c r="BQ107" i="71"/>
  <c r="BO181" i="71"/>
  <c r="BU83" i="71"/>
  <c r="EK95" i="71"/>
  <c r="AF86" i="71"/>
  <c r="EE96" i="71"/>
  <c r="AX107" i="71"/>
  <c r="AX111" i="71" s="1"/>
  <c r="AZ189" i="71"/>
  <c r="BA189" i="71"/>
  <c r="EB71" i="71"/>
  <c r="X99" i="71"/>
  <c r="AU125" i="71"/>
  <c r="BK181" i="71"/>
  <c r="J102" i="71"/>
  <c r="AX100" i="71"/>
  <c r="U99" i="71"/>
  <c r="DT71" i="71"/>
  <c r="DT102" i="71" s="1"/>
  <c r="EK50" i="71"/>
  <c r="EK65" i="71" s="1"/>
  <c r="DW234" i="71"/>
  <c r="M74" i="71"/>
  <c r="M76" i="71" s="1"/>
  <c r="EF63" i="71"/>
  <c r="EF114" i="71" s="1"/>
  <c r="AU118" i="71"/>
  <c r="EI86" i="71"/>
  <c r="EE16" i="71"/>
  <c r="EC15" i="71"/>
  <c r="EC3" i="71"/>
  <c r="EC86" i="71" s="1"/>
  <c r="AI50" i="71"/>
  <c r="AI107" i="71" s="1"/>
  <c r="AI109" i="71" s="1"/>
  <c r="ED42" i="71"/>
  <c r="EG160" i="71"/>
  <c r="EG178" i="71" s="1"/>
  <c r="T86" i="71"/>
  <c r="AX147" i="71"/>
  <c r="EB94" i="71"/>
  <c r="BA257" i="71"/>
  <c r="AX117" i="71"/>
  <c r="AW107" i="71"/>
  <c r="AP125" i="71"/>
  <c r="EC17" i="71"/>
  <c r="ED43" i="71"/>
  <c r="ED17" i="71"/>
  <c r="EE43" i="71"/>
  <c r="EM84" i="71"/>
  <c r="EO37" i="71"/>
  <c r="EP37" i="71" s="1"/>
  <c r="EQ37" i="71" s="1"/>
  <c r="BV84" i="71"/>
  <c r="AX101" i="71"/>
  <c r="Q74" i="71"/>
  <c r="Q76" i="71" s="1"/>
  <c r="AX67" i="71"/>
  <c r="DT235" i="71"/>
  <c r="DU234" i="71"/>
  <c r="DU236" i="71" s="1"/>
  <c r="EN84" i="71"/>
  <c r="BL179" i="71"/>
  <c r="BJ160" i="71"/>
  <c r="EF36" i="71"/>
  <c r="AO65" i="71"/>
  <c r="AO117" i="71" s="1"/>
  <c r="DP99" i="71"/>
  <c r="EG63" i="71"/>
  <c r="EG114" i="71" s="1"/>
  <c r="EG231" i="71" s="1"/>
  <c r="BJ118" i="71"/>
  <c r="BR160" i="71"/>
  <c r="BI179" i="71"/>
  <c r="EO25" i="71"/>
  <c r="EP25" i="71" s="1"/>
  <c r="EQ25" i="71" s="1"/>
  <c r="ES25" i="71" s="1"/>
  <c r="ET25" i="71" s="1"/>
  <c r="BE65" i="71"/>
  <c r="BE117" i="71" s="1"/>
  <c r="U74" i="71"/>
  <c r="U103" i="71" s="1"/>
  <c r="DV74" i="71"/>
  <c r="DV103" i="71" s="1"/>
  <c r="EA43" i="71"/>
  <c r="DX43" i="71"/>
  <c r="DZ41" i="71"/>
  <c r="DZ15" i="71"/>
  <c r="EA22" i="71"/>
  <c r="DX22" i="71"/>
  <c r="EH22" i="71"/>
  <c r="ED16" i="71"/>
  <c r="AN50" i="71"/>
  <c r="AN107" i="71" s="1"/>
  <c r="AL50" i="71"/>
  <c r="AL107" i="71" s="1"/>
  <c r="AP111" i="71" s="1"/>
  <c r="BE146" i="71"/>
  <c r="BF190" i="71" s="1"/>
  <c r="EM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P102" i="71"/>
  <c r="DP74" i="71"/>
  <c r="AT125" i="71"/>
  <c r="AP114" i="71"/>
  <c r="AP118" i="71" s="1"/>
  <c r="EI94" i="71"/>
  <c r="EM88" i="71"/>
  <c r="EO61" i="71"/>
  <c r="EP61" i="71" s="1"/>
  <c r="EQ61" i="71" s="1"/>
  <c r="EM97" i="71"/>
  <c r="AF50" i="71"/>
  <c r="AF107" i="71" s="1"/>
  <c r="AF251" i="71" s="1"/>
  <c r="AQ118" i="71"/>
  <c r="AQ50" i="71"/>
  <c r="ED3" i="71"/>
  <c r="BE160" i="71"/>
  <c r="BF179" i="71"/>
  <c r="BL107" i="71"/>
  <c r="BY97" i="71"/>
  <c r="EJ86" i="71"/>
  <c r="EA3" i="71"/>
  <c r="DY62" i="71"/>
  <c r="DZ61" i="71"/>
  <c r="AZ264" i="71"/>
  <c r="AZ265" i="71" s="1"/>
  <c r="AM86" i="71"/>
  <c r="E57" i="71"/>
  <c r="I96" i="71" s="1"/>
  <c r="AQ190" i="71"/>
  <c r="EL84" i="71"/>
  <c r="AY125" i="71"/>
  <c r="AH86" i="71"/>
  <c r="AA86" i="71"/>
  <c r="I74" i="71"/>
  <c r="J97" i="71"/>
  <c r="EG8" i="71"/>
  <c r="AT65" i="71"/>
  <c r="AT124" i="71" s="1"/>
  <c r="BH118" i="71"/>
  <c r="BG179" i="71"/>
  <c r="BM179" i="71"/>
  <c r="N102" i="71"/>
  <c r="AD65" i="71"/>
  <c r="W86" i="71"/>
  <c r="AZ147" i="71"/>
  <c r="DR99" i="71"/>
  <c r="EE17" i="71"/>
  <c r="DQ71" i="71"/>
  <c r="DQ102" i="71" s="1"/>
  <c r="EN50" i="71"/>
  <c r="EO50" i="71" s="1"/>
  <c r="EP50" i="71" s="1"/>
  <c r="EQ50" i="71" s="1"/>
  <c r="EO4" i="71"/>
  <c r="EO87" i="71" s="1"/>
  <c r="BU87" i="71"/>
  <c r="C99" i="71"/>
  <c r="AM50" i="71"/>
  <c r="AM65" i="71" s="1"/>
  <c r="AM124" i="71" s="1"/>
  <c r="BU93" i="71"/>
  <c r="BB117" i="71"/>
  <c r="EK96" i="71"/>
  <c r="EA234" i="71"/>
  <c r="EA236" i="71" s="1"/>
  <c r="AK114" i="71"/>
  <c r="AK118" i="71" s="1"/>
  <c r="BM107" i="71"/>
  <c r="AP65" i="71"/>
  <c r="DX235" i="71"/>
  <c r="EA8" i="71"/>
  <c r="EC42" i="71"/>
  <c r="EK73" i="71"/>
  <c r="BN65" i="71"/>
  <c r="BN100" i="71" s="1"/>
  <c r="EJ155" i="71"/>
  <c r="EJ160" i="71" s="1"/>
  <c r="AT190" i="71"/>
  <c r="DY43" i="71"/>
  <c r="DZ42" i="71"/>
  <c r="EA41" i="71"/>
  <c r="DX15" i="71"/>
  <c r="DY8" i="71"/>
  <c r="BE125" i="71"/>
  <c r="BG181" i="71"/>
  <c r="BK50" i="71"/>
  <c r="BK107" i="71" s="1"/>
  <c r="BJ146" i="71"/>
  <c r="BJ190" i="71" s="1"/>
  <c r="BP189" i="71"/>
  <c r="BR179" i="71"/>
  <c r="BL160" i="71"/>
  <c r="EH63" i="71"/>
  <c r="EH114" i="71" s="1"/>
  <c r="P74" i="71"/>
  <c r="P103" i="71" s="1"/>
  <c r="BH125" i="71"/>
  <c r="BG189" i="71"/>
  <c r="BG146" i="71"/>
  <c r="BG190" i="71" s="1"/>
  <c r="BG155" i="71"/>
  <c r="BG160" i="71" s="1"/>
  <c r="EG125" i="71"/>
  <c r="EG127" i="71" s="1"/>
  <c r="EG123" i="71"/>
  <c r="EG233" i="71"/>
  <c r="BV65" i="71"/>
  <c r="O74" i="71"/>
  <c r="O76" i="71" s="1"/>
  <c r="O102" i="71"/>
  <c r="AK50" i="71"/>
  <c r="AK65" i="71" s="1"/>
  <c r="AC65" i="71"/>
  <c r="AC124" i="71" s="1"/>
  <c r="AH50" i="71"/>
  <c r="AH65" i="71" s="1"/>
  <c r="AX190" i="71"/>
  <c r="AW190" i="71"/>
  <c r="AR257" i="71"/>
  <c r="AR125" i="71"/>
  <c r="EJ233" i="71"/>
  <c r="EJ125" i="71"/>
  <c r="EJ127" i="71" s="1"/>
  <c r="C74" i="71"/>
  <c r="C102" i="71"/>
  <c r="AF114" i="71"/>
  <c r="EE63" i="71"/>
  <c r="EE114" i="71" s="1"/>
  <c r="EE231" i="71" s="1"/>
  <c r="EE234" i="71" s="1"/>
  <c r="AZ254" i="71"/>
  <c r="AZ117" i="71"/>
  <c r="AZ118" i="71"/>
  <c r="AZ120" i="71" s="1"/>
  <c r="BD118" i="71"/>
  <c r="BD120" i="71" s="1"/>
  <c r="AZ205" i="71"/>
  <c r="AZ222" i="71" s="1"/>
  <c r="BA201" i="71"/>
  <c r="BB201" i="71" s="1"/>
  <c r="G251" i="71"/>
  <c r="W99" i="71"/>
  <c r="W71" i="71"/>
  <c r="W102" i="71" s="1"/>
  <c r="EH233" i="71"/>
  <c r="EH125" i="71"/>
  <c r="EH123" i="71"/>
  <c r="ED95" i="71"/>
  <c r="EC95" i="71"/>
  <c r="EF123" i="71"/>
  <c r="EF233" i="71"/>
  <c r="BE205" i="71"/>
  <c r="L96" i="71"/>
  <c r="D57" i="71"/>
  <c r="DW56" i="71"/>
  <c r="DX95" i="71" s="1"/>
  <c r="DY36" i="71"/>
  <c r="AY254" i="71"/>
  <c r="AY118" i="71"/>
  <c r="BC118" i="71"/>
  <c r="BA147" i="71"/>
  <c r="BA264" i="71"/>
  <c r="BA101" i="71"/>
  <c r="BA117" i="71"/>
  <c r="BA124" i="71"/>
  <c r="BA67" i="71"/>
  <c r="EL114" i="71"/>
  <c r="EL231" i="71" s="1"/>
  <c r="DY57" i="71"/>
  <c r="DP241" i="71"/>
  <c r="U86" i="71"/>
  <c r="Y86" i="71"/>
  <c r="AG86" i="71"/>
  <c r="AK86" i="71"/>
  <c r="AG50" i="71"/>
  <c r="AG65" i="71" s="1"/>
  <c r="AG117" i="71" s="1"/>
  <c r="J103" i="71"/>
  <c r="J76" i="71"/>
  <c r="J104" i="71"/>
  <c r="BD190" i="71"/>
  <c r="BU65" i="71"/>
  <c r="AC123" i="71"/>
  <c r="BA118" i="71"/>
  <c r="DX102" i="71"/>
  <c r="DX74" i="71"/>
  <c r="DX104" i="71" s="1"/>
  <c r="DY235" i="71"/>
  <c r="DY99" i="71"/>
  <c r="DY71" i="71"/>
  <c r="E60" i="71"/>
  <c r="DY60" i="71"/>
  <c r="AU50" i="71"/>
  <c r="EI50" i="71" s="1"/>
  <c r="EI43" i="71"/>
  <c r="EA36" i="71"/>
  <c r="BP107" i="71"/>
  <c r="BP65" i="71"/>
  <c r="BB195" i="71"/>
  <c r="DW235" i="71"/>
  <c r="DW71" i="71"/>
  <c r="DW99" i="71"/>
  <c r="EI125" i="71"/>
  <c r="S99" i="71"/>
  <c r="BN160" i="71"/>
  <c r="AX125" i="71"/>
  <c r="DS234" i="71"/>
  <c r="DX97" i="71"/>
  <c r="EC22" i="71"/>
  <c r="EC8" i="71"/>
  <c r="ED22" i="71"/>
  <c r="EE22" i="71"/>
  <c r="BH205" i="71"/>
  <c r="BH222" i="71" s="1"/>
  <c r="BO160" i="71"/>
  <c r="BU94" i="71"/>
  <c r="BU84" i="71"/>
  <c r="BM155" i="71"/>
  <c r="BM160" i="71" s="1"/>
  <c r="AU190" i="71"/>
  <c r="BF118" i="71"/>
  <c r="BB125" i="71"/>
  <c r="BE207" i="71"/>
  <c r="BH65" i="71"/>
  <c r="BH155" i="71"/>
  <c r="BH160" i="71" s="1"/>
  <c r="EL83" i="71"/>
  <c r="BK146" i="71"/>
  <c r="BB118" i="71"/>
  <c r="EL97" i="71"/>
  <c r="J99" i="71"/>
  <c r="EA71" i="71"/>
  <c r="EA74" i="71" s="1"/>
  <c r="DY51" i="71"/>
  <c r="EE97" i="71"/>
  <c r="BP160" i="71"/>
  <c r="BQ155" i="71"/>
  <c r="BQ160" i="71" s="1"/>
  <c r="BJ179" i="71"/>
  <c r="AW118" i="71"/>
  <c r="EN11" i="71"/>
  <c r="BZ88" i="71"/>
  <c r="AX124" i="71"/>
  <c r="DY234" i="71"/>
  <c r="DZ234" i="71"/>
  <c r="DZ236" i="71" s="1"/>
  <c r="BJ125" i="71"/>
  <c r="E74" i="71"/>
  <c r="E104" i="71" s="1"/>
  <c r="EM83" i="71"/>
  <c r="BP205" i="71"/>
  <c r="BP222" i="71" s="1"/>
  <c r="BT65" i="71"/>
  <c r="EM58" i="71"/>
  <c r="EM114" i="71" s="1"/>
  <c r="EO18" i="71"/>
  <c r="EP18" i="71" s="1"/>
  <c r="EQ18" i="71" s="1"/>
  <c r="EB43" i="71"/>
  <c r="EA15" i="71"/>
  <c r="EA17" i="71"/>
  <c r="DZ36" i="71"/>
  <c r="EL72" i="71"/>
  <c r="BV97" i="71"/>
  <c r="EO6" i="71"/>
  <c r="AG116" i="71"/>
  <c r="AG254" i="71"/>
  <c r="EF8" i="71"/>
  <c r="AJ50" i="71"/>
  <c r="AJ65" i="71" s="1"/>
  <c r="AB65" i="71"/>
  <c r="ED8" i="71"/>
  <c r="EE8" i="71"/>
  <c r="BJ111" i="71"/>
  <c r="EC96" i="71"/>
  <c r="EB96" i="71"/>
  <c r="N76" i="71"/>
  <c r="N104" i="71"/>
  <c r="N103" i="71"/>
  <c r="DR102" i="71"/>
  <c r="DR74" i="71"/>
  <c r="EA97" i="71"/>
  <c r="EB97" i="71"/>
  <c r="AX207" i="71"/>
  <c r="AX189" i="71" s="1"/>
  <c r="AW189" i="71"/>
  <c r="Z71" i="71"/>
  <c r="Z99" i="71"/>
  <c r="R74" i="71"/>
  <c r="R102" i="71"/>
  <c r="AT111" i="71"/>
  <c r="BG125" i="71"/>
  <c r="AR190" i="71"/>
  <c r="AS190" i="71"/>
  <c r="AV257" i="71"/>
  <c r="AZ125" i="71"/>
  <c r="AZ126" i="71" s="1"/>
  <c r="AV125" i="71"/>
  <c r="AV124" i="71"/>
  <c r="EJ114" i="71"/>
  <c r="AS188" i="71"/>
  <c r="AR189" i="71"/>
  <c r="EI123" i="71"/>
  <c r="EI233" i="71"/>
  <c r="EC114" i="71"/>
  <c r="EC94" i="71"/>
  <c r="ED94" i="71"/>
  <c r="EG97" i="71"/>
  <c r="BA190" i="71"/>
  <c r="EO12" i="71"/>
  <c r="EP12" i="71" s="1"/>
  <c r="EQ12" i="71" s="1"/>
  <c r="BI207" i="71"/>
  <c r="BQ179" i="71"/>
  <c r="BQ181" i="71"/>
  <c r="BS65" i="71"/>
  <c r="BS67" i="71" s="1"/>
  <c r="BS107" i="71"/>
  <c r="EO48" i="71"/>
  <c r="EP48" i="71" s="1"/>
  <c r="EQ48" i="71" s="1"/>
  <c r="AV189" i="71"/>
  <c r="O99" i="71"/>
  <c r="E56" i="71"/>
  <c r="I95" i="71" s="1"/>
  <c r="BH111" i="71"/>
  <c r="BV107" i="71"/>
  <c r="EO11" i="71"/>
  <c r="EP11" i="71" s="1"/>
  <c r="EQ11" i="71" s="1"/>
  <c r="E99" i="71"/>
  <c r="C62" i="71"/>
  <c r="G97" i="71" s="1"/>
  <c r="E61" i="71"/>
  <c r="BF193" i="71"/>
  <c r="BF205" i="71" s="1"/>
  <c r="BN179" i="71"/>
  <c r="BN181" i="71"/>
  <c r="BR181" i="71"/>
  <c r="D61" i="71"/>
  <c r="G95" i="71"/>
  <c r="EN87" i="71"/>
  <c r="EM87" i="71"/>
  <c r="BL146" i="71"/>
  <c r="EN83" i="71"/>
  <c r="EO83" i="71"/>
  <c r="EO19" i="71"/>
  <c r="EP19" i="71" s="1"/>
  <c r="EQ19" i="71" s="1"/>
  <c r="DY61" i="71"/>
  <c r="BH189" i="71"/>
  <c r="EL11" i="71"/>
  <c r="BI107" i="71"/>
  <c r="BQ205" i="71"/>
  <c r="BQ222" i="71" s="1"/>
  <c r="BR193" i="71"/>
  <c r="BR205" i="71" s="1"/>
  <c r="BZ87" i="71"/>
  <c r="BI205" i="71"/>
  <c r="BG107" i="71"/>
  <c r="EL50" i="71"/>
  <c r="BR207" i="71"/>
  <c r="EO3" i="71"/>
  <c r="BU107" i="71"/>
  <c r="BU86" i="71"/>
  <c r="AX118" i="71"/>
  <c r="BH187" i="71"/>
  <c r="BF187" i="71"/>
  <c r="BG187" i="71"/>
  <c r="EN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B213" i="71" l="1"/>
  <c r="DA219" i="71"/>
  <c r="DB219" i="71"/>
  <c r="T74" i="42"/>
  <c r="R74" i="42"/>
  <c r="EZ26" i="71"/>
  <c r="FA26" i="71" s="1"/>
  <c r="FB26" i="71" s="1"/>
  <c r="FC26" i="71" s="1"/>
  <c r="FD26" i="71" s="1"/>
  <c r="FE26" i="71" s="1"/>
  <c r="FF26" i="71" s="1"/>
  <c r="FG26" i="71" s="1"/>
  <c r="FH26" i="71" s="1"/>
  <c r="FI26" i="71" s="1"/>
  <c r="FJ26" i="71" s="1"/>
  <c r="DA213" i="71"/>
  <c r="DH221" i="71"/>
  <c r="DA221" i="71"/>
  <c r="DG102" i="71"/>
  <c r="DF218" i="71"/>
  <c r="DF219" i="71" s="1"/>
  <c r="DF221" i="71" s="1"/>
  <c r="DE219" i="71"/>
  <c r="DE221" i="71" s="1"/>
  <c r="DB221" i="71"/>
  <c r="EZ30" i="71"/>
  <c r="FA30" i="71" s="1"/>
  <c r="FB30" i="71" s="1"/>
  <c r="FC30" i="71" s="1"/>
  <c r="FD30" i="71" s="1"/>
  <c r="FE30" i="71" s="1"/>
  <c r="FF30" i="71" s="1"/>
  <c r="FG30" i="71" s="1"/>
  <c r="FH30" i="71" s="1"/>
  <c r="FI30" i="71" s="1"/>
  <c r="FJ30" i="71" s="1"/>
  <c r="DL13" i="71"/>
  <c r="DM13" i="71" s="1"/>
  <c r="DN13" i="71" s="1"/>
  <c r="DJ86" i="71"/>
  <c r="DN3" i="71"/>
  <c r="DG77" i="71"/>
  <c r="DG192" i="71"/>
  <c r="DN11" i="71"/>
  <c r="DJ90" i="71"/>
  <c r="FA4" i="71"/>
  <c r="FB4" i="71" s="1"/>
  <c r="FC4" i="71" s="1"/>
  <c r="FD4" i="71" s="1"/>
  <c r="FE4" i="71" s="1"/>
  <c r="FF4" i="71" s="1"/>
  <c r="FG4" i="71" s="1"/>
  <c r="FH4" i="71" s="1"/>
  <c r="FI4" i="71" s="1"/>
  <c r="FJ4" i="71" s="1"/>
  <c r="BU100" i="71"/>
  <c r="BU67" i="71"/>
  <c r="BU71" i="71" s="1"/>
  <c r="BU102" i="71" s="1"/>
  <c r="CO71" i="71"/>
  <c r="CO74" i="71" s="1"/>
  <c r="CO76" i="71" s="1"/>
  <c r="CO77" i="71" s="1"/>
  <c r="BV101" i="71"/>
  <c r="BV67" i="71"/>
  <c r="BV71" i="71" s="1"/>
  <c r="EY11" i="71"/>
  <c r="CK67" i="71"/>
  <c r="CK71" i="71" s="1"/>
  <c r="CK74" i="71" s="1"/>
  <c r="CK76" i="71" s="1"/>
  <c r="CK77" i="71" s="1"/>
  <c r="CK85" i="71" s="1"/>
  <c r="BZ65" i="71"/>
  <c r="BY65" i="71"/>
  <c r="BY67" i="71" s="1"/>
  <c r="BY71" i="71" s="1"/>
  <c r="FG39" i="71"/>
  <c r="EX32" i="71"/>
  <c r="CX71" i="71"/>
  <c r="CX102" i="71" s="1"/>
  <c r="CU101" i="71"/>
  <c r="CU100" i="71"/>
  <c r="FA14" i="71"/>
  <c r="FB14" i="71" s="1"/>
  <c r="FC14" i="71" s="1"/>
  <c r="FD14" i="71" s="1"/>
  <c r="FE14" i="71" s="1"/>
  <c r="FF14" i="71" s="1"/>
  <c r="FG14" i="71" s="1"/>
  <c r="FH14" i="71" s="1"/>
  <c r="FI14" i="71" s="1"/>
  <c r="FJ14" i="71" s="1"/>
  <c r="CU67" i="71"/>
  <c r="CU99" i="71" s="1"/>
  <c r="EY13" i="71"/>
  <c r="DD86" i="71"/>
  <c r="EX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2" i="71"/>
  <c r="CM85" i="71"/>
  <c r="AZ180" i="71"/>
  <c r="AZ192" i="71"/>
  <c r="AZ103" i="71"/>
  <c r="AZ104" i="71"/>
  <c r="AZ77" i="71"/>
  <c r="FA50" i="71"/>
  <c r="FB50" i="71" s="1"/>
  <c r="FC50" i="71" s="1"/>
  <c r="FD50" i="71" s="1"/>
  <c r="FE50" i="71" s="1"/>
  <c r="FF50" i="71" s="1"/>
  <c r="FG50" i="71" s="1"/>
  <c r="FH50" i="71" s="1"/>
  <c r="FI50" i="71" s="1"/>
  <c r="FJ50" i="71" s="1"/>
  <c r="FA12" i="71"/>
  <c r="FB12" i="71" s="1"/>
  <c r="FC12" i="71" s="1"/>
  <c r="FD12" i="71" s="1"/>
  <c r="FE12" i="71" s="1"/>
  <c r="FF12" i="71" s="1"/>
  <c r="FG12" i="71" s="1"/>
  <c r="FH12" i="71" s="1"/>
  <c r="FI12" i="71" s="1"/>
  <c r="FJ12" i="71" s="1"/>
  <c r="EW7" i="71"/>
  <c r="BD111" i="71"/>
  <c r="BD113" i="71" s="1"/>
  <c r="AZ251" i="71"/>
  <c r="EX62" i="71"/>
  <c r="FC78" i="71"/>
  <c r="BR100" i="71"/>
  <c r="BD101" i="71"/>
  <c r="BR110" i="71"/>
  <c r="BD100" i="71"/>
  <c r="DB99" i="71"/>
  <c r="BR67" i="71"/>
  <c r="BR99" i="71" s="1"/>
  <c r="EP121" i="71"/>
  <c r="EP233" i="71" s="1"/>
  <c r="EX64" i="71"/>
  <c r="EY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S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J107" i="71"/>
  <c r="EJ229" i="71" s="1"/>
  <c r="BU110" i="71"/>
  <c r="BJ117" i="71"/>
  <c r="DU74" i="71"/>
  <c r="DU104" i="71" s="1"/>
  <c r="Q103" i="71"/>
  <c r="AW81" i="71"/>
  <c r="AW132" i="71" s="1"/>
  <c r="AW101" i="71"/>
  <c r="BB190" i="71"/>
  <c r="DX236" i="71"/>
  <c r="Y103" i="71"/>
  <c r="Y76" i="71"/>
  <c r="Y105" i="71" s="1"/>
  <c r="AC110" i="71"/>
  <c r="BF111" i="71"/>
  <c r="AY117" i="71"/>
  <c r="AY100" i="71"/>
  <c r="AY110" i="71"/>
  <c r="AY124" i="71"/>
  <c r="AY147" i="71"/>
  <c r="EI118" i="71"/>
  <c r="AY101" i="71"/>
  <c r="AY67" i="71"/>
  <c r="EJ67" i="71" s="1"/>
  <c r="EJ235" i="71" s="1"/>
  <c r="EI107" i="71"/>
  <c r="EI229" i="71" s="1"/>
  <c r="EI234" i="71" s="1"/>
  <c r="AS147" i="71"/>
  <c r="AS100" i="71"/>
  <c r="O103" i="71"/>
  <c r="BN101" i="71"/>
  <c r="P76" i="71"/>
  <c r="P77" i="71" s="1"/>
  <c r="Q104" i="71"/>
  <c r="AW100" i="71"/>
  <c r="AS124" i="71"/>
  <c r="AS117" i="71"/>
  <c r="DX103" i="71"/>
  <c r="BR81" i="71"/>
  <c r="P104" i="71"/>
  <c r="AW124" i="71"/>
  <c r="DW236" i="71"/>
  <c r="AW264" i="71"/>
  <c r="BB205" i="71"/>
  <c r="BB222" i="71" s="1"/>
  <c r="AW110" i="71"/>
  <c r="G76" i="71"/>
  <c r="G77" i="71" s="1"/>
  <c r="AW147" i="71"/>
  <c r="AV111" i="71"/>
  <c r="AW67" i="71"/>
  <c r="AS67" i="71"/>
  <c r="BN147" i="71"/>
  <c r="AP110" i="71"/>
  <c r="AC81" i="71"/>
  <c r="AW117" i="71"/>
  <c r="DV236" i="71"/>
  <c r="BE190" i="71"/>
  <c r="BR188" i="71"/>
  <c r="BR187" i="71" s="1"/>
  <c r="S104" i="71"/>
  <c r="BC110" i="71"/>
  <c r="EI65" i="71"/>
  <c r="EJ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DX76" i="71"/>
  <c r="DX243" i="71" s="1"/>
  <c r="BO110" i="71"/>
  <c r="EE50" i="71"/>
  <c r="EE65" i="71" s="1"/>
  <c r="BG117" i="71"/>
  <c r="BG124" i="71"/>
  <c r="BO147" i="71"/>
  <c r="BG67" i="71"/>
  <c r="BG99" i="71" s="1"/>
  <c r="BO67" i="71"/>
  <c r="BG101" i="71"/>
  <c r="BG147" i="71"/>
  <c r="BO100" i="71"/>
  <c r="BE124" i="71"/>
  <c r="M104" i="71"/>
  <c r="DT236" i="71"/>
  <c r="BI67" i="71"/>
  <c r="BI101" i="71"/>
  <c r="BI147" i="71"/>
  <c r="BI100" i="71"/>
  <c r="BI124" i="71"/>
  <c r="BI117" i="71"/>
  <c r="BF81" i="71"/>
  <c r="BF67" i="71"/>
  <c r="BF71" i="71" s="1"/>
  <c r="EK107" i="71"/>
  <c r="EK110" i="71" s="1"/>
  <c r="AT110" i="71"/>
  <c r="AA124" i="71"/>
  <c r="DZ95" i="71"/>
  <c r="BC124" i="71"/>
  <c r="BC100" i="71"/>
  <c r="BF101" i="71"/>
  <c r="BF124" i="71"/>
  <c r="AA67" i="71"/>
  <c r="AA71" i="71" s="1"/>
  <c r="BF147" i="71"/>
  <c r="DS104" i="71"/>
  <c r="AE81" i="71"/>
  <c r="AE132" i="71" s="1"/>
  <c r="BO190" i="71"/>
  <c r="DS76" i="71"/>
  <c r="DS243" i="71" s="1"/>
  <c r="G104" i="71"/>
  <c r="EH86" i="71"/>
  <c r="AV71" i="71"/>
  <c r="AV102" i="71" s="1"/>
  <c r="AA101" i="71"/>
  <c r="AA117" i="71"/>
  <c r="AA100" i="71"/>
  <c r="EF50" i="71"/>
  <c r="EF65" i="71" s="1"/>
  <c r="EF67" i="71" s="1"/>
  <c r="AM117" i="71"/>
  <c r="AA81" i="71"/>
  <c r="BS110" i="71"/>
  <c r="BB71" i="71"/>
  <c r="BB74" i="71" s="1"/>
  <c r="BF100" i="71"/>
  <c r="BF117" i="71"/>
  <c r="V102" i="71"/>
  <c r="V74" i="71"/>
  <c r="AS110" i="71"/>
  <c r="BJ81" i="71"/>
  <c r="BJ132" i="71" s="1"/>
  <c r="EN65" i="71"/>
  <c r="EN67" i="71" s="1"/>
  <c r="DQ74" i="71"/>
  <c r="DQ76" i="71" s="1"/>
  <c r="BQ101" i="71"/>
  <c r="AL65" i="71"/>
  <c r="AL67" i="71" s="1"/>
  <c r="AL99" i="71" s="1"/>
  <c r="BA205" i="71"/>
  <c r="BA222" i="71" s="1"/>
  <c r="E76" i="71"/>
  <c r="E77" i="71" s="1"/>
  <c r="AW111" i="71"/>
  <c r="DZ102" i="71"/>
  <c r="DZ74" i="71"/>
  <c r="AM67" i="71"/>
  <c r="AM99" i="71" s="1"/>
  <c r="AX110" i="71"/>
  <c r="BB111" i="71"/>
  <c r="AM100" i="71"/>
  <c r="BL110" i="71"/>
  <c r="AI251" i="71"/>
  <c r="DV76" i="71"/>
  <c r="DV105" i="71" s="1"/>
  <c r="AX99" i="71"/>
  <c r="AX71" i="71"/>
  <c r="AM101" i="71"/>
  <c r="AI65" i="71"/>
  <c r="AI67" i="71" s="1"/>
  <c r="AK116" i="71"/>
  <c r="DV104" i="71"/>
  <c r="T102" i="71"/>
  <c r="T74" i="71"/>
  <c r="BQ81" i="71"/>
  <c r="W74" i="71"/>
  <c r="W76" i="71" s="1"/>
  <c r="W77" i="71" s="1"/>
  <c r="AK254" i="71"/>
  <c r="AO110" i="71"/>
  <c r="AO124" i="71"/>
  <c r="AO67" i="71"/>
  <c r="AO100" i="71"/>
  <c r="AO101" i="71"/>
  <c r="EG50" i="71"/>
  <c r="EG65" i="71" s="1"/>
  <c r="AO118" i="71"/>
  <c r="DT74" i="71"/>
  <c r="DT103" i="71" s="1"/>
  <c r="AS81" i="71"/>
  <c r="AS132" i="71" s="1"/>
  <c r="BT100" i="71"/>
  <c r="BU81" i="71"/>
  <c r="BE110" i="71"/>
  <c r="BE67" i="71"/>
  <c r="BE101" i="71"/>
  <c r="BE100" i="71"/>
  <c r="BI81" i="71"/>
  <c r="BI132" i="71" s="1"/>
  <c r="BE147" i="71"/>
  <c r="EB102" i="71"/>
  <c r="EB74" i="71"/>
  <c r="AC67" i="71"/>
  <c r="AC71" i="71" s="1"/>
  <c r="EM50" i="71"/>
  <c r="EM107" i="71" s="1"/>
  <c r="EM229" i="71" s="1"/>
  <c r="DY236" i="71"/>
  <c r="BP190" i="71"/>
  <c r="E103" i="71"/>
  <c r="AC101" i="71"/>
  <c r="BQ110" i="71"/>
  <c r="BQ100" i="71"/>
  <c r="BE222" i="71"/>
  <c r="EC65" i="71"/>
  <c r="EC101" i="71" s="1"/>
  <c r="DX57" i="71"/>
  <c r="DW57" i="71" s="1"/>
  <c r="DX96" i="71" s="1"/>
  <c r="AH107" i="71"/>
  <c r="AH251" i="71" s="1"/>
  <c r="EE116" i="71"/>
  <c r="AJ107" i="71"/>
  <c r="AJ110" i="71" s="1"/>
  <c r="AK107" i="71"/>
  <c r="AK109" i="71" s="1"/>
  <c r="AM107" i="71"/>
  <c r="AM110" i="71" s="1"/>
  <c r="DZ97" i="71"/>
  <c r="DY97" i="71"/>
  <c r="AQ65" i="71"/>
  <c r="EH50" i="71"/>
  <c r="M105" i="71"/>
  <c r="M77" i="71"/>
  <c r="AP101" i="71"/>
  <c r="AP67" i="71"/>
  <c r="AP147" i="71"/>
  <c r="AP100" i="71"/>
  <c r="AP124" i="71"/>
  <c r="AQ107" i="71"/>
  <c r="EP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P103" i="71"/>
  <c r="DP76" i="71"/>
  <c r="DP104" i="71"/>
  <c r="EE86" i="71"/>
  <c r="ED86" i="71"/>
  <c r="EN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D65" i="71"/>
  <c r="ED67" i="71" s="1"/>
  <c r="BP147" i="71"/>
  <c r="BP67" i="71"/>
  <c r="BP100" i="71"/>
  <c r="BP101" i="71"/>
  <c r="BH67" i="71"/>
  <c r="BH81" i="71"/>
  <c r="BH117" i="71"/>
  <c r="BH147" i="71"/>
  <c r="BH101" i="71"/>
  <c r="BF207" i="71"/>
  <c r="BE189" i="71"/>
  <c r="DY102" i="71"/>
  <c r="DY74" i="71"/>
  <c r="BH100" i="71"/>
  <c r="BV110" i="71"/>
  <c r="EH231" i="71"/>
  <c r="EH118" i="71"/>
  <c r="DX60" i="71"/>
  <c r="DW60" i="71" s="1"/>
  <c r="EP6" i="71"/>
  <c r="EO88" i="71"/>
  <c r="AJ118" i="71"/>
  <c r="AF254" i="71"/>
  <c r="AF116" i="71"/>
  <c r="DZ96" i="71"/>
  <c r="EA102" i="71"/>
  <c r="AU107" i="71"/>
  <c r="BV81" i="71"/>
  <c r="BV100" i="71"/>
  <c r="DW102" i="71"/>
  <c r="DW74" i="71"/>
  <c r="C104" i="71"/>
  <c r="C103" i="71"/>
  <c r="C76" i="71"/>
  <c r="Q105" i="71"/>
  <c r="Q77" i="71"/>
  <c r="AU65" i="71"/>
  <c r="BH124" i="71"/>
  <c r="AG107" i="71"/>
  <c r="AG110" i="71" s="1"/>
  <c r="EM231" i="71"/>
  <c r="BH110" i="71"/>
  <c r="AC100" i="71"/>
  <c r="AC117" i="71"/>
  <c r="BT67" i="71"/>
  <c r="BT81" i="71"/>
  <c r="BT101" i="71"/>
  <c r="J77" i="71"/>
  <c r="J105" i="71"/>
  <c r="AJ101" i="71"/>
  <c r="AJ100" i="71"/>
  <c r="AJ117" i="71"/>
  <c r="AJ124" i="71"/>
  <c r="AJ67" i="71"/>
  <c r="BM190" i="71"/>
  <c r="BL190" i="71"/>
  <c r="Z102" i="71"/>
  <c r="Z74" i="71"/>
  <c r="BW65" i="71"/>
  <c r="EJ147" i="71"/>
  <c r="EJ100" i="71"/>
  <c r="EK100" i="71" s="1"/>
  <c r="EJ124" i="71"/>
  <c r="EJ101" i="71"/>
  <c r="AN109" i="71"/>
  <c r="AN251" i="71"/>
  <c r="O105" i="71"/>
  <c r="O77" i="71"/>
  <c r="EK67" i="71"/>
  <c r="EK81" i="71"/>
  <c r="EK124" i="71"/>
  <c r="EK117" i="71"/>
  <c r="BY86" i="71"/>
  <c r="EP3" i="71"/>
  <c r="EO86" i="71"/>
  <c r="EO107" i="71"/>
  <c r="BS100" i="71"/>
  <c r="BS101" i="71"/>
  <c r="BS81" i="71"/>
  <c r="EJ118" i="71"/>
  <c r="EJ120" i="71" s="1"/>
  <c r="EJ231" i="71"/>
  <c r="EJ117" i="71"/>
  <c r="EC116" i="71"/>
  <c r="EC231" i="71"/>
  <c r="EC234" i="71" s="1"/>
  <c r="BI111" i="71"/>
  <c r="BI110" i="71"/>
  <c r="CB81" i="71"/>
  <c r="BL187" i="71"/>
  <c r="BI189" i="71"/>
  <c r="BJ187" i="71"/>
  <c r="BK187" i="71"/>
  <c r="EO58" i="71"/>
  <c r="EO65" i="71" s="1"/>
  <c r="EN114" i="71"/>
  <c r="BR222" i="71"/>
  <c r="EL65" i="71"/>
  <c r="EL107" i="71"/>
  <c r="AB100" i="71"/>
  <c r="AB81" i="71"/>
  <c r="AB67" i="71"/>
  <c r="AB110" i="71"/>
  <c r="AB101" i="71"/>
  <c r="AB117" i="71"/>
  <c r="AB124" i="71"/>
  <c r="BQ190" i="71"/>
  <c r="AT188" i="71"/>
  <c r="AT189" i="71" s="1"/>
  <c r="AS189" i="71"/>
  <c r="DR76" i="71"/>
  <c r="DR104" i="71"/>
  <c r="DR103" i="71"/>
  <c r="AK81" i="71"/>
  <c r="AK132" i="71" s="1"/>
  <c r="AG67" i="71"/>
  <c r="AG101" i="71"/>
  <c r="AG124" i="71"/>
  <c r="AG81" i="71"/>
  <c r="AG132" i="71" s="1"/>
  <c r="AG100" i="71"/>
  <c r="BL101" i="71"/>
  <c r="BL147" i="71"/>
  <c r="BL100" i="71"/>
  <c r="BL81" i="71"/>
  <c r="BL67" i="71"/>
  <c r="BP81" i="71"/>
  <c r="BI187" i="71"/>
  <c r="BG110" i="71"/>
  <c r="BG111" i="71"/>
  <c r="EG118" i="71"/>
  <c r="EF116" i="71"/>
  <c r="EF231" i="71"/>
  <c r="EF234" i="71" s="1"/>
  <c r="R76" i="71"/>
  <c r="R104" i="71"/>
  <c r="R103" i="71"/>
  <c r="EA104" i="71"/>
  <c r="EA103" i="71"/>
  <c r="EA76" i="71"/>
  <c r="BI222" i="71"/>
  <c r="N77" i="71"/>
  <c r="N105" i="71"/>
  <c r="K74" i="42" l="1"/>
  <c r="Y74" i="42"/>
  <c r="EZ13" i="71"/>
  <c r="DL32" i="71"/>
  <c r="DM32" i="71" s="1"/>
  <c r="DN32" i="71" s="1"/>
  <c r="EY32" i="71"/>
  <c r="DN90" i="71"/>
  <c r="EZ11" i="71"/>
  <c r="FA11" i="71" s="1"/>
  <c r="FB11" i="71" s="1"/>
  <c r="FC11" i="71" s="1"/>
  <c r="FD11" i="71" s="1"/>
  <c r="FE11" i="71" s="1"/>
  <c r="FF11" i="71" s="1"/>
  <c r="FG11" i="71" s="1"/>
  <c r="FH11" i="71" s="1"/>
  <c r="FI11" i="71" s="1"/>
  <c r="FJ11" i="71" s="1"/>
  <c r="DN86" i="71"/>
  <c r="EZ3" i="71"/>
  <c r="CS85" i="71"/>
  <c r="CD81" i="71"/>
  <c r="BZ67" i="71"/>
  <c r="BZ71" i="71" s="1"/>
  <c r="BZ74" i="71" s="1"/>
  <c r="CO85" i="71"/>
  <c r="CA81" i="71"/>
  <c r="BW67" i="71"/>
  <c r="BW71" i="71" s="1"/>
  <c r="BW74" i="71" s="1"/>
  <c r="EY3" i="71"/>
  <c r="CX74" i="71"/>
  <c r="CX76" i="71" s="1"/>
  <c r="CX77" i="71" s="1"/>
  <c r="CX85" i="71" s="1"/>
  <c r="CU71" i="71"/>
  <c r="CU102" i="71" s="1"/>
  <c r="FH39" i="71"/>
  <c r="DA70" i="71"/>
  <c r="DA71" i="71" s="1"/>
  <c r="EW68" i="71"/>
  <c r="EW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EY62" i="71"/>
  <c r="EX97" i="71"/>
  <c r="FD78" i="71"/>
  <c r="CV85" i="71"/>
  <c r="U105" i="71"/>
  <c r="BD102" i="71"/>
  <c r="BD99" i="71"/>
  <c r="DB70" i="71"/>
  <c r="DB71" i="71" s="1"/>
  <c r="AE104" i="71"/>
  <c r="DB101" i="71"/>
  <c r="DA100" i="71"/>
  <c r="DA84" i="71"/>
  <c r="L104" i="71"/>
  <c r="CW85" i="71"/>
  <c r="CZ100" i="71"/>
  <c r="CZ84" i="71"/>
  <c r="CZ74" i="71"/>
  <c r="DC81" i="71"/>
  <c r="DC99" i="71"/>
  <c r="DC101" i="71"/>
  <c r="EC110" i="71"/>
  <c r="E105" i="71"/>
  <c r="DD65" i="71"/>
  <c r="AW129" i="71"/>
  <c r="AW266" i="71" s="1"/>
  <c r="BM99" i="71"/>
  <c r="BQ99" i="71"/>
  <c r="EC124" i="71"/>
  <c r="EC67" i="71"/>
  <c r="EC99" i="71" s="1"/>
  <c r="AW265" i="71"/>
  <c r="AN67" i="71"/>
  <c r="AN71" i="71" s="1"/>
  <c r="AN101" i="71"/>
  <c r="S77" i="71"/>
  <c r="W85" i="71" s="1"/>
  <c r="AN124" i="71"/>
  <c r="AN81" i="71"/>
  <c r="AN132" i="71" s="1"/>
  <c r="AN110" i="71"/>
  <c r="AN117" i="71"/>
  <c r="EI101" i="71"/>
  <c r="D76" i="71"/>
  <c r="D105" i="71" s="1"/>
  <c r="BN99" i="71"/>
  <c r="D103" i="71"/>
  <c r="EI67" i="71"/>
  <c r="EI99" i="71" s="1"/>
  <c r="EI100" i="71"/>
  <c r="EI124" i="71"/>
  <c r="EI117" i="71"/>
  <c r="AY71" i="71"/>
  <c r="AY74" i="71" s="1"/>
  <c r="AY99" i="71"/>
  <c r="BG71" i="71"/>
  <c r="BG74" i="71" s="1"/>
  <c r="DQ104" i="71"/>
  <c r="BJ71" i="71"/>
  <c r="BJ74" i="71" s="1"/>
  <c r="EC117" i="71"/>
  <c r="DT76" i="71"/>
  <c r="DT243" i="71" s="1"/>
  <c r="DX77" i="71"/>
  <c r="DX242" i="71" s="1"/>
  <c r="DX105" i="71"/>
  <c r="BF99" i="71"/>
  <c r="DU76" i="71"/>
  <c r="DU77" i="71" s="1"/>
  <c r="DU242" i="71" s="1"/>
  <c r="DU103" i="71"/>
  <c r="DT104" i="71"/>
  <c r="EJ234" i="71"/>
  <c r="EJ236" i="71" s="1"/>
  <c r="EK111" i="71"/>
  <c r="BC71" i="71"/>
  <c r="BC102" i="71" s="1"/>
  <c r="EJ110" i="71"/>
  <c r="Y77" i="71"/>
  <c r="Y85" i="71" s="1"/>
  <c r="F103" i="71"/>
  <c r="F76" i="71"/>
  <c r="F105" i="71" s="1"/>
  <c r="EI110" i="71"/>
  <c r="EE101" i="71"/>
  <c r="EE110" i="71"/>
  <c r="P105" i="71"/>
  <c r="G105" i="71"/>
  <c r="AR117" i="71"/>
  <c r="AR101" i="71"/>
  <c r="AR124" i="71"/>
  <c r="BA265" i="71"/>
  <c r="AR81" i="71"/>
  <c r="AR132" i="71" s="1"/>
  <c r="AR147" i="71"/>
  <c r="AR100" i="71"/>
  <c r="EJ111" i="71"/>
  <c r="EJ113" i="71" s="1"/>
  <c r="AH71" i="71"/>
  <c r="AH102" i="71" s="1"/>
  <c r="AR67" i="71"/>
  <c r="Q85" i="71"/>
  <c r="DV243" i="71"/>
  <c r="AL100" i="71"/>
  <c r="AS71" i="71"/>
  <c r="AS99" i="71"/>
  <c r="AV74" i="71"/>
  <c r="AV103" i="71" s="1"/>
  <c r="ED101" i="71"/>
  <c r="EL67" i="71"/>
  <c r="EL71" i="71" s="1"/>
  <c r="DV77" i="71"/>
  <c r="DV242" i="71" s="1"/>
  <c r="AR110" i="71"/>
  <c r="AW99" i="71"/>
  <c r="AW71" i="71"/>
  <c r="AJ251" i="71"/>
  <c r="ED110" i="71"/>
  <c r="AL71" i="71"/>
  <c r="AL102" i="71" s="1"/>
  <c r="ED124" i="71"/>
  <c r="ED117" i="71"/>
  <c r="EE81" i="71"/>
  <c r="AL101" i="71"/>
  <c r="AL124" i="71"/>
  <c r="AL117" i="71"/>
  <c r="AL81" i="71"/>
  <c r="AL132" i="71" s="1"/>
  <c r="AL110" i="71"/>
  <c r="AV81" i="71"/>
  <c r="AV129" i="71" s="1"/>
  <c r="AV266" i="71" s="1"/>
  <c r="AG251" i="71"/>
  <c r="EF101" i="71"/>
  <c r="AG109" i="71"/>
  <c r="EE117" i="71"/>
  <c r="BU74" i="71"/>
  <c r="BU103" i="71" s="1"/>
  <c r="EE124" i="71"/>
  <c r="DQ103" i="71"/>
  <c r="EC81" i="71"/>
  <c r="EC100" i="71"/>
  <c r="EF110" i="71"/>
  <c r="EE100" i="71"/>
  <c r="EE67" i="71"/>
  <c r="EE71" i="71" s="1"/>
  <c r="BB102" i="71"/>
  <c r="EM234" i="71"/>
  <c r="DS77" i="71"/>
  <c r="DS242" i="71" s="1"/>
  <c r="AI100" i="71"/>
  <c r="AC99" i="71"/>
  <c r="ED81" i="71"/>
  <c r="DS105" i="71"/>
  <c r="AI110" i="71"/>
  <c r="BO99" i="71"/>
  <c r="BO71" i="71"/>
  <c r="EK229" i="71"/>
  <c r="EK234" i="71" s="1"/>
  <c r="EN124" i="71"/>
  <c r="EN110" i="71"/>
  <c r="K85" i="71"/>
  <c r="EM65" i="71"/>
  <c r="EM117" i="71" s="1"/>
  <c r="BI71" i="71"/>
  <c r="BI99" i="71"/>
  <c r="EF81" i="71"/>
  <c r="EF124" i="71"/>
  <c r="AJ81" i="71"/>
  <c r="AJ132" i="71" s="1"/>
  <c r="EJ99" i="71"/>
  <c r="AM71" i="71"/>
  <c r="EF100" i="71"/>
  <c r="EJ66" i="71"/>
  <c r="AA99" i="71"/>
  <c r="EF117" i="71"/>
  <c r="AF81" i="71"/>
  <c r="AF132" i="71" s="1"/>
  <c r="AP81" i="71"/>
  <c r="DZ103" i="71"/>
  <c r="DZ104" i="71"/>
  <c r="DZ76" i="71"/>
  <c r="V103" i="71"/>
  <c r="V76" i="71"/>
  <c r="V104" i="71"/>
  <c r="DY96" i="71"/>
  <c r="EJ71" i="71"/>
  <c r="EJ74" i="71" s="1"/>
  <c r="EJ103" i="71" s="1"/>
  <c r="EG81" i="71"/>
  <c r="EG67" i="71"/>
  <c r="EG71" i="71" s="1"/>
  <c r="EG101" i="71"/>
  <c r="EG100" i="71"/>
  <c r="EG124" i="71"/>
  <c r="EG117" i="71"/>
  <c r="T104" i="71"/>
  <c r="T76" i="71"/>
  <c r="T103" i="71"/>
  <c r="AJ109" i="71"/>
  <c r="BE99" i="71"/>
  <c r="BE71" i="71"/>
  <c r="AO99" i="71"/>
  <c r="AO71" i="71"/>
  <c r="AM81" i="71"/>
  <c r="AM132" i="71" s="1"/>
  <c r="AI101" i="71"/>
  <c r="EG107" i="71"/>
  <c r="EG229" i="71" s="1"/>
  <c r="EG234" i="71" s="1"/>
  <c r="BA74" i="71"/>
  <c r="BA104" i="71" s="1"/>
  <c r="EN229" i="71"/>
  <c r="AI124" i="71"/>
  <c r="EN111" i="71"/>
  <c r="AI81" i="71"/>
  <c r="AI132" i="71" s="1"/>
  <c r="EB76" i="71"/>
  <c r="EB103" i="71"/>
  <c r="EB104" i="71"/>
  <c r="AX74" i="71"/>
  <c r="AX102" i="71"/>
  <c r="AI117" i="71"/>
  <c r="W104" i="71"/>
  <c r="W103" i="71"/>
  <c r="N85" i="71"/>
  <c r="AH110" i="71"/>
  <c r="AK251" i="71"/>
  <c r="AO111" i="71"/>
  <c r="AK110" i="71"/>
  <c r="AH109" i="71"/>
  <c r="AM109" i="71"/>
  <c r="AM251" i="71"/>
  <c r="ED100" i="71"/>
  <c r="DP105" i="71"/>
  <c r="DP77" i="71"/>
  <c r="DP242" i="71" s="1"/>
  <c r="EH107" i="71"/>
  <c r="EH65" i="71"/>
  <c r="EQ4" i="71"/>
  <c r="EP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P243" i="71"/>
  <c r="BK110" i="71"/>
  <c r="EP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DW104" i="71"/>
  <c r="DW76" i="71"/>
  <c r="DW103" i="71"/>
  <c r="BP99" i="71"/>
  <c r="BP71" i="71"/>
  <c r="C77" i="71"/>
  <c r="C105" i="71"/>
  <c r="W105" i="71"/>
  <c r="DQ243" i="71"/>
  <c r="DQ105" i="71"/>
  <c r="DQ77" i="71"/>
  <c r="BH99" i="71"/>
  <c r="BH71" i="71"/>
  <c r="AI71" i="71"/>
  <c r="AI99" i="71"/>
  <c r="DY76" i="71"/>
  <c r="DY104" i="71"/>
  <c r="DY103" i="71"/>
  <c r="BM74" i="71"/>
  <c r="BM102" i="71"/>
  <c r="BF189" i="71"/>
  <c r="BF222" i="71"/>
  <c r="AK71" i="71"/>
  <c r="AK99" i="71"/>
  <c r="EO67" i="71"/>
  <c r="EO66" i="71" s="1"/>
  <c r="EO81" i="71"/>
  <c r="EO68" i="71"/>
  <c r="EO84" i="71" s="1"/>
  <c r="EO124" i="71"/>
  <c r="BN74" i="71"/>
  <c r="BN102" i="71"/>
  <c r="BL99" i="71"/>
  <c r="BL71" i="71"/>
  <c r="BB76" i="71"/>
  <c r="BB104" i="71"/>
  <c r="BB103" i="71"/>
  <c r="EL229" i="71"/>
  <c r="EL234" i="71" s="1"/>
  <c r="EL110" i="71"/>
  <c r="EM111" i="71"/>
  <c r="EL111" i="71"/>
  <c r="BS99" i="71"/>
  <c r="BS71" i="71"/>
  <c r="EA105" i="71"/>
  <c r="EA77" i="71"/>
  <c r="EA243" i="71"/>
  <c r="BF74" i="71"/>
  <c r="BF102" i="71"/>
  <c r="EL81" i="71"/>
  <c r="EL124" i="71"/>
  <c r="EL117" i="71"/>
  <c r="BX81" i="71"/>
  <c r="BX74" i="71"/>
  <c r="EF235" i="71"/>
  <c r="EF236" i="71" s="1"/>
  <c r="EF71" i="71"/>
  <c r="EF99" i="71"/>
  <c r="Z103" i="71"/>
  <c r="Z104" i="71"/>
  <c r="Z76" i="71"/>
  <c r="BZ81" i="71"/>
  <c r="EK235" i="71"/>
  <c r="EK99" i="71"/>
  <c r="EK71" i="71"/>
  <c r="BW81" i="71"/>
  <c r="EN231" i="71"/>
  <c r="EN117" i="71"/>
  <c r="O85" i="71"/>
  <c r="AG71" i="71"/>
  <c r="AG99" i="71"/>
  <c r="AB99" i="71"/>
  <c r="AB71" i="71"/>
  <c r="EP58" i="71"/>
  <c r="EP65" i="71" s="1"/>
  <c r="EP101" i="71" s="1"/>
  <c r="EO114" i="71"/>
  <c r="EO229" i="71"/>
  <c r="EO111" i="71"/>
  <c r="EO110" i="71"/>
  <c r="EN71" i="71"/>
  <c r="EN235" i="71"/>
  <c r="EN99" i="71"/>
  <c r="AC74" i="71"/>
  <c r="AC102" i="71"/>
  <c r="R77" i="71"/>
  <c r="R105" i="71"/>
  <c r="EQ3" i="71"/>
  <c r="EP86" i="71"/>
  <c r="EP107" i="71"/>
  <c r="U85" i="71"/>
  <c r="DR243" i="71"/>
  <c r="DR77" i="71"/>
  <c r="DR105" i="71"/>
  <c r="CC81" i="71"/>
  <c r="ED99" i="71"/>
  <c r="ED235" i="71"/>
  <c r="ED236" i="71" s="1"/>
  <c r="ED71" i="71"/>
  <c r="AJ71" i="71"/>
  <c r="AJ99" i="71"/>
  <c r="EZ32" i="71" l="1"/>
  <c r="FA32" i="71" s="1"/>
  <c r="FB32" i="71" s="1"/>
  <c r="FC32" i="71" s="1"/>
  <c r="FD32" i="71" s="1"/>
  <c r="FE32" i="71" s="1"/>
  <c r="FF32" i="71" s="1"/>
  <c r="FG32" i="71" s="1"/>
  <c r="FH32" i="71" s="1"/>
  <c r="FI32" i="71" s="1"/>
  <c r="FJ32" i="71" s="1"/>
  <c r="DD67" i="71"/>
  <c r="DD99" i="71" s="1"/>
  <c r="CU74" i="71"/>
  <c r="CU76" i="71" s="1"/>
  <c r="CU77" i="71" s="1"/>
  <c r="CY85" i="71" s="1"/>
  <c r="FI39" i="71"/>
  <c r="L85" i="71"/>
  <c r="L105" i="71"/>
  <c r="BR74" i="71"/>
  <c r="BR103" i="71" s="1"/>
  <c r="AE105" i="71"/>
  <c r="N75" i="42"/>
  <c r="O72" i="42"/>
  <c r="AB75" i="42"/>
  <c r="N73" i="42"/>
  <c r="M71" i="42"/>
  <c r="AB71" i="42" s="1"/>
  <c r="M76" i="42"/>
  <c r="AB76" i="42" s="1"/>
  <c r="CU85" i="71"/>
  <c r="BJ102" i="71"/>
  <c r="S85" i="71"/>
  <c r="AH74" i="71"/>
  <c r="AH76" i="71" s="1"/>
  <c r="DB84" i="71"/>
  <c r="DB100" i="71"/>
  <c r="EY97" i="71"/>
  <c r="EZ62" i="71"/>
  <c r="FE78" i="71"/>
  <c r="FF78" i="71" s="1"/>
  <c r="FG78" i="71" s="1"/>
  <c r="FH78" i="71" s="1"/>
  <c r="FI78" i="71" s="1"/>
  <c r="FJ78" i="71" s="1"/>
  <c r="EC235" i="71"/>
  <c r="EC236" i="71" s="1"/>
  <c r="AN99" i="71"/>
  <c r="CZ76" i="71"/>
  <c r="CZ192" i="71" s="1"/>
  <c r="CZ102" i="71"/>
  <c r="DC100" i="71"/>
  <c r="DC84" i="71"/>
  <c r="DC70" i="71"/>
  <c r="DC71" i="71" s="1"/>
  <c r="DD81" i="71"/>
  <c r="DD101" i="71"/>
  <c r="DA102" i="71"/>
  <c r="DA74" i="71"/>
  <c r="DB102" i="71"/>
  <c r="DB74" i="71"/>
  <c r="DD91" i="71"/>
  <c r="EC71" i="71"/>
  <c r="EC102" i="71" s="1"/>
  <c r="DE65" i="71"/>
  <c r="AY102" i="71"/>
  <c r="D77" i="71"/>
  <c r="H85" i="71" s="1"/>
  <c r="EI71" i="71"/>
  <c r="EI102" i="71" s="1"/>
  <c r="EI235" i="71"/>
  <c r="EI236" i="71" s="1"/>
  <c r="DU243" i="71"/>
  <c r="BG102" i="71"/>
  <c r="DU105" i="71"/>
  <c r="F77" i="71"/>
  <c r="J85" i="71" s="1"/>
  <c r="AL74" i="71"/>
  <c r="AL104" i="71" s="1"/>
  <c r="BC74" i="71"/>
  <c r="BC103" i="71" s="1"/>
  <c r="EH111" i="71"/>
  <c r="AV76" i="71"/>
  <c r="AV105" i="71" s="1"/>
  <c r="AV104" i="71"/>
  <c r="DT105" i="71"/>
  <c r="EG110" i="71"/>
  <c r="DT77" i="71"/>
  <c r="DT85" i="71" s="1"/>
  <c r="BU104" i="71"/>
  <c r="EM124" i="71"/>
  <c r="AV132" i="71"/>
  <c r="EM81" i="71"/>
  <c r="EM110" i="71"/>
  <c r="EM67" i="71"/>
  <c r="EM235" i="71" s="1"/>
  <c r="EM236" i="71" s="1"/>
  <c r="AR99" i="71"/>
  <c r="AR71" i="71"/>
  <c r="EL66" i="71"/>
  <c r="AW102" i="71"/>
  <c r="AW74" i="71"/>
  <c r="AS102" i="71"/>
  <c r="AS74" i="71"/>
  <c r="EL99" i="71"/>
  <c r="EL235" i="71"/>
  <c r="EL236" i="71" s="1"/>
  <c r="BA103" i="71"/>
  <c r="BA76" i="71"/>
  <c r="BA77" i="71" s="1"/>
  <c r="EN81" i="71"/>
  <c r="EG111" i="71"/>
  <c r="EE235" i="71"/>
  <c r="EE236" i="71" s="1"/>
  <c r="EE99" i="71"/>
  <c r="EK236" i="71"/>
  <c r="BO102" i="71"/>
  <c r="BO74" i="71"/>
  <c r="EJ76" i="71"/>
  <c r="EJ77" i="71" s="1"/>
  <c r="EJ104" i="71"/>
  <c r="BI102" i="71"/>
  <c r="BI74" i="71"/>
  <c r="EG235" i="71"/>
  <c r="EG236" i="71" s="1"/>
  <c r="AM102" i="71"/>
  <c r="AM74" i="71"/>
  <c r="EG99" i="71"/>
  <c r="V105" i="71"/>
  <c r="V77" i="71"/>
  <c r="V85" i="71" s="1"/>
  <c r="DV85" i="71"/>
  <c r="DZ105" i="71"/>
  <c r="DZ77" i="71"/>
  <c r="DZ242" i="71" s="1"/>
  <c r="DZ243" i="71"/>
  <c r="EJ102" i="71"/>
  <c r="AX76" i="71"/>
  <c r="AX103" i="71"/>
  <c r="AX104" i="71"/>
  <c r="AY104" i="71"/>
  <c r="AY103" i="71"/>
  <c r="AY76" i="71"/>
  <c r="T77" i="71"/>
  <c r="T85" i="71" s="1"/>
  <c r="T105" i="71"/>
  <c r="EB77" i="71"/>
  <c r="EB242" i="71" s="1"/>
  <c r="EB105" i="71"/>
  <c r="EB243" i="71"/>
  <c r="BE102" i="71"/>
  <c r="BE74" i="71"/>
  <c r="AO74" i="71"/>
  <c r="AO102" i="71"/>
  <c r="EN234" i="71"/>
  <c r="EN236" i="71" s="1"/>
  <c r="BK71" i="71"/>
  <c r="BK99" i="71"/>
  <c r="AA76" i="71"/>
  <c r="AA104" i="71"/>
  <c r="AA103" i="71"/>
  <c r="AQ71" i="71"/>
  <c r="AQ99" i="71"/>
  <c r="AT102" i="71"/>
  <c r="AT74" i="71"/>
  <c r="EQ87" i="71"/>
  <c r="EH100" i="71"/>
  <c r="EH67" i="71"/>
  <c r="EH124" i="71"/>
  <c r="EH117" i="71"/>
  <c r="EH101" i="71"/>
  <c r="EH81" i="71"/>
  <c r="EI81" i="71"/>
  <c r="EH229" i="71"/>
  <c r="EH234" i="71" s="1"/>
  <c r="EH110" i="71"/>
  <c r="EI111" i="71"/>
  <c r="AF99" i="71"/>
  <c r="AF71" i="71"/>
  <c r="AP74" i="71"/>
  <c r="AP102" i="71"/>
  <c r="AD102" i="71"/>
  <c r="AD74" i="71"/>
  <c r="I85" i="71"/>
  <c r="BJ103" i="71"/>
  <c r="BJ76" i="71"/>
  <c r="BJ104" i="71"/>
  <c r="AU99" i="71"/>
  <c r="AU71" i="71"/>
  <c r="AK102" i="71"/>
  <c r="AK74" i="71"/>
  <c r="BH74" i="71"/>
  <c r="BH102" i="71"/>
  <c r="DQ85" i="71"/>
  <c r="DQ242" i="71"/>
  <c r="BV102" i="71"/>
  <c r="BV74" i="71"/>
  <c r="BM103" i="71"/>
  <c r="BM104" i="71"/>
  <c r="BM76" i="71"/>
  <c r="DY243" i="71"/>
  <c r="DY105" i="71"/>
  <c r="DY77" i="71"/>
  <c r="BP74" i="71"/>
  <c r="BP102" i="71"/>
  <c r="EQ88" i="71"/>
  <c r="AI74" i="71"/>
  <c r="AI102" i="71"/>
  <c r="BQ104" i="71"/>
  <c r="BQ76" i="71"/>
  <c r="BQ103" i="71"/>
  <c r="AY265" i="71"/>
  <c r="AU265" i="71"/>
  <c r="BD180" i="71"/>
  <c r="BD77" i="71"/>
  <c r="BD85" i="71" s="1"/>
  <c r="BD192" i="71"/>
  <c r="BD105" i="71"/>
  <c r="DW105" i="71"/>
  <c r="DW77" i="71"/>
  <c r="DW243" i="71"/>
  <c r="BT74" i="71"/>
  <c r="BT102" i="71"/>
  <c r="R85" i="71"/>
  <c r="EA242" i="71"/>
  <c r="BX76" i="71"/>
  <c r="BX77" i="71" s="1"/>
  <c r="CB85" i="71" s="1"/>
  <c r="BG104" i="71"/>
  <c r="BG76" i="71"/>
  <c r="BG103" i="71"/>
  <c r="EL74" i="71"/>
  <c r="EL102" i="71"/>
  <c r="EE102" i="71"/>
  <c r="EE74" i="71"/>
  <c r="BY74" i="71"/>
  <c r="BY81" i="71"/>
  <c r="EN102" i="71"/>
  <c r="EN74" i="71"/>
  <c r="BS102" i="71"/>
  <c r="BS74" i="71"/>
  <c r="Z77" i="71"/>
  <c r="Z105" i="71"/>
  <c r="EK74" i="71"/>
  <c r="EK102" i="71"/>
  <c r="BL74" i="71"/>
  <c r="BL102" i="71"/>
  <c r="AB74" i="71"/>
  <c r="AB102" i="71"/>
  <c r="AG102" i="71"/>
  <c r="AG74" i="71"/>
  <c r="DS85" i="71"/>
  <c r="DR242" i="71"/>
  <c r="DR85" i="71"/>
  <c r="BW76" i="71"/>
  <c r="BW77" i="71" s="1"/>
  <c r="CA85" i="71" s="1"/>
  <c r="EP67" i="71"/>
  <c r="EP81" i="71"/>
  <c r="EP124" i="71"/>
  <c r="ED102" i="71"/>
  <c r="ED74" i="71"/>
  <c r="EQ86" i="71"/>
  <c r="EQ107" i="71"/>
  <c r="BN104" i="71"/>
  <c r="BN76" i="71"/>
  <c r="BN103" i="71"/>
  <c r="BB192" i="71"/>
  <c r="BB77" i="71"/>
  <c r="BB105" i="71"/>
  <c r="BB180" i="71"/>
  <c r="EO117" i="71"/>
  <c r="EO231" i="71"/>
  <c r="EO234" i="71" s="1"/>
  <c r="EG102" i="71"/>
  <c r="EG74" i="71"/>
  <c r="BZ76" i="71"/>
  <c r="BZ77" i="71" s="1"/>
  <c r="CD85" i="71" s="1"/>
  <c r="BF104" i="71"/>
  <c r="BF103" i="71"/>
  <c r="BF76" i="71"/>
  <c r="EO235" i="71"/>
  <c r="EO71" i="71"/>
  <c r="EO99" i="71"/>
  <c r="EP229" i="71"/>
  <c r="EP111" i="71"/>
  <c r="EP110" i="71"/>
  <c r="AJ74" i="71"/>
  <c r="AJ102" i="71"/>
  <c r="AC76" i="71"/>
  <c r="AC103" i="71"/>
  <c r="AC104" i="71"/>
  <c r="EQ58" i="71"/>
  <c r="EP114" i="71"/>
  <c r="AN102" i="71"/>
  <c r="AN74" i="71"/>
  <c r="EF102" i="71"/>
  <c r="EF74" i="71"/>
  <c r="BR75" i="71" l="1"/>
  <c r="BR76" i="71" s="1"/>
  <c r="BR180" i="71" s="1"/>
  <c r="DE67" i="71"/>
  <c r="DE71" i="71" s="1"/>
  <c r="FJ39" i="71"/>
  <c r="EX7" i="71"/>
  <c r="AH104" i="71"/>
  <c r="AH103" i="71"/>
  <c r="N71" i="42"/>
  <c r="AC71" i="42" s="1"/>
  <c r="O73" i="42"/>
  <c r="N76" i="42"/>
  <c r="AC76" i="42" s="1"/>
  <c r="M74" i="42"/>
  <c r="AB74" i="42" s="1"/>
  <c r="P72" i="42"/>
  <c r="P75" i="42" s="1"/>
  <c r="O75" i="42"/>
  <c r="AC75" i="42"/>
  <c r="N74" i="42"/>
  <c r="AC74" i="42" s="1"/>
  <c r="EC74" i="71"/>
  <c r="EC75" i="71" s="1"/>
  <c r="EC104" i="71" s="1"/>
  <c r="CZ77" i="71"/>
  <c r="CZ85" i="71" s="1"/>
  <c r="EP66" i="71"/>
  <c r="EP99" i="71"/>
  <c r="EZ97" i="71"/>
  <c r="FA62" i="71"/>
  <c r="BR77" i="71"/>
  <c r="DD100" i="71"/>
  <c r="DD84" i="71"/>
  <c r="DD70" i="71"/>
  <c r="DD71" i="71" s="1"/>
  <c r="DE81" i="71"/>
  <c r="DE101" i="71"/>
  <c r="DC102" i="71"/>
  <c r="DC74" i="71"/>
  <c r="DB76" i="71"/>
  <c r="EI74" i="71"/>
  <c r="EI103" i="71" s="1"/>
  <c r="DA76" i="71"/>
  <c r="DF91" i="71"/>
  <c r="DE91" i="71"/>
  <c r="BC76" i="71"/>
  <c r="BC192" i="71" s="1"/>
  <c r="AV77" i="71"/>
  <c r="AZ85" i="71" s="1"/>
  <c r="BC104" i="71"/>
  <c r="AL103" i="71"/>
  <c r="AV192" i="71"/>
  <c r="AV180" i="71"/>
  <c r="AL76" i="71"/>
  <c r="AL77" i="71" s="1"/>
  <c r="EJ105" i="71"/>
  <c r="EJ243" i="71"/>
  <c r="BU76" i="71"/>
  <c r="BU105" i="71" s="1"/>
  <c r="DU85" i="71"/>
  <c r="EM99" i="71"/>
  <c r="EM71" i="71"/>
  <c r="EM102" i="71" s="1"/>
  <c r="DT242" i="71"/>
  <c r="EJ179" i="71"/>
  <c r="BA105" i="71"/>
  <c r="BA192" i="71"/>
  <c r="BA180" i="71"/>
  <c r="AR102" i="71"/>
  <c r="AR74" i="71"/>
  <c r="AS103" i="71"/>
  <c r="AS75" i="71"/>
  <c r="AS104" i="71" s="1"/>
  <c r="AW76" i="71"/>
  <c r="AW103" i="71"/>
  <c r="AW104" i="71"/>
  <c r="BI104" i="71"/>
  <c r="BI103" i="71"/>
  <c r="BI76" i="71"/>
  <c r="BO76" i="71"/>
  <c r="BO103" i="71"/>
  <c r="BO104" i="71"/>
  <c r="AM103" i="71"/>
  <c r="AM76" i="71"/>
  <c r="AM104" i="71"/>
  <c r="EA85" i="71"/>
  <c r="EB85" i="71"/>
  <c r="AY180" i="71"/>
  <c r="AY77" i="71"/>
  <c r="AY105" i="71"/>
  <c r="AY192" i="71"/>
  <c r="AO76" i="71"/>
  <c r="AO103" i="71"/>
  <c r="AO104" i="71"/>
  <c r="X85" i="71"/>
  <c r="BE103" i="71"/>
  <c r="BE76" i="71"/>
  <c r="BE104" i="71"/>
  <c r="AX77" i="71"/>
  <c r="BB85" i="71" s="1"/>
  <c r="AX105" i="71"/>
  <c r="AX180" i="71"/>
  <c r="AX192" i="71"/>
  <c r="EO236" i="71"/>
  <c r="AP75" i="71"/>
  <c r="AP103" i="71"/>
  <c r="AD76" i="71"/>
  <c r="AD104" i="71"/>
  <c r="AD103" i="71"/>
  <c r="AF102" i="71"/>
  <c r="AF74" i="71"/>
  <c r="AQ102" i="71"/>
  <c r="AQ74" i="71"/>
  <c r="EH99" i="71"/>
  <c r="EH71" i="71"/>
  <c r="EH235" i="71"/>
  <c r="EH236" i="71" s="1"/>
  <c r="ER87" i="71"/>
  <c r="AA105" i="71"/>
  <c r="AA77" i="71"/>
  <c r="AT75" i="71"/>
  <c r="AT103" i="71"/>
  <c r="BK102" i="71"/>
  <c r="BK74" i="71"/>
  <c r="AI104" i="71"/>
  <c r="AI76" i="71"/>
  <c r="AI103" i="71"/>
  <c r="BM105" i="71"/>
  <c r="BM192" i="71"/>
  <c r="BM77" i="71"/>
  <c r="BM180" i="71"/>
  <c r="ER88" i="71"/>
  <c r="BT104" i="71"/>
  <c r="BT103" i="71"/>
  <c r="BT76" i="71"/>
  <c r="BV104" i="71"/>
  <c r="BV103" i="71"/>
  <c r="BH103" i="71"/>
  <c r="BH76" i="71"/>
  <c r="BH104" i="71"/>
  <c r="BP103" i="71"/>
  <c r="BP76" i="71"/>
  <c r="BP104" i="71"/>
  <c r="AK103" i="71"/>
  <c r="AK104" i="71"/>
  <c r="AK76" i="71"/>
  <c r="DW85" i="71"/>
  <c r="DW242" i="71"/>
  <c r="DX85" i="71"/>
  <c r="DZ85" i="71"/>
  <c r="DY242" i="71"/>
  <c r="DY85" i="71"/>
  <c r="AU74" i="71"/>
  <c r="AU102" i="71"/>
  <c r="BQ180" i="71"/>
  <c r="BQ105" i="71"/>
  <c r="BQ77" i="71"/>
  <c r="BQ192" i="71"/>
  <c r="BJ105" i="71"/>
  <c r="BJ180" i="71"/>
  <c r="BJ77" i="71"/>
  <c r="BJ192" i="71"/>
  <c r="EF104" i="71"/>
  <c r="EF76" i="71"/>
  <c r="EF103" i="71"/>
  <c r="EK103" i="71"/>
  <c r="EK76" i="71"/>
  <c r="EK104" i="71"/>
  <c r="EE103" i="71"/>
  <c r="EE76" i="71"/>
  <c r="EE104" i="71"/>
  <c r="EG75" i="71"/>
  <c r="EG104" i="71" s="1"/>
  <c r="EG103" i="71"/>
  <c r="AG76" i="71"/>
  <c r="AG103" i="71"/>
  <c r="AG104" i="71"/>
  <c r="EL103" i="71"/>
  <c r="EL76" i="71"/>
  <c r="EL104" i="71"/>
  <c r="EM104" i="71" s="1"/>
  <c r="EN104" i="71" s="1"/>
  <c r="EO104" i="71" s="1"/>
  <c r="EN103" i="71"/>
  <c r="Z85" i="71"/>
  <c r="EP117" i="71"/>
  <c r="EP231" i="71"/>
  <c r="EP234" i="71" s="1"/>
  <c r="EX58" i="71"/>
  <c r="EY58" i="71" s="1"/>
  <c r="EZ58" i="71" s="1"/>
  <c r="FA58" i="71" s="1"/>
  <c r="FB58" i="71" s="1"/>
  <c r="FC58" i="71" s="1"/>
  <c r="FD58" i="71" s="1"/>
  <c r="FE58" i="71" s="1"/>
  <c r="FF58" i="71" s="1"/>
  <c r="FG58" i="71" s="1"/>
  <c r="FH58" i="71" s="1"/>
  <c r="FI58" i="71" s="1"/>
  <c r="FJ58" i="71" s="1"/>
  <c r="EQ114" i="71"/>
  <c r="EQ231" i="71" s="1"/>
  <c r="BN77" i="71"/>
  <c r="BN105" i="71"/>
  <c r="BN180" i="71"/>
  <c r="BN192" i="71"/>
  <c r="EP235" i="71"/>
  <c r="BG192" i="71"/>
  <c r="BG180" i="71"/>
  <c r="BG77" i="71"/>
  <c r="BG105" i="71"/>
  <c r="AB104" i="71"/>
  <c r="AB103" i="71"/>
  <c r="AB76" i="71"/>
  <c r="BY76" i="71"/>
  <c r="BY77" i="71" s="1"/>
  <c r="CC85" i="71" s="1"/>
  <c r="EQ111" i="71"/>
  <c r="EQ229" i="71"/>
  <c r="EQ65" i="71"/>
  <c r="EQ101" i="71" s="1"/>
  <c r="EJ242" i="71"/>
  <c r="EO102" i="71"/>
  <c r="BF105" i="71"/>
  <c r="BF77" i="71"/>
  <c r="BF180" i="71"/>
  <c r="BF192" i="71"/>
  <c r="AH77" i="71"/>
  <c r="AH105" i="71"/>
  <c r="AJ103" i="71"/>
  <c r="AJ76" i="71"/>
  <c r="AJ104" i="71"/>
  <c r="ER86" i="71"/>
  <c r="BL76" i="71"/>
  <c r="BL103" i="71"/>
  <c r="BL104" i="71"/>
  <c r="BS104" i="71"/>
  <c r="BS103" i="71"/>
  <c r="BS76" i="71"/>
  <c r="AN103" i="71"/>
  <c r="AN104" i="71"/>
  <c r="AN76" i="71"/>
  <c r="AC105" i="71"/>
  <c r="AC77" i="71"/>
  <c r="AC85" i="71" s="1"/>
  <c r="ED103" i="71"/>
  <c r="ED104" i="71"/>
  <c r="ED76" i="71"/>
  <c r="BR104" i="71" l="1"/>
  <c r="BR105" i="71"/>
  <c r="BR192" i="71"/>
  <c r="EN75" i="71"/>
  <c r="EN76" i="71" s="1"/>
  <c r="EN105" i="71" s="1"/>
  <c r="DE99" i="71"/>
  <c r="DB77" i="71"/>
  <c r="DB85" i="71" s="1"/>
  <c r="DB192" i="71"/>
  <c r="EC103" i="71"/>
  <c r="DA77" i="71"/>
  <c r="DA85" i="71" s="1"/>
  <c r="DA192" i="71"/>
  <c r="BR85" i="71"/>
  <c r="AE75" i="42"/>
  <c r="P73" i="42"/>
  <c r="O71" i="42"/>
  <c r="AD71" i="42" s="1"/>
  <c r="O76" i="42"/>
  <c r="AD76" i="42" s="1"/>
  <c r="AD75" i="42"/>
  <c r="EI104" i="71"/>
  <c r="EI76" i="71"/>
  <c r="EI77" i="71" s="1"/>
  <c r="FA97" i="71"/>
  <c r="FB62" i="71"/>
  <c r="BC77" i="71"/>
  <c r="BC85" i="71" s="1"/>
  <c r="BC180" i="71"/>
  <c r="DE84" i="71"/>
  <c r="DE100" i="71"/>
  <c r="DD102" i="71"/>
  <c r="DD74" i="71"/>
  <c r="BC105" i="71"/>
  <c r="DC76" i="71"/>
  <c r="DF65" i="71"/>
  <c r="DF67" i="71" s="1"/>
  <c r="AL105" i="71"/>
  <c r="BU77" i="71"/>
  <c r="BY85" i="71" s="1"/>
  <c r="EM74" i="71"/>
  <c r="EM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P236" i="71"/>
  <c r="AO105" i="71"/>
  <c r="AO77" i="71"/>
  <c r="BV76" i="71"/>
  <c r="BV105" i="71" s="1"/>
  <c r="BE180" i="71"/>
  <c r="BE77" i="71"/>
  <c r="BE192" i="71"/>
  <c r="BE105" i="71"/>
  <c r="ER65" i="71"/>
  <c r="AA85" i="71"/>
  <c r="AE85" i="71"/>
  <c r="EH74" i="71"/>
  <c r="EH102" i="71"/>
  <c r="ES87" i="71"/>
  <c r="AF76" i="71"/>
  <c r="AF104" i="71"/>
  <c r="AF103" i="71"/>
  <c r="AQ103" i="71"/>
  <c r="AQ76" i="71"/>
  <c r="AQ104" i="71"/>
  <c r="BK76" i="71"/>
  <c r="BK103" i="71"/>
  <c r="BK104" i="71"/>
  <c r="AD77" i="71"/>
  <c r="AD85" i="71" s="1"/>
  <c r="AD105" i="71"/>
  <c r="BQ85" i="71"/>
  <c r="AT76" i="71"/>
  <c r="EH75" i="71"/>
  <c r="AT104" i="71"/>
  <c r="AP76" i="71"/>
  <c r="AP104" i="71"/>
  <c r="AU103" i="71"/>
  <c r="AU104" i="71"/>
  <c r="AU76" i="71"/>
  <c r="ES88" i="71"/>
  <c r="BH105" i="71"/>
  <c r="BH77" i="71"/>
  <c r="BH85" i="71" s="1"/>
  <c r="BH192" i="71"/>
  <c r="BH180" i="71"/>
  <c r="BN85" i="71"/>
  <c r="EQ234" i="71"/>
  <c r="AK77" i="71"/>
  <c r="AK105" i="71"/>
  <c r="BT77" i="71"/>
  <c r="BT105" i="71"/>
  <c r="AI105" i="71"/>
  <c r="AI77" i="71"/>
  <c r="BP192" i="71"/>
  <c r="BP77" i="71"/>
  <c r="BP180" i="71"/>
  <c r="BP105" i="71"/>
  <c r="BL105" i="71"/>
  <c r="BL77" i="71"/>
  <c r="BL192" i="71"/>
  <c r="BL180" i="71"/>
  <c r="BF85" i="71"/>
  <c r="BJ85" i="71"/>
  <c r="AB105" i="71"/>
  <c r="AB77" i="71"/>
  <c r="EQ67" i="71"/>
  <c r="EQ81" i="71"/>
  <c r="EK243" i="71"/>
  <c r="EK105" i="71"/>
  <c r="EK77" i="71"/>
  <c r="EK150" i="71"/>
  <c r="AN77" i="71"/>
  <c r="AN105" i="71"/>
  <c r="ES86" i="71"/>
  <c r="ES65" i="71"/>
  <c r="BS77" i="71"/>
  <c r="BS105" i="71"/>
  <c r="ED243" i="71"/>
  <c r="ED105" i="71"/>
  <c r="ED77" i="71"/>
  <c r="EC76" i="71"/>
  <c r="AG77" i="71"/>
  <c r="AG105" i="71"/>
  <c r="EL77" i="71"/>
  <c r="EL105" i="71"/>
  <c r="EF105" i="71"/>
  <c r="EF77" i="71"/>
  <c r="EF243" i="71"/>
  <c r="EF79" i="71"/>
  <c r="AJ105" i="71"/>
  <c r="AJ77" i="71"/>
  <c r="EE243" i="71"/>
  <c r="EE77" i="71"/>
  <c r="EE105" i="71"/>
  <c r="AL85" i="71"/>
  <c r="EQ110" i="71"/>
  <c r="EG76" i="71"/>
  <c r="EN77" i="71" l="1"/>
  <c r="DH101" i="71"/>
  <c r="DH100" i="71"/>
  <c r="DH81" i="71"/>
  <c r="DI65" i="71"/>
  <c r="DI67" i="71" s="1"/>
  <c r="DC77" i="71"/>
  <c r="DC192" i="71"/>
  <c r="ES101" i="71"/>
  <c r="ES67" i="71"/>
  <c r="ES99" i="71" s="1"/>
  <c r="EI243" i="71"/>
  <c r="EI105" i="71"/>
  <c r="P71" i="42"/>
  <c r="AE71" i="42" s="1"/>
  <c r="P76" i="42"/>
  <c r="O74" i="42"/>
  <c r="AD74" i="42" s="1"/>
  <c r="EQ66" i="71"/>
  <c r="EQ99" i="71"/>
  <c r="ER67" i="71"/>
  <c r="ER99" i="71" s="1"/>
  <c r="ER101" i="71"/>
  <c r="BV77" i="71"/>
  <c r="BV85" i="71" s="1"/>
  <c r="FB97" i="71"/>
  <c r="FC62" i="71"/>
  <c r="BG85" i="71"/>
  <c r="DF81" i="71"/>
  <c r="DF101" i="71"/>
  <c r="DJ84" i="71"/>
  <c r="DF99" i="71"/>
  <c r="DD76" i="71"/>
  <c r="DD192" i="71" s="1"/>
  <c r="DE102" i="71"/>
  <c r="DE74" i="71"/>
  <c r="BU85" i="71"/>
  <c r="EM103" i="71"/>
  <c r="AS192" i="71"/>
  <c r="AS105" i="71"/>
  <c r="AS77" i="71"/>
  <c r="AS85" i="71" s="1"/>
  <c r="AR180" i="71"/>
  <c r="AR192" i="71"/>
  <c r="AR105" i="71"/>
  <c r="AR77" i="71"/>
  <c r="AV85" i="71" s="1"/>
  <c r="BA85" i="71"/>
  <c r="AO85" i="71"/>
  <c r="BI85" i="71"/>
  <c r="BE85" i="71"/>
  <c r="EH104" i="71"/>
  <c r="ER81" i="71"/>
  <c r="AQ192" i="71"/>
  <c r="AQ77" i="71"/>
  <c r="AQ85" i="71" s="1"/>
  <c r="AQ180" i="71"/>
  <c r="AQ105" i="71"/>
  <c r="AT192" i="71"/>
  <c r="AT105" i="71"/>
  <c r="AT77" i="71"/>
  <c r="AT180" i="71"/>
  <c r="AF105" i="71"/>
  <c r="AF77" i="71"/>
  <c r="AF85" i="71" s="1"/>
  <c r="AH85" i="71"/>
  <c r="ET87" i="71"/>
  <c r="EH103" i="71"/>
  <c r="EH76" i="71"/>
  <c r="AP180" i="71"/>
  <c r="AP77" i="71"/>
  <c r="AP85" i="71" s="1"/>
  <c r="AP105" i="71"/>
  <c r="BK192" i="71"/>
  <c r="BK105" i="71"/>
  <c r="BK77" i="71"/>
  <c r="BK180" i="71"/>
  <c r="AI85" i="71"/>
  <c r="AM85" i="71"/>
  <c r="EM77" i="71"/>
  <c r="EM85" i="71" s="1"/>
  <c r="EM105" i="71"/>
  <c r="ET88" i="71"/>
  <c r="EO72" i="71"/>
  <c r="EO74" i="71" s="1"/>
  <c r="BT85" i="71"/>
  <c r="BX85" i="71"/>
  <c r="AU180" i="71"/>
  <c r="AU192" i="71"/>
  <c r="AU77" i="71"/>
  <c r="AU105" i="71"/>
  <c r="ES81" i="71"/>
  <c r="ED242" i="71"/>
  <c r="BS85" i="71"/>
  <c r="BW85" i="71"/>
  <c r="EQ235" i="71"/>
  <c r="EQ236" i="71" s="1"/>
  <c r="AN85" i="71"/>
  <c r="EE85" i="71"/>
  <c r="EE242" i="71"/>
  <c r="EL85" i="71"/>
  <c r="EK242" i="71"/>
  <c r="EK85" i="71"/>
  <c r="EF242" i="71"/>
  <c r="EF85" i="71"/>
  <c r="AB85" i="71"/>
  <c r="EI242" i="71"/>
  <c r="EJ85" i="71"/>
  <c r="AG85" i="71"/>
  <c r="AK85" i="71"/>
  <c r="BL85" i="71"/>
  <c r="BP85" i="71"/>
  <c r="ET86" i="71"/>
  <c r="ET65" i="71"/>
  <c r="EG243" i="71"/>
  <c r="EG77" i="71"/>
  <c r="EG179" i="71"/>
  <c r="EG105" i="71"/>
  <c r="EC243" i="71"/>
  <c r="EC77" i="71"/>
  <c r="ED85" i="71" s="1"/>
  <c r="EC105" i="71"/>
  <c r="DI100" i="71" l="1"/>
  <c r="DI101" i="71"/>
  <c r="DL7" i="71"/>
  <c r="DK65" i="71"/>
  <c r="DH71" i="71"/>
  <c r="DH99" i="71"/>
  <c r="DI81" i="71"/>
  <c r="DC85" i="71"/>
  <c r="DG85" i="71"/>
  <c r="DJ65" i="71"/>
  <c r="DJ67" i="71" s="1"/>
  <c r="EY7" i="71"/>
  <c r="ET101" i="71"/>
  <c r="ET67" i="71"/>
  <c r="ET71" i="71" s="1"/>
  <c r="ER66" i="71"/>
  <c r="AE76" i="42"/>
  <c r="P74" i="42"/>
  <c r="AE74" i="42" s="1"/>
  <c r="BZ85" i="71"/>
  <c r="DD77" i="71"/>
  <c r="FC97" i="71"/>
  <c r="FD62" i="71"/>
  <c r="AW85" i="71"/>
  <c r="DF100" i="71"/>
  <c r="DF84" i="71"/>
  <c r="DF70" i="71"/>
  <c r="DF71" i="71" s="1"/>
  <c r="DE76" i="71"/>
  <c r="AJ85" i="71"/>
  <c r="AR85" i="71"/>
  <c r="EN85" i="71"/>
  <c r="EU87" i="71"/>
  <c r="AT85" i="71"/>
  <c r="AX85" i="71"/>
  <c r="BO85" i="71"/>
  <c r="BK85" i="71"/>
  <c r="EH77" i="71"/>
  <c r="EH85" i="71" s="1"/>
  <c r="EH243" i="71"/>
  <c r="EH105" i="71"/>
  <c r="EU88" i="71"/>
  <c r="AU85" i="71"/>
  <c r="AY85" i="71"/>
  <c r="EO75" i="71"/>
  <c r="EO76" i="71" s="1"/>
  <c r="EO103" i="71"/>
  <c r="EG85" i="71"/>
  <c r="EG242" i="71"/>
  <c r="EU86" i="71"/>
  <c r="EU65" i="71"/>
  <c r="ET81" i="71"/>
  <c r="EC242" i="71"/>
  <c r="EC85" i="71"/>
  <c r="DE77" i="71" l="1"/>
  <c r="DE192" i="71"/>
  <c r="DI71" i="71"/>
  <c r="DI74" i="71" s="1"/>
  <c r="DI99" i="71"/>
  <c r="DJ100" i="71"/>
  <c r="DJ101" i="71"/>
  <c r="DK81" i="71"/>
  <c r="DK100" i="71"/>
  <c r="DK67" i="71"/>
  <c r="DK101" i="71"/>
  <c r="DM7" i="71"/>
  <c r="DL65" i="71"/>
  <c r="DH74" i="71"/>
  <c r="DH76" i="71" s="1"/>
  <c r="DH102" i="71"/>
  <c r="DJ81" i="71"/>
  <c r="DE85" i="71"/>
  <c r="DD85" i="71"/>
  <c r="EU101" i="71"/>
  <c r="EU67" i="71"/>
  <c r="ET99" i="71"/>
  <c r="FE62" i="71"/>
  <c r="FD97" i="71"/>
  <c r="DF102" i="71"/>
  <c r="DF74" i="71"/>
  <c r="EH242" i="71"/>
  <c r="EI85" i="71"/>
  <c r="EV87" i="71"/>
  <c r="EV88" i="71"/>
  <c r="EO105" i="71"/>
  <c r="EO77" i="71"/>
  <c r="EV65" i="71"/>
  <c r="EV86" i="71"/>
  <c r="EU81" i="71"/>
  <c r="DJ71" i="71" l="1"/>
  <c r="DJ99" i="71"/>
  <c r="DN7" i="71"/>
  <c r="DN65" i="71" s="1"/>
  <c r="DM65" i="71"/>
  <c r="DK71" i="71"/>
  <c r="DK99" i="71"/>
  <c r="DL101" i="71"/>
  <c r="DL100" i="71"/>
  <c r="DL66" i="71"/>
  <c r="DL67" i="71" s="1"/>
  <c r="DL81" i="71"/>
  <c r="DI76" i="71"/>
  <c r="DI102" i="71"/>
  <c r="DH77" i="71"/>
  <c r="DH192" i="71"/>
  <c r="FE97" i="71"/>
  <c r="FF62" i="71"/>
  <c r="FG62" i="71" s="1"/>
  <c r="FH62" i="71" s="1"/>
  <c r="FI62" i="71" s="1"/>
  <c r="FJ62" i="71" s="1"/>
  <c r="EV67" i="71"/>
  <c r="EV101" i="71"/>
  <c r="EV100" i="71"/>
  <c r="EU99" i="71"/>
  <c r="DF76" i="71"/>
  <c r="EW87" i="71"/>
  <c r="EW88" i="71"/>
  <c r="EX86" i="71"/>
  <c r="EW65" i="71"/>
  <c r="EW67" i="71" s="1"/>
  <c r="EW71" i="71" s="1"/>
  <c r="EW74" i="71" s="1"/>
  <c r="EW76" i="71" s="1"/>
  <c r="C86" i="71"/>
  <c r="C85" i="71"/>
  <c r="EO85" i="71"/>
  <c r="C81" i="71"/>
  <c r="EV81" i="71"/>
  <c r="EP72" i="71"/>
  <c r="DI77" i="71" l="1"/>
  <c r="DI192" i="71"/>
  <c r="EZ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EW101" i="71"/>
  <c r="EW100" i="71"/>
  <c r="EV99" i="71"/>
  <c r="EV71" i="71"/>
  <c r="EV102" i="71" s="1"/>
  <c r="EY87" i="71"/>
  <c r="EX87" i="71"/>
  <c r="EX88" i="71"/>
  <c r="EY88" i="71"/>
  <c r="EW81" i="71"/>
  <c r="EX65" i="71"/>
  <c r="DJ77" i="71" l="1"/>
  <c r="DJ85" i="71" s="1"/>
  <c r="DJ192" i="71"/>
  <c r="FA7" i="71"/>
  <c r="FB7" i="71" s="1"/>
  <c r="FC7" i="71" s="1"/>
  <c r="FD7" i="71" s="1"/>
  <c r="FE7" i="71" s="1"/>
  <c r="FF7" i="71" s="1"/>
  <c r="FG7" i="71" s="1"/>
  <c r="FH7" i="71" s="1"/>
  <c r="FI7" i="71" s="1"/>
  <c r="FJ7" i="71" s="1"/>
  <c r="EZ65" i="71"/>
  <c r="DK192" i="71"/>
  <c r="DN71" i="71"/>
  <c r="DN99" i="71"/>
  <c r="DM71" i="71"/>
  <c r="DM99" i="71"/>
  <c r="DL74" i="71"/>
  <c r="DL76" i="71" s="1"/>
  <c r="DL102" i="71"/>
  <c r="EY86" i="71"/>
  <c r="EX101" i="71"/>
  <c r="EX68" i="71"/>
  <c r="EW99" i="71"/>
  <c r="EY65" i="71"/>
  <c r="EW102" i="71"/>
  <c r="EX81" i="71"/>
  <c r="EX67" i="71"/>
  <c r="EZ81" i="71" l="1"/>
  <c r="DL192" i="71"/>
  <c r="DM74" i="71"/>
  <c r="DM76" i="71" s="1"/>
  <c r="DM102" i="71"/>
  <c r="DN74" i="71"/>
  <c r="DN76" i="71" s="1"/>
  <c r="DN102" i="71"/>
  <c r="EX66" i="71"/>
  <c r="EX99" i="71"/>
  <c r="EY101" i="71"/>
  <c r="EY68" i="71"/>
  <c r="FA3" i="71"/>
  <c r="EZ86" i="71"/>
  <c r="EW84" i="71"/>
  <c r="EY81" i="71"/>
  <c r="EY67" i="71"/>
  <c r="DN192" i="71" l="1"/>
  <c r="DM192" i="71"/>
  <c r="EZ67" i="71"/>
  <c r="EZ99" i="71" s="1"/>
  <c r="EZ101" i="71"/>
  <c r="EZ68" i="71"/>
  <c r="EY66" i="71"/>
  <c r="EY99" i="71"/>
  <c r="FB3" i="71"/>
  <c r="FA86" i="71"/>
  <c r="FA65" i="71"/>
  <c r="EX70" i="71"/>
  <c r="EX71" i="71" s="1"/>
  <c r="EX102" i="71" s="1"/>
  <c r="EX100" i="71"/>
  <c r="EX84" i="71"/>
  <c r="EZ66" i="71" l="1"/>
  <c r="FA68" i="71"/>
  <c r="FA101" i="71"/>
  <c r="FA81" i="71"/>
  <c r="FA67" i="71"/>
  <c r="FA66" i="71" s="1"/>
  <c r="FC3" i="71"/>
  <c r="FB86" i="71"/>
  <c r="FB65" i="71"/>
  <c r="EZ70" i="71"/>
  <c r="EZ71" i="71" s="1"/>
  <c r="EZ102" i="71" s="1"/>
  <c r="EZ100" i="71"/>
  <c r="EY70" i="71"/>
  <c r="EY71" i="71" s="1"/>
  <c r="EY102" i="71" s="1"/>
  <c r="EY100" i="71"/>
  <c r="EY84" i="71"/>
  <c r="FD3" i="71" l="1"/>
  <c r="FC86" i="71"/>
  <c r="FC65" i="71"/>
  <c r="FB68" i="71"/>
  <c r="FB101" i="71"/>
  <c r="FB81" i="71"/>
  <c r="FB67" i="71"/>
  <c r="FB99" i="71" s="1"/>
  <c r="FA99" i="71"/>
  <c r="FA70" i="71"/>
  <c r="FA71" i="71" s="1"/>
  <c r="FA100" i="71"/>
  <c r="EV74" i="71"/>
  <c r="FB66" i="71" l="1"/>
  <c r="FA102" i="71"/>
  <c r="FC101" i="71"/>
  <c r="FC68" i="71"/>
  <c r="FC81" i="71"/>
  <c r="FC67" i="71"/>
  <c r="FC99" i="71" s="1"/>
  <c r="EV103" i="71"/>
  <c r="EV104" i="71"/>
  <c r="FB100" i="71"/>
  <c r="FB70" i="71"/>
  <c r="FB71" i="71" s="1"/>
  <c r="FE3" i="71"/>
  <c r="FF3" i="71" s="1"/>
  <c r="FD86" i="71"/>
  <c r="FD65" i="71"/>
  <c r="EV76" i="71"/>
  <c r="EV105" i="71" s="1"/>
  <c r="FG3" i="71" l="1"/>
  <c r="FF65" i="71"/>
  <c r="FC66" i="71"/>
  <c r="FE86" i="71"/>
  <c r="FE65" i="71"/>
  <c r="FC100" i="71"/>
  <c r="FC70" i="71"/>
  <c r="FC71" i="71" s="1"/>
  <c r="FB102" i="71"/>
  <c r="FD68" i="71"/>
  <c r="FD70" i="71" s="1"/>
  <c r="FD81" i="71"/>
  <c r="FD67" i="71"/>
  <c r="EV77" i="71"/>
  <c r="EQ71" i="71"/>
  <c r="EQ102" i="71" s="1"/>
  <c r="EQ100" i="71"/>
  <c r="ER68" i="71"/>
  <c r="ER71" i="71" s="1"/>
  <c r="FF81" i="71" l="1"/>
  <c r="FF68" i="71"/>
  <c r="FF70" i="71" s="1"/>
  <c r="FF67" i="71"/>
  <c r="FF66" i="71" s="1"/>
  <c r="FH3" i="71"/>
  <c r="FG65" i="71"/>
  <c r="FG81" i="71" s="1"/>
  <c r="FD71" i="71"/>
  <c r="FC102" i="71"/>
  <c r="ER84" i="71"/>
  <c r="FE68" i="71"/>
  <c r="FE70" i="71" s="1"/>
  <c r="FE81" i="71"/>
  <c r="FE67" i="71"/>
  <c r="ER100" i="71"/>
  <c r="FD66" i="71"/>
  <c r="ER102" i="71"/>
  <c r="FF71" i="71" l="1"/>
  <c r="FG68" i="71"/>
  <c r="FG70" i="71" s="1"/>
  <c r="FG67" i="71"/>
  <c r="FG66" i="71" s="1"/>
  <c r="FI3" i="71"/>
  <c r="FH65" i="71"/>
  <c r="FH81" i="71" s="1"/>
  <c r="FE71" i="71"/>
  <c r="FE66" i="71"/>
  <c r="ES100" i="71"/>
  <c r="ES71" i="71"/>
  <c r="ES70" i="71"/>
  <c r="ES84" i="71"/>
  <c r="FG71" i="71" l="1"/>
  <c r="FH68" i="71"/>
  <c r="FH70" i="71" s="1"/>
  <c r="FH67" i="71"/>
  <c r="FJ3" i="71"/>
  <c r="FJ65" i="71" s="1"/>
  <c r="FI65" i="71"/>
  <c r="FI81" i="71" s="1"/>
  <c r="ET84" i="71"/>
  <c r="ET70" i="71"/>
  <c r="ET100" i="71"/>
  <c r="ES102" i="71"/>
  <c r="FJ81" i="71" l="1"/>
  <c r="FI67" i="71"/>
  <c r="FI66" i="71" s="1"/>
  <c r="FI68" i="71"/>
  <c r="FI70" i="71" s="1"/>
  <c r="FH66" i="71"/>
  <c r="FH71" i="71"/>
  <c r="FJ68" i="71"/>
  <c r="FJ70" i="71" s="1"/>
  <c r="FJ67" i="71"/>
  <c r="ET102" i="71"/>
  <c r="EU71" i="71"/>
  <c r="EV84" i="71"/>
  <c r="EU70" i="71"/>
  <c r="EU84" i="71"/>
  <c r="EU100" i="71"/>
  <c r="FJ71" i="71" l="1"/>
  <c r="FJ66" i="71"/>
  <c r="FI71" i="71"/>
  <c r="EU102" i="71"/>
  <c r="EQ84" i="71"/>
  <c r="EP84" i="71"/>
  <c r="EP100" i="71"/>
  <c r="EP71" i="71"/>
  <c r="EP102" i="71" s="1"/>
  <c r="EP74" i="71" l="1"/>
  <c r="EP103" i="71" l="1"/>
  <c r="EP104" i="71"/>
  <c r="EP76" i="71"/>
  <c r="EP77" i="71" s="1"/>
  <c r="EP85" i="71" s="1"/>
  <c r="EP105" i="71" l="1"/>
  <c r="EQ72" i="71" l="1"/>
  <c r="EQ74" i="71" s="1"/>
  <c r="EQ103" i="71" l="1"/>
  <c r="EQ104" i="71"/>
  <c r="EQ76" i="71"/>
  <c r="EQ105" i="71" s="1"/>
  <c r="EQ77" i="71" l="1"/>
  <c r="EQ85" i="71" s="1"/>
  <c r="ER72" i="71"/>
  <c r="ER74" i="71" s="1"/>
  <c r="ER103" i="71" s="1"/>
  <c r="ER104" i="71" l="1"/>
  <c r="ER76" i="71" l="1"/>
  <c r="ER77" i="71" s="1"/>
  <c r="ER85" i="71" s="1"/>
  <c r="ER105" i="71" l="1"/>
  <c r="ES74" i="71"/>
  <c r="ES103" i="71" l="1"/>
  <c r="ES104" i="71"/>
  <c r="ES76" i="71" l="1"/>
  <c r="ES77" i="71" l="1"/>
  <c r="ES85" i="71" s="1"/>
  <c r="ES105" i="71"/>
  <c r="ET74" i="71" l="1"/>
  <c r="ET104" i="71" l="1"/>
  <c r="ET103" i="71"/>
  <c r="ET76" i="71" l="1"/>
  <c r="ET77" i="71" s="1"/>
  <c r="ET85" i="71" s="1"/>
  <c r="ET105" i="71" l="1"/>
  <c r="EU74" i="71"/>
  <c r="EU103" i="71" l="1"/>
  <c r="EU104" i="71"/>
  <c r="EU76" i="71" l="1"/>
  <c r="EU105" i="71" s="1"/>
  <c r="EU77" i="71" l="1"/>
  <c r="EU85" i="71" s="1"/>
  <c r="EV85" i="71" l="1"/>
  <c r="EW103" i="71"/>
  <c r="EW104" i="71"/>
  <c r="EW105" i="71" l="1"/>
  <c r="EX72" i="71" l="1"/>
  <c r="EX74" i="71" s="1"/>
  <c r="EW77" i="71"/>
  <c r="EW85" i="71" s="1"/>
  <c r="EX103" i="71" l="1"/>
  <c r="EX75" i="71"/>
  <c r="EX104" i="71" s="1"/>
  <c r="EX76" i="71" l="1"/>
  <c r="EX105" i="71" l="1"/>
  <c r="EX77" i="71"/>
  <c r="EX85" i="71" s="1"/>
  <c r="EY72" i="71" l="1"/>
  <c r="EY74" i="71" s="1"/>
  <c r="EY75" i="71" l="1"/>
  <c r="EY104" i="71" s="1"/>
  <c r="EY103" i="71"/>
  <c r="EY76" i="71" l="1"/>
  <c r="EY149" i="71" s="1"/>
  <c r="EZ72" i="71" s="1"/>
  <c r="EY105" i="71" l="1"/>
  <c r="EY77" i="71"/>
  <c r="EY85" i="71" s="1"/>
  <c r="EZ74" i="71" l="1"/>
  <c r="EZ103" i="71" l="1"/>
  <c r="EZ75" i="71"/>
  <c r="EZ104" i="71" s="1"/>
  <c r="EZ76" i="71" l="1"/>
  <c r="EZ77" i="71" l="1"/>
  <c r="EZ149" i="71"/>
  <c r="EZ105" i="71"/>
  <c r="FA72" i="71" l="1"/>
  <c r="FA74" i="71" s="1"/>
  <c r="FA103" i="71" l="1"/>
  <c r="FA75" i="71"/>
  <c r="FA104" i="71" s="1"/>
  <c r="FA76" i="71"/>
  <c r="FA77" i="71" l="1"/>
  <c r="FA105" i="71"/>
  <c r="FA149" i="71"/>
  <c r="FB72" i="71" s="1"/>
  <c r="FB74" i="71" s="1"/>
  <c r="FB75" i="71" l="1"/>
  <c r="FB104" i="71" s="1"/>
  <c r="FB103" i="71"/>
  <c r="FB76" i="71" l="1"/>
  <c r="FB149" i="71" s="1"/>
  <c r="FB77" i="71"/>
  <c r="FB105" i="71"/>
  <c r="FC72" i="71" l="1"/>
  <c r="FC74" i="71" s="1"/>
  <c r="FC103" i="71" l="1"/>
  <c r="FC75" i="71"/>
  <c r="FC104" i="71" s="1"/>
  <c r="FC76" i="71" l="1"/>
  <c r="FC77" i="71" s="1"/>
  <c r="FC149" i="71" l="1"/>
  <c r="FD72" i="71" s="1"/>
  <c r="FD74" i="71" s="1"/>
  <c r="FD75" i="71" s="1"/>
  <c r="FD76" i="71" s="1"/>
  <c r="FD149" i="71" s="1"/>
  <c r="FC105" i="71"/>
  <c r="FE72" i="71" l="1"/>
  <c r="FE74" i="71" s="1"/>
  <c r="FE75" i="71" s="1"/>
  <c r="FE76" i="71" s="1"/>
  <c r="FE77" i="71" s="1"/>
  <c r="FD77" i="71"/>
  <c r="FE149" i="71" l="1"/>
  <c r="FF72" i="71" l="1"/>
  <c r="FF74" i="71" s="1"/>
  <c r="FF75" i="71" s="1"/>
  <c r="FF76" i="71" s="1"/>
  <c r="FF149" i="71" s="1"/>
  <c r="FG72" i="71" l="1"/>
  <c r="FG74" i="71" s="1"/>
  <c r="FG75" i="71" s="1"/>
  <c r="FG76" i="71" s="1"/>
  <c r="FG77" i="71" s="1"/>
  <c r="FF77" i="71"/>
  <c r="FG149" i="71" l="1"/>
  <c r="FH72" i="71" s="1"/>
  <c r="FH74" i="71" s="1"/>
  <c r="FH75" i="71" s="1"/>
  <c r="FH76" i="71" s="1"/>
  <c r="FH77" i="71" s="1"/>
  <c r="FH149" i="71" l="1"/>
  <c r="FI72" i="71" l="1"/>
  <c r="FI74" i="71" s="1"/>
  <c r="FI75" i="71" s="1"/>
  <c r="FI76" i="71" s="1"/>
  <c r="FI77" i="71" s="1"/>
  <c r="FI149" i="71" l="1"/>
  <c r="FJ72" i="71" l="1"/>
  <c r="FJ74" i="71" s="1"/>
  <c r="FJ75" i="71" s="1"/>
  <c r="FJ76" i="71" s="1"/>
  <c r="FJ149" i="71" s="1"/>
  <c r="FK76" i="71" l="1"/>
  <c r="FL76" i="71" s="1"/>
  <c r="FM76" i="71" s="1"/>
  <c r="FN76" i="71" s="1"/>
  <c r="FO76" i="71" s="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FJ77" i="71"/>
  <c r="FN85" i="71" l="1"/>
  <c r="FN86" i="71" s="1"/>
  <c r="FN87" i="71" s="1"/>
  <c r="DL78" i="71" l="1"/>
  <c r="DM78" i="71" s="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tc={9A166C40-6217-407C-8012-5F5A67933D28}</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P36" authorId="2" shapeId="0" xr:uid="{00000000-0006-0000-0700-000041000000}">
      <text>
        <r>
          <rPr>
            <b/>
            <sz val="8"/>
            <color indexed="81"/>
            <rFont val="Tahoma"/>
            <family val="2"/>
          </rPr>
          <t>Martin Shkreli:</t>
        </r>
        <r>
          <rPr>
            <sz val="8"/>
            <color indexed="81"/>
            <rFont val="Tahoma"/>
            <family val="2"/>
          </rPr>
          <t xml:space="preserve">
6/1/1989 approval</t>
        </r>
      </text>
    </comment>
    <comment ref="DV36" authorId="2" shapeId="0" xr:uid="{00000000-0006-0000-0700-000042000000}">
      <text>
        <r>
          <rPr>
            <b/>
            <sz val="8"/>
            <color indexed="81"/>
            <rFont val="Tahoma"/>
            <family val="2"/>
          </rPr>
          <t>Martin Shkreli:</t>
        </r>
        <r>
          <rPr>
            <sz val="8"/>
            <color indexed="81"/>
            <rFont val="Tahoma"/>
            <family val="2"/>
          </rPr>
          <t xml:space="preserve">
840 Pru
846 JPM</t>
        </r>
      </text>
    </comment>
    <comment ref="DW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D37" authorId="2" shapeId="0" xr:uid="{00000000-0006-0000-0700-000078000000}">
      <text>
        <r>
          <rPr>
            <b/>
            <sz val="8"/>
            <color indexed="81"/>
            <rFont val="Tahoma"/>
            <family val="2"/>
          </rPr>
          <t>Martin Shkreli:</t>
        </r>
        <r>
          <rPr>
            <sz val="8"/>
            <color indexed="81"/>
            <rFont val="Tahoma"/>
            <family val="2"/>
          </rPr>
          <t xml:space="preserve">
10/16/2003 license</t>
        </r>
      </text>
    </comment>
    <comment ref="EJ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V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1" authorId="2" shapeId="0" xr:uid="{00000000-0006-0000-0700-0000A2000000}">
      <text>
        <r>
          <rPr>
            <b/>
            <sz val="8"/>
            <color indexed="81"/>
            <rFont val="Tahoma"/>
            <family val="2"/>
          </rPr>
          <t>Martin Shkreli:</t>
        </r>
        <r>
          <rPr>
            <sz val="8"/>
            <color indexed="81"/>
            <rFont val="Tahoma"/>
            <family val="2"/>
          </rPr>
          <t xml:space="preserve">
264 Pru
255 JPM 255/0</t>
        </r>
      </text>
    </comment>
    <comment ref="DX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1" authorId="2" shapeId="0" xr:uid="{00000000-0006-0000-0700-0000A6000000}">
      <text>
        <r>
          <rPr>
            <b/>
            <sz val="8"/>
            <color indexed="81"/>
            <rFont val="Tahoma"/>
            <family val="2"/>
          </rPr>
          <t>Martin Shkreli:</t>
        </r>
        <r>
          <rPr>
            <sz val="8"/>
            <color indexed="81"/>
            <rFont val="Tahoma"/>
            <family val="2"/>
          </rPr>
          <t xml:space="preserve">
521 JPM 517/4</t>
        </r>
      </text>
    </comment>
    <comment ref="EB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2" authorId="2" shapeId="0" xr:uid="{00000000-0006-0000-0700-0000AC000000}">
      <text>
        <r>
          <rPr>
            <b/>
            <sz val="8"/>
            <color indexed="81"/>
            <rFont val="Tahoma"/>
            <family val="2"/>
          </rPr>
          <t>Martin Shkreli:</t>
        </r>
        <r>
          <rPr>
            <sz val="8"/>
            <color indexed="81"/>
            <rFont val="Tahoma"/>
            <family val="2"/>
          </rPr>
          <t xml:space="preserve">
9/11/92 approval</t>
        </r>
      </text>
    </comment>
    <comment ref="DV42" authorId="2" shapeId="0" xr:uid="{00000000-0006-0000-0700-0000AD000000}">
      <text>
        <r>
          <rPr>
            <b/>
            <sz val="8"/>
            <color indexed="81"/>
            <rFont val="Tahoma"/>
            <family val="2"/>
          </rPr>
          <t>Martin Shkreli:</t>
        </r>
        <r>
          <rPr>
            <sz val="8"/>
            <color indexed="81"/>
            <rFont val="Tahoma"/>
            <family val="2"/>
          </rPr>
          <t xml:space="preserve">
490 JPM 100/390</t>
        </r>
      </text>
    </comment>
    <comment ref="DW42"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3" authorId="2" shapeId="0" xr:uid="{00000000-0006-0000-0700-0000B6000000}">
      <text>
        <r>
          <rPr>
            <b/>
            <sz val="8"/>
            <color indexed="81"/>
            <rFont val="Tahoma"/>
            <family val="2"/>
          </rPr>
          <t>Martin Shkreli:</t>
        </r>
        <r>
          <rPr>
            <sz val="8"/>
            <color indexed="81"/>
            <rFont val="Tahoma"/>
            <family val="2"/>
          </rPr>
          <t xml:space="preserve">
580 JPM 430/150</t>
        </r>
      </text>
    </comment>
    <comment ref="DW43"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3" authorId="2" shapeId="0" xr:uid="{00000000-0006-0000-0700-0000BB000000}">
      <text>
        <r>
          <rPr>
            <b/>
            <sz val="8"/>
            <color indexed="81"/>
            <rFont val="Tahoma"/>
            <family val="2"/>
          </rPr>
          <t>Martin Shkreli:</t>
        </r>
        <r>
          <rPr>
            <sz val="8"/>
            <color indexed="81"/>
            <rFont val="Tahoma"/>
            <family val="2"/>
          </rPr>
          <t xml:space="preserve">
956 JPM 841/115</t>
        </r>
      </text>
    </comment>
    <comment ref="EB43" authorId="2" shapeId="0" xr:uid="{00000000-0006-0000-0700-0000BC000000}">
      <text>
        <r>
          <rPr>
            <b/>
            <sz val="8"/>
            <color indexed="81"/>
            <rFont val="Tahoma"/>
            <family val="2"/>
          </rPr>
          <t>Martin Shkreli:</t>
        </r>
        <r>
          <rPr>
            <sz val="8"/>
            <color indexed="81"/>
            <rFont val="Tahoma"/>
            <family val="2"/>
          </rPr>
          <t xml:space="preserve">
Ortho TriCyclen 671m</t>
        </r>
      </text>
    </comment>
    <comment ref="DZ44" authorId="2" shapeId="0" xr:uid="{00000000-0006-0000-0700-0000BD000000}">
      <text>
        <r>
          <rPr>
            <b/>
            <sz val="8"/>
            <color indexed="81"/>
            <rFont val="Tahoma"/>
            <family val="2"/>
          </rPr>
          <t>Martin Shkreli:</t>
        </r>
        <r>
          <rPr>
            <sz val="8"/>
            <color indexed="81"/>
            <rFont val="Tahoma"/>
            <family val="2"/>
          </rPr>
          <t xml:space="preserve">
Ditropan 87m</t>
        </r>
      </text>
    </comment>
    <comment ref="EA44" authorId="2" shapeId="0" xr:uid="{00000000-0006-0000-0700-0000BE000000}">
      <text>
        <r>
          <rPr>
            <b/>
            <sz val="8"/>
            <color indexed="81"/>
            <rFont val="Tahoma"/>
            <family val="2"/>
          </rPr>
          <t>Martin Shkreli:</t>
        </r>
        <r>
          <rPr>
            <sz val="8"/>
            <color indexed="81"/>
            <rFont val="Tahoma"/>
            <family val="2"/>
          </rPr>
          <t xml:space="preserve">
Ditropan 179m JPM</t>
        </r>
      </text>
    </comment>
    <comment ref="EB44" authorId="2" shapeId="0" xr:uid="{00000000-0006-0000-0700-0000BF000000}">
      <text>
        <r>
          <rPr>
            <b/>
            <sz val="8"/>
            <color indexed="81"/>
            <rFont val="Tahoma"/>
            <family val="2"/>
          </rPr>
          <t>Martin Shkreli:</t>
        </r>
        <r>
          <rPr>
            <sz val="8"/>
            <color indexed="81"/>
            <rFont val="Tahoma"/>
            <family val="2"/>
          </rPr>
          <t xml:space="preserve">
Ditropan 235m JPM</t>
        </r>
      </text>
    </comment>
    <comment ref="EC44" authorId="2" shapeId="0" xr:uid="{00000000-0006-0000-0700-0000C0000000}">
      <text>
        <r>
          <rPr>
            <b/>
            <sz val="8"/>
            <color indexed="81"/>
            <rFont val="Tahoma"/>
            <family val="2"/>
          </rPr>
          <t xml:space="preserve">Martin Shkreli:
</t>
        </r>
        <r>
          <rPr>
            <sz val="8"/>
            <color indexed="81"/>
            <rFont val="Tahoma"/>
            <family val="2"/>
          </rPr>
          <t>Ditropan 290m JPM</t>
        </r>
      </text>
    </comment>
    <comment ref="ED44" authorId="2" shapeId="0" xr:uid="{00000000-0006-0000-0700-0000C1000000}">
      <text>
        <r>
          <rPr>
            <b/>
            <sz val="8"/>
            <color indexed="81"/>
            <rFont val="Tahoma"/>
            <family val="2"/>
          </rPr>
          <t>Martin Shkreli:</t>
        </r>
        <r>
          <rPr>
            <sz val="8"/>
            <color indexed="81"/>
            <rFont val="Tahoma"/>
            <family val="2"/>
          </rPr>
          <t xml:space="preserve">
Ditropan 370m JPM</t>
        </r>
      </text>
    </comment>
    <comment ref="EE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B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8"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8"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8"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8" authorId="2" shapeId="0" xr:uid="{00000000-0006-0000-0700-0000DD000000}">
      <text>
        <r>
          <rPr>
            <b/>
            <sz val="8"/>
            <color indexed="81"/>
            <rFont val="Tahoma"/>
            <family val="2"/>
          </rPr>
          <t>Martin Shkreli:</t>
        </r>
        <r>
          <rPr>
            <sz val="8"/>
            <color indexed="81"/>
            <rFont val="Tahoma"/>
            <family val="2"/>
          </rPr>
          <t xml:space="preserve">
UBS $50m estimate</t>
        </r>
      </text>
    </comment>
    <comment ref="EK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8" authorId="2" shapeId="0" xr:uid="{00000000-0006-0000-0700-0000DF000000}">
      <text>
        <r>
          <rPr>
            <b/>
            <sz val="8"/>
            <color indexed="81"/>
            <rFont val="Tahoma"/>
            <family val="2"/>
          </rPr>
          <t>Martin Shkreli:</t>
        </r>
        <r>
          <rPr>
            <sz val="8"/>
            <color indexed="81"/>
            <rFont val="Tahoma"/>
            <family val="2"/>
          </rPr>
          <t xml:space="preserve">
$403m UBS
$550m ML</t>
        </r>
      </text>
    </comment>
    <comment ref="EM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50" authorId="2" shapeId="0" xr:uid="{00000000-0006-0000-0700-0000E6000000}">
      <text>
        <r>
          <rPr>
            <b/>
            <sz val="8"/>
            <color indexed="81"/>
            <rFont val="Tahoma"/>
            <family val="2"/>
          </rPr>
          <t>Martin Shkreli:</t>
        </r>
        <r>
          <rPr>
            <sz val="8"/>
            <color indexed="81"/>
            <rFont val="Tahoma"/>
            <family val="2"/>
          </rPr>
          <t xml:space="preserve">
1382 JPM 225/1157</t>
        </r>
      </text>
    </comment>
    <comment ref="DW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DY51" authorId="2" shapeId="0" xr:uid="{00000000-0006-0000-0700-000001010000}">
      <text>
        <r>
          <rPr>
            <b/>
            <sz val="8"/>
            <color indexed="81"/>
            <rFont val="Tahoma"/>
            <family val="2"/>
          </rPr>
          <t>Martin Shkreli:</t>
        </r>
        <r>
          <rPr>
            <sz val="8"/>
            <color indexed="81"/>
            <rFont val="Tahoma"/>
            <family val="2"/>
          </rPr>
          <t xml:space="preserve">
914 Cowen</t>
        </r>
      </text>
    </comment>
    <comment ref="DZ51" authorId="2" shapeId="0" xr:uid="{00000000-0006-0000-0700-000002010000}">
      <text>
        <r>
          <rPr>
            <b/>
            <sz val="8"/>
            <color indexed="81"/>
            <rFont val="Tahoma"/>
            <family val="2"/>
          </rPr>
          <t>Martin Shkreli:</t>
        </r>
        <r>
          <rPr>
            <sz val="8"/>
            <color indexed="81"/>
            <rFont val="Tahoma"/>
            <family val="2"/>
          </rPr>
          <t xml:space="preserve">
Bear 935 actual</t>
        </r>
      </text>
    </comment>
    <comment ref="EA51" authorId="2" shapeId="0" xr:uid="{00000000-0006-0000-0700-000003010000}">
      <text>
        <r>
          <rPr>
            <b/>
            <sz val="8"/>
            <color indexed="81"/>
            <rFont val="Tahoma"/>
            <family val="2"/>
          </rPr>
          <t>Martin Shkreli:</t>
        </r>
        <r>
          <rPr>
            <sz val="8"/>
            <color indexed="81"/>
            <rFont val="Tahoma"/>
            <family val="2"/>
          </rPr>
          <t xml:space="preserve">
Bear actual 1056</t>
        </r>
      </text>
    </comment>
    <comment ref="EC51" authorId="2" shapeId="0" xr:uid="{00000000-0006-0000-0700-000004010000}">
      <text>
        <r>
          <rPr>
            <b/>
            <sz val="8"/>
            <color indexed="81"/>
            <rFont val="Tahoma"/>
            <family val="2"/>
          </rPr>
          <t>Martin Shkreli:</t>
        </r>
        <r>
          <rPr>
            <sz val="8"/>
            <color indexed="81"/>
            <rFont val="Tahoma"/>
            <family val="2"/>
          </rPr>
          <t xml:space="preserve">
112 DES Bear</t>
        </r>
      </text>
    </comment>
    <comment ref="EE51" authorId="2" shapeId="0" xr:uid="{00000000-0006-0000-0700-000005010000}">
      <text>
        <r>
          <rPr>
            <b/>
            <sz val="8"/>
            <color indexed="81"/>
            <rFont val="Tahoma"/>
            <family val="2"/>
          </rPr>
          <t>Martin Shkreli:</t>
        </r>
        <r>
          <rPr>
            <sz val="8"/>
            <color indexed="81"/>
            <rFont val="Tahoma"/>
            <family val="2"/>
          </rPr>
          <t xml:space="preserve">
1863 DES bear</t>
        </r>
      </text>
    </comment>
    <comment ref="EF51" authorId="2" shapeId="0" xr:uid="{00000000-0006-0000-0700-000006010000}">
      <text>
        <r>
          <rPr>
            <b/>
            <sz val="8"/>
            <color indexed="81"/>
            <rFont val="Tahoma"/>
            <family val="2"/>
          </rPr>
          <t>Martin Shkreli:</t>
        </r>
        <r>
          <rPr>
            <sz val="8"/>
            <color indexed="81"/>
            <rFont val="Tahoma"/>
            <family val="2"/>
          </rPr>
          <t xml:space="preserve">
2606 DES Bear actual</t>
        </r>
      </text>
    </comment>
    <comment ref="EI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6" authorId="2" shapeId="0" xr:uid="{00000000-0006-0000-0700-00000F010000}">
      <text>
        <r>
          <rPr>
            <b/>
            <sz val="8"/>
            <color indexed="81"/>
            <rFont val="Tahoma"/>
            <family val="2"/>
          </rPr>
          <t>Martin Shkreli:</t>
        </r>
        <r>
          <rPr>
            <sz val="8"/>
            <color indexed="81"/>
            <rFont val="Tahoma"/>
            <family val="2"/>
          </rPr>
          <t xml:space="preserve">
1608 JPM
1800 Cowen</t>
        </r>
      </text>
    </comment>
    <comment ref="DZ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6" authorId="2" shapeId="0" xr:uid="{00000000-0006-0000-0700-000011010000}">
      <text>
        <r>
          <rPr>
            <b/>
            <sz val="8"/>
            <color indexed="81"/>
            <rFont val="Tahoma"/>
            <family val="2"/>
          </rPr>
          <t>Martin Shkreli:</t>
        </r>
        <r>
          <rPr>
            <sz val="8"/>
            <color indexed="81"/>
            <rFont val="Tahoma"/>
            <family val="2"/>
          </rPr>
          <t xml:space="preserve">
2246 Bear actual</t>
        </r>
      </text>
    </comment>
    <comment ref="DY57" authorId="2" shapeId="0" xr:uid="{00000000-0006-0000-0700-000012010000}">
      <text>
        <r>
          <rPr>
            <b/>
            <sz val="8"/>
            <color indexed="81"/>
            <rFont val="Tahoma"/>
            <family val="2"/>
          </rPr>
          <t>Martin Shkreli:</t>
        </r>
        <r>
          <rPr>
            <sz val="8"/>
            <color indexed="81"/>
            <rFont val="Tahoma"/>
            <family val="2"/>
          </rPr>
          <t xml:space="preserve">
1144 Cowen</t>
        </r>
      </text>
    </comment>
    <comment ref="DZ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DY60" authorId="2" shapeId="0" xr:uid="{00000000-0006-0000-0700-00001A010000}">
      <text>
        <r>
          <rPr>
            <b/>
            <sz val="8"/>
            <color indexed="81"/>
            <rFont val="Tahoma"/>
            <family val="2"/>
          </rPr>
          <t>Martin Shkreli:</t>
        </r>
        <r>
          <rPr>
            <sz val="8"/>
            <color indexed="81"/>
            <rFont val="Tahoma"/>
            <family val="2"/>
          </rPr>
          <t xml:space="preserve">
996 JPM
988 Cowen</t>
        </r>
      </text>
    </comment>
    <comment ref="DZ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60" authorId="2" shapeId="0" xr:uid="{00000000-0006-0000-0700-00001C010000}">
      <text>
        <r>
          <rPr>
            <b/>
            <sz val="8"/>
            <color indexed="81"/>
            <rFont val="Tahoma"/>
            <family val="2"/>
          </rPr>
          <t>Martin Shkreli:</t>
        </r>
        <r>
          <rPr>
            <sz val="8"/>
            <color indexed="81"/>
            <rFont val="Tahoma"/>
            <family val="2"/>
          </rPr>
          <t xml:space="preserve">
1095 Bear actual</t>
        </r>
      </text>
    </comment>
    <comment ref="DY61" authorId="2" shapeId="0" xr:uid="{00000000-0006-0000-0700-00001D010000}">
      <text>
        <r>
          <rPr>
            <b/>
            <sz val="8"/>
            <color indexed="81"/>
            <rFont val="Tahoma"/>
            <family val="2"/>
          </rPr>
          <t>Martin Shkreli:</t>
        </r>
        <r>
          <rPr>
            <sz val="8"/>
            <color indexed="81"/>
            <rFont val="Tahoma"/>
            <family val="2"/>
          </rPr>
          <t xml:space="preserve">
972 Cowen
988 JPM</t>
        </r>
      </text>
    </comment>
    <comment ref="DZ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2" authorId="2" shapeId="0" xr:uid="{00000000-0006-0000-0700-000022010000}">
      <text>
        <r>
          <rPr>
            <b/>
            <sz val="8"/>
            <color indexed="81"/>
            <rFont val="Tahoma"/>
            <family val="2"/>
          </rPr>
          <t>Martin Shkreli:</t>
        </r>
        <r>
          <rPr>
            <sz val="8"/>
            <color indexed="81"/>
            <rFont val="Tahoma"/>
            <family val="2"/>
          </rPr>
          <t xml:space="preserve">
866 Cowen</t>
        </r>
      </text>
    </comment>
    <comment ref="DZ62" authorId="2" shapeId="0" xr:uid="{00000000-0006-0000-0700-000023010000}">
      <text>
        <r>
          <rPr>
            <b/>
            <sz val="8"/>
            <color indexed="81"/>
            <rFont val="Tahoma"/>
            <family val="2"/>
          </rPr>
          <t>Martin Shkreli:</t>
        </r>
        <r>
          <rPr>
            <sz val="8"/>
            <color indexed="81"/>
            <rFont val="Tahoma"/>
            <family val="2"/>
          </rPr>
          <t xml:space="preserve">
937 Bear actual</t>
        </r>
      </text>
    </comment>
    <comment ref="EB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DZ63" authorId="2" shapeId="0" xr:uid="{00000000-0006-0000-0700-000032010000}">
      <text>
        <r>
          <rPr>
            <b/>
            <sz val="8"/>
            <color indexed="81"/>
            <rFont val="Tahoma"/>
            <family val="2"/>
          </rPr>
          <t>Martin Shkreli:</t>
        </r>
        <r>
          <rPr>
            <sz val="8"/>
            <color indexed="81"/>
            <rFont val="Tahoma"/>
            <family val="2"/>
          </rPr>
          <t xml:space="preserve">
1156 Bear actual</t>
        </r>
      </text>
    </comment>
    <comment ref="EA63" authorId="2" shapeId="0" xr:uid="{00000000-0006-0000-0700-000033010000}">
      <text>
        <r>
          <rPr>
            <b/>
            <sz val="8"/>
            <color indexed="81"/>
            <rFont val="Tahoma"/>
            <family val="2"/>
          </rPr>
          <t>Martin Shkreli:</t>
        </r>
        <r>
          <rPr>
            <sz val="8"/>
            <color indexed="81"/>
            <rFont val="Tahoma"/>
            <family val="2"/>
          </rPr>
          <t xml:space="preserve">
554 Bear actual</t>
        </r>
      </text>
    </comment>
    <comment ref="EB63" authorId="2" shapeId="0" xr:uid="{00000000-0006-0000-0700-000034010000}">
      <text>
        <r>
          <rPr>
            <b/>
            <sz val="8"/>
            <color indexed="81"/>
            <rFont val="Tahoma"/>
            <family val="2"/>
          </rPr>
          <t>Martin Shkreli:</t>
        </r>
        <r>
          <rPr>
            <sz val="8"/>
            <color indexed="81"/>
            <rFont val="Tahoma"/>
            <family val="2"/>
          </rPr>
          <t xml:space="preserve">
341 Bear actual</t>
        </r>
      </text>
    </comment>
    <comment ref="EC63" authorId="2" shapeId="0" xr:uid="{00000000-0006-0000-0700-000035010000}">
      <text>
        <r>
          <rPr>
            <b/>
            <sz val="8"/>
            <color indexed="81"/>
            <rFont val="Tahoma"/>
            <family val="2"/>
          </rPr>
          <t>Martin Shkreli:</t>
        </r>
        <r>
          <rPr>
            <sz val="8"/>
            <color indexed="81"/>
            <rFont val="Tahoma"/>
            <family val="2"/>
          </rPr>
          <t xml:space="preserve">
118 bear actual</t>
        </r>
      </text>
    </comment>
    <comment ref="ED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4" authorId="2" shapeId="0" xr:uid="{00000000-0006-0000-0700-00003E010000}">
      <text>
        <r>
          <rPr>
            <b/>
            <sz val="8"/>
            <color indexed="81"/>
            <rFont val="Tahoma"/>
            <family val="2"/>
          </rPr>
          <t>Martin Shkreli:</t>
        </r>
        <r>
          <rPr>
            <sz val="8"/>
            <color indexed="81"/>
            <rFont val="Tahoma"/>
            <family val="2"/>
          </rPr>
          <t xml:space="preserve">
6248 bear
6862 cowen</t>
        </r>
      </text>
    </comment>
    <comment ref="EA64" authorId="2" shapeId="0" xr:uid="{00000000-0006-0000-0700-00003F010000}">
      <text>
        <r>
          <rPr>
            <b/>
            <sz val="8"/>
            <color indexed="81"/>
            <rFont val="Tahoma"/>
            <family val="2"/>
          </rPr>
          <t>Martin Shkreli:</t>
        </r>
        <r>
          <rPr>
            <sz val="8"/>
            <color indexed="81"/>
            <rFont val="Tahoma"/>
            <family val="2"/>
          </rPr>
          <t xml:space="preserve">
6271 bear</t>
        </r>
      </text>
    </comment>
    <comment ref="EB64" authorId="2" shapeId="0" xr:uid="{00000000-0006-0000-0700-000040010000}">
      <text>
        <r>
          <rPr>
            <b/>
            <sz val="8"/>
            <color indexed="81"/>
            <rFont val="Tahoma"/>
            <family val="2"/>
          </rPr>
          <t>Martin Shkreli:</t>
        </r>
        <r>
          <rPr>
            <sz val="8"/>
            <color indexed="81"/>
            <rFont val="Tahoma"/>
            <family val="2"/>
          </rPr>
          <t xml:space="preserve">
6321 bear</t>
        </r>
      </text>
    </comment>
    <comment ref="EK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5" authorId="2" shapeId="0" xr:uid="{00000000-0006-0000-0700-000057010000}">
      <text>
        <r>
          <rPr>
            <b/>
            <sz val="8"/>
            <color indexed="81"/>
            <rFont val="Tahoma"/>
            <family val="2"/>
          </rPr>
          <t>Martin Shkreli:</t>
        </r>
        <r>
          <rPr>
            <sz val="8"/>
            <color indexed="81"/>
            <rFont val="Tahoma"/>
            <family val="2"/>
          </rPr>
          <t xml:space="preserve">
11331 bear</t>
        </r>
      </text>
    </comment>
    <comment ref="DR65" authorId="2" shapeId="0" xr:uid="{00000000-0006-0000-0700-000058010000}">
      <text>
        <r>
          <rPr>
            <b/>
            <sz val="8"/>
            <color indexed="81"/>
            <rFont val="Tahoma"/>
            <family val="2"/>
          </rPr>
          <t>Martin Shkreli:</t>
        </r>
        <r>
          <rPr>
            <sz val="8"/>
            <color indexed="81"/>
            <rFont val="Tahoma"/>
            <family val="2"/>
          </rPr>
          <t xml:space="preserve">
12571 bear</t>
        </r>
      </text>
    </comment>
    <comment ref="DS65" authorId="2" shapeId="0" xr:uid="{00000000-0006-0000-0700-000059010000}">
      <text>
        <r>
          <rPr>
            <b/>
            <sz val="8"/>
            <color indexed="81"/>
            <rFont val="Tahoma"/>
            <family val="2"/>
          </rPr>
          <t>Martin Shkreli:</t>
        </r>
        <r>
          <rPr>
            <sz val="8"/>
            <color indexed="81"/>
            <rFont val="Tahoma"/>
            <family val="2"/>
          </rPr>
          <t xml:space="preserve">
13985 bear</t>
        </r>
      </text>
    </comment>
    <comment ref="DT65" authorId="2" shapeId="0" xr:uid="{00000000-0006-0000-0700-00005A010000}">
      <text>
        <r>
          <rPr>
            <b/>
            <sz val="8"/>
            <color indexed="81"/>
            <rFont val="Tahoma"/>
            <family val="2"/>
          </rPr>
          <t>Martin Shkreli:</t>
        </r>
        <r>
          <rPr>
            <sz val="8"/>
            <color indexed="81"/>
            <rFont val="Tahoma"/>
            <family val="2"/>
          </rPr>
          <t xml:space="preserve">
14302 bear</t>
        </r>
      </text>
    </comment>
    <comment ref="DU65" authorId="2" shapeId="0" xr:uid="{00000000-0006-0000-0700-00005B010000}">
      <text>
        <r>
          <rPr>
            <b/>
            <sz val="8"/>
            <color indexed="81"/>
            <rFont val="Tahoma"/>
            <family val="2"/>
          </rPr>
          <t>Martin Shkreli:</t>
        </r>
        <r>
          <rPr>
            <sz val="8"/>
            <color indexed="81"/>
            <rFont val="Tahoma"/>
            <family val="2"/>
          </rPr>
          <t xml:space="preserve">
15916 bear</t>
        </r>
      </text>
    </comment>
    <comment ref="DV65" authorId="2" shapeId="0" xr:uid="{00000000-0006-0000-0700-00005C010000}">
      <text>
        <r>
          <rPr>
            <b/>
            <sz val="8"/>
            <color indexed="81"/>
            <rFont val="Tahoma"/>
            <family val="2"/>
          </rPr>
          <t>Martin Shkreli:</t>
        </r>
        <r>
          <rPr>
            <sz val="8"/>
            <color indexed="81"/>
            <rFont val="Tahoma"/>
            <family val="2"/>
          </rPr>
          <t xml:space="preserve">
19068 bear</t>
        </r>
      </text>
    </comment>
    <comment ref="DW65" authorId="2" shapeId="0" xr:uid="{00000000-0006-0000-0700-00005D010000}">
      <text>
        <r>
          <rPr>
            <b/>
            <sz val="8"/>
            <color indexed="81"/>
            <rFont val="Tahoma"/>
            <family val="2"/>
          </rPr>
          <t>Martin Shkreli:</t>
        </r>
        <r>
          <rPr>
            <sz val="8"/>
            <color indexed="81"/>
            <rFont val="Tahoma"/>
            <family val="2"/>
          </rPr>
          <t xml:space="preserve">
21984 bear</t>
        </r>
      </text>
    </comment>
    <comment ref="DX65" authorId="2" shapeId="0" xr:uid="{00000000-0006-0000-0700-00005E010000}">
      <text>
        <r>
          <rPr>
            <b/>
            <sz val="8"/>
            <color indexed="81"/>
            <rFont val="Tahoma"/>
            <family val="2"/>
          </rPr>
          <t>Martin Shkreli:</t>
        </r>
        <r>
          <rPr>
            <sz val="8"/>
            <color indexed="81"/>
            <rFont val="Tahoma"/>
            <family val="2"/>
          </rPr>
          <t xml:space="preserve">
23118 bear</t>
        </r>
      </text>
    </comment>
    <comment ref="DY65" authorId="2" shapeId="0" xr:uid="{00000000-0006-0000-0700-00005F010000}">
      <text>
        <r>
          <rPr>
            <b/>
            <sz val="8"/>
            <color indexed="81"/>
            <rFont val="Tahoma"/>
            <family val="2"/>
          </rPr>
          <t>Martin Shkreli:</t>
        </r>
        <r>
          <rPr>
            <sz val="8"/>
            <color indexed="81"/>
            <rFont val="Tahoma"/>
            <family val="2"/>
          </rPr>
          <t xml:space="preserve">
24398 bear</t>
        </r>
      </text>
    </comment>
    <comment ref="DZ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5" authorId="2" shapeId="0" xr:uid="{00000000-0006-0000-0700-000062010000}">
      <text>
        <r>
          <rPr>
            <b/>
            <sz val="8"/>
            <color indexed="81"/>
            <rFont val="Tahoma"/>
            <family val="2"/>
          </rPr>
          <t>Martin Shkreli:</t>
        </r>
        <r>
          <rPr>
            <sz val="8"/>
            <color indexed="81"/>
            <rFont val="Tahoma"/>
            <family val="2"/>
          </rPr>
          <t xml:space="preserve">
32318 bear
</t>
        </r>
      </text>
    </comment>
    <comment ref="EG65" authorId="3" shapeId="0" xr:uid="{00000000-0006-0000-0700-000063010000}">
      <text>
        <r>
          <rPr>
            <b/>
            <sz val="8"/>
            <color indexed="8"/>
            <rFont val="Times New Roman"/>
            <family val="1"/>
          </rPr>
          <t xml:space="preserve">Bloomberg:
</t>
        </r>
        <r>
          <rPr>
            <sz val="8"/>
            <color indexed="8"/>
            <rFont val="Times New Roman"/>
            <family val="1"/>
          </rPr>
          <t>was 52.887</t>
        </r>
      </text>
    </comment>
    <comment ref="EH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5" authorId="3" shapeId="0" xr:uid="{00000000-0006-0000-0700-000065010000}">
      <text>
        <r>
          <rPr>
            <sz val="8"/>
            <color indexed="8"/>
            <rFont val="Times New Roman"/>
            <family val="1"/>
          </rPr>
          <t>Estimate was 62.604
Official result was 63.747b</t>
        </r>
      </text>
    </comment>
    <comment ref="EJ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5"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5"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5"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5"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6" authorId="2" shapeId="0" xr:uid="{00000000-0006-0000-0700-000078010000}">
      <text>
        <r>
          <rPr>
            <b/>
            <sz val="8"/>
            <color indexed="81"/>
            <rFont val="Tahoma"/>
            <family val="2"/>
          </rPr>
          <t>Martin Shkreli:</t>
        </r>
        <r>
          <rPr>
            <sz val="8"/>
            <color indexed="81"/>
            <rFont val="Tahoma"/>
            <family val="2"/>
          </rPr>
          <t xml:space="preserve">
3957 bear</t>
        </r>
      </text>
    </comment>
    <comment ref="DR66" authorId="2" shapeId="0" xr:uid="{00000000-0006-0000-0700-000079010000}">
      <text>
        <r>
          <rPr>
            <b/>
            <sz val="8"/>
            <color indexed="81"/>
            <rFont val="Tahoma"/>
            <family val="2"/>
          </rPr>
          <t>Martin Shkreli:</t>
        </r>
        <r>
          <rPr>
            <sz val="8"/>
            <color indexed="81"/>
            <rFont val="Tahoma"/>
            <family val="2"/>
          </rPr>
          <t xml:space="preserve">
4248 bear</t>
        </r>
      </text>
    </comment>
    <comment ref="DS66" authorId="2" shapeId="0" xr:uid="{00000000-0006-0000-0700-00007A010000}">
      <text>
        <r>
          <rPr>
            <b/>
            <sz val="8"/>
            <color indexed="81"/>
            <rFont val="Tahoma"/>
            <family val="2"/>
          </rPr>
          <t>Martin Shkreli:</t>
        </r>
        <r>
          <rPr>
            <sz val="8"/>
            <color indexed="81"/>
            <rFont val="Tahoma"/>
            <family val="2"/>
          </rPr>
          <t xml:space="preserve">
4748 bear</t>
        </r>
      </text>
    </comment>
    <comment ref="DT66" authorId="2" shapeId="0" xr:uid="{00000000-0006-0000-0700-00007B010000}">
      <text>
        <r>
          <rPr>
            <b/>
            <sz val="8"/>
            <color indexed="81"/>
            <rFont val="Tahoma"/>
            <family val="2"/>
          </rPr>
          <t>Martin Shkreli:</t>
        </r>
        <r>
          <rPr>
            <sz val="8"/>
            <color indexed="81"/>
            <rFont val="Tahoma"/>
            <family val="2"/>
          </rPr>
          <t xml:space="preserve">
4869 bear</t>
        </r>
      </text>
    </comment>
    <comment ref="DU66" authorId="2" shapeId="0" xr:uid="{00000000-0006-0000-0700-00007C010000}">
      <text>
        <r>
          <rPr>
            <b/>
            <sz val="8"/>
            <color indexed="81"/>
            <rFont val="Tahoma"/>
            <family val="2"/>
          </rPr>
          <t>Martin Shkreli:</t>
        </r>
        <r>
          <rPr>
            <sz val="8"/>
            <color indexed="81"/>
            <rFont val="Tahoma"/>
            <family val="2"/>
          </rPr>
          <t xml:space="preserve">
5350 bear</t>
        </r>
      </text>
    </comment>
    <comment ref="DV66" authorId="2" shapeId="0" xr:uid="{00000000-0006-0000-0700-00007D010000}">
      <text>
        <r>
          <rPr>
            <b/>
            <sz val="8"/>
            <color indexed="81"/>
            <rFont val="Tahoma"/>
            <family val="2"/>
          </rPr>
          <t>Martin Shkreli:</t>
        </r>
        <r>
          <rPr>
            <sz val="8"/>
            <color indexed="81"/>
            <rFont val="Tahoma"/>
            <family val="2"/>
          </rPr>
          <t xml:space="preserve">
6303 bear</t>
        </r>
      </text>
    </comment>
    <comment ref="DW66" authorId="2" shapeId="0" xr:uid="{00000000-0006-0000-0700-00007E010000}">
      <text>
        <r>
          <rPr>
            <b/>
            <sz val="8"/>
            <color indexed="81"/>
            <rFont val="Tahoma"/>
            <family val="2"/>
          </rPr>
          <t>Martin Shkreli:</t>
        </r>
        <r>
          <rPr>
            <sz val="8"/>
            <color indexed="81"/>
            <rFont val="Tahoma"/>
            <family val="2"/>
          </rPr>
          <t xml:space="preserve">
7130 bear</t>
        </r>
      </text>
    </comment>
    <comment ref="DX66" authorId="2" shapeId="0" xr:uid="{00000000-0006-0000-0700-00007F010000}">
      <text>
        <r>
          <rPr>
            <b/>
            <sz val="8"/>
            <color indexed="81"/>
            <rFont val="Tahoma"/>
            <family val="2"/>
          </rPr>
          <t>Martin Shkreli:</t>
        </r>
        <r>
          <rPr>
            <sz val="8"/>
            <color indexed="81"/>
            <rFont val="Tahoma"/>
            <family val="2"/>
          </rPr>
          <t xml:space="preserve">
7291 bear</t>
        </r>
      </text>
    </comment>
    <comment ref="DY66" authorId="2" shapeId="0" xr:uid="{00000000-0006-0000-0700-000080010000}">
      <text>
        <r>
          <rPr>
            <b/>
            <sz val="8"/>
            <color indexed="81"/>
            <rFont val="Tahoma"/>
            <family val="2"/>
          </rPr>
          <t>Martin Shkreli:</t>
        </r>
        <r>
          <rPr>
            <sz val="8"/>
            <color indexed="81"/>
            <rFont val="Tahoma"/>
            <family val="2"/>
          </rPr>
          <t xml:space="preserve">
7646 bear</t>
        </r>
      </text>
    </comment>
    <comment ref="DZ66" authorId="2" shapeId="0" xr:uid="{00000000-0006-0000-0700-000081010000}">
      <text>
        <r>
          <rPr>
            <b/>
            <sz val="8"/>
            <color indexed="81"/>
            <rFont val="Tahoma"/>
            <family val="2"/>
          </rPr>
          <t>Martin Shkreli:</t>
        </r>
        <r>
          <rPr>
            <sz val="8"/>
            <color indexed="81"/>
            <rFont val="Tahoma"/>
            <family val="2"/>
          </rPr>
          <t xml:space="preserve">
8498 jpm
8498 bear</t>
        </r>
      </text>
    </comment>
    <comment ref="EA66" authorId="2" shapeId="0" xr:uid="{00000000-0006-0000-0700-000082010000}">
      <text>
        <r>
          <rPr>
            <b/>
            <sz val="8"/>
            <color indexed="81"/>
            <rFont val="Tahoma"/>
            <family val="2"/>
          </rPr>
          <t>Martin Shkreli:</t>
        </r>
        <r>
          <rPr>
            <sz val="8"/>
            <color indexed="81"/>
            <rFont val="Tahoma"/>
            <family val="2"/>
          </rPr>
          <t xml:space="preserve">
8908 jpm
8908 bear</t>
        </r>
      </text>
    </comment>
    <comment ref="EB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Q67" authorId="2" shapeId="0" xr:uid="{00000000-0006-0000-0700-000094010000}">
      <text>
        <r>
          <rPr>
            <b/>
            <sz val="8"/>
            <color indexed="81"/>
            <rFont val="Tahoma"/>
            <family val="2"/>
          </rPr>
          <t>Martin Shkreli:</t>
        </r>
        <r>
          <rPr>
            <sz val="8"/>
            <color indexed="81"/>
            <rFont val="Tahoma"/>
            <family val="2"/>
          </rPr>
          <t xml:space="preserve">
7374 bear</t>
        </r>
      </text>
    </comment>
    <comment ref="DR67" authorId="2" shapeId="0" xr:uid="{00000000-0006-0000-0700-000095010000}">
      <text>
        <r>
          <rPr>
            <b/>
            <sz val="8"/>
            <color indexed="81"/>
            <rFont val="Tahoma"/>
            <family val="2"/>
          </rPr>
          <t>Martin Shkreli:</t>
        </r>
        <r>
          <rPr>
            <sz val="8"/>
            <color indexed="81"/>
            <rFont val="Tahoma"/>
            <family val="2"/>
          </rPr>
          <t xml:space="preserve">
8323 bear</t>
        </r>
      </text>
    </comment>
    <comment ref="DS67" authorId="2" shapeId="0" xr:uid="{00000000-0006-0000-0700-000096010000}">
      <text>
        <r>
          <rPr>
            <b/>
            <sz val="8"/>
            <color indexed="81"/>
            <rFont val="Tahoma"/>
            <family val="2"/>
          </rPr>
          <t>Martin Shkreli:</t>
        </r>
        <r>
          <rPr>
            <sz val="8"/>
            <color indexed="81"/>
            <rFont val="Tahoma"/>
            <family val="2"/>
          </rPr>
          <t xml:space="preserve">
9237 bear</t>
        </r>
      </text>
    </comment>
    <comment ref="DT67" authorId="2" shapeId="0" xr:uid="{00000000-0006-0000-0700-000097010000}">
      <text>
        <r>
          <rPr>
            <b/>
            <sz val="8"/>
            <color indexed="81"/>
            <rFont val="Tahoma"/>
            <family val="2"/>
          </rPr>
          <t>Martin Shkreli:</t>
        </r>
        <r>
          <rPr>
            <sz val="8"/>
            <color indexed="81"/>
            <rFont val="Tahoma"/>
            <family val="2"/>
          </rPr>
          <t xml:space="preserve">
9433 bear</t>
        </r>
      </text>
    </comment>
    <comment ref="DU67" authorId="2" shapeId="0" xr:uid="{00000000-0006-0000-0700-000098010000}">
      <text>
        <r>
          <rPr>
            <b/>
            <sz val="8"/>
            <color indexed="81"/>
            <rFont val="Tahoma"/>
            <family val="2"/>
          </rPr>
          <t>Martin Shkreli:</t>
        </r>
        <r>
          <rPr>
            <sz val="8"/>
            <color indexed="81"/>
            <rFont val="Tahoma"/>
            <family val="2"/>
          </rPr>
          <t xml:space="preserve">
10566 bear</t>
        </r>
      </text>
    </comment>
    <comment ref="DV67" authorId="2" shapeId="0" xr:uid="{00000000-0006-0000-0700-000099010000}">
      <text>
        <r>
          <rPr>
            <b/>
            <sz val="8"/>
            <color indexed="81"/>
            <rFont val="Tahoma"/>
            <family val="2"/>
          </rPr>
          <t>Martin Shkreli:</t>
        </r>
        <r>
          <rPr>
            <sz val="8"/>
            <color indexed="81"/>
            <rFont val="Tahoma"/>
            <family val="2"/>
          </rPr>
          <t xml:space="preserve">
12765 bear</t>
        </r>
      </text>
    </comment>
    <comment ref="DW67" authorId="2" shapeId="0" xr:uid="{00000000-0006-0000-0700-00009A010000}">
      <text>
        <r>
          <rPr>
            <b/>
            <sz val="8"/>
            <color indexed="81"/>
            <rFont val="Tahoma"/>
            <family val="2"/>
          </rPr>
          <t>Martin Shkreli:</t>
        </r>
        <r>
          <rPr>
            <sz val="8"/>
            <color indexed="81"/>
            <rFont val="Tahoma"/>
            <family val="2"/>
          </rPr>
          <t xml:space="preserve">
14854 bear</t>
        </r>
      </text>
    </comment>
    <comment ref="DX67" authorId="2" shapeId="0" xr:uid="{00000000-0006-0000-0700-00009B010000}">
      <text>
        <r>
          <rPr>
            <b/>
            <sz val="8"/>
            <color indexed="81"/>
            <rFont val="Tahoma"/>
            <family val="2"/>
          </rPr>
          <t>Martin Shkreli:</t>
        </r>
        <r>
          <rPr>
            <sz val="8"/>
            <color indexed="81"/>
            <rFont val="Tahoma"/>
            <family val="2"/>
          </rPr>
          <t xml:space="preserve">
15827 bear</t>
        </r>
      </text>
    </comment>
    <comment ref="DY67" authorId="2" shapeId="0" xr:uid="{00000000-0006-0000-0700-00009C010000}">
      <text>
        <r>
          <rPr>
            <b/>
            <sz val="8"/>
            <color indexed="81"/>
            <rFont val="Tahoma"/>
            <family val="2"/>
          </rPr>
          <t>Martin Shkreli:</t>
        </r>
        <r>
          <rPr>
            <sz val="8"/>
            <color indexed="81"/>
            <rFont val="Tahoma"/>
            <family val="2"/>
          </rPr>
          <t xml:space="preserve">
16752 bear</t>
        </r>
      </text>
    </comment>
    <comment ref="DZ67" authorId="2" shapeId="0" xr:uid="{00000000-0006-0000-0700-00009D010000}">
      <text>
        <r>
          <rPr>
            <b/>
            <sz val="8"/>
            <color indexed="81"/>
            <rFont val="Tahoma"/>
            <family val="2"/>
          </rPr>
          <t>Martin Shkreli:</t>
        </r>
        <r>
          <rPr>
            <sz val="8"/>
            <color indexed="81"/>
            <rFont val="Tahoma"/>
            <family val="2"/>
          </rPr>
          <t xml:space="preserve">
19510 jpm
19509 bear</t>
        </r>
      </text>
    </comment>
    <comment ref="EA67" authorId="2" shapeId="0" xr:uid="{00000000-0006-0000-0700-00009E010000}">
      <text>
        <r>
          <rPr>
            <b/>
            <sz val="8"/>
            <color indexed="81"/>
            <rFont val="Tahoma"/>
            <family val="2"/>
          </rPr>
          <t>Martin Shkreli:</t>
        </r>
        <r>
          <rPr>
            <sz val="8"/>
            <color indexed="81"/>
            <rFont val="Tahoma"/>
            <family val="2"/>
          </rPr>
          <t xml:space="preserve">
20938 jpm
20938 bear</t>
        </r>
      </text>
    </comment>
    <comment ref="EB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8" authorId="2" shapeId="0" xr:uid="{00000000-0006-0000-0700-0000B0010000}">
      <text>
        <r>
          <rPr>
            <b/>
            <sz val="8"/>
            <color indexed="81"/>
            <rFont val="Tahoma"/>
            <family val="2"/>
          </rPr>
          <t>Martin Shkreli:</t>
        </r>
        <r>
          <rPr>
            <sz val="8"/>
            <color indexed="81"/>
            <rFont val="Tahoma"/>
            <family val="2"/>
          </rPr>
          <t xml:space="preserve">
4481 bear</t>
        </r>
      </text>
    </comment>
    <comment ref="DR68" authorId="2" shapeId="0" xr:uid="{00000000-0006-0000-0700-0000B1010000}">
      <text>
        <r>
          <rPr>
            <b/>
            <sz val="8"/>
            <color indexed="81"/>
            <rFont val="Tahoma"/>
            <family val="2"/>
          </rPr>
          <t>Martin Shkreli:</t>
        </r>
        <r>
          <rPr>
            <sz val="8"/>
            <color indexed="81"/>
            <rFont val="Tahoma"/>
            <family val="2"/>
          </rPr>
          <t xml:space="preserve">
5202 bear</t>
        </r>
      </text>
    </comment>
    <comment ref="DS68" authorId="2" shapeId="0" xr:uid="{00000000-0006-0000-0700-0000B2010000}">
      <text>
        <r>
          <rPr>
            <b/>
            <sz val="8"/>
            <color indexed="81"/>
            <rFont val="Tahoma"/>
            <family val="2"/>
          </rPr>
          <t>Martin Shkreli:</t>
        </r>
        <r>
          <rPr>
            <sz val="8"/>
            <color indexed="81"/>
            <rFont val="Tahoma"/>
            <family val="2"/>
          </rPr>
          <t xml:space="preserve">
5776 bear</t>
        </r>
      </text>
    </comment>
    <comment ref="DT68" authorId="2" shapeId="0" xr:uid="{00000000-0006-0000-0700-0000B3010000}">
      <text>
        <r>
          <rPr>
            <b/>
            <sz val="8"/>
            <color indexed="81"/>
            <rFont val="Tahoma"/>
            <family val="2"/>
          </rPr>
          <t>Martin Shkreli:</t>
        </r>
        <r>
          <rPr>
            <sz val="8"/>
            <color indexed="81"/>
            <rFont val="Tahoma"/>
            <family val="2"/>
          </rPr>
          <t xml:space="preserve">
5828 bear</t>
        </r>
      </text>
    </comment>
    <comment ref="DU68" authorId="2" shapeId="0" xr:uid="{00000000-0006-0000-0700-0000B4010000}">
      <text>
        <r>
          <rPr>
            <b/>
            <sz val="8"/>
            <color indexed="81"/>
            <rFont val="Tahoma"/>
            <family val="2"/>
          </rPr>
          <t>Martin Shkreli:</t>
        </r>
        <r>
          <rPr>
            <sz val="8"/>
            <color indexed="81"/>
            <rFont val="Tahoma"/>
            <family val="2"/>
          </rPr>
          <t xml:space="preserve">
6406 bear</t>
        </r>
      </text>
    </comment>
    <comment ref="DV68" authorId="2" shapeId="0" xr:uid="{00000000-0006-0000-0700-0000B5010000}">
      <text>
        <r>
          <rPr>
            <b/>
            <sz val="8"/>
            <color indexed="81"/>
            <rFont val="Tahoma"/>
            <family val="2"/>
          </rPr>
          <t>Martin Shkreli:</t>
        </r>
        <r>
          <rPr>
            <sz val="8"/>
            <color indexed="81"/>
            <rFont val="Tahoma"/>
            <family val="2"/>
          </rPr>
          <t xml:space="preserve">
7530 bear</t>
        </r>
      </text>
    </comment>
    <comment ref="DW68" authorId="2" shapeId="0" xr:uid="{00000000-0006-0000-0700-0000B6010000}">
      <text>
        <r>
          <rPr>
            <b/>
            <sz val="8"/>
            <color indexed="81"/>
            <rFont val="Tahoma"/>
            <family val="2"/>
          </rPr>
          <t>Martin Shkreli:</t>
        </r>
        <r>
          <rPr>
            <sz val="8"/>
            <color indexed="81"/>
            <rFont val="Tahoma"/>
            <family val="2"/>
          </rPr>
          <t xml:space="preserve">
8500 bear</t>
        </r>
      </text>
    </comment>
    <comment ref="DX68" authorId="2" shapeId="0" xr:uid="{00000000-0006-0000-0700-0000B7010000}">
      <text>
        <r>
          <rPr>
            <b/>
            <sz val="8"/>
            <color indexed="81"/>
            <rFont val="Tahoma"/>
            <family val="2"/>
          </rPr>
          <t>Martin Shkreli:</t>
        </r>
        <r>
          <rPr>
            <sz val="8"/>
            <color indexed="81"/>
            <rFont val="Tahoma"/>
            <family val="2"/>
          </rPr>
          <t xml:space="preserve">
8840 bear</t>
        </r>
      </text>
    </comment>
    <comment ref="DY68" authorId="2" shapeId="0" xr:uid="{00000000-0006-0000-0700-0000B8010000}">
      <text>
        <r>
          <rPr>
            <b/>
            <sz val="8"/>
            <color indexed="81"/>
            <rFont val="Tahoma"/>
            <family val="2"/>
          </rPr>
          <t>Martin Shkreli:</t>
        </r>
        <r>
          <rPr>
            <sz val="8"/>
            <color indexed="81"/>
            <rFont val="Tahoma"/>
            <family val="2"/>
          </rPr>
          <t xml:space="preserve">
9166 bear</t>
        </r>
      </text>
    </comment>
    <comment ref="DZ68" authorId="2" shapeId="0" xr:uid="{00000000-0006-0000-0700-0000B9010000}">
      <text>
        <r>
          <rPr>
            <b/>
            <sz val="8"/>
            <color indexed="81"/>
            <rFont val="Tahoma"/>
            <family val="2"/>
          </rPr>
          <t>Martin Shkreli:</t>
        </r>
        <r>
          <rPr>
            <sz val="8"/>
            <color indexed="81"/>
            <rFont val="Tahoma"/>
            <family val="2"/>
          </rPr>
          <t xml:space="preserve">
10756 jpm
10756 bear</t>
        </r>
      </text>
    </comment>
    <comment ref="EA68" authorId="2" shapeId="0" xr:uid="{00000000-0006-0000-0700-0000BA010000}">
      <text>
        <r>
          <rPr>
            <b/>
            <sz val="8"/>
            <color indexed="81"/>
            <rFont val="Tahoma"/>
            <family val="2"/>
          </rPr>
          <t>Martin Shkreli:</t>
        </r>
        <r>
          <rPr>
            <sz val="8"/>
            <color indexed="81"/>
            <rFont val="Tahoma"/>
            <family val="2"/>
          </rPr>
          <t xml:space="preserve">
11218 jpm
11218 bear</t>
        </r>
      </text>
    </comment>
    <comment ref="EB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9" authorId="2" shapeId="0" xr:uid="{00000000-0006-0000-0700-0000C9010000}">
      <text>
        <r>
          <rPr>
            <b/>
            <sz val="8"/>
            <color indexed="81"/>
            <rFont val="Tahoma"/>
            <family val="2"/>
          </rPr>
          <t>Martin Shkreli:</t>
        </r>
        <r>
          <rPr>
            <sz val="8"/>
            <color indexed="81"/>
            <rFont val="Tahoma"/>
            <family val="2"/>
          </rPr>
          <t xml:space="preserve">
869 bear</t>
        </r>
      </text>
    </comment>
    <comment ref="DR69" authorId="2" shapeId="0" xr:uid="{00000000-0006-0000-0700-0000CA010000}">
      <text>
        <r>
          <rPr>
            <b/>
            <sz val="8"/>
            <color indexed="81"/>
            <rFont val="Tahoma"/>
            <family val="2"/>
          </rPr>
          <t>Martin Shkreli:</t>
        </r>
        <r>
          <rPr>
            <sz val="8"/>
            <color indexed="81"/>
            <rFont val="Tahoma"/>
            <family val="2"/>
          </rPr>
          <t xml:space="preserve">
1092 bear</t>
        </r>
      </text>
    </comment>
    <comment ref="DS69" authorId="2" shapeId="0" xr:uid="{00000000-0006-0000-0700-0000CB010000}">
      <text>
        <r>
          <rPr>
            <b/>
            <sz val="8"/>
            <color indexed="81"/>
            <rFont val="Tahoma"/>
            <family val="2"/>
          </rPr>
          <t>Martin Shkreli:</t>
        </r>
        <r>
          <rPr>
            <sz val="8"/>
            <color indexed="81"/>
            <rFont val="Tahoma"/>
            <family val="2"/>
          </rPr>
          <t xml:space="preserve">
1282 bear</t>
        </r>
      </text>
    </comment>
    <comment ref="DT69" authorId="2" shapeId="0" xr:uid="{00000000-0006-0000-0700-0000CC010000}">
      <text>
        <r>
          <rPr>
            <b/>
            <sz val="8"/>
            <color indexed="81"/>
            <rFont val="Tahoma"/>
            <family val="2"/>
          </rPr>
          <t>Martin Shkreli:</t>
        </r>
        <r>
          <rPr>
            <sz val="8"/>
            <color indexed="81"/>
            <rFont val="Tahoma"/>
            <family val="2"/>
          </rPr>
          <t xml:space="preserve">
1296 bear</t>
        </r>
      </text>
    </comment>
    <comment ref="DU69" authorId="2" shapeId="0" xr:uid="{00000000-0006-0000-0700-0000CD010000}">
      <text>
        <r>
          <rPr>
            <b/>
            <sz val="8"/>
            <color indexed="81"/>
            <rFont val="Tahoma"/>
            <family val="2"/>
          </rPr>
          <t>Martin Shkreli:</t>
        </r>
        <r>
          <rPr>
            <sz val="8"/>
            <color indexed="81"/>
            <rFont val="Tahoma"/>
            <family val="2"/>
          </rPr>
          <t xml:space="preserve">
1416 bear</t>
        </r>
      </text>
    </comment>
    <comment ref="DV69" authorId="2" shapeId="0" xr:uid="{00000000-0006-0000-0700-0000CE010000}">
      <text>
        <r>
          <rPr>
            <b/>
            <sz val="8"/>
            <color indexed="81"/>
            <rFont val="Tahoma"/>
            <family val="2"/>
          </rPr>
          <t>Martin Shkreli:</t>
        </r>
        <r>
          <rPr>
            <sz val="8"/>
            <color indexed="81"/>
            <rFont val="Tahoma"/>
            <family val="2"/>
          </rPr>
          <t xml:space="preserve">
1788 bear</t>
        </r>
      </text>
    </comment>
    <comment ref="DW69" authorId="2" shapeId="0" xr:uid="{00000000-0006-0000-0700-0000CF010000}">
      <text>
        <r>
          <rPr>
            <b/>
            <sz val="8"/>
            <color indexed="81"/>
            <rFont val="Tahoma"/>
            <family val="2"/>
          </rPr>
          <t>Martin Shkreli:</t>
        </r>
        <r>
          <rPr>
            <sz val="8"/>
            <color indexed="81"/>
            <rFont val="Tahoma"/>
            <family val="2"/>
          </rPr>
          <t xml:space="preserve">
2109 bear</t>
        </r>
      </text>
    </comment>
    <comment ref="DX69" authorId="2" shapeId="0" xr:uid="{00000000-0006-0000-0700-0000D0010000}">
      <text>
        <r>
          <rPr>
            <b/>
            <sz val="8"/>
            <color indexed="81"/>
            <rFont val="Tahoma"/>
            <family val="2"/>
          </rPr>
          <t>Martin Shkreli:</t>
        </r>
        <r>
          <rPr>
            <sz val="8"/>
            <color indexed="81"/>
            <rFont val="Tahoma"/>
            <family val="2"/>
          </rPr>
          <t xml:space="preserve">
2373 bear</t>
        </r>
      </text>
    </comment>
    <comment ref="DY69" authorId="2" shapeId="0" xr:uid="{00000000-0006-0000-0700-0000D1010000}">
      <text>
        <r>
          <rPr>
            <b/>
            <sz val="8"/>
            <color indexed="81"/>
            <rFont val="Tahoma"/>
            <family val="2"/>
          </rPr>
          <t>Martin Shkreli:</t>
        </r>
        <r>
          <rPr>
            <sz val="8"/>
            <color indexed="81"/>
            <rFont val="Tahoma"/>
            <family val="2"/>
          </rPr>
          <t xml:space="preserve">
2506 bear</t>
        </r>
      </text>
    </comment>
    <comment ref="DZ69" authorId="2" shapeId="0" xr:uid="{00000000-0006-0000-0700-0000D2010000}">
      <text>
        <r>
          <rPr>
            <b/>
            <sz val="8"/>
            <color indexed="81"/>
            <rFont val="Tahoma"/>
            <family val="2"/>
          </rPr>
          <t>Martin Shkreli:</t>
        </r>
        <r>
          <rPr>
            <sz val="8"/>
            <color indexed="81"/>
            <rFont val="Tahoma"/>
            <family val="2"/>
          </rPr>
          <t xml:space="preserve">
2768 jpm
2768 bear</t>
        </r>
      </text>
    </comment>
    <comment ref="EA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Q71" authorId="2" shapeId="0" xr:uid="{00000000-0006-0000-0700-0000E2010000}">
      <text>
        <r>
          <rPr>
            <b/>
            <sz val="8"/>
            <color indexed="81"/>
            <rFont val="Tahoma"/>
            <family val="2"/>
          </rPr>
          <t>Martin Shkreli:</t>
        </r>
        <r>
          <rPr>
            <sz val="8"/>
            <color indexed="81"/>
            <rFont val="Tahoma"/>
            <family val="2"/>
          </rPr>
          <t xml:space="preserve">
2024 bear</t>
        </r>
      </text>
    </comment>
    <comment ref="DR71" authorId="2" shapeId="0" xr:uid="{00000000-0006-0000-0700-0000E3010000}">
      <text>
        <r>
          <rPr>
            <b/>
            <sz val="8"/>
            <color indexed="81"/>
            <rFont val="Tahoma"/>
            <family val="2"/>
          </rPr>
          <t>Martin Shkreli:</t>
        </r>
        <r>
          <rPr>
            <sz val="8"/>
            <color indexed="81"/>
            <rFont val="Tahoma"/>
            <family val="2"/>
          </rPr>
          <t xml:space="preserve">
2029 bear</t>
        </r>
      </text>
    </comment>
    <comment ref="DS71" authorId="2" shapeId="0" xr:uid="{00000000-0006-0000-0700-0000E4010000}">
      <text>
        <r>
          <rPr>
            <b/>
            <sz val="8"/>
            <color indexed="81"/>
            <rFont val="Tahoma"/>
            <family val="2"/>
          </rPr>
          <t>Martin Shkreli:</t>
        </r>
        <r>
          <rPr>
            <sz val="8"/>
            <color indexed="81"/>
            <rFont val="Tahoma"/>
            <family val="2"/>
          </rPr>
          <t xml:space="preserve">
2179 bear</t>
        </r>
      </text>
    </comment>
    <comment ref="DT71" authorId="2" shapeId="0" xr:uid="{00000000-0006-0000-0700-0000E5010000}">
      <text>
        <r>
          <rPr>
            <b/>
            <sz val="8"/>
            <color indexed="81"/>
            <rFont val="Tahoma"/>
            <family val="2"/>
          </rPr>
          <t>Martin Shkreli:</t>
        </r>
        <r>
          <rPr>
            <sz val="8"/>
            <color indexed="81"/>
            <rFont val="Tahoma"/>
            <family val="2"/>
          </rPr>
          <t xml:space="preserve">
2309 bear</t>
        </r>
      </text>
    </comment>
    <comment ref="DU71" authorId="2" shapeId="0" xr:uid="{00000000-0006-0000-0700-0000E6010000}">
      <text>
        <r>
          <rPr>
            <b/>
            <sz val="8"/>
            <color indexed="81"/>
            <rFont val="Tahoma"/>
            <family val="2"/>
          </rPr>
          <t>Martin Shkreli:</t>
        </r>
        <r>
          <rPr>
            <sz val="8"/>
            <color indexed="81"/>
            <rFont val="Tahoma"/>
            <family val="2"/>
          </rPr>
          <t xml:space="preserve">
2744 bear</t>
        </r>
      </text>
    </comment>
    <comment ref="DV71" authorId="2" shapeId="0" xr:uid="{00000000-0006-0000-0700-0000E7010000}">
      <text>
        <r>
          <rPr>
            <b/>
            <sz val="8"/>
            <color indexed="81"/>
            <rFont val="Tahoma"/>
            <family val="2"/>
          </rPr>
          <t>Martin Shkreli:</t>
        </r>
        <r>
          <rPr>
            <sz val="8"/>
            <color indexed="81"/>
            <rFont val="Tahoma"/>
            <family val="2"/>
          </rPr>
          <t xml:space="preserve">
3447 bear</t>
        </r>
      </text>
    </comment>
    <comment ref="DW71" authorId="2" shapeId="0" xr:uid="{00000000-0006-0000-0700-0000E8010000}">
      <text>
        <r>
          <rPr>
            <b/>
            <sz val="8"/>
            <color indexed="81"/>
            <rFont val="Tahoma"/>
            <family val="2"/>
          </rPr>
          <t>Martin Shkreli:</t>
        </r>
        <r>
          <rPr>
            <sz val="8"/>
            <color indexed="81"/>
            <rFont val="Tahoma"/>
            <family val="2"/>
          </rPr>
          <t xml:space="preserve">
4245 bear</t>
        </r>
      </text>
    </comment>
    <comment ref="DX71" authorId="2" shapeId="0" xr:uid="{00000000-0006-0000-0700-0000E9010000}">
      <text>
        <r>
          <rPr>
            <b/>
            <sz val="8"/>
            <color indexed="81"/>
            <rFont val="Tahoma"/>
            <family val="2"/>
          </rPr>
          <t>Martin Shkreli:</t>
        </r>
        <r>
          <rPr>
            <sz val="8"/>
            <color indexed="81"/>
            <rFont val="Tahoma"/>
            <family val="2"/>
          </rPr>
          <t xml:space="preserve">
4614 bear</t>
        </r>
      </text>
    </comment>
    <comment ref="DY71" authorId="2" shapeId="0" xr:uid="{00000000-0006-0000-0700-0000EA010000}">
      <text>
        <r>
          <rPr>
            <b/>
            <sz val="8"/>
            <color indexed="81"/>
            <rFont val="Tahoma"/>
            <family val="2"/>
          </rPr>
          <t>Martin Shkreli:</t>
        </r>
        <r>
          <rPr>
            <sz val="8"/>
            <color indexed="81"/>
            <rFont val="Tahoma"/>
            <family val="2"/>
          </rPr>
          <t xml:space="preserve">
5080 bear</t>
        </r>
      </text>
    </comment>
    <comment ref="DZ71" authorId="2" shapeId="0" xr:uid="{00000000-0006-0000-0700-0000EB010000}">
      <text>
        <r>
          <rPr>
            <b/>
            <sz val="8"/>
            <color indexed="81"/>
            <rFont val="Tahoma"/>
            <family val="2"/>
          </rPr>
          <t>Martin Shkreli:</t>
        </r>
        <r>
          <rPr>
            <sz val="8"/>
            <color indexed="81"/>
            <rFont val="Tahoma"/>
            <family val="2"/>
          </rPr>
          <t xml:space="preserve">
5986 jpm
5985 bear</t>
        </r>
      </text>
    </comment>
    <comment ref="EA71" authorId="2" shapeId="0" xr:uid="{00000000-0006-0000-0700-0000EC010000}">
      <text>
        <r>
          <rPr>
            <b/>
            <sz val="8"/>
            <color indexed="81"/>
            <rFont val="Tahoma"/>
            <family val="2"/>
          </rPr>
          <t>Martin Shkreli:</t>
        </r>
        <r>
          <rPr>
            <sz val="8"/>
            <color indexed="81"/>
            <rFont val="Tahoma"/>
            <family val="2"/>
          </rPr>
          <t xml:space="preserve">
6615 jpm
6615 bear</t>
        </r>
      </text>
    </comment>
    <comment ref="EJ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Q72" authorId="2" shapeId="0" xr:uid="{00000000-0006-0000-0700-0000F1010000}">
      <text>
        <r>
          <rPr>
            <b/>
            <sz val="8"/>
            <color indexed="81"/>
            <rFont val="Tahoma"/>
            <family val="2"/>
          </rPr>
          <t>Martin Shkreli:</t>
        </r>
        <r>
          <rPr>
            <sz val="8"/>
            <color indexed="81"/>
            <rFont val="Tahoma"/>
            <family val="2"/>
          </rPr>
          <t xml:space="preserve">
-362 bear</t>
        </r>
      </text>
    </comment>
    <comment ref="DR72" authorId="2" shapeId="0" xr:uid="{00000000-0006-0000-0700-0000F2010000}">
      <text>
        <r>
          <rPr>
            <b/>
            <sz val="8"/>
            <color indexed="81"/>
            <rFont val="Tahoma"/>
            <family val="2"/>
          </rPr>
          <t>Martin Shkreli:</t>
        </r>
        <r>
          <rPr>
            <sz val="8"/>
            <color indexed="81"/>
            <rFont val="Tahoma"/>
            <family val="2"/>
          </rPr>
          <t xml:space="preserve">
-57 bear</t>
        </r>
      </text>
    </comment>
    <comment ref="DS72" authorId="2" shapeId="0" xr:uid="{00000000-0006-0000-0700-0000F3010000}">
      <text>
        <r>
          <rPr>
            <b/>
            <sz val="8"/>
            <color indexed="81"/>
            <rFont val="Tahoma"/>
            <family val="2"/>
          </rPr>
          <t>Martin Shkreli:</t>
        </r>
        <r>
          <rPr>
            <sz val="8"/>
            <color indexed="81"/>
            <rFont val="Tahoma"/>
            <family val="2"/>
          </rPr>
          <t xml:space="preserve">
-60 bear</t>
        </r>
      </text>
    </comment>
    <comment ref="DT72" authorId="2" shapeId="0" xr:uid="{00000000-0006-0000-0700-0000F4010000}">
      <text>
        <r>
          <rPr>
            <b/>
            <sz val="8"/>
            <color indexed="81"/>
            <rFont val="Tahoma"/>
            <family val="2"/>
          </rPr>
          <t>Martin Shkreli:</t>
        </r>
        <r>
          <rPr>
            <sz val="8"/>
            <color indexed="81"/>
            <rFont val="Tahoma"/>
            <family val="2"/>
          </rPr>
          <t xml:space="preserve">
10 bear</t>
        </r>
      </text>
    </comment>
    <comment ref="DU72" authorId="2" shapeId="0" xr:uid="{00000000-0006-0000-0700-0000F5010000}">
      <text>
        <r>
          <rPr>
            <b/>
            <sz val="8"/>
            <color indexed="81"/>
            <rFont val="Tahoma"/>
            <family val="2"/>
          </rPr>
          <t>Martin Shkreli:</t>
        </r>
        <r>
          <rPr>
            <sz val="8"/>
            <color indexed="81"/>
            <rFont val="Tahoma"/>
            <family val="2"/>
          </rPr>
          <t xml:space="preserve">
-92 bear</t>
        </r>
      </text>
    </comment>
    <comment ref="DV72" authorId="2" shapeId="0" xr:uid="{00000000-0006-0000-0700-0000F6010000}">
      <text>
        <r>
          <rPr>
            <b/>
            <sz val="8"/>
            <color indexed="81"/>
            <rFont val="Tahoma"/>
            <family val="2"/>
          </rPr>
          <t>Martin Shkreli:</t>
        </r>
        <r>
          <rPr>
            <sz val="8"/>
            <color indexed="81"/>
            <rFont val="Tahoma"/>
            <family val="2"/>
          </rPr>
          <t xml:space="preserve">
-103 bear</t>
        </r>
      </text>
    </comment>
    <comment ref="DW72" authorId="2" shapeId="0" xr:uid="{00000000-0006-0000-0700-0000F7010000}">
      <text>
        <r>
          <rPr>
            <b/>
            <sz val="8"/>
            <color indexed="81"/>
            <rFont val="Tahoma"/>
            <family val="2"/>
          </rPr>
          <t>Martin Shkreli:</t>
        </r>
        <r>
          <rPr>
            <sz val="8"/>
            <color indexed="81"/>
            <rFont val="Tahoma"/>
            <family val="2"/>
          </rPr>
          <t xml:space="preserve">
-102 bear</t>
        </r>
      </text>
    </comment>
    <comment ref="DX72" authorId="2" shapeId="0" xr:uid="{00000000-0006-0000-0700-0000F8010000}">
      <text>
        <r>
          <rPr>
            <b/>
            <sz val="8"/>
            <color indexed="81"/>
            <rFont val="Tahoma"/>
            <family val="2"/>
          </rPr>
          <t>Martin Shkreli:</t>
        </r>
        <r>
          <rPr>
            <sz val="8"/>
            <color indexed="81"/>
            <rFont val="Tahoma"/>
            <family val="2"/>
          </rPr>
          <t xml:space="preserve">
94 bear</t>
        </r>
      </text>
    </comment>
    <comment ref="DY72" authorId="2" shapeId="0" xr:uid="{00000000-0006-0000-0700-0000F9010000}">
      <text>
        <r>
          <rPr>
            <b/>
            <sz val="8"/>
            <color indexed="81"/>
            <rFont val="Tahoma"/>
            <family val="2"/>
          </rPr>
          <t>Martin Shkreli:</t>
        </r>
        <r>
          <rPr>
            <sz val="8"/>
            <color indexed="81"/>
            <rFont val="Tahoma"/>
            <family val="2"/>
          </rPr>
          <t xml:space="preserve">
104 bear</t>
        </r>
      </text>
    </comment>
    <comment ref="DZ72" authorId="2" shapeId="0" xr:uid="{00000000-0006-0000-0700-0000FA010000}">
      <text>
        <r>
          <rPr>
            <b/>
            <sz val="8"/>
            <color indexed="81"/>
            <rFont val="Tahoma"/>
            <family val="2"/>
          </rPr>
          <t>Martin Shkreli:</t>
        </r>
        <r>
          <rPr>
            <sz val="8"/>
            <color indexed="81"/>
            <rFont val="Tahoma"/>
            <family val="2"/>
          </rPr>
          <t xml:space="preserve">
-108 bear</t>
        </r>
      </text>
    </comment>
    <comment ref="EA72" authorId="2" shapeId="0" xr:uid="{00000000-0006-0000-0700-0000FB010000}">
      <text>
        <r>
          <rPr>
            <b/>
            <sz val="8"/>
            <color indexed="81"/>
            <rFont val="Tahoma"/>
            <family val="2"/>
          </rPr>
          <t>Martin Shkreli:</t>
        </r>
        <r>
          <rPr>
            <sz val="8"/>
            <color indexed="81"/>
            <rFont val="Tahoma"/>
            <family val="2"/>
          </rPr>
          <t xml:space="preserve">
350 bear</t>
        </r>
      </text>
    </comment>
    <comment ref="EB72" authorId="2" shapeId="0" xr:uid="{00000000-0006-0000-0700-0000FC010000}">
      <text>
        <r>
          <rPr>
            <b/>
            <sz val="8"/>
            <color indexed="81"/>
            <rFont val="Tahoma"/>
            <family val="2"/>
          </rPr>
          <t>Martin Shkreli:</t>
        </r>
        <r>
          <rPr>
            <sz val="8"/>
            <color indexed="81"/>
            <rFont val="Tahoma"/>
            <family val="2"/>
          </rPr>
          <t xml:space="preserve">
265 bear</t>
        </r>
      </text>
    </comment>
    <comment ref="EH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4" authorId="2" shapeId="0" xr:uid="{00000000-0006-0000-0700-000016020000}">
      <text>
        <r>
          <rPr>
            <b/>
            <sz val="8"/>
            <color indexed="81"/>
            <rFont val="Tahoma"/>
            <family val="2"/>
          </rPr>
          <t>Martin Shkreli:</t>
        </r>
        <r>
          <rPr>
            <sz val="8"/>
            <color indexed="81"/>
            <rFont val="Tahoma"/>
            <family val="2"/>
          </rPr>
          <t xml:space="preserve">
1662 bear</t>
        </r>
      </text>
    </comment>
    <comment ref="DR74" authorId="2" shapeId="0" xr:uid="{00000000-0006-0000-0700-000017020000}">
      <text>
        <r>
          <rPr>
            <b/>
            <sz val="8"/>
            <color indexed="81"/>
            <rFont val="Tahoma"/>
            <family val="2"/>
          </rPr>
          <t>Martin Shkreli:</t>
        </r>
        <r>
          <rPr>
            <sz val="8"/>
            <color indexed="81"/>
            <rFont val="Tahoma"/>
            <family val="2"/>
          </rPr>
          <t xml:space="preserve">
1972 bear</t>
        </r>
      </text>
    </comment>
    <comment ref="DS74" authorId="2" shapeId="0" xr:uid="{00000000-0006-0000-0700-000018020000}">
      <text>
        <r>
          <rPr>
            <b/>
            <sz val="8"/>
            <color indexed="81"/>
            <rFont val="Tahoma"/>
            <family val="2"/>
          </rPr>
          <t>Martin Shkreli:</t>
        </r>
        <r>
          <rPr>
            <sz val="8"/>
            <color indexed="81"/>
            <rFont val="Tahoma"/>
            <family val="2"/>
          </rPr>
          <t xml:space="preserve">
2119 bear</t>
        </r>
      </text>
    </comment>
    <comment ref="DT74" authorId="2" shapeId="0" xr:uid="{00000000-0006-0000-0700-000019020000}">
      <text>
        <r>
          <rPr>
            <b/>
            <sz val="8"/>
            <color indexed="81"/>
            <rFont val="Tahoma"/>
            <family val="2"/>
          </rPr>
          <t>Martin Shkreli:</t>
        </r>
        <r>
          <rPr>
            <sz val="8"/>
            <color indexed="81"/>
            <rFont val="Tahoma"/>
            <family val="2"/>
          </rPr>
          <t xml:space="preserve">
2319 bear</t>
        </r>
      </text>
    </comment>
    <comment ref="DU74" authorId="2" shapeId="0" xr:uid="{00000000-0006-0000-0700-00001A020000}">
      <text>
        <r>
          <rPr>
            <b/>
            <sz val="8"/>
            <color indexed="81"/>
            <rFont val="Tahoma"/>
            <family val="2"/>
          </rPr>
          <t>Martin Shkreli:</t>
        </r>
        <r>
          <rPr>
            <sz val="8"/>
            <color indexed="81"/>
            <rFont val="Tahoma"/>
            <family val="2"/>
          </rPr>
          <t xml:space="preserve">
2652 bear</t>
        </r>
      </text>
    </comment>
    <comment ref="DV74" authorId="2" shapeId="0" xr:uid="{00000000-0006-0000-0700-00001B020000}">
      <text>
        <r>
          <rPr>
            <b/>
            <sz val="8"/>
            <color indexed="81"/>
            <rFont val="Tahoma"/>
            <family val="2"/>
          </rPr>
          <t>Martin Shkreli:</t>
        </r>
        <r>
          <rPr>
            <sz val="8"/>
            <color indexed="81"/>
            <rFont val="Tahoma"/>
            <family val="2"/>
          </rPr>
          <t xml:space="preserve">
3344 bear</t>
        </r>
      </text>
    </comment>
    <comment ref="DW74" authorId="2" shapeId="0" xr:uid="{00000000-0006-0000-0700-00001C020000}">
      <text>
        <r>
          <rPr>
            <b/>
            <sz val="8"/>
            <color indexed="81"/>
            <rFont val="Tahoma"/>
            <family val="2"/>
          </rPr>
          <t>Martin Shkreli:</t>
        </r>
        <r>
          <rPr>
            <sz val="8"/>
            <color indexed="81"/>
            <rFont val="Tahoma"/>
            <family val="2"/>
          </rPr>
          <t xml:space="preserve">
4143 bear</t>
        </r>
      </text>
    </comment>
    <comment ref="DX74" authorId="2" shapeId="0" xr:uid="{00000000-0006-0000-0700-00001D020000}">
      <text>
        <r>
          <rPr>
            <b/>
            <sz val="8"/>
            <color indexed="81"/>
            <rFont val="Tahoma"/>
            <family val="2"/>
          </rPr>
          <t>Martin Shkreli:</t>
        </r>
        <r>
          <rPr>
            <sz val="8"/>
            <color indexed="81"/>
            <rFont val="Tahoma"/>
            <family val="2"/>
          </rPr>
          <t xml:space="preserve">
4708 bear</t>
        </r>
      </text>
    </comment>
    <comment ref="DY74" authorId="2" shapeId="0" xr:uid="{00000000-0006-0000-0700-00001E020000}">
      <text>
        <r>
          <rPr>
            <b/>
            <sz val="8"/>
            <color indexed="81"/>
            <rFont val="Tahoma"/>
            <family val="2"/>
          </rPr>
          <t>Martin Shkreli:</t>
        </r>
        <r>
          <rPr>
            <sz val="8"/>
            <color indexed="81"/>
            <rFont val="Tahoma"/>
            <family val="2"/>
          </rPr>
          <t xml:space="preserve">
5184 bear</t>
        </r>
      </text>
    </comment>
    <comment ref="DZ74" authorId="2" shapeId="0" xr:uid="{00000000-0006-0000-0700-00001F020000}">
      <text>
        <r>
          <rPr>
            <b/>
            <sz val="8"/>
            <color indexed="81"/>
            <rFont val="Tahoma"/>
            <family val="2"/>
          </rPr>
          <t>Martin Shkreli:</t>
        </r>
        <r>
          <rPr>
            <sz val="8"/>
            <color indexed="81"/>
            <rFont val="Tahoma"/>
            <family val="2"/>
          </rPr>
          <t xml:space="preserve">
5896 jpm
5877 bear</t>
        </r>
      </text>
    </comment>
    <comment ref="EA74" authorId="2" shapeId="0" xr:uid="{00000000-0006-0000-0700-000020020000}">
      <text>
        <r>
          <rPr>
            <b/>
            <sz val="8"/>
            <color indexed="81"/>
            <rFont val="Tahoma"/>
            <family val="2"/>
          </rPr>
          <t>Martin Shkreli:</t>
        </r>
        <r>
          <rPr>
            <sz val="8"/>
            <color indexed="81"/>
            <rFont val="Tahoma"/>
            <family val="2"/>
          </rPr>
          <t xml:space="preserve">
6930 jpm
6964 bear</t>
        </r>
      </text>
    </comment>
    <comment ref="EB74" authorId="2" shapeId="0" xr:uid="{00000000-0006-0000-0700-000021020000}">
      <text>
        <r>
          <rPr>
            <b/>
            <sz val="8"/>
            <color indexed="81"/>
            <rFont val="Tahoma"/>
            <family val="2"/>
          </rPr>
          <t>Martin Shkreli:</t>
        </r>
        <r>
          <rPr>
            <sz val="8"/>
            <color indexed="81"/>
            <rFont val="Tahoma"/>
            <family val="2"/>
          </rPr>
          <t xml:space="preserve">
8151 bear</t>
        </r>
      </text>
    </comment>
    <comment ref="ED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5" authorId="2" shapeId="0" xr:uid="{00000000-0006-0000-0700-000036020000}">
      <text>
        <r>
          <rPr>
            <b/>
            <sz val="8"/>
            <color indexed="81"/>
            <rFont val="Tahoma"/>
            <family val="2"/>
          </rPr>
          <t>Martin Shkreli:</t>
        </r>
        <r>
          <rPr>
            <sz val="8"/>
            <color indexed="81"/>
            <rFont val="Tahoma"/>
            <family val="2"/>
          </rPr>
          <t xml:space="preserve">
494 bear</t>
        </r>
      </text>
    </comment>
    <comment ref="DR75" authorId="2" shapeId="0" xr:uid="{00000000-0006-0000-0700-000037020000}">
      <text>
        <r>
          <rPr>
            <b/>
            <sz val="8"/>
            <color indexed="81"/>
            <rFont val="Tahoma"/>
            <family val="2"/>
          </rPr>
          <t>Martin Shkreli:</t>
        </r>
        <r>
          <rPr>
            <sz val="8"/>
            <color indexed="81"/>
            <rFont val="Tahoma"/>
            <family val="2"/>
          </rPr>
          <t xml:space="preserve">
531 bear</t>
        </r>
      </text>
    </comment>
    <comment ref="DS75" authorId="2" shapeId="0" xr:uid="{00000000-0006-0000-0700-000038020000}">
      <text>
        <r>
          <rPr>
            <b/>
            <sz val="8"/>
            <color indexed="81"/>
            <rFont val="Tahoma"/>
            <family val="2"/>
          </rPr>
          <t>Martin Shkreli:</t>
        </r>
        <r>
          <rPr>
            <sz val="8"/>
            <color indexed="81"/>
            <rFont val="Tahoma"/>
            <family val="2"/>
          </rPr>
          <t xml:space="preserve">
547 bear</t>
        </r>
      </text>
    </comment>
    <comment ref="DT75" authorId="2" shapeId="0" xr:uid="{00000000-0006-0000-0700-000039020000}">
      <text>
        <r>
          <rPr>
            <b/>
            <sz val="8"/>
            <color indexed="81"/>
            <rFont val="Tahoma"/>
            <family val="2"/>
          </rPr>
          <t>Martin Shkreli:</t>
        </r>
        <r>
          <rPr>
            <sz val="8"/>
            <color indexed="81"/>
            <rFont val="Tahoma"/>
            <family val="2"/>
          </rPr>
          <t xml:space="preserve">
533 bear</t>
        </r>
      </text>
    </comment>
    <comment ref="DU75" authorId="2" shapeId="0" xr:uid="{00000000-0006-0000-0700-00003A020000}">
      <text>
        <r>
          <rPr>
            <b/>
            <sz val="8"/>
            <color indexed="81"/>
            <rFont val="Tahoma"/>
            <family val="2"/>
          </rPr>
          <t>Martin Shkreli:</t>
        </r>
        <r>
          <rPr>
            <sz val="8"/>
            <color indexed="81"/>
            <rFont val="Tahoma"/>
            <family val="2"/>
          </rPr>
          <t xml:space="preserve">
654 bear</t>
        </r>
      </text>
    </comment>
    <comment ref="DV75" authorId="2" shapeId="0" xr:uid="{00000000-0006-0000-0700-00003B020000}">
      <text>
        <r>
          <rPr>
            <b/>
            <sz val="8"/>
            <color indexed="81"/>
            <rFont val="Tahoma"/>
            <family val="2"/>
          </rPr>
          <t>Martin Shkreli:</t>
        </r>
        <r>
          <rPr>
            <sz val="8"/>
            <color indexed="81"/>
            <rFont val="Tahoma"/>
            <family val="2"/>
          </rPr>
          <t xml:space="preserve">
926 bear</t>
        </r>
      </text>
    </comment>
    <comment ref="DW75" authorId="2" shapeId="0" xr:uid="{00000000-0006-0000-0700-00003C020000}">
      <text>
        <r>
          <rPr>
            <b/>
            <sz val="8"/>
            <color indexed="81"/>
            <rFont val="Tahoma"/>
            <family val="2"/>
          </rPr>
          <t>Martin Shkreli:</t>
        </r>
        <r>
          <rPr>
            <sz val="8"/>
            <color indexed="81"/>
            <rFont val="Tahoma"/>
            <family val="2"/>
          </rPr>
          <t xml:space="preserve">
1185 bear</t>
        </r>
      </text>
    </comment>
    <comment ref="DX75" authorId="2" shapeId="0" xr:uid="{00000000-0006-0000-0700-00003D020000}">
      <text>
        <r>
          <rPr>
            <b/>
            <sz val="8"/>
            <color indexed="81"/>
            <rFont val="Tahoma"/>
            <family val="2"/>
          </rPr>
          <t>Martin Shkreli:</t>
        </r>
        <r>
          <rPr>
            <sz val="8"/>
            <color indexed="81"/>
            <rFont val="Tahoma"/>
            <family val="2"/>
          </rPr>
          <t xml:space="preserve">
1237 bear</t>
        </r>
      </text>
    </comment>
    <comment ref="DY75" authorId="2" shapeId="0" xr:uid="{00000000-0006-0000-0700-00003E020000}">
      <text>
        <r>
          <rPr>
            <b/>
            <sz val="8"/>
            <color indexed="81"/>
            <rFont val="Tahoma"/>
            <family val="2"/>
          </rPr>
          <t>Martin Shkreli:</t>
        </r>
        <r>
          <rPr>
            <sz val="8"/>
            <color indexed="81"/>
            <rFont val="Tahoma"/>
            <family val="2"/>
          </rPr>
          <t xml:space="preserve">
1232 bear</t>
        </r>
      </text>
    </comment>
    <comment ref="DZ75" authorId="2" shapeId="0" xr:uid="{00000000-0006-0000-0700-00003F020000}">
      <text>
        <r>
          <rPr>
            <b/>
            <sz val="8"/>
            <color indexed="81"/>
            <rFont val="Tahoma"/>
            <family val="2"/>
          </rPr>
          <t>Martin Shkreli:</t>
        </r>
        <r>
          <rPr>
            <sz val="8"/>
            <color indexed="81"/>
            <rFont val="Tahoma"/>
            <family val="2"/>
          </rPr>
          <t xml:space="preserve">
1609 jpm
1604 bear</t>
        </r>
      </text>
    </comment>
    <comment ref="EA75" authorId="2" shapeId="0" xr:uid="{00000000-0006-0000-0700-000040020000}">
      <text>
        <r>
          <rPr>
            <b/>
            <sz val="8"/>
            <color indexed="81"/>
            <rFont val="Tahoma"/>
            <family val="2"/>
          </rPr>
          <t>Martin Shkreli:</t>
        </r>
        <r>
          <rPr>
            <sz val="8"/>
            <color indexed="81"/>
            <rFont val="Tahoma"/>
            <family val="2"/>
          </rPr>
          <t xml:space="preserve">
1932 jpm
1921 bear</t>
        </r>
      </text>
    </comment>
    <comment ref="EB75" authorId="2" shapeId="0" xr:uid="{00000000-0006-0000-0700-000041020000}">
      <text>
        <r>
          <rPr>
            <b/>
            <sz val="8"/>
            <color indexed="81"/>
            <rFont val="Tahoma"/>
            <family val="2"/>
          </rPr>
          <t>Martin Shkreli:</t>
        </r>
        <r>
          <rPr>
            <sz val="8"/>
            <color indexed="81"/>
            <rFont val="Tahoma"/>
            <family val="2"/>
          </rPr>
          <t xml:space="preserve">
2251 bear</t>
        </r>
      </text>
    </comment>
    <comment ref="EC75" authorId="2" shapeId="0" xr:uid="{00000000-0006-0000-0700-000042020000}">
      <text>
        <r>
          <rPr>
            <b/>
            <sz val="8"/>
            <color indexed="81"/>
            <rFont val="Tahoma"/>
            <family val="2"/>
          </rPr>
          <t>Martin Shkreli:</t>
        </r>
        <r>
          <rPr>
            <sz val="8"/>
            <color indexed="81"/>
            <rFont val="Tahoma"/>
            <family val="2"/>
          </rPr>
          <t xml:space="preserve">
2694 bear</t>
        </r>
      </text>
    </comment>
    <comment ref="ED75" authorId="2" shapeId="0" xr:uid="{00000000-0006-0000-0700-000043020000}">
      <text>
        <r>
          <rPr>
            <b/>
            <sz val="8"/>
            <color indexed="81"/>
            <rFont val="Tahoma"/>
            <family val="2"/>
          </rPr>
          <t>Martin Shkreli:</t>
        </r>
        <r>
          <rPr>
            <sz val="8"/>
            <color indexed="81"/>
            <rFont val="Tahoma"/>
            <family val="2"/>
          </rPr>
          <t xml:space="preserve">
3114 bear</t>
        </r>
      </text>
    </comment>
    <comment ref="EE75" authorId="2" shapeId="0" xr:uid="{00000000-0006-0000-0700-000044020000}">
      <text>
        <r>
          <rPr>
            <b/>
            <sz val="8"/>
            <color indexed="81"/>
            <rFont val="Tahoma"/>
            <family val="2"/>
          </rPr>
          <t>Martin Shkreli:</t>
        </r>
        <r>
          <rPr>
            <sz val="8"/>
            <color indexed="81"/>
            <rFont val="Tahoma"/>
            <family val="2"/>
          </rPr>
          <t xml:space="preserve">
3540 bear</t>
        </r>
      </text>
    </comment>
    <comment ref="EF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6" authorId="2" shapeId="0" xr:uid="{00000000-0006-0000-0700-000059020000}">
      <text>
        <r>
          <rPr>
            <b/>
            <sz val="8"/>
            <color indexed="81"/>
            <rFont val="Tahoma"/>
            <family val="2"/>
          </rPr>
          <t>Martin Shkreli:</t>
        </r>
        <r>
          <rPr>
            <sz val="8"/>
            <color indexed="81"/>
            <rFont val="Tahoma"/>
            <family val="2"/>
          </rPr>
          <t xml:space="preserve">
1168 bear</t>
        </r>
      </text>
    </comment>
    <comment ref="DR76" authorId="2" shapeId="0" xr:uid="{00000000-0006-0000-0700-00005A020000}">
      <text>
        <r>
          <rPr>
            <b/>
            <sz val="8"/>
            <color indexed="81"/>
            <rFont val="Tahoma"/>
            <family val="2"/>
          </rPr>
          <t>Martin Shkreli:</t>
        </r>
        <r>
          <rPr>
            <sz val="8"/>
            <color indexed="81"/>
            <rFont val="Tahoma"/>
            <family val="2"/>
          </rPr>
          <t xml:space="preserve">
1441 bear</t>
        </r>
      </text>
    </comment>
    <comment ref="DS76" authorId="2" shapeId="0" xr:uid="{00000000-0006-0000-0700-00005B020000}">
      <text>
        <r>
          <rPr>
            <b/>
            <sz val="8"/>
            <color indexed="81"/>
            <rFont val="Tahoma"/>
            <family val="2"/>
          </rPr>
          <t>Martin Shkreli:</t>
        </r>
        <r>
          <rPr>
            <sz val="8"/>
            <color indexed="81"/>
            <rFont val="Tahoma"/>
            <family val="2"/>
          </rPr>
          <t xml:space="preserve">
1572 bear</t>
        </r>
      </text>
    </comment>
    <comment ref="DT76" authorId="2" shapeId="0" xr:uid="{00000000-0006-0000-0700-00005C020000}">
      <text>
        <r>
          <rPr>
            <b/>
            <sz val="8"/>
            <color indexed="81"/>
            <rFont val="Tahoma"/>
            <family val="2"/>
          </rPr>
          <t>Martin Shkreli:</t>
        </r>
        <r>
          <rPr>
            <sz val="8"/>
            <color indexed="81"/>
            <rFont val="Tahoma"/>
            <family val="2"/>
          </rPr>
          <t xml:space="preserve">
1786 bear</t>
        </r>
      </text>
    </comment>
    <comment ref="DU76" authorId="2" shapeId="0" xr:uid="{00000000-0006-0000-0700-00005D020000}">
      <text>
        <r>
          <rPr>
            <b/>
            <sz val="8"/>
            <color indexed="81"/>
            <rFont val="Tahoma"/>
            <family val="2"/>
          </rPr>
          <t>Martin Shkreli:</t>
        </r>
        <r>
          <rPr>
            <sz val="8"/>
            <color indexed="81"/>
            <rFont val="Tahoma"/>
            <family val="2"/>
          </rPr>
          <t xml:space="preserve">
1998 bear</t>
        </r>
      </text>
    </comment>
    <comment ref="DV76" authorId="2" shapeId="0" xr:uid="{00000000-0006-0000-0700-00005E020000}">
      <text>
        <r>
          <rPr>
            <b/>
            <sz val="8"/>
            <color indexed="81"/>
            <rFont val="Tahoma"/>
            <family val="2"/>
          </rPr>
          <t>Martin Shkreli:</t>
        </r>
        <r>
          <rPr>
            <sz val="8"/>
            <color indexed="81"/>
            <rFont val="Tahoma"/>
            <family val="2"/>
          </rPr>
          <t xml:space="preserve">
2418 bear</t>
        </r>
      </text>
    </comment>
    <comment ref="DW76" authorId="2" shapeId="0" xr:uid="{00000000-0006-0000-0700-00005F020000}">
      <text>
        <r>
          <rPr>
            <b/>
            <sz val="8"/>
            <color indexed="81"/>
            <rFont val="Tahoma"/>
            <family val="2"/>
          </rPr>
          <t>Martin Shkreli:</t>
        </r>
        <r>
          <rPr>
            <sz val="8"/>
            <color indexed="81"/>
            <rFont val="Tahoma"/>
            <family val="2"/>
          </rPr>
          <t xml:space="preserve">
2958 bear</t>
        </r>
      </text>
    </comment>
    <comment ref="DX76" authorId="2" shapeId="0" xr:uid="{00000000-0006-0000-0700-000060020000}">
      <text>
        <r>
          <rPr>
            <b/>
            <sz val="8"/>
            <color indexed="81"/>
            <rFont val="Tahoma"/>
            <family val="2"/>
          </rPr>
          <t>Martin Shkreli:</t>
        </r>
        <r>
          <rPr>
            <sz val="8"/>
            <color indexed="81"/>
            <rFont val="Tahoma"/>
            <family val="2"/>
          </rPr>
          <t xml:space="preserve">
3471 bear</t>
        </r>
      </text>
    </comment>
    <comment ref="DY76" authorId="2" shapeId="0" xr:uid="{00000000-0006-0000-0700-000061020000}">
      <text>
        <r>
          <rPr>
            <b/>
            <sz val="8"/>
            <color indexed="81"/>
            <rFont val="Tahoma"/>
            <family val="2"/>
          </rPr>
          <t>Martin Shkreli:</t>
        </r>
        <r>
          <rPr>
            <sz val="8"/>
            <color indexed="81"/>
            <rFont val="Tahoma"/>
            <family val="2"/>
          </rPr>
          <t xml:space="preserve">
3952 bear</t>
        </r>
      </text>
    </comment>
    <comment ref="DZ76" authorId="2" shapeId="0" xr:uid="{00000000-0006-0000-0700-000062020000}">
      <text>
        <r>
          <rPr>
            <b/>
            <sz val="8"/>
            <color indexed="81"/>
            <rFont val="Tahoma"/>
            <family val="2"/>
          </rPr>
          <t>Martin Shkreli:</t>
        </r>
        <r>
          <rPr>
            <sz val="8"/>
            <color indexed="81"/>
            <rFont val="Tahoma"/>
            <family val="2"/>
          </rPr>
          <t xml:space="preserve">
4287 jpm
4273 bear</t>
        </r>
      </text>
    </comment>
    <comment ref="EA76" authorId="2" shapeId="0" xr:uid="{00000000-0006-0000-0700-000063020000}">
      <text>
        <r>
          <rPr>
            <b/>
            <sz val="8"/>
            <color indexed="81"/>
            <rFont val="Tahoma"/>
            <family val="2"/>
          </rPr>
          <t>Martin Shkreli:</t>
        </r>
        <r>
          <rPr>
            <sz val="8"/>
            <color indexed="81"/>
            <rFont val="Tahoma"/>
            <family val="2"/>
          </rPr>
          <t xml:space="preserve">
4998 jpm
5043 bear</t>
        </r>
      </text>
    </comment>
    <comment ref="EB76" authorId="2" shapeId="0" xr:uid="{00000000-0006-0000-0700-000064020000}">
      <text>
        <r>
          <rPr>
            <b/>
            <sz val="8"/>
            <color indexed="81"/>
            <rFont val="Tahoma"/>
            <family val="2"/>
          </rPr>
          <t>Martin Shkreli:</t>
        </r>
        <r>
          <rPr>
            <sz val="8"/>
            <color indexed="81"/>
            <rFont val="Tahoma"/>
            <family val="2"/>
          </rPr>
          <t xml:space="preserve">
5900 bear</t>
        </r>
      </text>
    </comment>
    <comment ref="EC76" authorId="2" shapeId="0" xr:uid="{00000000-0006-0000-0700-000065020000}">
      <text>
        <r>
          <rPr>
            <b/>
            <sz val="8"/>
            <color indexed="81"/>
            <rFont val="Tahoma"/>
            <family val="2"/>
          </rPr>
          <t>Martin Shkreli:</t>
        </r>
        <r>
          <rPr>
            <sz val="8"/>
            <color indexed="81"/>
            <rFont val="Tahoma"/>
            <family val="2"/>
          </rPr>
          <t xml:space="preserve">
6786 bear</t>
        </r>
      </text>
    </comment>
    <comment ref="ED76" authorId="2" shapeId="0" xr:uid="{00000000-0006-0000-0700-000066020000}">
      <text>
        <r>
          <rPr>
            <b/>
            <sz val="8"/>
            <color indexed="81"/>
            <rFont val="Tahoma"/>
            <family val="2"/>
          </rPr>
          <t>Martin Shkreli:</t>
        </r>
        <r>
          <rPr>
            <sz val="8"/>
            <color indexed="81"/>
            <rFont val="Tahoma"/>
            <family val="2"/>
          </rPr>
          <t xml:space="preserve">
7970 bear</t>
        </r>
      </text>
    </comment>
    <comment ref="EE76" authorId="2" shapeId="0" xr:uid="{00000000-0006-0000-0700-000067020000}">
      <text>
        <r>
          <rPr>
            <b/>
            <sz val="8"/>
            <color indexed="81"/>
            <rFont val="Tahoma"/>
            <family val="2"/>
          </rPr>
          <t>Martin Shkreli:</t>
        </r>
        <r>
          <rPr>
            <sz val="8"/>
            <color indexed="81"/>
            <rFont val="Tahoma"/>
            <family val="2"/>
          </rPr>
          <t xml:space="preserve">
9315 bear</t>
        </r>
      </text>
    </comment>
    <comment ref="EF76" authorId="2" shapeId="0" xr:uid="{00000000-0006-0000-0700-000068020000}">
      <text>
        <r>
          <rPr>
            <b/>
            <sz val="8"/>
            <color indexed="81"/>
            <rFont val="Tahoma"/>
            <family val="2"/>
          </rPr>
          <t>Martin Shkreli:</t>
        </r>
        <r>
          <rPr>
            <sz val="8"/>
            <color indexed="81"/>
            <rFont val="Tahoma"/>
            <family val="2"/>
          </rPr>
          <t xml:space="preserve">
10547 bear</t>
        </r>
      </text>
    </comment>
    <comment ref="EI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Q77" authorId="2" shapeId="0" xr:uid="{00000000-0006-0000-0700-00007F020000}">
      <text>
        <r>
          <rPr>
            <b/>
            <sz val="8"/>
            <color indexed="81"/>
            <rFont val="Tahoma"/>
            <family val="2"/>
          </rPr>
          <t>Martin Shkreli:</t>
        </r>
        <r>
          <rPr>
            <sz val="8"/>
            <color indexed="81"/>
            <rFont val="Tahoma"/>
            <family val="2"/>
          </rPr>
          <t xml:space="preserve">
0.48 bear</t>
        </r>
      </text>
    </comment>
    <comment ref="DR77" authorId="2" shapeId="0" xr:uid="{00000000-0006-0000-0700-000080020000}">
      <text>
        <r>
          <rPr>
            <b/>
            <sz val="8"/>
            <color indexed="81"/>
            <rFont val="Tahoma"/>
            <family val="2"/>
          </rPr>
          <t>Martin Shkreli:</t>
        </r>
        <r>
          <rPr>
            <sz val="8"/>
            <color indexed="81"/>
            <rFont val="Tahoma"/>
            <family val="2"/>
          </rPr>
          <t xml:space="preserve">
0.55 bear</t>
        </r>
      </text>
    </comment>
    <comment ref="DS77" authorId="2" shapeId="0" xr:uid="{00000000-0006-0000-0700-000081020000}">
      <text>
        <r>
          <rPr>
            <b/>
            <sz val="8"/>
            <color indexed="81"/>
            <rFont val="Tahoma"/>
            <family val="2"/>
          </rPr>
          <t>Martin Shkreli:</t>
        </r>
        <r>
          <rPr>
            <sz val="8"/>
            <color indexed="81"/>
            <rFont val="Tahoma"/>
            <family val="2"/>
          </rPr>
          <t xml:space="preserve">
0.63 bear</t>
        </r>
      </text>
    </comment>
    <comment ref="DT77" authorId="2" shapeId="0" xr:uid="{00000000-0006-0000-0700-000082020000}">
      <text>
        <r>
          <rPr>
            <b/>
            <sz val="8"/>
            <color indexed="81"/>
            <rFont val="Tahoma"/>
            <family val="2"/>
          </rPr>
          <t>Martin Shkreli:</t>
        </r>
        <r>
          <rPr>
            <sz val="8"/>
            <color indexed="81"/>
            <rFont val="Tahoma"/>
            <family val="2"/>
          </rPr>
          <t xml:space="preserve">
0.69 bear</t>
        </r>
      </text>
    </comment>
    <comment ref="DU77" authorId="2" shapeId="0" xr:uid="{00000000-0006-0000-0700-000083020000}">
      <text>
        <r>
          <rPr>
            <b/>
            <sz val="8"/>
            <color indexed="81"/>
            <rFont val="Tahoma"/>
            <family val="2"/>
          </rPr>
          <t>Martin Shkreli:</t>
        </r>
        <r>
          <rPr>
            <sz val="8"/>
            <color indexed="81"/>
            <rFont val="Tahoma"/>
            <family val="2"/>
          </rPr>
          <t xml:space="preserve">
0.78 bear</t>
        </r>
      </text>
    </comment>
    <comment ref="DV77" authorId="2" shapeId="0" xr:uid="{00000000-0006-0000-0700-000084020000}">
      <text>
        <r>
          <rPr>
            <b/>
            <sz val="8"/>
            <color indexed="81"/>
            <rFont val="Tahoma"/>
            <family val="2"/>
          </rPr>
          <t>Martin Shkreli:</t>
        </r>
        <r>
          <rPr>
            <sz val="8"/>
            <color indexed="81"/>
            <rFont val="Tahoma"/>
            <family val="2"/>
          </rPr>
          <t xml:space="preserve">
0.93 bear</t>
        </r>
      </text>
    </comment>
    <comment ref="DW77" authorId="2" shapeId="0" xr:uid="{00000000-0006-0000-0700-000085020000}">
      <text>
        <r>
          <rPr>
            <b/>
            <sz val="8"/>
            <color indexed="81"/>
            <rFont val="Tahoma"/>
            <family val="2"/>
          </rPr>
          <t>Martin Shkreli:</t>
        </r>
        <r>
          <rPr>
            <sz val="8"/>
            <color indexed="81"/>
            <rFont val="Tahoma"/>
            <family val="2"/>
          </rPr>
          <t xml:space="preserve">
1.09 bear</t>
        </r>
      </text>
    </comment>
    <comment ref="DX77" authorId="2" shapeId="0" xr:uid="{00000000-0006-0000-0700-000086020000}">
      <text>
        <r>
          <rPr>
            <b/>
            <sz val="8"/>
            <color indexed="81"/>
            <rFont val="Tahoma"/>
            <family val="2"/>
          </rPr>
          <t>Martin Shkreli:</t>
        </r>
        <r>
          <rPr>
            <sz val="8"/>
            <color indexed="81"/>
            <rFont val="Tahoma"/>
            <family val="2"/>
          </rPr>
          <t xml:space="preserve">
1.17 bear</t>
        </r>
      </text>
    </comment>
    <comment ref="DY77" authorId="2" shapeId="0" xr:uid="{00000000-0006-0000-0700-000087020000}">
      <text>
        <r>
          <rPr>
            <b/>
            <sz val="8"/>
            <color indexed="81"/>
            <rFont val="Tahoma"/>
            <family val="2"/>
          </rPr>
          <t>Martin Shkreli:</t>
        </r>
        <r>
          <rPr>
            <sz val="8"/>
            <color indexed="81"/>
            <rFont val="Tahoma"/>
            <family val="2"/>
          </rPr>
          <t xml:space="preserve">
1.31 bear</t>
        </r>
      </text>
    </comment>
    <comment ref="DZ77" authorId="2" shapeId="0" xr:uid="{00000000-0006-0000-0700-000088020000}">
      <text>
        <r>
          <rPr>
            <b/>
            <sz val="8"/>
            <color indexed="81"/>
            <rFont val="Tahoma"/>
            <family val="2"/>
          </rPr>
          <t>Martin Shkreli:</t>
        </r>
        <r>
          <rPr>
            <sz val="8"/>
            <color indexed="81"/>
            <rFont val="Tahoma"/>
            <family val="2"/>
          </rPr>
          <t xml:space="preserve">
1.38 jpm
1.42 bear</t>
        </r>
      </text>
    </comment>
    <comment ref="EA77" authorId="2" shapeId="0" xr:uid="{00000000-0006-0000-0700-000089020000}">
      <text>
        <r>
          <rPr>
            <b/>
            <sz val="8"/>
            <color indexed="81"/>
            <rFont val="Tahoma"/>
            <family val="2"/>
          </rPr>
          <t>Martin Shkreli:</t>
        </r>
        <r>
          <rPr>
            <sz val="8"/>
            <color indexed="81"/>
            <rFont val="Tahoma"/>
            <family val="2"/>
          </rPr>
          <t xml:space="preserve">
1.63 jpm
1.63 bear</t>
        </r>
      </text>
    </comment>
    <comment ref="EB77" authorId="2" shapeId="0" xr:uid="{00000000-0006-0000-0700-00008A020000}">
      <text>
        <r>
          <rPr>
            <b/>
            <sz val="8"/>
            <color indexed="81"/>
            <rFont val="Tahoma"/>
            <family val="2"/>
          </rPr>
          <t>Martin Shkreli:</t>
        </r>
        <r>
          <rPr>
            <sz val="8"/>
            <color indexed="81"/>
            <rFont val="Tahoma"/>
            <family val="2"/>
          </rPr>
          <t xml:space="preserve">
1.91 bear</t>
        </r>
      </text>
    </comment>
    <comment ref="EC77" authorId="2" shapeId="0" xr:uid="{00000000-0006-0000-0700-00008B020000}">
      <text>
        <r>
          <rPr>
            <b/>
            <sz val="8"/>
            <color indexed="81"/>
            <rFont val="Tahoma"/>
            <family val="2"/>
          </rPr>
          <t>Martin Shkreli:</t>
        </r>
        <r>
          <rPr>
            <sz val="8"/>
            <color indexed="81"/>
            <rFont val="Tahoma"/>
            <family val="2"/>
          </rPr>
          <t xml:space="preserve">
2.23 bear</t>
        </r>
      </text>
    </comment>
    <comment ref="ED77" authorId="2" shapeId="0" xr:uid="{00000000-0006-0000-0700-00008C020000}">
      <text>
        <r>
          <rPr>
            <b/>
            <sz val="8"/>
            <color indexed="81"/>
            <rFont val="Tahoma"/>
            <family val="2"/>
          </rPr>
          <t>Martin Shkreli:</t>
        </r>
        <r>
          <rPr>
            <sz val="8"/>
            <color indexed="81"/>
            <rFont val="Tahoma"/>
            <family val="2"/>
          </rPr>
          <t xml:space="preserve">
2.65 bear</t>
        </r>
      </text>
    </comment>
    <comment ref="EE77" authorId="2" shapeId="0" xr:uid="{00000000-0006-0000-0700-00008D020000}">
      <text>
        <r>
          <rPr>
            <b/>
            <sz val="8"/>
            <color indexed="81"/>
            <rFont val="Tahoma"/>
            <family val="2"/>
          </rPr>
          <t>Martin Shkreli:</t>
        </r>
        <r>
          <rPr>
            <sz val="8"/>
            <color indexed="81"/>
            <rFont val="Tahoma"/>
            <family val="2"/>
          </rPr>
          <t xml:space="preserve">
3.10 bear</t>
        </r>
      </text>
    </comment>
    <comment ref="EF77" authorId="2" shapeId="0" xr:uid="{00000000-0006-0000-0700-00008E020000}">
      <text>
        <r>
          <rPr>
            <b/>
            <sz val="8"/>
            <color indexed="81"/>
            <rFont val="Tahoma"/>
            <family val="2"/>
          </rPr>
          <t>Martin Shkreli:</t>
        </r>
        <r>
          <rPr>
            <sz val="8"/>
            <color indexed="81"/>
            <rFont val="Tahoma"/>
            <family val="2"/>
          </rPr>
          <t xml:space="preserve">
3.49 bear</t>
        </r>
      </text>
    </comment>
    <comment ref="EH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7" authorId="5" shapeId="0" xr:uid="{00000000-0006-0000-0700-000093020000}">
      <text>
        <r>
          <rPr>
            <b/>
            <sz val="9"/>
            <color indexed="81"/>
            <rFont val="Tahoma"/>
            <family val="2"/>
          </rPr>
          <t>Martin:</t>
        </r>
        <r>
          <rPr>
            <sz val="9"/>
            <color indexed="81"/>
            <rFont val="Tahoma"/>
            <family val="2"/>
          </rPr>
          <t xml:space="preserve">
Q311: 4.95-5.00</t>
        </r>
      </text>
    </comment>
    <comment ref="EM77" authorId="5" shapeId="0" xr:uid="{00000000-0006-0000-0700-000094020000}">
      <text>
        <r>
          <rPr>
            <b/>
            <sz val="9"/>
            <color indexed="81"/>
            <rFont val="Tahoma"/>
            <family val="2"/>
          </rPr>
          <t>Martin:</t>
        </r>
        <r>
          <rPr>
            <sz val="9"/>
            <color indexed="81"/>
            <rFont val="Tahoma"/>
            <family val="2"/>
          </rPr>
          <t xml:space="preserve">
5.05-5.15 set in Q411</t>
        </r>
      </text>
    </comment>
    <comment ref="EO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Q78" authorId="2" shapeId="0" xr:uid="{00000000-0006-0000-0700-0000A4020000}">
      <text>
        <r>
          <rPr>
            <b/>
            <sz val="8"/>
            <color indexed="81"/>
            <rFont val="Tahoma"/>
            <family val="2"/>
          </rPr>
          <t>Martin Shkreli:</t>
        </r>
        <r>
          <rPr>
            <sz val="8"/>
            <color indexed="81"/>
            <rFont val="Tahoma"/>
            <family val="2"/>
          </rPr>
          <t xml:space="preserve">
2433 bear</t>
        </r>
      </text>
    </comment>
    <comment ref="DR78" authorId="2" shapeId="0" xr:uid="{00000000-0006-0000-0700-0000A5020000}">
      <text>
        <r>
          <rPr>
            <b/>
            <sz val="8"/>
            <color indexed="81"/>
            <rFont val="Tahoma"/>
            <family val="2"/>
          </rPr>
          <t>Martin Shkreli:</t>
        </r>
        <r>
          <rPr>
            <sz val="8"/>
            <color indexed="81"/>
            <rFont val="Tahoma"/>
            <family val="2"/>
          </rPr>
          <t xml:space="preserve">
2620 bear</t>
        </r>
      </text>
    </comment>
    <comment ref="DS78" authorId="2" shapeId="0" xr:uid="{00000000-0006-0000-0700-0000A6020000}">
      <text>
        <r>
          <rPr>
            <b/>
            <sz val="8"/>
            <color indexed="81"/>
            <rFont val="Tahoma"/>
            <family val="2"/>
          </rPr>
          <t>Martin Shkreli:</t>
        </r>
        <r>
          <rPr>
            <sz val="8"/>
            <color indexed="81"/>
            <rFont val="Tahoma"/>
            <family val="2"/>
          </rPr>
          <t xml:space="preserve">
2495 bear</t>
        </r>
      </text>
    </comment>
    <comment ref="DT78" authorId="2" shapeId="0" xr:uid="{00000000-0006-0000-0700-0000A7020000}">
      <text>
        <r>
          <rPr>
            <b/>
            <sz val="8"/>
            <color indexed="81"/>
            <rFont val="Tahoma"/>
            <family val="2"/>
          </rPr>
          <t>Martin Shkreli:</t>
        </r>
        <r>
          <rPr>
            <sz val="8"/>
            <color indexed="81"/>
            <rFont val="Tahoma"/>
            <family val="2"/>
          </rPr>
          <t xml:space="preserve">
2588 bear</t>
        </r>
      </text>
    </comment>
    <comment ref="DU78" authorId="2" shapeId="0" xr:uid="{00000000-0006-0000-0700-0000A8020000}">
      <text>
        <r>
          <rPr>
            <b/>
            <sz val="8"/>
            <color indexed="81"/>
            <rFont val="Tahoma"/>
            <family val="2"/>
          </rPr>
          <t>Martin Shkreli:</t>
        </r>
        <r>
          <rPr>
            <sz val="8"/>
            <color indexed="81"/>
            <rFont val="Tahoma"/>
            <family val="2"/>
          </rPr>
          <t xml:space="preserve">
2562 bear</t>
        </r>
      </text>
    </comment>
    <comment ref="DV78" authorId="2" shapeId="0" xr:uid="{00000000-0006-0000-0700-0000A9020000}">
      <text>
        <r>
          <rPr>
            <b/>
            <sz val="8"/>
            <color indexed="81"/>
            <rFont val="Tahoma"/>
            <family val="2"/>
          </rPr>
          <t>Martin Shkreli:</t>
        </r>
        <r>
          <rPr>
            <sz val="8"/>
            <color indexed="81"/>
            <rFont val="Tahoma"/>
            <family val="2"/>
          </rPr>
          <t xml:space="preserve">
2600 bear</t>
        </r>
      </text>
    </comment>
    <comment ref="DW78" authorId="2" shapeId="0" xr:uid="{00000000-0006-0000-0700-0000AA020000}">
      <text>
        <r>
          <rPr>
            <b/>
            <sz val="8"/>
            <color indexed="81"/>
            <rFont val="Tahoma"/>
            <family val="2"/>
          </rPr>
          <t>Martin Shkreli:</t>
        </r>
        <r>
          <rPr>
            <sz val="8"/>
            <color indexed="81"/>
            <rFont val="Tahoma"/>
            <family val="2"/>
          </rPr>
          <t xml:space="preserve">
2714 bear</t>
        </r>
      </text>
    </comment>
    <comment ref="DX78" authorId="2" shapeId="0" xr:uid="{00000000-0006-0000-0700-0000AB020000}">
      <text>
        <r>
          <rPr>
            <b/>
            <sz val="8"/>
            <color indexed="81"/>
            <rFont val="Tahoma"/>
            <family val="2"/>
          </rPr>
          <t>Martin Shkreli:</t>
        </r>
        <r>
          <rPr>
            <sz val="8"/>
            <color indexed="81"/>
            <rFont val="Tahoma"/>
            <family val="2"/>
          </rPr>
          <t xml:space="preserve">
2967 bear</t>
        </r>
      </text>
    </comment>
    <comment ref="DY78" authorId="2" shapeId="0" xr:uid="{00000000-0006-0000-0700-0000AC020000}">
      <text>
        <r>
          <rPr>
            <b/>
            <sz val="8"/>
            <color indexed="81"/>
            <rFont val="Tahoma"/>
            <family val="2"/>
          </rPr>
          <t>Martin Shkreli:</t>
        </r>
        <r>
          <rPr>
            <sz val="8"/>
            <color indexed="81"/>
            <rFont val="Tahoma"/>
            <family val="2"/>
          </rPr>
          <t xml:space="preserve">
3017 bear</t>
        </r>
      </text>
    </comment>
    <comment ref="DZ78" authorId="2" shapeId="0" xr:uid="{00000000-0006-0000-0700-0000AD020000}">
      <text>
        <r>
          <rPr>
            <b/>
            <sz val="8"/>
            <color indexed="81"/>
            <rFont val="Tahoma"/>
            <family val="2"/>
          </rPr>
          <t>Martin Shkreli:</t>
        </r>
        <r>
          <rPr>
            <sz val="8"/>
            <color indexed="81"/>
            <rFont val="Tahoma"/>
            <family val="2"/>
          </rPr>
          <t xml:space="preserve">
3103 jpm
3009 bear</t>
        </r>
      </text>
    </comment>
    <comment ref="EA78" authorId="2" shapeId="0" xr:uid="{00000000-0006-0000-0700-0000AE020000}">
      <text>
        <r>
          <rPr>
            <b/>
            <sz val="8"/>
            <color indexed="81"/>
            <rFont val="Tahoma"/>
            <family val="2"/>
          </rPr>
          <t>Martin Shkreli:</t>
        </r>
        <r>
          <rPr>
            <sz val="8"/>
            <color indexed="81"/>
            <rFont val="Tahoma"/>
            <family val="2"/>
          </rPr>
          <t xml:space="preserve">
3099 jpm
3103 bear</t>
        </r>
      </text>
    </comment>
    <comment ref="EB78" authorId="2" shapeId="0" xr:uid="{00000000-0006-0000-0700-0000AF020000}">
      <text>
        <r>
          <rPr>
            <b/>
            <sz val="8"/>
            <color indexed="81"/>
            <rFont val="Tahoma"/>
            <family val="2"/>
          </rPr>
          <t>Martin Shkreli:</t>
        </r>
        <r>
          <rPr>
            <sz val="8"/>
            <color indexed="81"/>
            <rFont val="Tahoma"/>
            <family val="2"/>
          </rPr>
          <t xml:space="preserve">
3112 bear</t>
        </r>
      </text>
    </comment>
    <comment ref="EC78" authorId="2" shapeId="0" xr:uid="{00000000-0006-0000-0700-0000B0020000}">
      <text>
        <r>
          <rPr>
            <b/>
            <sz val="8"/>
            <color indexed="81"/>
            <rFont val="Tahoma"/>
            <family val="2"/>
          </rPr>
          <t>Martin Shkreli:</t>
        </r>
        <r>
          <rPr>
            <sz val="8"/>
            <color indexed="81"/>
            <rFont val="Tahoma"/>
            <family val="2"/>
          </rPr>
          <t xml:space="preserve">
3063 bear</t>
        </r>
      </text>
    </comment>
    <comment ref="ED78" authorId="2" shapeId="0" xr:uid="{00000000-0006-0000-0700-0000B1020000}">
      <text>
        <r>
          <rPr>
            <b/>
            <sz val="8"/>
            <color indexed="81"/>
            <rFont val="Tahoma"/>
            <family val="2"/>
          </rPr>
          <t>Martin Shkreli:</t>
        </r>
        <r>
          <rPr>
            <sz val="8"/>
            <color indexed="81"/>
            <rFont val="Tahoma"/>
            <family val="2"/>
          </rPr>
          <t xml:space="preserve">
3012 bear</t>
        </r>
      </text>
    </comment>
    <comment ref="EE78" authorId="2" shapeId="0" xr:uid="{00000000-0006-0000-0700-0000B2020000}">
      <text>
        <r>
          <rPr>
            <b/>
            <sz val="8"/>
            <color indexed="81"/>
            <rFont val="Tahoma"/>
            <family val="2"/>
          </rPr>
          <t>Martin Shkreli:</t>
        </r>
        <r>
          <rPr>
            <sz val="8"/>
            <color indexed="81"/>
            <rFont val="Tahoma"/>
            <family val="2"/>
          </rPr>
          <t xml:space="preserve">
3008 bear</t>
        </r>
      </text>
    </comment>
    <comment ref="EF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G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9" authorId="3" shapeId="0" xr:uid="{00000000-0006-0000-0700-0000B7020000}">
      <text>
        <r>
          <rPr>
            <sz val="8"/>
            <color indexed="8"/>
            <rFont val="Times New Roman"/>
            <family val="1"/>
          </rPr>
          <t>was 4.35
was 4.30
was 4.24
"CONR deal neutral"</t>
        </r>
      </text>
    </comment>
    <comment ref="EJ79" authorId="3" shapeId="0" xr:uid="{00000000-0006-0000-0700-0000B8020000}">
      <text>
        <r>
          <rPr>
            <sz val="8"/>
            <color indexed="8"/>
            <rFont val="Times New Roman"/>
            <family val="1"/>
          </rPr>
          <t>Q109: 4.49
was 4.71
was 4.70
was 4.64
was 4.47</t>
        </r>
      </text>
    </comment>
    <comment ref="EK79" authorId="3" shapeId="0" xr:uid="{00000000-0006-0000-0700-0000B9020000}">
      <text>
        <r>
          <rPr>
            <sz val="8"/>
            <color indexed="8"/>
            <rFont val="Times New Roman"/>
            <family val="1"/>
          </rPr>
          <t>was 5.20
was 5.10
was 4.96
was 4.90
was 4.87
was 4.92
was 4.71</t>
        </r>
      </text>
    </comment>
    <comment ref="EL79" authorId="3" shapeId="0" xr:uid="{00000000-0006-0000-0700-0000BA020000}">
      <text>
        <r>
          <rPr>
            <sz val="8"/>
            <color indexed="8"/>
            <rFont val="Times New Roman"/>
            <family val="1"/>
          </rPr>
          <t>was 5.80
was 5.57
was 5.26
was 5.21
was 5.10
was 5.37</t>
        </r>
      </text>
    </comment>
    <comment ref="EM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9" authorId="0" shapeId="0" xr:uid="{00000000-0006-0000-0700-0000BC020000}">
      <text>
        <r>
          <rPr>
            <b/>
            <sz val="9"/>
            <color indexed="81"/>
            <rFont val="Tahoma"/>
            <family val="2"/>
          </rPr>
          <t>MSMB - Andre:</t>
        </r>
        <r>
          <rPr>
            <sz val="9"/>
            <color indexed="81"/>
            <rFont val="Tahoma"/>
            <family val="2"/>
          </rPr>
          <t xml:space="preserve">
was 6.28</t>
        </r>
      </text>
    </comment>
    <comment ref="EO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1" authorId="3" shapeId="0" xr:uid="{00000000-0006-0000-0700-0000C0020000}">
      <text>
        <r>
          <rPr>
            <sz val="8"/>
            <color indexed="8"/>
            <rFont val="Times New Roman"/>
            <family val="1"/>
          </rPr>
          <t>Guidance on Q208 call: 
1-2% op growth. 4.5% favorable currency impact if exchange rates don't change. 4-5% growth</t>
        </r>
      </text>
    </comment>
    <comment ref="EZ81"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DK82" authorId="56" shapeId="0" xr:uid="{9A166C40-6217-407C-8012-5F5A67933D28}">
      <text>
        <t>[Threaded comment]
Your version of Excel allows you to read this threaded comment; however, any edits to it will get removed if the file is opened in a newer version of Excel. Learn more: https://go.microsoft.com/fwlink/?linkid=870924
Comment:
    800bps hit from Stelara</t>
      </text>
    </comment>
    <comment ref="EJ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J94" authorId="0" shapeId="0" xr:uid="{00000000-0006-0000-0700-0000C3020000}">
      <text>
        <r>
          <rPr>
            <sz val="9"/>
            <color indexed="81"/>
            <rFont val="Tahoma"/>
            <family val="2"/>
          </rPr>
          <t>8% operational growth</t>
        </r>
      </text>
    </comment>
    <comment ref="EJ95" authorId="0" shapeId="0" xr:uid="{00000000-0006-0000-0700-0000C4020000}">
      <text>
        <r>
          <rPr>
            <sz val="9"/>
            <color indexed="81"/>
            <rFont val="Tahoma"/>
            <family val="2"/>
          </rPr>
          <t>11% operational</t>
        </r>
      </text>
    </comment>
    <comment ref="EJ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7" authorId="2" shapeId="0" xr:uid="{00000000-0006-0000-0700-0000CB020000}">
      <text>
        <r>
          <rPr>
            <b/>
            <sz val="8"/>
            <color indexed="81"/>
            <rFont val="Tahoma"/>
            <family val="2"/>
          </rPr>
          <t>Martin Shkreli:</t>
        </r>
        <r>
          <rPr>
            <sz val="8"/>
            <color indexed="81"/>
            <rFont val="Tahoma"/>
            <family val="2"/>
          </rPr>
          <t xml:space="preserve">
11230 JPM</t>
        </r>
      </text>
    </comment>
    <comment ref="EA107" authorId="2" shapeId="0" xr:uid="{00000000-0006-0000-0700-0000CC020000}">
      <text>
        <r>
          <rPr>
            <b/>
            <sz val="8"/>
            <color indexed="81"/>
            <rFont val="Tahoma"/>
            <family val="2"/>
          </rPr>
          <t>Martin Shkreli:</t>
        </r>
        <r>
          <rPr>
            <sz val="8"/>
            <color indexed="81"/>
            <rFont val="Tahoma"/>
            <family val="2"/>
          </rPr>
          <t xml:space="preserve">
12661 bear</t>
        </r>
      </text>
    </comment>
    <comment ref="EJ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A108" authorId="2" shapeId="0" xr:uid="{00000000-0006-0000-0700-0000D0020000}">
      <text>
        <r>
          <rPr>
            <b/>
            <sz val="8"/>
            <color indexed="81"/>
            <rFont val="Tahoma"/>
            <family val="2"/>
          </rPr>
          <t>Martin Shkreli:</t>
        </r>
        <r>
          <rPr>
            <sz val="8"/>
            <color indexed="81"/>
            <rFont val="Tahoma"/>
            <family val="2"/>
          </rPr>
          <t xml:space="preserve">
4394 bear</t>
        </r>
      </text>
    </comment>
    <comment ref="EF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DZ114" authorId="2" shapeId="0" xr:uid="{00000000-0006-0000-0700-0000D7020000}">
      <text>
        <r>
          <rPr>
            <b/>
            <sz val="8"/>
            <color indexed="81"/>
            <rFont val="Tahoma"/>
            <family val="2"/>
          </rPr>
          <t>Martin Shkreli:</t>
        </r>
        <r>
          <rPr>
            <sz val="8"/>
            <color indexed="81"/>
            <rFont val="Tahoma"/>
            <family val="2"/>
          </rPr>
          <t xml:space="preserve">
9914 Bear actual</t>
        </r>
      </text>
    </comment>
    <comment ref="EA114" authorId="2" shapeId="0" xr:uid="{00000000-0006-0000-0700-0000D8020000}">
      <text>
        <r>
          <rPr>
            <b/>
            <sz val="8"/>
            <color indexed="81"/>
            <rFont val="Tahoma"/>
            <family val="2"/>
          </rPr>
          <t>Martin Shkreli:</t>
        </r>
        <r>
          <rPr>
            <sz val="8"/>
            <color indexed="81"/>
            <rFont val="Tahoma"/>
            <family val="2"/>
          </rPr>
          <t xml:space="preserve">
10240 bear</t>
        </r>
      </text>
    </comment>
    <comment ref="EB114" authorId="2" shapeId="0" xr:uid="{00000000-0006-0000-0700-0000D9020000}">
      <text>
        <r>
          <rPr>
            <b/>
            <sz val="8"/>
            <color indexed="81"/>
            <rFont val="Tahoma"/>
            <family val="2"/>
          </rPr>
          <t>Martin Shkreli:</t>
        </r>
        <r>
          <rPr>
            <sz val="8"/>
            <color indexed="81"/>
            <rFont val="Tahoma"/>
            <family val="2"/>
          </rPr>
          <t xml:space="preserve">
11146 bear
</t>
        </r>
      </text>
    </comment>
    <comment ref="EC114" authorId="2" shapeId="0" xr:uid="{00000000-0006-0000-0700-0000DA020000}">
      <text>
        <r>
          <rPr>
            <b/>
            <sz val="8"/>
            <color indexed="81"/>
            <rFont val="Tahoma"/>
            <family val="2"/>
          </rPr>
          <t>Martin Shkreli:</t>
        </r>
        <r>
          <rPr>
            <sz val="8"/>
            <color indexed="81"/>
            <rFont val="Tahoma"/>
            <family val="2"/>
          </rPr>
          <t xml:space="preserve">
12583 Bear actual</t>
        </r>
      </text>
    </comment>
    <comment ref="EJ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A121" authorId="2" shapeId="0" xr:uid="{00000000-0006-0000-0700-0000DE020000}">
      <text>
        <r>
          <rPr>
            <b/>
            <sz val="8"/>
            <color indexed="81"/>
            <rFont val="Tahoma"/>
            <family val="2"/>
          </rPr>
          <t>Martin Shkreli:</t>
        </r>
        <r>
          <rPr>
            <sz val="8"/>
            <color indexed="81"/>
            <rFont val="Tahoma"/>
            <family val="2"/>
          </rPr>
          <t xml:space="preserve">
6271 bear</t>
        </r>
      </text>
    </comment>
    <comment ref="EB121" authorId="2" shapeId="0" xr:uid="{00000000-0006-0000-0700-0000DF020000}">
      <text>
        <r>
          <rPr>
            <b/>
            <sz val="8"/>
            <color indexed="81"/>
            <rFont val="Tahoma"/>
            <family val="2"/>
          </rPr>
          <t>Martin Shkreli:</t>
        </r>
        <r>
          <rPr>
            <sz val="8"/>
            <color indexed="81"/>
            <rFont val="Tahoma"/>
            <family val="2"/>
          </rPr>
          <t xml:space="preserve">
6321 bear</t>
        </r>
      </text>
    </comment>
    <comment ref="EJ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4" authorId="2" shapeId="0" xr:uid="{00000000-0006-0000-0700-0000E9020000}">
      <text>
        <r>
          <rPr>
            <b/>
            <sz val="8"/>
            <color indexed="81"/>
            <rFont val="Tahoma"/>
            <family val="2"/>
          </rPr>
          <t>Martin Shkreli:</t>
        </r>
        <r>
          <rPr>
            <sz val="8"/>
            <color indexed="81"/>
            <rFont val="Tahoma"/>
            <family val="2"/>
          </rPr>
          <t xml:space="preserve">
15532 bear</t>
        </r>
      </text>
    </comment>
    <comment ref="EA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8" authorId="2" shapeId="0" xr:uid="{00000000-0006-0000-0700-0000EF020000}">
      <text>
        <r>
          <rPr>
            <b/>
            <sz val="8"/>
            <color indexed="81"/>
            <rFont val="Tahoma"/>
            <family val="2"/>
          </rPr>
          <t>Martin Shkreli:</t>
        </r>
        <r>
          <rPr>
            <sz val="8"/>
            <color indexed="81"/>
            <rFont val="Tahoma"/>
            <family val="2"/>
          </rPr>
          <t xml:space="preserve">
11825 bear</t>
        </r>
      </text>
    </comment>
    <comment ref="EA138" authorId="2" shapeId="0" xr:uid="{00000000-0006-0000-0700-0000F0020000}">
      <text>
        <r>
          <rPr>
            <b/>
            <sz val="8"/>
            <color indexed="81"/>
            <rFont val="Tahoma"/>
            <family val="2"/>
          </rPr>
          <t>Martin Shkreli:</t>
        </r>
        <r>
          <rPr>
            <sz val="8"/>
            <color indexed="81"/>
            <rFont val="Tahoma"/>
            <family val="2"/>
          </rPr>
          <t xml:space="preserve">
11856 bear</t>
        </r>
      </text>
    </comment>
    <comment ref="EA145" authorId="2" shapeId="0" xr:uid="{00000000-0006-0000-0700-0000F1020000}">
      <text>
        <r>
          <rPr>
            <b/>
            <sz val="8"/>
            <color indexed="81"/>
            <rFont val="Tahoma"/>
            <family val="2"/>
          </rPr>
          <t>Martin Shkreli:</t>
        </r>
        <r>
          <rPr>
            <sz val="8"/>
            <color indexed="81"/>
            <rFont val="Tahoma"/>
            <family val="2"/>
          </rPr>
          <t xml:space="preserve">
1.50 share Bear</t>
        </r>
      </text>
    </comment>
    <comment ref="EB145" authorId="2" shapeId="0" xr:uid="{00000000-0006-0000-0700-0000F2020000}">
      <text>
        <r>
          <rPr>
            <b/>
            <sz val="8"/>
            <color indexed="81"/>
            <rFont val="Tahoma"/>
            <family val="2"/>
          </rPr>
          <t>Martin Shkreli:</t>
        </r>
        <r>
          <rPr>
            <sz val="8"/>
            <color indexed="81"/>
            <rFont val="Tahoma"/>
            <family val="2"/>
          </rPr>
          <t xml:space="preserve">
1.78 share Bear</t>
        </r>
      </text>
    </comment>
    <comment ref="EC145" authorId="2" shapeId="0" xr:uid="{00000000-0006-0000-0700-0000F3020000}">
      <text>
        <r>
          <rPr>
            <b/>
            <sz val="8"/>
            <color indexed="81"/>
            <rFont val="Tahoma"/>
            <family val="2"/>
          </rPr>
          <t>Martin Shkreli:</t>
        </r>
        <r>
          <rPr>
            <sz val="8"/>
            <color indexed="81"/>
            <rFont val="Tahoma"/>
            <family val="2"/>
          </rPr>
          <t xml:space="preserve">
2.13/share Bear</t>
        </r>
      </text>
    </comment>
    <comment ref="ED145" authorId="2" shapeId="0" xr:uid="{00000000-0006-0000-0700-0000F4020000}">
      <text>
        <r>
          <rPr>
            <b/>
            <sz val="8"/>
            <color indexed="81"/>
            <rFont val="Tahoma"/>
            <family val="2"/>
          </rPr>
          <t>Martin Shkreli:</t>
        </r>
        <r>
          <rPr>
            <sz val="8"/>
            <color indexed="81"/>
            <rFont val="Tahoma"/>
            <family val="2"/>
          </rPr>
          <t xml:space="preserve">
2.42/share Bear</t>
        </r>
      </text>
    </comment>
    <comment ref="EE145" authorId="2" shapeId="0" xr:uid="{00000000-0006-0000-0700-0000F5020000}">
      <text>
        <r>
          <rPr>
            <b/>
            <sz val="8"/>
            <color indexed="81"/>
            <rFont val="Tahoma"/>
            <family val="2"/>
          </rPr>
          <t>Martin Shkreli:</t>
        </r>
        <r>
          <rPr>
            <sz val="8"/>
            <color indexed="81"/>
            <rFont val="Tahoma"/>
            <family val="2"/>
          </rPr>
          <t xml:space="preserve">
3.06/share Bear</t>
        </r>
      </text>
    </comment>
    <comment ref="EF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J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A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A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DZ251" authorId="2" shapeId="0" xr:uid="{00000000-0006-0000-0700-000005030000}">
      <text>
        <r>
          <rPr>
            <b/>
            <sz val="8"/>
            <color indexed="81"/>
            <rFont val="Tahoma"/>
            <family val="2"/>
          </rPr>
          <t>Martin Shkreli:</t>
        </r>
        <r>
          <rPr>
            <sz val="8"/>
            <color indexed="81"/>
            <rFont val="Tahoma"/>
            <family val="2"/>
          </rPr>
          <t xml:space="preserve">
jpm may incl alza</t>
        </r>
      </text>
    </comment>
    <comment ref="EA251" authorId="2" shapeId="0" xr:uid="{00000000-0006-0000-0700-000006030000}">
      <text>
        <r>
          <rPr>
            <b/>
            <sz val="8"/>
            <color indexed="81"/>
            <rFont val="Tahoma"/>
            <family val="2"/>
          </rPr>
          <t>Martin Shkreli:</t>
        </r>
        <r>
          <rPr>
            <sz val="8"/>
            <color indexed="81"/>
            <rFont val="Tahoma"/>
            <family val="2"/>
          </rPr>
          <t xml:space="preserve">
jpm may incl alza</t>
        </r>
      </text>
    </comment>
    <comment ref="DZ252" authorId="2" shapeId="0" xr:uid="{00000000-0006-0000-0700-000007030000}">
      <text>
        <r>
          <rPr>
            <b/>
            <sz val="8"/>
            <color indexed="81"/>
            <rFont val="Tahoma"/>
            <family val="2"/>
          </rPr>
          <t>Martin Shkreli:</t>
        </r>
        <r>
          <rPr>
            <sz val="8"/>
            <color indexed="81"/>
            <rFont val="Tahoma"/>
            <family val="2"/>
          </rPr>
          <t xml:space="preserve">
5266 bear</t>
        </r>
      </text>
    </comment>
    <comment ref="EA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3" authorId="2" shapeId="0" xr:uid="{00000000-0006-0000-0700-00000A030000}">
      <text>
        <r>
          <rPr>
            <b/>
            <sz val="8"/>
            <color indexed="81"/>
            <rFont val="Tahoma"/>
            <family val="2"/>
          </rPr>
          <t>Martin Shkreli:</t>
        </r>
        <r>
          <rPr>
            <sz val="8"/>
            <color indexed="81"/>
            <rFont val="Tahoma"/>
            <family val="2"/>
          </rPr>
          <t xml:space="preserve">
4613 bear</t>
        </r>
      </text>
    </comment>
    <comment ref="EA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DZ254" authorId="2" shapeId="0" xr:uid="{00000000-0006-0000-0700-00000D030000}">
      <text>
        <r>
          <rPr>
            <b/>
            <sz val="8"/>
            <color indexed="81"/>
            <rFont val="Tahoma"/>
            <family val="2"/>
          </rPr>
          <t>Martin Shkreli:</t>
        </r>
        <r>
          <rPr>
            <sz val="8"/>
            <color indexed="81"/>
            <rFont val="Tahoma"/>
            <family val="2"/>
          </rPr>
          <t xml:space="preserve">
9879 bear</t>
        </r>
      </text>
    </comment>
    <comment ref="EA254" authorId="2" shapeId="0" xr:uid="{00000000-0006-0000-0700-00000E030000}">
      <text>
        <r>
          <rPr>
            <b/>
            <sz val="8"/>
            <color indexed="81"/>
            <rFont val="Tahoma"/>
            <family val="2"/>
          </rPr>
          <t>Martin Shkreli:</t>
        </r>
        <r>
          <rPr>
            <sz val="8"/>
            <color indexed="81"/>
            <rFont val="Tahoma"/>
            <family val="2"/>
          </rPr>
          <t xml:space="preserve">
10240 bear</t>
        </r>
      </text>
    </comment>
    <comment ref="DZ255" authorId="2" shapeId="0" xr:uid="{00000000-0006-0000-0700-00000F030000}">
      <text>
        <r>
          <rPr>
            <b/>
            <sz val="8"/>
            <color indexed="81"/>
            <rFont val="Tahoma"/>
            <family val="2"/>
          </rPr>
          <t>Martin Shkreli:</t>
        </r>
        <r>
          <rPr>
            <sz val="8"/>
            <color indexed="81"/>
            <rFont val="Tahoma"/>
            <family val="2"/>
          </rPr>
          <t xml:space="preserve">
3311 bear</t>
        </r>
      </text>
    </comment>
    <comment ref="EA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DZ256" authorId="2" shapeId="0" xr:uid="{00000000-0006-0000-0700-000012030000}">
      <text>
        <r>
          <rPr>
            <b/>
            <sz val="8"/>
            <color indexed="81"/>
            <rFont val="Tahoma"/>
            <family val="2"/>
          </rPr>
          <t>Martin Shkreli:</t>
        </r>
        <r>
          <rPr>
            <sz val="8"/>
            <color indexed="81"/>
            <rFont val="Tahoma"/>
            <family val="2"/>
          </rPr>
          <t xml:space="preserve">
2937 bear</t>
        </r>
      </text>
    </comment>
    <comment ref="EA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DZ257" authorId="2" shapeId="0" xr:uid="{00000000-0006-0000-0700-000015030000}">
      <text>
        <r>
          <rPr>
            <b/>
            <sz val="8"/>
            <color indexed="81"/>
            <rFont val="Tahoma"/>
            <family val="2"/>
          </rPr>
          <t>Martin Shkreli:</t>
        </r>
        <r>
          <rPr>
            <sz val="8"/>
            <color indexed="81"/>
            <rFont val="Tahoma"/>
            <family val="2"/>
          </rPr>
          <t xml:space="preserve">
6248 bear</t>
        </r>
      </text>
    </comment>
    <comment ref="EA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<sst xmlns="http://schemas.openxmlformats.org/spreadsheetml/2006/main" count="3293" uniqueCount="2168">
  <si>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</si>
  <si>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</si>
  <si>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</si>
  <si>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</si>
  <si>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</si>
  <si>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</si>
  <si>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</si>
  <si>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</si>
  <si>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</si>
  <si>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</si>
  <si>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</si>
  <si>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</si>
  <si>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</si>
  <si>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</si>
  <si>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</si>
  <si>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</si>
  <si>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</si>
  <si>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</si>
  <si>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</si>
  <si>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</si>
  <si>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</si>
  <si>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</si>
  <si>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</si>
  <si>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</si>
  <si>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</si>
  <si>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</si>
  <si>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</si>
  <si>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</si>
  <si>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</si>
  <si>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</si>
  <si>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</si>
  <si>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</si>
  <si>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</si>
  <si>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</si>
  <si>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</si>
  <si>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</si>
  <si>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</si>
  <si>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</si>
  <si>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</si>
  <si>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</si>
  <si>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</si>
  <si>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</si>
  <si>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</si>
  <si>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</si>
  <si>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</si>
  <si>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</si>
  <si>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</si>
  <si>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</si>
  <si>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</si>
  <si>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</si>
  <si>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</si>
  <si>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</si>
  <si>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</si>
  <si>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</si>
  <si>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</si>
  <si>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</si>
  <si>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</si>
  <si>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</si>
  <si>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</si>
  <si>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</si>
  <si>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</si>
  <si>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</si>
  <si>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</si>
  <si>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</si>
  <si>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</si>
  <si>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</si>
  <si>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</si>
  <si>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</si>
  <si>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</si>
  <si>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</si>
  <si>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</si>
  <si>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</si>
  <si>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</si>
  <si>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</si>
  <si>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</si>
  <si>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</si>
  <si>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</si>
  <si>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</si>
  <si>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</si>
  <si>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</si>
  <si>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</si>
  <si>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</si>
  <si>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</si>
  <si>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</si>
  <si>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</si>
  <si>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</si>
  <si>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</si>
  <si>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</si>
  <si>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</si>
  <si>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</si>
  <si>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</si>
  <si>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</si>
  <si>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</si>
  <si>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</si>
  <si>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</si>
  <si>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</si>
  <si>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</si>
  <si>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</si>
  <si>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</si>
  <si>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</si>
  <si>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</si>
  <si>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</si>
  <si>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</si>
  <si>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</si>
  <si>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</si>
  <si>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</si>
  <si>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</si>
  <si>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</si>
  <si>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</si>
  <si>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</si>
  <si>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</si>
  <si>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</si>
  <si>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</si>
  <si>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</si>
  <si>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</si>
  <si>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</si>
  <si>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</si>
  <si>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</si>
  <si>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</si>
  <si>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</si>
  <si>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</si>
  <si>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</si>
  <si>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</si>
  <si>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</si>
  <si>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</si>
  <si>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</si>
  <si>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</si>
  <si>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</si>
  <si>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</si>
  <si>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</si>
  <si>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</si>
  <si>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</si>
  <si>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</si>
  <si>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</si>
  <si>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</si>
  <si>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</si>
  <si>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</si>
  <si>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</si>
  <si>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</si>
  <si>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</si>
  <si>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</si>
  <si>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</si>
  <si>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</si>
  <si>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</si>
  <si>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</si>
  <si>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</si>
  <si>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</si>
  <si>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</si>
  <si>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</si>
  <si>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</si>
  <si>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</si>
  <si>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</si>
  <si>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</si>
  <si>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</si>
  <si>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</si>
  <si>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</si>
  <si>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</si>
  <si>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</si>
  <si>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</si>
  <si>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</si>
  <si>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</si>
  <si>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</si>
  <si>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</si>
  <si>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</si>
  <si>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</si>
  <si>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</si>
  <si>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</si>
  <si>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</si>
  <si>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</si>
  <si>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</si>
  <si>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</si>
  <si>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</si>
  <si>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</si>
  <si>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</si>
  <si>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</si>
  <si>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</si>
  <si>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</si>
  <si>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</si>
  <si>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</si>
  <si>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</si>
  <si>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</si>
  <si>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</si>
  <si>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</si>
  <si>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</si>
  <si>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</si>
  <si>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</si>
  <si>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</si>
  <si>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</si>
  <si>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</si>
  <si>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</si>
  <si>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</si>
  <si>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</si>
  <si>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</si>
  <si>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</si>
  <si>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</si>
  <si>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</si>
  <si>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</si>
  <si>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</si>
  <si>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</si>
  <si>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</si>
  <si>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</si>
  <si>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</si>
  <si>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</si>
  <si>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</si>
  <si>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</si>
  <si>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</si>
  <si>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</si>
  <si>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</si>
  <si>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</si>
  <si>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</si>
  <si>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</si>
  <si>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</si>
  <si>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</si>
  <si>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</si>
  <si>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</si>
  <si>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</si>
  <si>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</si>
  <si>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</si>
  <si>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</si>
  <si>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</si>
  <si>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</si>
  <si>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</si>
  <si>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</si>
  <si>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</si>
  <si>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</si>
  <si>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</si>
  <si>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</si>
  <si>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</si>
  <si>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</si>
  <si>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</si>
  <si>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</si>
  <si>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</si>
  <si>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</si>
  <si>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</si>
  <si>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</si>
  <si>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</si>
  <si>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</si>
  <si>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</si>
  <si>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</si>
  <si>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</si>
  <si>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</si>
  <si>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</si>
  <si>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</si>
  <si>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</si>
  <si>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</si>
  <si>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</si>
  <si>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</si>
  <si>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</si>
  <si>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</si>
  <si>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</si>
  <si>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</si>
  <si>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</si>
  <si>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</si>
  <si>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</si>
  <si>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</si>
  <si>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</si>
  <si>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</si>
  <si>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</si>
  <si>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</si>
  <si>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</si>
  <si>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</si>
  <si>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</si>
  <si>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</si>
  <si>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</si>
  <si>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</si>
  <si>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</si>
  <si>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</si>
  <si>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</si>
  <si>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</si>
  <si>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</si>
  <si>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</si>
  <si>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</si>
  <si>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</si>
  <si>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</si>
  <si>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</si>
  <si>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</si>
  <si>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</si>
  <si>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</si>
  <si>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</si>
  <si>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</si>
  <si>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</si>
  <si>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</si>
  <si>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</si>
  <si>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</si>
  <si>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</si>
  <si>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</si>
  <si>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</si>
  <si>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</si>
  <si>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</si>
  <si>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</si>
  <si>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</si>
  <si>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</si>
  <si>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</si>
  <si>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</si>
  <si>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</si>
  <si>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</si>
  <si>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</si>
  <si>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</si>
  <si>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</si>
  <si>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</si>
  <si>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</si>
  <si>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</si>
  <si>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</si>
  <si>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</si>
  <si>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</si>
  <si>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</si>
  <si>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</si>
  <si>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</si>
  <si>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</si>
  <si>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</si>
  <si>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</si>
  <si>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</si>
  <si>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</si>
  <si>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</si>
  <si>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</si>
  <si>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</si>
  <si>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</si>
  <si>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</si>
  <si>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</si>
  <si>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</si>
  <si>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</si>
  <si>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</si>
  <si>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</si>
  <si>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</si>
  <si>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</si>
  <si>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</si>
  <si>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</si>
  <si>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</si>
  <si>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</si>
  <si>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</si>
  <si>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</si>
  <si>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</si>
  <si>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</si>
  <si>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</si>
  <si>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</si>
  <si>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</si>
  <si>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</si>
  <si>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</si>
  <si>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</si>
  <si>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</si>
  <si>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</si>
  <si>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</si>
  <si>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</si>
  <si>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</si>
  <si>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</si>
  <si>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</si>
  <si>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</si>
  <si>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</si>
  <si>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</si>
  <si>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</si>
  <si>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</si>
  <si>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</si>
  <si>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</si>
  <si>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</si>
  <si>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</si>
  <si>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</si>
  <si>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</si>
  <si>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</si>
  <si>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</si>
  <si>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</si>
  <si>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</si>
  <si>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</si>
  <si>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</si>
  <si>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</si>
  <si>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</si>
  <si>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</si>
  <si>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</si>
  <si>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</si>
  <si>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</si>
  <si>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</si>
  <si>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</si>
  <si>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</si>
  <si>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</si>
  <si>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</si>
  <si>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</si>
  <si>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</si>
  <si>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</si>
  <si>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</si>
  <si>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</si>
  <si>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</si>
  <si>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</si>
  <si>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</si>
  <si>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</si>
  <si>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</si>
  <si>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</si>
  <si>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</si>
  <si>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</si>
  <si>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</si>
  <si>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</si>
  <si>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</si>
  <si>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</si>
  <si>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</si>
  <si>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</si>
  <si>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</si>
  <si>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</si>
  <si>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</si>
  <si>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</si>
  <si>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</si>
  <si>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</si>
  <si>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</si>
  <si>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</si>
  <si>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</si>
  <si>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</si>
  <si>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</si>
  <si>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</si>
  <si>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</si>
  <si>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</si>
  <si>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</si>
  <si>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</si>
  <si>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</si>
  <si>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</si>
  <si>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</si>
  <si>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</si>
  <si>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</si>
  <si>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</si>
  <si>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</si>
  <si>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</si>
  <si>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</si>
  <si>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</si>
  <si>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</si>
  <si>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</si>
  <si>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</si>
  <si>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</si>
  <si>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</si>
  <si>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</si>
  <si>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</si>
  <si>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</si>
  <si>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</si>
  <si>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</si>
  <si>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</si>
  <si>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</si>
  <si>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</si>
  <si>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</si>
  <si>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</si>
  <si>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</si>
  <si>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</si>
  <si>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</si>
  <si>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</si>
  <si>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</si>
  <si>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</si>
  <si>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</si>
  <si>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</si>
  <si>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</si>
  <si>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</si>
  <si>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</si>
  <si>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</si>
  <si>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</si>
  <si>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</si>
  <si>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</si>
  <si>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</si>
  <si>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</si>
  <si>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</si>
  <si>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</si>
  <si>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</si>
  <si>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</si>
  <si>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</si>
  <si>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</si>
  <si>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</si>
  <si>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</si>
  <si>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</si>
  <si>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</si>
  <si>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</si>
  <si>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</si>
  <si>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</si>
  <si>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</si>
  <si>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</si>
  <si>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</si>
  <si>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</si>
  <si>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</si>
  <si>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</si>
  <si>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</si>
  <si>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</si>
  <si>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</si>
  <si>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</si>
  <si>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</si>
  <si>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</si>
  <si>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</si>
  <si>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</si>
  <si>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</si>
  <si>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</si>
  <si>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</si>
  <si>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</si>
  <si>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</si>
  <si>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</si>
  <si>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</si>
  <si>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</si>
  <si>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</si>
  <si>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</si>
  <si>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</si>
  <si>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</si>
  <si>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</si>
  <si>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</si>
  <si>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</si>
  <si>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</si>
  <si>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</si>
  <si>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</si>
  <si>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</si>
  <si>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</si>
  <si>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</si>
  <si>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</si>
  <si>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</si>
  <si>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</si>
  <si>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</si>
  <si>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</si>
  <si>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</si>
  <si>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</si>
  <si>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</si>
  <si>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</si>
  <si>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</si>
  <si>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</si>
  <si>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</si>
  <si>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</si>
  <si>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</si>
  <si>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</si>
  <si>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</si>
  <si>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</si>
  <si>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</si>
  <si>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</si>
  <si>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</si>
  <si>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</si>
  <si>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</si>
  <si>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</si>
  <si>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</si>
  <si>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</si>
  <si>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</si>
  <si>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</si>
  <si>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</si>
  <si>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</si>
  <si>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</si>
  <si>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</si>
  <si>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</si>
  <si>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</si>
  <si>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</si>
  <si>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</si>
  <si>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</si>
  <si>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</si>
  <si>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</si>
  <si>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</si>
  <si>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</si>
  <si>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</si>
  <si>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</si>
  <si>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</si>
  <si>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</si>
  <si>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</si>
  <si>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</si>
  <si>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</si>
  <si>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</si>
  <si>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</si>
  <si>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</si>
  <si>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</si>
  <si>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</si>
  <si>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</si>
  <si>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</si>
  <si>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</si>
  <si>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</si>
  <si>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</si>
  <si>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</si>
  <si>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</si>
  <si>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</si>
  <si>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</si>
  <si>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</si>
  <si>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</si>
  <si>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</si>
  <si>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</si>
  <si>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</si>
  <si>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</si>
  <si>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</si>
  <si>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</si>
  <si>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</si>
  <si>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</si>
  <si>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</si>
  <si>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</si>
  <si>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</si>
  <si>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</si>
  <si>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</si>
  <si>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</si>
  <si>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</si>
  <si>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</si>
  <si>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</si>
  <si>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</si>
  <si>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</si>
  <si>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</si>
  <si>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</si>
  <si>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</si>
  <si>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</si>
  <si>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</si>
  <si>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</si>
  <si>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</si>
  <si>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</si>
  <si>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</si>
  <si>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</si>
  <si>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</si>
  <si>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</si>
  <si>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</si>
  <si>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</si>
  <si>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</si>
  <si>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</si>
  <si>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</si>
  <si>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</si>
  <si>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</si>
  <si>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</si>
  <si>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</si>
  <si>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</si>
  <si>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</si>
  <si>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</si>
  <si>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</si>
  <si>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</si>
  <si>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</si>
  <si>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</si>
  <si>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</si>
  <si>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</si>
  <si>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</si>
  <si>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</si>
  <si>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</si>
  <si>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</si>
  <si>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</si>
  <si>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</si>
  <si>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</si>
  <si>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</si>
  <si>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</si>
  <si>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</si>
  <si>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</si>
  <si>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</si>
  <si>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</si>
  <si>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</si>
  <si>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</si>
  <si>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</si>
  <si>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</si>
  <si>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</si>
  <si>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</si>
  <si>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</si>
  <si>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</si>
  <si>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</si>
  <si>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</si>
  <si>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</si>
  <si>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</si>
  <si>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</si>
  <si>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</si>
  <si>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</si>
  <si>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</si>
  <si>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</si>
  <si>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</si>
  <si>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</si>
  <si>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</si>
  <si>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</si>
  <si>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</si>
  <si>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</si>
  <si>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</si>
  <si>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</si>
  <si>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</si>
  <si>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</si>
  <si>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</si>
  <si>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</si>
  <si>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</si>
  <si>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</si>
  <si>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</si>
  <si>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</si>
  <si>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</si>
  <si>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</si>
  <si>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</si>
  <si>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</si>
  <si>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</si>
  <si>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</si>
  <si>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</si>
  <si>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</si>
  <si>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</si>
  <si>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</si>
  <si>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</si>
  <si>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</si>
  <si>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</si>
  <si>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</si>
  <si>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</si>
  <si>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</si>
  <si>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</si>
  <si>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</si>
  <si>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</si>
  <si>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</si>
  <si>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</si>
  <si>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</si>
  <si>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</si>
  <si>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</si>
  <si>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</si>
  <si>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</si>
  <si>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</si>
  <si>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</si>
  <si>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</si>
  <si>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</si>
  <si>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</si>
  <si>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</si>
  <si>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</si>
  <si>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</si>
  <si>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</si>
  <si>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</si>
  <si>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</si>
  <si>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</si>
  <si>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</si>
  <si>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</si>
  <si>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</si>
  <si>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</si>
  <si>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</si>
  <si>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</si>
  <si>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</si>
  <si>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</si>
  <si>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</si>
  <si>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</si>
  <si>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</si>
  <si>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</si>
  <si>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</si>
  <si>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</si>
  <si>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</si>
  <si>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</si>
  <si>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</si>
  <si>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</si>
  <si>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</si>
  <si>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</si>
  <si>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</si>
  <si>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</si>
  <si>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</si>
  <si>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</si>
  <si>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</si>
  <si>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</si>
  <si>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</si>
  <si>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</si>
  <si>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</si>
  <si>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</si>
  <si>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</si>
  <si>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</si>
  <si>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</si>
  <si>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</si>
  <si>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</si>
  <si>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</si>
  <si>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</si>
  <si>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</si>
  <si>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</si>
  <si>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</si>
  <si>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</si>
  <si>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</si>
  <si>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</si>
  <si>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</si>
  <si>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</si>
  <si>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</si>
  <si>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</si>
  <si>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</si>
  <si>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</si>
  <si>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</si>
  <si>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</si>
  <si>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</si>
  <si>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</si>
  <si>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</si>
  <si>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</si>
  <si>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</si>
  <si>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</si>
  <si>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</si>
  <si>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</si>
  <si>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</si>
  <si>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</si>
  <si>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</si>
  <si>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</si>
  <si>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</si>
  <si>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</si>
  <si>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</si>
  <si>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</si>
  <si>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</si>
  <si>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</si>
  <si>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</si>
  <si>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</si>
  <si>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</si>
  <si>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</si>
  <si>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</si>
  <si>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</si>
  <si>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</si>
  <si>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</si>
  <si>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</si>
  <si>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</si>
  <si>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</si>
  <si>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</si>
  <si>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</si>
  <si>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</si>
  <si>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</si>
  <si>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</si>
  <si>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</si>
  <si>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</si>
  <si>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</si>
  <si>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</si>
  <si>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</si>
  <si>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</si>
  <si>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</si>
  <si>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</si>
  <si>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</si>
  <si>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</si>
  <si>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</si>
  <si>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</si>
  <si>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</si>
  <si>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</si>
  <si>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</si>
  <si>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</si>
  <si>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</si>
  <si>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</si>
  <si>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</si>
  <si>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</si>
  <si>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</si>
  <si>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</si>
  <si>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</si>
  <si>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</si>
  <si>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</si>
  <si>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</si>
  <si>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</si>
  <si>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</si>
  <si>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</si>
  <si>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</si>
  <si>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</si>
  <si>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</si>
  <si>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</si>
  <si>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</si>
  <si>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</si>
  <si>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</si>
  <si>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</si>
  <si>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</si>
  <si>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</si>
  <si>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</si>
  <si>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</si>
  <si>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</si>
  <si>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</si>
  <si>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</si>
  <si>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</si>
  <si>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</si>
  <si>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</si>
  <si>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</si>
  <si>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</si>
  <si>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</si>
  <si>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</si>
  <si>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</si>
  <si>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</si>
  <si>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</si>
  <si>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</si>
  <si>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</si>
  <si>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</si>
  <si>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</si>
  <si>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</si>
  <si>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</si>
  <si>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</si>
  <si>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</si>
  <si>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</si>
  <si>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</si>
  <si>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</si>
  <si>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</si>
  <si>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</si>
  <si>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</si>
  <si>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</si>
  <si>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</si>
  <si>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</si>
  <si>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</si>
  <si>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</si>
  <si>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</si>
  <si>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</si>
  <si>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</si>
  <si>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</si>
  <si>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</si>
  <si>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</si>
  <si>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</si>
  <si>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</si>
  <si>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</si>
  <si>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</si>
  <si>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</si>
  <si>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</si>
  <si>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</si>
  <si>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</si>
  <si>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</si>
  <si>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</si>
  <si>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</si>
  <si>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</si>
  <si>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</si>
  <si>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</si>
  <si>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</si>
  <si>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</si>
  <si>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</si>
  <si>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</si>
  <si>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</si>
  <si>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</si>
  <si>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</si>
  <si>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</si>
  <si>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</si>
  <si>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</si>
  <si>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</si>
  <si>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</si>
  <si>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</si>
  <si>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</si>
  <si>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</si>
  <si>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</si>
  <si>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</si>
  <si>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</si>
  <si>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</si>
  <si>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</si>
  <si>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</si>
  <si>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</si>
  <si>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</si>
  <si>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</si>
  <si>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</si>
  <si>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</si>
  <si>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</si>
  <si>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</si>
  <si>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</si>
  <si>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</si>
  <si>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</si>
  <si>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</si>
  <si>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</si>
  <si>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</si>
  <si>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</si>
  <si>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</si>
  <si>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</si>
  <si>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</si>
  <si>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</si>
  <si>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</si>
  <si>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</si>
  <si>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</si>
  <si>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</si>
  <si>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</si>
  <si>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</si>
  <si>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</si>
  <si>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</si>
  <si>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</si>
  <si>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</si>
  <si>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</si>
  <si>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</si>
  <si>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</si>
  <si>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</si>
  <si>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</si>
  <si>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</si>
  <si>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</si>
  <si>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</si>
  <si>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</si>
  <si>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</si>
  <si>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</si>
  <si>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</si>
  <si>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</si>
  <si>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</si>
  <si>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</si>
  <si>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</si>
  <si>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</si>
  <si>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</si>
  <si>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</si>
  <si>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</si>
  <si>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</si>
  <si>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</si>
  <si>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</si>
  <si>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</si>
  <si>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</si>
  <si>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</si>
  <si>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</si>
  <si>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</si>
  <si>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</si>
  <si>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</si>
  <si>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</si>
  <si>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</si>
  <si>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</si>
  <si>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</si>
  <si>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</si>
  <si>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</si>
  <si>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</si>
  <si>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</si>
  <si>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</si>
  <si>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</si>
  <si>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</si>
  <si>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</si>
  <si>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</si>
  <si>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</si>
  <si>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</si>
  <si>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</si>
  <si>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</si>
  <si>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</si>
  <si>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</si>
  <si>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</si>
  <si>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</si>
  <si>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</si>
  <si>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</si>
  <si>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</si>
  <si>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</si>
  <si>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</si>
  <si>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</si>
  <si>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</si>
  <si>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</si>
  <si>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</si>
  <si>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</si>
  <si>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</si>
  <si>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</si>
  <si>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</si>
  <si>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</si>
  <si>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</si>
  <si>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</si>
  <si>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</si>
  <si>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</si>
  <si>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</si>
  <si>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</si>
  <si>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</si>
  <si>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</si>
  <si>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</si>
  <si>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</si>
  <si>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</si>
  <si>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</si>
  <si>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</si>
  <si>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</si>
  <si>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</si>
  <si>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</si>
  <si>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</si>
  <si>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</si>
  <si>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</si>
  <si>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</si>
  <si>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</si>
  <si>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</si>
  <si>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</si>
  <si>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</si>
  <si>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</si>
  <si>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</si>
  <si>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</si>
  <si>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</si>
  <si>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</si>
  <si>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</si>
  <si>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</si>
  <si>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</si>
  <si>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</si>
  <si>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</si>
  <si>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</si>
  <si>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</si>
  <si>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</si>
  <si>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</si>
  <si>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</si>
  <si>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</si>
  <si>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</si>
  <si>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</si>
  <si>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</si>
  <si>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</si>
  <si>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</si>
  <si>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</si>
  <si>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</si>
  <si>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</si>
  <si>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</si>
  <si>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</si>
  <si>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</si>
  <si>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</si>
  <si>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</si>
  <si>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</si>
  <si>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</si>
  <si>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</si>
  <si>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</si>
  <si>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</si>
  <si>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</si>
  <si>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</si>
  <si>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</si>
  <si>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</si>
  <si>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</si>
  <si>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</si>
  <si>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</si>
  <si>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</si>
  <si>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</si>
  <si>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</si>
  <si>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</si>
  <si>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</si>
  <si>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</si>
  <si>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</si>
  <si>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</si>
  <si>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</si>
  <si>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</si>
  <si>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</si>
  <si>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</si>
  <si>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</si>
  <si>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</si>
  <si>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</si>
  <si>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</si>
  <si>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</si>
  <si>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</si>
  <si>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</si>
  <si>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</si>
  <si>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</si>
  <si>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</si>
  <si>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</si>
  <si>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</si>
  <si>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</si>
  <si>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</si>
  <si>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</si>
  <si>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</si>
  <si>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</si>
  <si>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</si>
  <si>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</si>
  <si>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</si>
  <si>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</si>
  <si>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</si>
  <si>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</si>
  <si>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</si>
  <si>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</si>
  <si>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</si>
  <si>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</si>
  <si>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</si>
  <si>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</si>
  <si>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</si>
  <si>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</si>
  <si>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</si>
  <si>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</si>
  <si>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</si>
  <si>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</si>
  <si>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</si>
  <si>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</si>
  <si>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</si>
  <si>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</si>
  <si>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</si>
  <si>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</si>
  <si>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</si>
  <si>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</si>
  <si>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</si>
  <si>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</si>
  <si>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</si>
  <si>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</si>
  <si>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</si>
  <si>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</si>
  <si>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</si>
  <si>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</si>
  <si>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</si>
  <si>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</si>
  <si>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</si>
  <si>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</si>
  <si>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</si>
  <si>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</si>
  <si>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</si>
  <si>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</si>
  <si>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</si>
  <si>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</si>
  <si>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</si>
  <si>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</si>
  <si>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</si>
  <si>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</si>
  <si>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</si>
  <si>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</si>
  <si>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</si>
  <si>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</si>
  <si>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</si>
  <si>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</si>
  <si>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</si>
  <si>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</si>
  <si>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</si>
  <si>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</si>
  <si>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</si>
  <si>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</si>
  <si>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</si>
  <si>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</si>
  <si>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</si>
  <si>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</si>
  <si>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</si>
  <si>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</si>
  <si>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</si>
  <si>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</si>
  <si>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</si>
  <si>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</si>
  <si>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</si>
  <si>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</si>
  <si>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</si>
  <si>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</si>
  <si>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</si>
  <si>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</si>
  <si>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</si>
  <si>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</si>
  <si>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</si>
  <si>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</si>
  <si>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</si>
  <si>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</si>
  <si>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</si>
  <si>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</si>
  <si>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</si>
  <si>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</si>
  <si>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</si>
  <si>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</si>
  <si>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</si>
  <si>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</si>
  <si>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</si>
  <si>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</si>
  <si>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</si>
  <si>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</si>
  <si>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</si>
  <si>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</si>
  <si>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</si>
  <si>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</si>
  <si>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</si>
  <si>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</si>
  <si>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</si>
  <si>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</si>
  <si>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</si>
  <si>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</si>
  <si>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</si>
  <si>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</si>
  <si>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</si>
  <si>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</si>
  <si>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</si>
  <si>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</si>
  <si>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</si>
  <si>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</si>
  <si>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</si>
  <si>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</si>
  <si>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</si>
  <si>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</si>
  <si>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</si>
  <si>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</si>
  <si>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</si>
  <si>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</si>
  <si>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</si>
  <si>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</si>
  <si>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</si>
  <si>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</si>
  <si>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</si>
  <si>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</si>
  <si>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</si>
  <si>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</si>
  <si>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</si>
  <si>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</si>
  <si>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</si>
  <si>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</si>
  <si>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</si>
  <si>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</si>
  <si>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</si>
  <si>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</si>
  <si>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</si>
  <si>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</si>
  <si>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</si>
  <si>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</si>
  <si>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</si>
  <si>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</si>
  <si>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</si>
  <si>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</si>
  <si>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</si>
  <si>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</si>
  <si>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</si>
  <si>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</si>
  <si>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</si>
  <si>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</si>
  <si>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</si>
  <si>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</si>
  <si>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</si>
  <si>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</si>
  <si>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</si>
  <si>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</si>
  <si>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</si>
  <si>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</si>
  <si>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</si>
  <si>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</si>
  <si>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</si>
  <si>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</si>
  <si>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</si>
  <si>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</si>
  <si>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</si>
  <si>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</si>
  <si>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</si>
  <si>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</si>
  <si>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</si>
  <si>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</si>
  <si>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</si>
  <si>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</si>
  <si>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</si>
  <si>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</si>
  <si>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</si>
  <si>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</si>
  <si>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</si>
  <si>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</si>
  <si>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</si>
  <si>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</si>
  <si>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</si>
  <si>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</si>
  <si>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</si>
  <si>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</si>
  <si>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</si>
  <si>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</si>
  <si>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</si>
  <si>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</si>
  <si>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</si>
  <si>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</si>
  <si>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</si>
  <si>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</si>
  <si>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</si>
  <si>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</si>
  <si>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</si>
  <si>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</si>
  <si>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</si>
  <si>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</si>
  <si>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</si>
  <si>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</si>
  <si>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</si>
  <si>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</si>
  <si>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</si>
  <si>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</si>
  <si>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</si>
  <si>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</si>
  <si>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</si>
  <si>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</si>
  <si>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</si>
  <si>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</si>
  <si>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</si>
  <si>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</si>
  <si>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</si>
  <si>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</si>
  <si>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</si>
  <si>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</si>
  <si>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</si>
  <si>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</si>
  <si>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</si>
  <si>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</si>
  <si>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</si>
  <si>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</si>
  <si>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</si>
  <si>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</si>
  <si>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</si>
  <si>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</si>
  <si>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</si>
  <si>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</si>
  <si>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</si>
  <si>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</si>
  <si>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</si>
  <si>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</si>
  <si>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</si>
  <si>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</si>
  <si>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</si>
  <si>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</si>
  <si>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</si>
  <si>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</si>
  <si>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</si>
  <si>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</si>
  <si>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</si>
  <si>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</si>
  <si>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</si>
  <si>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</si>
  <si>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</si>
  <si>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</si>
  <si>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</si>
  <si>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</si>
  <si>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</si>
  <si>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</si>
  <si>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</si>
  <si>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</si>
  <si>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</si>
  <si>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</si>
  <si>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</si>
  <si>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</si>
  <si>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</si>
  <si>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</si>
  <si>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</si>
  <si>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</si>
  <si>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</si>
  <si>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</si>
  <si>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</si>
  <si>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</si>
  <si>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</si>
  <si>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</si>
  <si>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</si>
  <si>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</si>
  <si>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</si>
  <si>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</si>
  <si>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</si>
  <si>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</si>
  <si>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</si>
  <si>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</si>
  <si>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</si>
  <si>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</si>
  <si>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</si>
  <si>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</si>
  <si>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</si>
  <si>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</si>
  <si>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</si>
  <si>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</si>
  <si>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</si>
  <si>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</si>
  <si>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</si>
  <si>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</si>
  <si>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</si>
  <si>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</si>
  <si>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</si>
  <si>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</si>
  <si>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</si>
  <si>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</si>
  <si>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</si>
  <si>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</si>
  <si>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</si>
  <si>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</si>
  <si>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</si>
  <si>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</si>
  <si>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</si>
  <si>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</si>
  <si>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</si>
  <si>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</si>
  <si>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</si>
  <si>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</si>
  <si>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</si>
  <si>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</si>
  <si>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</si>
  <si>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</si>
  <si>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</si>
  <si>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</si>
  <si>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</si>
  <si>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</si>
  <si>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</si>
  <si>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</si>
  <si>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</si>
  <si>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</si>
  <si>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</si>
  <si>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</si>
  <si>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</si>
  <si>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</si>
  <si>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</si>
  <si>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</si>
  <si>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</si>
  <si>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</si>
  <si>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</si>
  <si>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</si>
  <si>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</si>
  <si>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</si>
  <si>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</si>
  <si>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</si>
  <si>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</si>
  <si>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</si>
  <si>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</si>
  <si>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</si>
  <si>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</si>
  <si>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</si>
  <si>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</si>
  <si>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</si>
  <si>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</si>
  <si>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</si>
  <si>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</si>
  <si>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</si>
  <si>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</si>
  <si>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</si>
  <si>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</si>
  <si>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</si>
  <si>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</si>
  <si>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</si>
  <si>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</si>
  <si>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</si>
  <si>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</si>
  <si>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</si>
  <si>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</si>
  <si>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</si>
  <si>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</si>
  <si>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</si>
  <si>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</si>
  <si>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</si>
  <si>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</si>
  <si>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</si>
  <si>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</si>
  <si>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</si>
  <si>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</si>
  <si>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</si>
  <si>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</si>
  <si>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</si>
  <si>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</si>
  <si>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</si>
  <si>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</si>
  <si>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</si>
  <si>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</si>
  <si>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</si>
  <si>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</si>
  <si>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</si>
  <si>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</si>
  <si>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</si>
  <si>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</si>
  <si>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</si>
  <si>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</si>
  <si>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</si>
  <si>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</si>
  <si>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</si>
  <si>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</si>
  <si>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</si>
  <si>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</si>
  <si>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</si>
  <si>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</si>
  <si>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</si>
  <si>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</si>
  <si>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</si>
  <si>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</si>
  <si>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</si>
  <si>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</si>
  <si>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</si>
  <si>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</si>
  <si>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</si>
  <si>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</si>
  <si>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</si>
  <si>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</si>
  <si>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</si>
  <si>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</si>
  <si>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</si>
  <si>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</si>
  <si>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</si>
  <si>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</si>
  <si>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</si>
  <si>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</si>
  <si>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</si>
  <si>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</si>
  <si>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</si>
  <si>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</si>
  <si>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</si>
  <si>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</si>
  <si>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</si>
  <si>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</si>
  <si>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</si>
  <si>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</si>
  <si>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</si>
  <si>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</si>
  <si>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</si>
  <si>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</si>
  <si>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</si>
  <si>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</si>
  <si>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</si>
  <si>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</si>
  <si>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</si>
  <si>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</si>
  <si>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</si>
  <si>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</si>
  <si>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</si>
  <si>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</si>
  <si>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</si>
  <si>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</si>
  <si>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</si>
  <si>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</si>
  <si>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</si>
  <si>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</si>
  <si>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</si>
  <si>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</si>
  <si>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</si>
  <si>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</si>
  <si>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</si>
  <si>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</si>
  <si>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</si>
  <si>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</si>
  <si>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</si>
  <si>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</si>
  <si>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</si>
  <si>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</si>
  <si>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</si>
  <si>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</si>
  <si>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</si>
  <si>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</si>
  <si>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</si>
  <si>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</si>
  <si>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</si>
  <si>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</si>
  <si>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</si>
  <si>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</si>
  <si>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</si>
  <si>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</si>
  <si>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</si>
  <si>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</si>
  <si>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</si>
  <si>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</si>
  <si>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</si>
  <si>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</si>
  <si>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</si>
  <si>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</si>
  <si>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</si>
  <si>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</si>
  <si>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</si>
  <si>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</si>
  <si>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</si>
  <si>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</si>
  <si>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</si>
  <si>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</si>
  <si>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</si>
  <si>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</si>
  <si>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</si>
  <si>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</si>
  <si>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</si>
  <si>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</si>
  <si>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</si>
  <si>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</si>
  <si>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</si>
  <si>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</si>
  <si>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</si>
  <si>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</si>
  <si>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</si>
  <si>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</si>
  <si>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</si>
  <si>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</si>
  <si>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</si>
  <si>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</si>
  <si>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</si>
  <si>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</si>
  <si>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</si>
  <si>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</si>
  <si>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</si>
  <si>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</si>
  <si>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</si>
  <si>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</si>
  <si>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</si>
  <si>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</si>
  <si>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</si>
  <si>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</si>
  <si>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</si>
  <si>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</si>
  <si>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</si>
  <si>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</si>
  <si>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</si>
  <si>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</si>
  <si>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</si>
  <si>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</si>
  <si>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</si>
  <si>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</si>
  <si>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</si>
  <si>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</si>
  <si>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</si>
  <si>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</si>
  <si>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</si>
  <si>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</si>
  <si>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</si>
  <si>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</si>
  <si>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</si>
  <si>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</si>
  <si>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</si>
  <si>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</si>
  <si>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</si>
  <si>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</si>
  <si>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</si>
  <si>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</si>
  <si>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</si>
  <si>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</si>
  <si>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</si>
  <si>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</si>
  <si>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</si>
  <si>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</si>
  <si>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</si>
  <si>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</si>
  <si>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</si>
  <si>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</si>
  <si>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</si>
  <si>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</si>
  <si>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</si>
  <si>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</si>
  <si>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</si>
  <si>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</si>
  <si>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</si>
  <si>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</si>
  <si>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</si>
  <si>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</si>
  <si>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</si>
  <si>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</si>
  <si>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</si>
  <si>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</si>
  <si>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</si>
  <si>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</si>
  <si>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</si>
  <si>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</si>
  <si>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</si>
  <si>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</si>
  <si>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</si>
  <si>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</si>
  <si>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</si>
  <si>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</si>
  <si>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</si>
  <si>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</si>
  <si>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</si>
  <si>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</si>
  <si>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</si>
  <si>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</si>
  <si>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</si>
  <si>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</si>
  <si>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</si>
  <si>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</si>
  <si>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</si>
  <si>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</si>
  <si>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</si>
  <si>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</si>
  <si>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</si>
  <si>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</si>
  <si>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</si>
  <si>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</si>
  <si>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</si>
  <si>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</si>
  <si>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</si>
  <si>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</si>
  <si>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</si>
  <si>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</si>
  <si>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</si>
  <si>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</si>
  <si>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</si>
  <si>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</si>
  <si>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</si>
  <si>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</si>
  <si>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</si>
  <si>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</si>
  <si>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</si>
  <si>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</si>
  <si>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</si>
  <si>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</si>
  <si>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</si>
  <si>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</si>
  <si>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</si>
  <si>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</si>
  <si>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</si>
  <si>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</si>
  <si>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</si>
  <si>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</si>
  <si>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</si>
  <si>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</si>
  <si>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</si>
  <si>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</si>
  <si>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</si>
  <si>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</si>
  <si>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</si>
  <si>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</si>
  <si>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</si>
  <si>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</si>
  <si>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</si>
  <si>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</si>
  <si>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</si>
  <si>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</si>
  <si>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</si>
  <si>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</si>
  <si>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</si>
  <si>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</si>
  <si>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</si>
  <si>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</si>
  <si>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</si>
  <si>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</si>
  <si>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</si>
  <si>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</si>
  <si>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</si>
  <si>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</si>
  <si>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</si>
  <si>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</si>
  <si>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</si>
  <si>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</si>
  <si>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</si>
  <si>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</si>
  <si>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</si>
  <si>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</si>
  <si>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</si>
  <si>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</si>
  <si>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</si>
  <si>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</si>
  <si>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</si>
  <si>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</si>
  <si>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</si>
  <si>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</si>
  <si>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</si>
  <si>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</si>
  <si>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</si>
  <si>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</si>
  <si>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</si>
  <si>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</si>
  <si>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</si>
  <si>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</si>
  <si>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</si>
  <si>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</si>
  <si>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</si>
  <si>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</si>
  <si>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</si>
  <si>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</si>
  <si>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</si>
  <si>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</si>
  <si>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</si>
  <si>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</si>
  <si>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</si>
  <si>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</si>
  <si>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</si>
  <si>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</si>
  <si>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</si>
  <si>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</si>
  <si>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</si>
  <si>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</si>
  <si>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</si>
  <si>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</si>
  <si>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</si>
  <si>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</si>
  <si>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</si>
  <si>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</si>
  <si>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</si>
  <si>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</si>
  <si>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</si>
  <si>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</si>
  <si>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</si>
  <si>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</si>
  <si>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</si>
  <si>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</si>
  <si>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</si>
  <si>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</si>
  <si>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</si>
  <si>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</si>
  <si>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</si>
  <si>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</si>
  <si>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</si>
  <si>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</si>
  <si>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</si>
  <si>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</si>
  <si>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</si>
  <si>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</si>
  <si>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</si>
  <si>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</si>
  <si>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</si>
  <si>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</si>
  <si>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</si>
  <si>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</si>
  <si>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</si>
  <si>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</si>
  <si>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</si>
  <si>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</si>
  <si>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</si>
  <si>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</si>
  <si>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</si>
  <si>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</si>
  <si>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</si>
  <si>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</si>
  <si>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</si>
  <si>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</si>
  <si>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</si>
  <si>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</si>
  <si>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</si>
  <si>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</si>
  <si>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</si>
  <si>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</si>
  <si>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</si>
  <si>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</si>
  <si>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</si>
  <si>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</si>
  <si>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</si>
  <si>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</si>
  <si>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</si>
  <si>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</si>
  <si>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</si>
  <si>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</si>
  <si>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</si>
  <si>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</si>
  <si>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</si>
  <si>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</si>
  <si>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</si>
  <si>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</si>
  <si>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</si>
  <si>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</si>
  <si>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</si>
  <si>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</si>
  <si>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</si>
  <si>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</si>
  <si>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</si>
  <si>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</si>
  <si>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</si>
  <si>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</si>
  <si>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</si>
  <si>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</si>
  <si>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</si>
  <si>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</si>
  <si>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</si>
  <si>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</si>
  <si>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</si>
  <si>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</si>
  <si>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</si>
  <si>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</si>
  <si>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</si>
  <si>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</si>
  <si>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</si>
  <si>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</si>
  <si>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</si>
  <si>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</si>
  <si>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</si>
  <si>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</si>
  <si>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</si>
  <si>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</si>
  <si>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</si>
  <si>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</si>
  <si>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</si>
  <si>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</si>
  <si>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</si>
  <si>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</si>
  <si>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</si>
  <si>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</si>
  <si>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</si>
  <si>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</si>
  <si>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</si>
  <si>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</si>
  <si>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</si>
  <si>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</si>
  <si>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</si>
  <si>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</si>
  <si>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</si>
  <si>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</si>
  <si>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</si>
  <si>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</si>
  <si>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</si>
  <si>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</si>
  <si>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</si>
  <si>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</si>
  <si>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</si>
  <si>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</si>
  <si>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</si>
  <si>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</si>
  <si>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</si>
  <si>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</si>
  <si>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</si>
  <si>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</si>
  <si>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</si>
  <si>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</si>
  <si>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</si>
  <si>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</si>
  <si>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</si>
  <si>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</si>
  <si>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</si>
  <si>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</si>
  <si>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</si>
  <si>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</si>
  <si>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</si>
  <si>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</si>
  <si>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</si>
  <si>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</si>
  <si>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</si>
  <si>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</si>
  <si>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</si>
  <si>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</si>
  <si>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</si>
  <si>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</si>
  <si>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</si>
  <si>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</si>
  <si>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</si>
  <si>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</si>
  <si>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</si>
  <si>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</si>
  <si>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</si>
  <si>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</si>
  <si>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</si>
  <si>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</si>
  <si>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</si>
  <si>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</si>
  <si>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</si>
  <si>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</si>
  <si>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</si>
  <si>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</si>
  <si>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</si>
  <si>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</si>
  <si>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</si>
  <si>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</si>
  <si>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</si>
  <si>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</si>
  <si>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</si>
  <si>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</si>
  <si>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</si>
  <si>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</si>
  <si>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</si>
  <si>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</si>
  <si>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</si>
  <si>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</si>
  <si>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</si>
  <si>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</si>
  <si>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</si>
  <si>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</si>
  <si>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</si>
  <si>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</si>
  <si>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</si>
  <si>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</si>
  <si>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</si>
  <si>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</si>
  <si>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</si>
  <si>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</si>
  <si>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</si>
  <si>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</si>
  <si>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</si>
  <si>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</si>
  <si>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</si>
  <si>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</si>
  <si>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</si>
  <si>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</si>
  <si>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</si>
  <si>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</si>
  <si>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</si>
  <si>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</si>
  <si>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</si>
  <si>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</si>
  <si>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</si>
  <si>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</si>
  <si>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</si>
  <si>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</si>
  <si>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</si>
  <si>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</si>
  <si>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</si>
  <si>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</si>
  <si>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</si>
  <si>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</si>
  <si>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</si>
  <si>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</si>
  <si>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</si>
  <si>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</si>
  <si>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</si>
  <si>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</si>
  <si>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</si>
  <si>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</si>
  <si>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</si>
  <si>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</si>
  <si>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</si>
  <si>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</si>
  <si>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</si>
  <si>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</si>
  <si>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</si>
  <si>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</si>
  <si>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</si>
  <si>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</si>
  <si>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</si>
  <si>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</si>
  <si>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</si>
  <si>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</si>
  <si>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</si>
  <si>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</si>
  <si>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1/9/25: nipocalimab priority review</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</si>
  <si>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</si>
  <si>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</si>
  <si>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</si>
  <si>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</si>
  <si>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</si>
  <si>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</si>
  <si>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</si>
  <si>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</si>
  <si>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</si>
  <si>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</si>
  <si>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</si>
  <si>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</si>
  <si>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</si>
  <si>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</si>
  <si>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</si>
  <si>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</si>
  <si>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</si>
  <si>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</si>
  <si>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</si>
  <si>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</si>
  <si>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</si>
  <si>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</si>
  <si>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</si>
  <si>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</si>
  <si>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</si>
  <si>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</si>
  <si>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</si>
  <si>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</si>
  <si>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</si>
  <si>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</si>
  <si>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</si>
  <si>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</si>
  <si>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</si>
  <si>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</si>
  <si>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</si>
  <si>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</si>
  <si>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</si>
  <si>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</si>
  <si>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</si>
  <si>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</si>
  <si>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</si>
  <si>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</si>
  <si>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</si>
  <si>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</si>
  <si>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</si>
  <si>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</si>
  <si>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</si>
  <si>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</si>
  <si>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</si>
  <si>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</si>
  <si>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</si>
  <si>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</si>
  <si>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</si>
  <si>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</si>
  <si>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</si>
  <si>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</si>
  <si>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</si>
  <si>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</si>
  <si>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</si>
  <si>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</si>
  <si>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</si>
  <si>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</si>
  <si>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</si>
  <si>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</si>
  <si>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</si>
  <si>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</si>
  <si>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</si>
  <si>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</si>
  <si>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</si>
  <si>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</si>
  <si>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</si>
  <si>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</si>
  <si>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</si>
  <si>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</si>
  <si>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</si>
  <si>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</si>
  <si>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</si>
  <si>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</si>
  <si>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</si>
  <si>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</si>
  <si>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</si>
  <si>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</si>
  <si>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</si>
  <si>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</si>
  <si>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</si>
  <si>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</si>
  <si>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</si>
  <si>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</si>
  <si>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</si>
  <si>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</si>
  <si>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</si>
  <si>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</si>
  <si>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</si>
  <si>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</si>
  <si>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</si>
  <si>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</si>
  <si>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</si>
  <si>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</si>
  <si>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</si>
  <si>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</si>
  <si>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</si>
  <si>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</si>
  <si>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</si>
  <si>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</si>
  <si>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</si>
  <si>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</si>
  <si>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</si>
  <si>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</si>
  <si>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</si>
  <si>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</si>
  <si>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</si>
  <si>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</si>
  <si>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</si>
  <si>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</si>
  <si>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</si>
  <si>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</si>
  <si>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</si>
  <si>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</si>
  <si>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</si>
  <si>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</si>
  <si>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</si>
  <si>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</si>
  <si>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</si>
  <si>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</si>
  <si>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</si>
  <si>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</si>
  <si>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</si>
  <si>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</si>
  <si>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</si>
  <si>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</si>
  <si>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</si>
  <si>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</si>
  <si>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</si>
  <si>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</si>
  <si>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</si>
  <si>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</si>
  <si>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</si>
  <si>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</si>
  <si>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</si>
  <si>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</si>
  <si>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</si>
  <si>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</si>
  <si>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</si>
  <si>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</si>
  <si>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</si>
  <si>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</si>
  <si>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</si>
  <si>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</si>
  <si>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</si>
  <si>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</si>
  <si>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</si>
  <si>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</si>
  <si>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</si>
  <si>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</si>
  <si>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</si>
  <si>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</si>
  <si>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</si>
  <si>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</si>
  <si>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</si>
  <si>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</si>
  <si>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</si>
  <si>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</si>
  <si>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</si>
  <si>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</si>
  <si>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</si>
  <si>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</si>
  <si>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</si>
  <si>
    <t>Imaavy (nipocalimab)</t>
  </si>
  <si>
    <t>Vyvgart, IMVT-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</si>
</sst>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155</xdr:col>
      <xdr:colOff>50465</xdr:colOff>
      <xdr:row>0</xdr:row>
      <xdr:rowOff>59531</xdr:rowOff>
    </xdr:from>
    <xdr:to>
      <xdr:col>155</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115</xdr:col>
      <xdr:colOff>26533</xdr:colOff>
      <xdr:row>0</xdr:row>
      <xdr:rowOff>0</xdr:rowOff>
    </xdr:from>
    <xdr:to>
      <xdr:col>115</xdr:col>
      <xdr:colOff>26533</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188689"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8" dT="2022-07-30T15:52:21.07" personId="{B1B0F6F1-FCBF-4ADA-B0C2-E6331D9AF452}" id="{A3206388-7B58-4567-90FD-49B826FAE6FB}">
    <text>Phase III</text>
  </threadedComment>
  <threadedComment ref="EH48" dT="2022-07-30T15:52:25.24" personId="{B1B0F6F1-FCBF-4ADA-B0C2-E6331D9AF452}" id="{C96DF80E-DB02-49F1-A10F-FA660591CCDB}">
    <text>Phase III</text>
  </threadedComment>
  <threadedComment ref="EI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U65" dT="2023-04-23T22:11:55.89" personId="{B1B0F6F1-FCBF-4ADA-B0C2-E6331D9AF452}" id="{81B591DD-1FF9-411C-BAA6-4375EF42A02A}">
    <text>2022 10-K 82584</text>
  </threadedComment>
  <threadedComment ref="EV65" dT="2023-04-23T22:12:02.84" personId="{B1B0F6F1-FCBF-4ADA-B0C2-E6331D9AF452}" id="{17B6C408-6627-42FF-9ADC-D78B6E22BBFE}">
    <text>2022 10-K: 93775</text>
  </threadedComment>
  <threadedComment ref="EW65" dT="2023-04-23T22:12:08.95" personId="{B1B0F6F1-FCBF-4ADA-B0C2-E6331D9AF452}" id="{2B6993CA-2FE9-424C-A2AB-7F7A198D76A3}">
    <text>2022 10-K 94943</text>
  </threadedComment>
  <threadedComment ref="EZ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EZ81" dT="2025-01-25T23:25:33.32" personId="{B1B0F6F1-FCBF-4ADA-B0C2-E6331D9AF452}" id="{F334ADFF-6994-46CA-BD6D-7E5F03FAEE05}">
    <text>Excluding impact of consumer divestiture</text>
  </threadedComment>
  <threadedComment ref="DK82" dT="2025-05-20T20:29:28.48" personId="{B1B0F6F1-FCBF-4ADA-B0C2-E6331D9AF452}" id="{9A166C40-6217-407C-8012-5F5A67933D28}">
    <text>800bps hit from Stelara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1" t="s">
        <v>738</v>
      </c>
      <c r="G30" s="351"/>
      <c r="H30" s="351"/>
      <c r="I30" s="351"/>
      <c r="J30" s="351"/>
      <c r="K30" s="351"/>
      <c r="L30" s="351"/>
      <c r="M30" s="351"/>
      <c r="N30" s="351"/>
      <c r="P30" s="351" t="s">
        <v>644</v>
      </c>
      <c r="Q30" s="351"/>
      <c r="R30" s="351"/>
      <c r="S30" s="351"/>
      <c r="T30" s="351"/>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2013</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2045</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2052</v>
      </c>
    </row>
    <row r="16" spans="1:3" x14ac:dyDescent="0.25">
      <c r="C16" t="s">
        <v>2046</v>
      </c>
    </row>
    <row r="17" spans="3:3" x14ac:dyDescent="0.25">
      <c r="C17" t="s">
        <v>2047</v>
      </c>
    </row>
    <row r="18" spans="3:3" x14ac:dyDescent="0.25">
      <c r="C18" t="s">
        <v>2048</v>
      </c>
    </row>
    <row r="20" spans="3:3" ht="13" x14ac:dyDescent="0.3">
      <c r="C20" s="184" t="s">
        <v>2050</v>
      </c>
    </row>
    <row r="24" spans="3:3" ht="13" x14ac:dyDescent="0.3">
      <c r="C24" s="184" t="s">
        <v>2051</v>
      </c>
    </row>
    <row r="25" spans="3:3" x14ac:dyDescent="0.25">
      <c r="C25" t="s">
        <v>2049</v>
      </c>
    </row>
    <row r="28" spans="3:3" ht="13" x14ac:dyDescent="0.3">
      <c r="C28" s="184" t="s">
        <v>2084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2036</v>
      </c>
    </row>
    <row r="4" spans="1:3" x14ac:dyDescent="0.25">
      <c r="B4" t="s">
        <v>159</v>
      </c>
      <c r="C4" t="s">
        <v>2021</v>
      </c>
    </row>
    <row r="5" spans="1:3" x14ac:dyDescent="0.25">
      <c r="C5" t="s">
        <v>2022</v>
      </c>
    </row>
    <row r="6" spans="1:3" x14ac:dyDescent="0.25">
      <c r="B6" t="s">
        <v>165</v>
      </c>
      <c r="C6" t="s">
        <v>2023</v>
      </c>
    </row>
    <row r="7" spans="1:3" x14ac:dyDescent="0.25">
      <c r="B7" t="s">
        <v>1694</v>
      </c>
      <c r="C7" t="s">
        <v>1903</v>
      </c>
    </row>
    <row r="8" spans="1:3" x14ac:dyDescent="0.25">
      <c r="B8" t="s">
        <v>902</v>
      </c>
      <c r="C8" t="s">
        <v>2097</v>
      </c>
    </row>
    <row r="9" spans="1:3" x14ac:dyDescent="0.25">
      <c r="B9" t="s">
        <v>495</v>
      </c>
      <c r="C9" t="s">
        <v>2024</v>
      </c>
    </row>
    <row r="10" spans="1:3" x14ac:dyDescent="0.25">
      <c r="B10" t="s">
        <v>768</v>
      </c>
      <c r="C10" t="s">
        <v>2025</v>
      </c>
    </row>
    <row r="11" spans="1:3" x14ac:dyDescent="0.25">
      <c r="B11" t="s">
        <v>1107</v>
      </c>
      <c r="C11" t="s">
        <v>2026</v>
      </c>
    </row>
    <row r="12" spans="1:3" x14ac:dyDescent="0.25">
      <c r="B12" t="s">
        <v>773</v>
      </c>
    </row>
    <row r="14" spans="1:3" x14ac:dyDescent="0.25">
      <c r="C14" t="s">
        <v>2027</v>
      </c>
    </row>
    <row r="15" spans="1:3" x14ac:dyDescent="0.25">
      <c r="C15" t="s">
        <v>2028</v>
      </c>
    </row>
    <row r="16" spans="1:3" x14ac:dyDescent="0.25">
      <c r="C16" t="s">
        <v>2029</v>
      </c>
    </row>
    <row r="18" spans="3:3" ht="13" x14ac:dyDescent="0.3">
      <c r="C18" s="347" t="s">
        <v>2037</v>
      </c>
    </row>
    <row r="19" spans="3:3" x14ac:dyDescent="0.25">
      <c r="C19" t="s">
        <v>2030</v>
      </c>
    </row>
    <row r="20" spans="3:3" x14ac:dyDescent="0.25">
      <c r="C20" t="s">
        <v>2031</v>
      </c>
    </row>
    <row r="21" spans="3:3" x14ac:dyDescent="0.25">
      <c r="C21" t="s">
        <v>2032</v>
      </c>
    </row>
    <row r="22" spans="3:3" x14ac:dyDescent="0.25">
      <c r="C22" t="s">
        <v>2038</v>
      </c>
    </row>
    <row r="24" spans="3:3" ht="13" x14ac:dyDescent="0.3">
      <c r="C24" s="347" t="s">
        <v>2033</v>
      </c>
    </row>
    <row r="26" spans="3:3" ht="13" x14ac:dyDescent="0.3">
      <c r="C26" s="347" t="s">
        <v>2034</v>
      </c>
    </row>
    <row r="28" spans="3:3" ht="13" x14ac:dyDescent="0.3">
      <c r="C28" s="347" t="s">
        <v>2035</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2091</v>
      </c>
    </row>
    <row r="3" spans="1:3" x14ac:dyDescent="0.25">
      <c r="B3" t="s">
        <v>1274</v>
      </c>
      <c r="C3" t="s">
        <v>2085</v>
      </c>
    </row>
    <row r="4" spans="1:3" x14ac:dyDescent="0.25">
      <c r="B4" t="s">
        <v>159</v>
      </c>
      <c r="C4" t="s">
        <v>194</v>
      </c>
    </row>
    <row r="5" spans="1:3" x14ac:dyDescent="0.25">
      <c r="B5" t="s">
        <v>902</v>
      </c>
      <c r="C5" t="s">
        <v>2086</v>
      </c>
    </row>
    <row r="6" spans="1:3" x14ac:dyDescent="0.25">
      <c r="B6" t="s">
        <v>489</v>
      </c>
      <c r="C6" t="s">
        <v>2087</v>
      </c>
    </row>
    <row r="7" spans="1:3" x14ac:dyDescent="0.25">
      <c r="B7" t="s">
        <v>773</v>
      </c>
    </row>
    <row r="8" spans="1:3" ht="13" x14ac:dyDescent="0.3">
      <c r="C8" s="184" t="s">
        <v>2089</v>
      </c>
    </row>
    <row r="9" spans="1:3" x14ac:dyDescent="0.25">
      <c r="C9" t="s">
        <v>2088</v>
      </c>
    </row>
    <row r="10" spans="1:3" x14ac:dyDescent="0.25">
      <c r="C10" t="s">
        <v>2090</v>
      </c>
    </row>
    <row r="13" spans="1:3" ht="13" x14ac:dyDescent="0.3">
      <c r="C13" s="184" t="s">
        <v>2092</v>
      </c>
    </row>
    <row r="17" spans="3:3" ht="13" x14ac:dyDescent="0.3">
      <c r="C17" s="184" t="s">
        <v>2093</v>
      </c>
    </row>
    <row r="19" spans="3:3" ht="13" x14ac:dyDescent="0.3">
      <c r="C19" s="184" t="s">
        <v>2094</v>
      </c>
    </row>
    <row r="21" spans="3:3" ht="13" x14ac:dyDescent="0.3">
      <c r="C21" s="184" t="s">
        <v>2095</v>
      </c>
    </row>
    <row r="24" spans="3:3" ht="13" x14ac:dyDescent="0.3">
      <c r="C24" s="184" t="s">
        <v>2096</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2071</v>
      </c>
    </row>
    <row r="5" spans="1:3" x14ac:dyDescent="0.25">
      <c r="B5" t="s">
        <v>902</v>
      </c>
      <c r="C5" t="s">
        <v>2061</v>
      </c>
    </row>
    <row r="6" spans="1:3" x14ac:dyDescent="0.25">
      <c r="C6" t="s">
        <v>2059</v>
      </c>
    </row>
    <row r="7" spans="1:3" x14ac:dyDescent="0.25">
      <c r="B7" t="s">
        <v>489</v>
      </c>
      <c r="C7" t="s">
        <v>2081</v>
      </c>
    </row>
    <row r="8" spans="1:3" x14ac:dyDescent="0.25">
      <c r="B8" t="s">
        <v>495</v>
      </c>
      <c r="C8" t="s">
        <v>2060</v>
      </c>
    </row>
    <row r="9" spans="1:3" x14ac:dyDescent="0.25">
      <c r="B9" t="s">
        <v>773</v>
      </c>
    </row>
    <row r="10" spans="1:3" ht="13" x14ac:dyDescent="0.3">
      <c r="C10" s="184" t="s">
        <v>2062</v>
      </c>
    </row>
    <row r="11" spans="1:3" x14ac:dyDescent="0.25">
      <c r="C11" t="s">
        <v>2066</v>
      </c>
    </row>
    <row r="15" spans="1:3" ht="13" x14ac:dyDescent="0.3">
      <c r="C15" s="184" t="s">
        <v>2063</v>
      </c>
    </row>
    <row r="16" spans="1:3" x14ac:dyDescent="0.25">
      <c r="C16" t="s">
        <v>2065</v>
      </c>
    </row>
    <row r="20" spans="3:4" ht="13" x14ac:dyDescent="0.3">
      <c r="C20" s="184" t="s">
        <v>2064</v>
      </c>
    </row>
    <row r="21" spans="3:4" x14ac:dyDescent="0.25">
      <c r="C21" t="s">
        <v>2067</v>
      </c>
    </row>
    <row r="22" spans="3:4" x14ac:dyDescent="0.25">
      <c r="D22" t="s">
        <v>2068</v>
      </c>
    </row>
    <row r="25" spans="3:4" ht="13" x14ac:dyDescent="0.3">
      <c r="C25" s="184" t="s">
        <v>2070</v>
      </c>
    </row>
    <row r="26" spans="3:4" x14ac:dyDescent="0.25">
      <c r="C26" t="s">
        <v>2069</v>
      </c>
    </row>
    <row r="29" spans="3:4" ht="13" x14ac:dyDescent="0.3">
      <c r="C29" s="184" t="s">
        <v>2072</v>
      </c>
    </row>
    <row r="34" spans="3:3" ht="13" x14ac:dyDescent="0.3">
      <c r="C34" s="184" t="s">
        <v>2073</v>
      </c>
    </row>
    <row r="37" spans="3:3" ht="13" x14ac:dyDescent="0.3">
      <c r="C37" s="184" t="s">
        <v>2074</v>
      </c>
    </row>
    <row r="40" spans="3:3" ht="13" x14ac:dyDescent="0.3">
      <c r="C40" s="184" t="s">
        <v>2075</v>
      </c>
    </row>
    <row r="44" spans="3:3" ht="13" x14ac:dyDescent="0.3">
      <c r="C44" s="184" t="s">
        <v>2078</v>
      </c>
    </row>
    <row r="47" spans="3:3" ht="13" x14ac:dyDescent="0.3">
      <c r="C47" s="184" t="s">
        <v>2079</v>
      </c>
    </row>
    <row r="50" spans="3:3" ht="13" x14ac:dyDescent="0.3">
      <c r="C50" s="184" t="s">
        <v>2080</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2053</v>
      </c>
    </row>
    <row r="7" spans="1:3" x14ac:dyDescent="0.25">
      <c r="B7" t="s">
        <v>768</v>
      </c>
      <c r="C7" t="s">
        <v>1861</v>
      </c>
    </row>
    <row r="8" spans="1:3" x14ac:dyDescent="0.25">
      <c r="B8" t="s">
        <v>773</v>
      </c>
    </row>
    <row r="11" spans="1:3" ht="13" x14ac:dyDescent="0.3">
      <c r="C11" s="184" t="s">
        <v>2054</v>
      </c>
    </row>
    <row r="14" spans="1:3" ht="13" x14ac:dyDescent="0.3">
      <c r="C14" s="184" t="s">
        <v>2055</v>
      </c>
    </row>
    <row r="17" spans="3:3" ht="13" x14ac:dyDescent="0.3">
      <c r="C17" s="184" t="s">
        <v>2056</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2104</v>
      </c>
    </row>
    <row r="4" spans="1:11" x14ac:dyDescent="0.25">
      <c r="B4" t="s">
        <v>159</v>
      </c>
      <c r="C4" t="s">
        <v>177</v>
      </c>
    </row>
    <row r="5" spans="1:11" x14ac:dyDescent="0.25">
      <c r="B5" t="s">
        <v>768</v>
      </c>
      <c r="C5" t="s">
        <v>2105</v>
      </c>
    </row>
    <row r="6" spans="1:11" x14ac:dyDescent="0.25">
      <c r="B6" t="s">
        <v>1694</v>
      </c>
      <c r="C6" t="s">
        <v>2106</v>
      </c>
    </row>
    <row r="7" spans="1:11" x14ac:dyDescent="0.25">
      <c r="B7" t="s">
        <v>495</v>
      </c>
      <c r="C7" t="s">
        <v>2107</v>
      </c>
    </row>
    <row r="8" spans="1:11" x14ac:dyDescent="0.25">
      <c r="B8" t="s">
        <v>732</v>
      </c>
      <c r="C8" t="s">
        <v>2108</v>
      </c>
    </row>
    <row r="9" spans="1:11" x14ac:dyDescent="0.25">
      <c r="B9" t="s">
        <v>165</v>
      </c>
      <c r="C9" t="s">
        <v>2109</v>
      </c>
    </row>
    <row r="10" spans="1:11" x14ac:dyDescent="0.25">
      <c r="C10" t="s">
        <v>2110</v>
      </c>
    </row>
    <row r="11" spans="1:11" x14ac:dyDescent="0.25">
      <c r="C11" t="s">
        <v>2111</v>
      </c>
    </row>
    <row r="12" spans="1:11" x14ac:dyDescent="0.25">
      <c r="B12" t="s">
        <v>106</v>
      </c>
      <c r="C12" t="s">
        <v>2112</v>
      </c>
    </row>
    <row r="13" spans="1:11" x14ac:dyDescent="0.25">
      <c r="C13" t="s">
        <v>2113</v>
      </c>
    </row>
    <row r="14" spans="1:11" x14ac:dyDescent="0.25">
      <c r="B14" t="s">
        <v>527</v>
      </c>
      <c r="C14" t="s">
        <v>2114</v>
      </c>
    </row>
    <row r="15" spans="1:11" x14ac:dyDescent="0.25">
      <c r="B15" t="s">
        <v>773</v>
      </c>
    </row>
    <row r="16" spans="1:11" ht="13" x14ac:dyDescent="0.3">
      <c r="C16" s="347" t="s">
        <v>2115</v>
      </c>
      <c r="H16" s="347" t="s">
        <v>2116</v>
      </c>
      <c r="K16" s="347" t="s">
        <v>2117</v>
      </c>
    </row>
    <row r="17" spans="3:11" ht="13" x14ac:dyDescent="0.3">
      <c r="C17" s="348" t="s">
        <v>2118</v>
      </c>
      <c r="E17" t="s">
        <v>2119</v>
      </c>
      <c r="K17" s="349" t="s">
        <v>2120</v>
      </c>
    </row>
    <row r="18" spans="3:11" ht="13" x14ac:dyDescent="0.3">
      <c r="C18" s="349" t="s">
        <v>2121</v>
      </c>
      <c r="K18" t="s">
        <v>2122</v>
      </c>
    </row>
    <row r="19" spans="3:11" x14ac:dyDescent="0.25">
      <c r="C19" t="s">
        <v>2123</v>
      </c>
    </row>
    <row r="20" spans="3:11" x14ac:dyDescent="0.25">
      <c r="C20" t="s">
        <v>2124</v>
      </c>
    </row>
    <row r="21" spans="3:11" x14ac:dyDescent="0.25">
      <c r="C21" t="s">
        <v>2125</v>
      </c>
    </row>
    <row r="22" spans="3:11" x14ac:dyDescent="0.25">
      <c r="C22" t="s">
        <v>2126</v>
      </c>
    </row>
    <row r="23" spans="3:11" ht="13" x14ac:dyDescent="0.3">
      <c r="C23" s="349" t="s">
        <v>2127</v>
      </c>
    </row>
    <row r="25" spans="3:11" x14ac:dyDescent="0.25">
      <c r="C25" s="348" t="s">
        <v>2128</v>
      </c>
    </row>
    <row r="26" spans="3:11" x14ac:dyDescent="0.25">
      <c r="C26" t="s">
        <v>2129</v>
      </c>
      <c r="H26" t="s">
        <v>2129</v>
      </c>
    </row>
    <row r="27" spans="3:11" x14ac:dyDescent="0.25">
      <c r="C27" t="s">
        <v>2130</v>
      </c>
    </row>
    <row r="28" spans="3:11" x14ac:dyDescent="0.25">
      <c r="C28" t="s">
        <v>2131</v>
      </c>
    </row>
    <row r="29" spans="3:11" x14ac:dyDescent="0.25">
      <c r="C29" t="s">
        <v>2132</v>
      </c>
    </row>
    <row r="30" spans="3:11" x14ac:dyDescent="0.25">
      <c r="C30" t="s">
        <v>2133</v>
      </c>
    </row>
    <row r="31" spans="3:11" ht="13" x14ac:dyDescent="0.3">
      <c r="C31" s="349" t="s">
        <v>2134</v>
      </c>
      <c r="H31" s="349" t="s">
        <v>2135</v>
      </c>
    </row>
    <row r="33" spans="3:3" x14ac:dyDescent="0.25">
      <c r="C33" s="348" t="s">
        <v>2136</v>
      </c>
    </row>
    <row r="34" spans="3:3" x14ac:dyDescent="0.25">
      <c r="C34" t="s">
        <v>2137</v>
      </c>
    </row>
    <row r="35" spans="3:3" x14ac:dyDescent="0.25">
      <c r="C35" t="s">
        <v>2138</v>
      </c>
    </row>
    <row r="36" spans="3:3" x14ac:dyDescent="0.25">
      <c r="C36" t="s">
        <v>2139</v>
      </c>
    </row>
    <row r="37" spans="3:3" x14ac:dyDescent="0.25">
      <c r="C37" t="s">
        <v>2140</v>
      </c>
    </row>
    <row r="38" spans="3:3" x14ac:dyDescent="0.25">
      <c r="C38" t="s">
        <v>2141</v>
      </c>
    </row>
    <row r="39" spans="3:3" ht="13" x14ac:dyDescent="0.3">
      <c r="C39" s="349" t="s">
        <v>2142</v>
      </c>
    </row>
    <row r="42" spans="3:3" ht="13" x14ac:dyDescent="0.3">
      <c r="C42" s="347" t="s">
        <v>2148</v>
      </c>
    </row>
    <row r="43" spans="3:3" x14ac:dyDescent="0.25">
      <c r="C43" t="s">
        <v>2145</v>
      </c>
    </row>
    <row r="45" spans="3:3" ht="13" x14ac:dyDescent="0.3">
      <c r="C45" s="347" t="s">
        <v>2149</v>
      </c>
    </row>
    <row r="48" spans="3:3" ht="13" x14ac:dyDescent="0.3">
      <c r="C48" s="347" t="s">
        <v>2143</v>
      </c>
    </row>
    <row r="51" spans="3:3" ht="13" x14ac:dyDescent="0.3">
      <c r="C51" s="347" t="s">
        <v>2150</v>
      </c>
    </row>
    <row r="53" spans="3:3" ht="13" x14ac:dyDescent="0.3">
      <c r="C53" s="347" t="s">
        <v>2151</v>
      </c>
    </row>
    <row r="56" spans="3:3" ht="13" x14ac:dyDescent="0.3">
      <c r="C56" s="184" t="s">
        <v>2146</v>
      </c>
    </row>
    <row r="59" spans="3:3" x14ac:dyDescent="0.25">
      <c r="C59" t="s">
        <v>2147</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2103</v>
      </c>
    </row>
    <row r="5" spans="1:3" x14ac:dyDescent="0.25">
      <c r="C5" t="s">
        <v>2102</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2158</v>
      </c>
    </row>
    <row r="14" spans="1:3" x14ac:dyDescent="0.25">
      <c r="C14" t="s">
        <v>2161</v>
      </c>
    </row>
    <row r="15" spans="1:3" x14ac:dyDescent="0.25">
      <c r="C15" t="s">
        <v>2160</v>
      </c>
    </row>
    <row r="16" spans="1:3" x14ac:dyDescent="0.25">
      <c r="C16" t="s">
        <v>2159</v>
      </c>
    </row>
    <row r="18" spans="3:10" ht="13" x14ac:dyDescent="0.3">
      <c r="C18" s="184" t="s">
        <v>2040</v>
      </c>
    </row>
    <row r="19" spans="3:10" x14ac:dyDescent="0.25">
      <c r="C19" t="s">
        <v>2041</v>
      </c>
      <c r="J19" s="3"/>
    </row>
    <row r="20" spans="3:10" x14ac:dyDescent="0.25">
      <c r="C20" t="s">
        <v>2042</v>
      </c>
    </row>
    <row r="22" spans="3:10" ht="13" x14ac:dyDescent="0.3">
      <c r="C22" s="184" t="s">
        <v>2101</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2" t="s">
        <v>1285</v>
      </c>
      <c r="M51" s="352"/>
      <c r="N51" s="352" t="s">
        <v>1286</v>
      </c>
      <c r="O51" s="352"/>
      <c r="P51" s="352" t="s">
        <v>455</v>
      </c>
      <c r="Q51" s="352"/>
      <c r="R51" s="352" t="s">
        <v>456</v>
      </c>
      <c r="S51" s="352"/>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2002</v>
      </c>
    </row>
    <row r="3" spans="1:3" x14ac:dyDescent="0.25">
      <c r="B3" t="s">
        <v>1274</v>
      </c>
      <c r="C3" t="s">
        <v>2001</v>
      </c>
    </row>
    <row r="4" spans="1:3" x14ac:dyDescent="0.25">
      <c r="B4" t="s">
        <v>159</v>
      </c>
      <c r="C4" t="s">
        <v>1930</v>
      </c>
    </row>
    <row r="5" spans="1:3" x14ac:dyDescent="0.25">
      <c r="B5" t="s">
        <v>1694</v>
      </c>
      <c r="C5" t="s">
        <v>2003</v>
      </c>
    </row>
    <row r="6" spans="1:3" x14ac:dyDescent="0.25">
      <c r="B6" t="s">
        <v>902</v>
      </c>
      <c r="C6" t="s">
        <v>2154</v>
      </c>
    </row>
    <row r="7" spans="1:3" x14ac:dyDescent="0.25">
      <c r="B7" t="s">
        <v>773</v>
      </c>
    </row>
    <row r="8" spans="1:3" ht="13" x14ac:dyDescent="0.3">
      <c r="C8" s="184" t="s">
        <v>2155</v>
      </c>
    </row>
    <row r="9" spans="1:3" x14ac:dyDescent="0.25">
      <c r="C9" t="s">
        <v>2006</v>
      </c>
    </row>
    <row r="10" spans="1:3" x14ac:dyDescent="0.25">
      <c r="C10" t="s">
        <v>2007</v>
      </c>
    </row>
    <row r="11" spans="1:3" x14ac:dyDescent="0.25">
      <c r="C11" t="s">
        <v>2008</v>
      </c>
    </row>
    <row r="14" spans="1:3" ht="13" x14ac:dyDescent="0.3">
      <c r="C14" s="184" t="s">
        <v>2005</v>
      </c>
    </row>
    <row r="15" spans="1:3" x14ac:dyDescent="0.25">
      <c r="C15" t="s">
        <v>2004</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2016</v>
      </c>
    </row>
    <row r="3" spans="1:3" x14ac:dyDescent="0.25">
      <c r="A3" s="5"/>
      <c r="B3" s="93" t="s">
        <v>2017</v>
      </c>
    </row>
    <row r="4" spans="1:3" x14ac:dyDescent="0.25">
      <c r="A4" s="5"/>
      <c r="B4" s="93" t="s">
        <v>2018</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Model!EJ16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1762</v>
      </c>
      <c r="C81" t="s">
        <v>1601</v>
      </c>
    </row>
    <row r="82" spans="2:7" x14ac:dyDescent="0.25">
      <c r="B82" t="s">
        <v>1575</v>
      </c>
      <c r="C82" t="s">
        <v>1576</v>
      </c>
    </row>
    <row r="83" spans="2:7" x14ac:dyDescent="0.25">
      <c r="B83" t="s">
        <v>1577</v>
      </c>
      <c r="D83" t="s">
        <v>1578</v>
      </c>
    </row>
    <row r="84" spans="2:7" x14ac:dyDescent="0.25">
      <c r="B84" t="s">
        <v>224</v>
      </c>
      <c r="E84" t="s">
        <v>214</v>
      </c>
    </row>
    <row r="85" spans="2:7" x14ac:dyDescent="0.25">
      <c r="B85" t="s">
        <v>1587</v>
      </c>
    </row>
    <row r="86" spans="2:7" x14ac:dyDescent="0.25">
      <c r="B86" t="s">
        <v>244</v>
      </c>
      <c r="E86" t="s">
        <v>245</v>
      </c>
    </row>
    <row r="87" spans="2:7" x14ac:dyDescent="0.25">
      <c r="C87" t="s">
        <v>1542</v>
      </c>
      <c r="E87" t="s">
        <v>1543</v>
      </c>
      <c r="G87" t="s">
        <v>172</v>
      </c>
    </row>
    <row r="88" spans="2:7" x14ac:dyDescent="0.25">
      <c r="C88" t="s">
        <v>1580</v>
      </c>
      <c r="E88" t="s">
        <v>1581</v>
      </c>
    </row>
    <row r="89" spans="2:7" x14ac:dyDescent="0.25">
      <c r="C89" t="s">
        <v>1593</v>
      </c>
      <c r="E89" t="s">
        <v>1620</v>
      </c>
    </row>
    <row r="91" spans="2:7" x14ac:dyDescent="0.25">
      <c r="B91" t="s">
        <v>1231</v>
      </c>
    </row>
    <row r="92" spans="2:7" x14ac:dyDescent="0.25">
      <c r="B92" t="s">
        <v>1232</v>
      </c>
    </row>
    <row r="93" spans="2:7" x14ac:dyDescent="0.25">
      <c r="B93" t="s">
        <v>1233</v>
      </c>
    </row>
    <row r="94" spans="2:7" x14ac:dyDescent="0.25">
      <c r="B94" t="s">
        <v>1301</v>
      </c>
    </row>
    <row r="95" spans="2:7" x14ac:dyDescent="0.25">
      <c r="B95" t="s">
        <v>1334</v>
      </c>
    </row>
    <row r="96" spans="2:7" x14ac:dyDescent="0.25">
      <c r="B96" t="s">
        <v>1335</v>
      </c>
    </row>
    <row r="97" spans="2:7" x14ac:dyDescent="0.25">
      <c r="B97" t="s">
        <v>1336</v>
      </c>
    </row>
    <row r="98" spans="2:7" x14ac:dyDescent="0.25">
      <c r="B98" t="s">
        <v>1337</v>
      </c>
    </row>
    <row r="99" spans="2:7" x14ac:dyDescent="0.25">
      <c r="B99" s="310" t="s">
        <v>1757</v>
      </c>
      <c r="C99" s="254"/>
      <c r="D99" s="254" t="s">
        <v>1758</v>
      </c>
      <c r="E99" s="254" t="s">
        <v>1759</v>
      </c>
      <c r="F99" s="254" t="s">
        <v>170</v>
      </c>
      <c r="G99" s="329" t="s">
        <v>709</v>
      </c>
    </row>
    <row r="100" spans="2:7" x14ac:dyDescent="0.25">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P109"/>
  <sheetViews>
    <sheetView tabSelected="1" zoomScale="130" zoomScaleNormal="130" workbookViewId="0">
      <selection activeCell="L3" sqref="L3"/>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54296875" customWidth="1"/>
    <col min="10" max="10" width="2.81640625" customWidth="1"/>
    <col min="11" max="11" width="7.26953125" customWidth="1"/>
    <col min="13" max="13" width="6.453125" customWidth="1"/>
  </cols>
  <sheetData>
    <row r="1" spans="2:16" ht="10.5" customHeight="1" x14ac:dyDescent="0.25"/>
    <row r="2" spans="2:16" x14ac:dyDescent="0.25">
      <c r="B2" s="306" t="s">
        <v>158</v>
      </c>
      <c r="C2" s="323" t="s">
        <v>159</v>
      </c>
      <c r="D2" s="307" t="s">
        <v>160</v>
      </c>
      <c r="E2" s="307" t="s">
        <v>161</v>
      </c>
      <c r="F2" s="307" t="s">
        <v>162</v>
      </c>
      <c r="G2" s="332" t="s">
        <v>770</v>
      </c>
      <c r="H2" s="327" t="s">
        <v>163</v>
      </c>
      <c r="K2" t="s">
        <v>155</v>
      </c>
      <c r="L2" s="292">
        <v>149</v>
      </c>
      <c r="M2" s="254"/>
    </row>
    <row r="3" spans="2:16" x14ac:dyDescent="0.25">
      <c r="B3" s="308" t="s">
        <v>530</v>
      </c>
      <c r="C3" t="s">
        <v>177</v>
      </c>
      <c r="D3" s="254" t="s">
        <v>1786</v>
      </c>
      <c r="E3" s="254" t="s">
        <v>1419</v>
      </c>
      <c r="F3" s="254" t="s">
        <v>398</v>
      </c>
      <c r="G3" s="163">
        <v>40081</v>
      </c>
      <c r="H3" s="324" t="s">
        <v>1940</v>
      </c>
      <c r="K3" t="s">
        <v>260</v>
      </c>
      <c r="L3" s="79">
        <v>2406</v>
      </c>
      <c r="M3" s="76" t="s">
        <v>1948</v>
      </c>
    </row>
    <row r="4" spans="2:16" x14ac:dyDescent="0.25">
      <c r="B4" s="311" t="s">
        <v>1674</v>
      </c>
      <c r="C4" t="s">
        <v>194</v>
      </c>
      <c r="D4" s="254" t="s">
        <v>1787</v>
      </c>
      <c r="E4" s="277" t="s">
        <v>1778</v>
      </c>
      <c r="F4" s="254" t="s">
        <v>168</v>
      </c>
      <c r="G4" s="163">
        <v>42324</v>
      </c>
      <c r="H4" s="312" t="s">
        <v>957</v>
      </c>
      <c r="K4" t="s">
        <v>262</v>
      </c>
      <c r="L4" s="79">
        <f>L3*L2</f>
        <v>358494</v>
      </c>
      <c r="M4" s="254"/>
    </row>
    <row r="5" spans="2:16" x14ac:dyDescent="0.25">
      <c r="B5" s="308" t="s">
        <v>1856</v>
      </c>
      <c r="C5" t="s">
        <v>194</v>
      </c>
      <c r="D5" s="254" t="s">
        <v>1857</v>
      </c>
      <c r="E5" s="277" t="s">
        <v>1778</v>
      </c>
      <c r="F5" s="254" t="s">
        <v>398</v>
      </c>
      <c r="G5" s="305">
        <v>44856</v>
      </c>
      <c r="H5" s="312" t="s">
        <v>957</v>
      </c>
      <c r="K5" t="s">
        <v>157</v>
      </c>
      <c r="L5" s="79">
        <v>38781</v>
      </c>
      <c r="M5" s="76" t="s">
        <v>1948</v>
      </c>
    </row>
    <row r="6" spans="2:16" x14ac:dyDescent="0.25">
      <c r="B6" s="311" t="s">
        <v>1905</v>
      </c>
      <c r="C6" t="s">
        <v>194</v>
      </c>
      <c r="D6" s="254" t="s">
        <v>1903</v>
      </c>
      <c r="E6" s="277" t="s">
        <v>1902</v>
      </c>
      <c r="F6" s="254" t="s">
        <v>168</v>
      </c>
      <c r="G6" s="163">
        <v>44620</v>
      </c>
      <c r="H6" s="312"/>
      <c r="K6" t="s">
        <v>263</v>
      </c>
      <c r="L6" s="79">
        <v>52252</v>
      </c>
      <c r="M6" s="76" t="s">
        <v>1948</v>
      </c>
    </row>
    <row r="7" spans="2:16" x14ac:dyDescent="0.25">
      <c r="B7" s="311" t="s">
        <v>838</v>
      </c>
      <c r="C7" t="s">
        <v>169</v>
      </c>
      <c r="D7" s="254" t="s">
        <v>1781</v>
      </c>
      <c r="E7" s="277" t="s">
        <v>172</v>
      </c>
      <c r="F7" s="277" t="s">
        <v>1270</v>
      </c>
      <c r="G7" s="163">
        <v>40025</v>
      </c>
      <c r="H7" s="312"/>
      <c r="K7" t="s">
        <v>264</v>
      </c>
      <c r="L7" s="79">
        <f>L4-L5+L6</f>
        <v>371965</v>
      </c>
      <c r="M7" s="254"/>
    </row>
    <row r="8" spans="2:16" x14ac:dyDescent="0.25">
      <c r="B8" s="311" t="s">
        <v>191</v>
      </c>
      <c r="C8" t="s">
        <v>1418</v>
      </c>
      <c r="D8" s="254" t="s">
        <v>192</v>
      </c>
      <c r="E8" s="277" t="s">
        <v>1481</v>
      </c>
      <c r="F8" s="254" t="s">
        <v>170</v>
      </c>
      <c r="G8" s="76">
        <v>2011</v>
      </c>
      <c r="H8" s="312"/>
      <c r="M8" s="254"/>
    </row>
    <row r="9" spans="2:16" x14ac:dyDescent="0.25">
      <c r="B9" s="311" t="s">
        <v>1560</v>
      </c>
      <c r="C9" t="s">
        <v>1842</v>
      </c>
      <c r="D9" s="254" t="s">
        <v>1734</v>
      </c>
      <c r="E9" s="277" t="s">
        <v>1790</v>
      </c>
      <c r="F9" s="277" t="s">
        <v>170</v>
      </c>
      <c r="G9" s="76">
        <v>2013</v>
      </c>
      <c r="H9" s="312"/>
      <c r="L9" s="292"/>
      <c r="M9" s="254"/>
    </row>
    <row r="10" spans="2:16" x14ac:dyDescent="0.25">
      <c r="B10" s="311" t="s">
        <v>178</v>
      </c>
      <c r="C10" t="s">
        <v>179</v>
      </c>
      <c r="D10" s="254" t="s">
        <v>1788</v>
      </c>
      <c r="E10" s="277" t="s">
        <v>1477</v>
      </c>
      <c r="F10" s="277" t="s">
        <v>168</v>
      </c>
      <c r="G10" s="163">
        <v>36031</v>
      </c>
      <c r="H10" s="312" t="s">
        <v>957</v>
      </c>
      <c r="K10" t="s">
        <v>1863</v>
      </c>
      <c r="L10" s="3"/>
      <c r="M10" s="254"/>
    </row>
    <row r="11" spans="2:16" x14ac:dyDescent="0.25">
      <c r="B11" s="311" t="s">
        <v>729</v>
      </c>
      <c r="C11" t="s">
        <v>623</v>
      </c>
      <c r="D11" s="254" t="s">
        <v>1788</v>
      </c>
      <c r="E11" s="277" t="s">
        <v>1478</v>
      </c>
      <c r="F11" s="254" t="s">
        <v>398</v>
      </c>
      <c r="G11" s="163">
        <v>39927</v>
      </c>
      <c r="H11" s="312" t="s">
        <v>957</v>
      </c>
      <c r="K11" t="s">
        <v>1866</v>
      </c>
      <c r="M11" s="254"/>
      <c r="N11" s="254"/>
      <c r="O11" s="254"/>
      <c r="P11" s="254"/>
    </row>
    <row r="12" spans="2:16" x14ac:dyDescent="0.25">
      <c r="B12" s="311" t="s">
        <v>1684</v>
      </c>
      <c r="C12" t="s">
        <v>2071</v>
      </c>
      <c r="D12" s="254" t="s">
        <v>1547</v>
      </c>
      <c r="E12" s="277">
        <v>1</v>
      </c>
      <c r="F12" s="254" t="s">
        <v>398</v>
      </c>
      <c r="G12" s="163">
        <v>42929</v>
      </c>
      <c r="H12" s="312" t="s">
        <v>957</v>
      </c>
      <c r="K12" t="s">
        <v>1989</v>
      </c>
    </row>
    <row r="13" spans="2:16" x14ac:dyDescent="0.25">
      <c r="B13" s="311" t="s">
        <v>570</v>
      </c>
      <c r="C13" t="s">
        <v>188</v>
      </c>
      <c r="D13" s="254" t="s">
        <v>189</v>
      </c>
      <c r="E13" s="277">
        <v>1</v>
      </c>
      <c r="F13" s="277" t="s">
        <v>170</v>
      </c>
      <c r="G13" s="76"/>
      <c r="H13" s="312" t="s">
        <v>190</v>
      </c>
      <c r="K13" t="s">
        <v>1971</v>
      </c>
    </row>
    <row r="14" spans="2:16" x14ac:dyDescent="0.25">
      <c r="B14" s="311" t="s">
        <v>1551</v>
      </c>
      <c r="C14" t="s">
        <v>225</v>
      </c>
      <c r="D14" s="254" t="s">
        <v>837</v>
      </c>
      <c r="E14" s="277" t="s">
        <v>226</v>
      </c>
      <c r="F14" s="277" t="s">
        <v>170</v>
      </c>
      <c r="G14" s="76"/>
      <c r="H14" s="312"/>
      <c r="K14" t="s">
        <v>1984</v>
      </c>
    </row>
    <row r="15" spans="2:16" x14ac:dyDescent="0.25">
      <c r="B15" s="311" t="s">
        <v>1811</v>
      </c>
      <c r="C15" t="s">
        <v>1812</v>
      </c>
      <c r="D15" s="254" t="s">
        <v>1813</v>
      </c>
      <c r="E15" s="277" t="s">
        <v>1822</v>
      </c>
      <c r="F15" s="277" t="s">
        <v>170</v>
      </c>
      <c r="G15" s="163">
        <v>44273</v>
      </c>
      <c r="H15" s="312"/>
    </row>
    <row r="16" spans="2:16" x14ac:dyDescent="0.25">
      <c r="B16" s="328" t="s">
        <v>1876</v>
      </c>
      <c r="C16" t="s">
        <v>1877</v>
      </c>
      <c r="D16" s="254" t="s">
        <v>1758</v>
      </c>
      <c r="E16" s="277"/>
      <c r="F16" s="277" t="s">
        <v>170</v>
      </c>
      <c r="G16" s="76"/>
      <c r="H16" s="312"/>
      <c r="K16" t="s">
        <v>1993</v>
      </c>
    </row>
    <row r="17" spans="2:11" x14ac:dyDescent="0.25">
      <c r="B17" s="308" t="s">
        <v>176</v>
      </c>
      <c r="C17" t="s">
        <v>169</v>
      </c>
      <c r="D17" s="254" t="s">
        <v>1781</v>
      </c>
      <c r="E17" s="277" t="s">
        <v>1275</v>
      </c>
      <c r="F17" s="277" t="s">
        <v>1270</v>
      </c>
      <c r="G17" s="76"/>
      <c r="H17" s="312" t="s">
        <v>1276</v>
      </c>
      <c r="K17" t="s">
        <v>2012</v>
      </c>
    </row>
    <row r="18" spans="2:11" x14ac:dyDescent="0.25">
      <c r="B18" s="308" t="s">
        <v>1480</v>
      </c>
      <c r="C18" t="s">
        <v>214</v>
      </c>
      <c r="D18" s="254" t="s">
        <v>217</v>
      </c>
      <c r="E18" s="277">
        <v>1</v>
      </c>
      <c r="F18" s="254" t="s">
        <v>170</v>
      </c>
      <c r="G18" s="76"/>
      <c r="H18" s="309" t="s">
        <v>1425</v>
      </c>
      <c r="K18" t="s">
        <v>2039</v>
      </c>
    </row>
    <row r="19" spans="2:11" x14ac:dyDescent="0.25">
      <c r="B19" s="311" t="s">
        <v>213</v>
      </c>
      <c r="C19" t="s">
        <v>214</v>
      </c>
      <c r="D19" s="254" t="s">
        <v>197</v>
      </c>
      <c r="E19" s="277">
        <v>1</v>
      </c>
      <c r="F19" s="254" t="s">
        <v>170</v>
      </c>
      <c r="G19" s="76"/>
      <c r="H19" s="312">
        <v>2015</v>
      </c>
      <c r="K19" t="s">
        <v>2076</v>
      </c>
    </row>
    <row r="20" spans="2:11" x14ac:dyDescent="0.25">
      <c r="B20" s="311" t="s">
        <v>216</v>
      </c>
      <c r="C20" t="s">
        <v>214</v>
      </c>
      <c r="D20" s="254" t="s">
        <v>217</v>
      </c>
      <c r="E20" s="277">
        <v>1</v>
      </c>
      <c r="F20" s="254" t="s">
        <v>170</v>
      </c>
      <c r="G20" s="76"/>
      <c r="H20" s="312" t="s">
        <v>23</v>
      </c>
      <c r="K20" t="s">
        <v>2082</v>
      </c>
    </row>
    <row r="21" spans="2:11" x14ac:dyDescent="0.25">
      <c r="B21" s="308" t="s">
        <v>1479</v>
      </c>
      <c r="C21" t="s">
        <v>839</v>
      </c>
      <c r="D21" s="254" t="s">
        <v>874</v>
      </c>
      <c r="E21" s="277">
        <v>1</v>
      </c>
      <c r="F21" s="254" t="s">
        <v>170</v>
      </c>
      <c r="G21" s="76">
        <v>2011</v>
      </c>
      <c r="H21" s="312" t="s">
        <v>873</v>
      </c>
    </row>
    <row r="22" spans="2:11" x14ac:dyDescent="0.25">
      <c r="B22" s="325" t="s">
        <v>1878</v>
      </c>
      <c r="C22" t="s">
        <v>839</v>
      </c>
      <c r="E22" s="277">
        <v>1</v>
      </c>
      <c r="F22" s="254" t="s">
        <v>170</v>
      </c>
      <c r="G22" s="76"/>
      <c r="H22" s="312"/>
      <c r="K22" t="s">
        <v>2163</v>
      </c>
    </row>
    <row r="23" spans="2:11" x14ac:dyDescent="0.25">
      <c r="B23" s="325" t="s">
        <v>1900</v>
      </c>
      <c r="C23" t="s">
        <v>1901</v>
      </c>
      <c r="D23" s="254" t="s">
        <v>1904</v>
      </c>
      <c r="E23" s="277">
        <v>1</v>
      </c>
      <c r="F23" s="254" t="s">
        <v>1561</v>
      </c>
      <c r="G23" s="76"/>
      <c r="H23" s="312"/>
      <c r="K23" t="s">
        <v>2162</v>
      </c>
    </row>
    <row r="24" spans="2:11" x14ac:dyDescent="0.25">
      <c r="B24" s="343" t="s">
        <v>1963</v>
      </c>
      <c r="C24" s="256" t="s">
        <v>194</v>
      </c>
      <c r="D24" s="254" t="s">
        <v>1906</v>
      </c>
      <c r="E24" s="277"/>
      <c r="F24" s="254"/>
      <c r="G24" s="163">
        <v>45147</v>
      </c>
      <c r="H24" s="312"/>
    </row>
    <row r="25" spans="2:11" x14ac:dyDescent="0.25">
      <c r="B25" s="325" t="s">
        <v>1907</v>
      </c>
      <c r="E25" s="277"/>
      <c r="F25" s="254"/>
      <c r="G25" s="76"/>
      <c r="H25" s="312"/>
    </row>
    <row r="26" spans="2:11" x14ac:dyDescent="0.25">
      <c r="B26" s="310" t="s">
        <v>1741</v>
      </c>
      <c r="C26" t="s">
        <v>1742</v>
      </c>
      <c r="D26" s="254" t="s">
        <v>1743</v>
      </c>
      <c r="E26" s="254" t="s">
        <v>709</v>
      </c>
      <c r="F26" s="254" t="s">
        <v>170</v>
      </c>
      <c r="G26" s="163">
        <v>41261</v>
      </c>
      <c r="H26" s="309"/>
    </row>
    <row r="27" spans="2:11" x14ac:dyDescent="0.25">
      <c r="B27" s="343" t="s">
        <v>2166</v>
      </c>
      <c r="C27" s="254" t="s">
        <v>1955</v>
      </c>
      <c r="D27" s="254" t="s">
        <v>1899</v>
      </c>
      <c r="E27" s="254"/>
      <c r="F27" s="254"/>
      <c r="G27" s="163">
        <v>45777</v>
      </c>
      <c r="H27" s="309" t="s">
        <v>2167</v>
      </c>
    </row>
    <row r="28" spans="2:11" x14ac:dyDescent="0.25">
      <c r="B28" s="350" t="s">
        <v>1898</v>
      </c>
      <c r="C28" s="315" t="s">
        <v>1930</v>
      </c>
      <c r="D28" s="316" t="s">
        <v>2153</v>
      </c>
      <c r="E28" s="317"/>
      <c r="F28" s="316"/>
      <c r="G28" s="333"/>
      <c r="H28" s="326"/>
    </row>
    <row r="29" spans="2:11" x14ac:dyDescent="0.25">
      <c r="B29" s="306" t="s">
        <v>158</v>
      </c>
      <c r="C29" s="307" t="s">
        <v>159</v>
      </c>
      <c r="D29" s="307" t="s">
        <v>160</v>
      </c>
      <c r="E29" s="307" t="s">
        <v>164</v>
      </c>
      <c r="F29" s="307" t="s">
        <v>162</v>
      </c>
      <c r="G29" s="307" t="s">
        <v>165</v>
      </c>
      <c r="H29" s="327" t="s">
        <v>161</v>
      </c>
    </row>
    <row r="30" spans="2:11" x14ac:dyDescent="0.25">
      <c r="B30" s="343" t="s">
        <v>1969</v>
      </c>
      <c r="C30" s="254" t="s">
        <v>1965</v>
      </c>
      <c r="D30" s="254" t="s">
        <v>1970</v>
      </c>
      <c r="E30" s="254" t="s">
        <v>1966</v>
      </c>
      <c r="F30" s="254"/>
      <c r="G30" s="254" t="s">
        <v>1967</v>
      </c>
      <c r="H30" s="312" t="s">
        <v>1968</v>
      </c>
    </row>
    <row r="31" spans="2:11" x14ac:dyDescent="0.25">
      <c r="H31" s="329"/>
    </row>
    <row r="32" spans="2:11" x14ac:dyDescent="0.25">
      <c r="B32" s="343" t="s">
        <v>2144</v>
      </c>
      <c r="C32" s="254" t="s">
        <v>177</v>
      </c>
      <c r="D32" s="254" t="s">
        <v>1547</v>
      </c>
      <c r="E32" s="254" t="s">
        <v>1759</v>
      </c>
      <c r="F32" s="254" t="s">
        <v>170</v>
      </c>
      <c r="G32" s="254"/>
      <c r="H32" s="312" t="s">
        <v>1919</v>
      </c>
    </row>
    <row r="33" spans="2:8" x14ac:dyDescent="0.25">
      <c r="B33" s="310" t="s">
        <v>1752</v>
      </c>
      <c r="C33" s="254" t="s">
        <v>1753</v>
      </c>
      <c r="E33" s="254"/>
      <c r="F33" s="254"/>
      <c r="G33" t="s">
        <v>1962</v>
      </c>
      <c r="H33" s="329" t="s">
        <v>1768</v>
      </c>
    </row>
    <row r="34" spans="2:8" x14ac:dyDescent="0.25">
      <c r="B34" s="310" t="s">
        <v>1915</v>
      </c>
      <c r="C34" s="254" t="s">
        <v>1916</v>
      </c>
      <c r="E34" s="254" t="s">
        <v>212</v>
      </c>
      <c r="F34" s="254"/>
      <c r="G34" s="254"/>
      <c r="H34" s="329"/>
    </row>
    <row r="35" spans="2:8" x14ac:dyDescent="0.25">
      <c r="B35" s="310" t="s">
        <v>1883</v>
      </c>
      <c r="C35" s="254" t="s">
        <v>255</v>
      </c>
      <c r="D35" s="254" t="s">
        <v>1884</v>
      </c>
      <c r="E35" s="254" t="s">
        <v>212</v>
      </c>
      <c r="F35" s="254" t="s">
        <v>170</v>
      </c>
      <c r="G35" s="254"/>
      <c r="H35" s="329"/>
    </row>
    <row r="36" spans="2:8" ht="13" x14ac:dyDescent="0.3">
      <c r="B36" s="310" t="s">
        <v>1908</v>
      </c>
      <c r="C36" s="254" t="s">
        <v>245</v>
      </c>
      <c r="D36" s="254" t="s">
        <v>1909</v>
      </c>
      <c r="E36" s="336"/>
      <c r="F36" s="336"/>
      <c r="G36" s="336"/>
      <c r="H36" s="330"/>
    </row>
    <row r="37" spans="2:8" ht="13" x14ac:dyDescent="0.3">
      <c r="B37" s="310" t="s">
        <v>1910</v>
      </c>
      <c r="C37" s="254" t="s">
        <v>1586</v>
      </c>
      <c r="D37" s="254" t="s">
        <v>1911</v>
      </c>
      <c r="E37" s="254" t="s">
        <v>238</v>
      </c>
      <c r="F37" s="337"/>
      <c r="G37" s="337"/>
      <c r="H37" s="331"/>
    </row>
    <row r="38" spans="2:8" x14ac:dyDescent="0.25">
      <c r="B38" s="310" t="s">
        <v>1912</v>
      </c>
      <c r="C38" s="254" t="s">
        <v>1586</v>
      </c>
      <c r="D38" s="254" t="s">
        <v>1913</v>
      </c>
      <c r="E38" s="254"/>
      <c r="F38" s="254"/>
      <c r="G38" s="254"/>
      <c r="H38" s="329"/>
    </row>
    <row r="39" spans="2:8" x14ac:dyDescent="0.25">
      <c r="B39" s="310" t="s">
        <v>1914</v>
      </c>
      <c r="C39" s="254" t="s">
        <v>1917</v>
      </c>
      <c r="D39"/>
      <c r="E39" s="254" t="s">
        <v>1759</v>
      </c>
      <c r="H39" s="309"/>
    </row>
    <row r="40" spans="2:8" x14ac:dyDescent="0.25">
      <c r="B40" s="310" t="s">
        <v>1918</v>
      </c>
      <c r="C40" s="254" t="s">
        <v>1930</v>
      </c>
      <c r="D40" s="254" t="s">
        <v>1929</v>
      </c>
      <c r="H40" s="309"/>
    </row>
    <row r="41" spans="2:8" x14ac:dyDescent="0.25">
      <c r="B41" s="310" t="s">
        <v>1544</v>
      </c>
      <c r="C41" s="254" t="s">
        <v>1327</v>
      </c>
      <c r="D41" s="254" t="s">
        <v>1545</v>
      </c>
      <c r="E41" s="254" t="s">
        <v>212</v>
      </c>
      <c r="F41" s="254" t="s">
        <v>398</v>
      </c>
      <c r="G41" s="254"/>
      <c r="H41" s="329">
        <v>1</v>
      </c>
    </row>
    <row r="42" spans="2:8" x14ac:dyDescent="0.25">
      <c r="B42" s="310" t="s">
        <v>1931</v>
      </c>
      <c r="C42" s="254" t="s">
        <v>1932</v>
      </c>
      <c r="D42" s="254" t="s">
        <v>1933</v>
      </c>
      <c r="E42" s="254"/>
      <c r="F42" s="254"/>
      <c r="G42" s="254"/>
      <c r="H42" s="329"/>
    </row>
    <row r="43" spans="2:8" x14ac:dyDescent="0.25">
      <c r="B43" s="310" t="s">
        <v>1426</v>
      </c>
      <c r="C43" s="254" t="s">
        <v>1427</v>
      </c>
      <c r="E43" s="254" t="s">
        <v>212</v>
      </c>
      <c r="F43" s="254"/>
      <c r="G43" s="254"/>
      <c r="H43" s="309"/>
    </row>
    <row r="44" spans="2:8" x14ac:dyDescent="0.25">
      <c r="B44" s="310" t="s">
        <v>1328</v>
      </c>
      <c r="C44" s="254" t="s">
        <v>243</v>
      </c>
      <c r="E44" s="254" t="s">
        <v>212</v>
      </c>
      <c r="F44" s="254"/>
      <c r="G44" s="254"/>
      <c r="H44" s="309"/>
    </row>
    <row r="45" spans="2:8" x14ac:dyDescent="0.25">
      <c r="B45" s="310" t="s">
        <v>319</v>
      </c>
      <c r="C45" s="254" t="s">
        <v>320</v>
      </c>
      <c r="D45" s="254" t="s">
        <v>1430</v>
      </c>
      <c r="E45" s="254" t="s">
        <v>212</v>
      </c>
      <c r="F45" s="254"/>
      <c r="G45" s="254"/>
      <c r="H45" s="309"/>
    </row>
    <row r="46" spans="2:8" x14ac:dyDescent="0.25">
      <c r="B46" s="310" t="s">
        <v>1923</v>
      </c>
      <c r="C46" s="254" t="s">
        <v>1924</v>
      </c>
      <c r="E46" s="254"/>
      <c r="F46" s="254"/>
      <c r="G46" s="254"/>
      <c r="H46" s="309"/>
    </row>
    <row r="47" spans="2:8" x14ac:dyDescent="0.25">
      <c r="B47" s="310" t="s">
        <v>1952</v>
      </c>
      <c r="C47" s="254" t="s">
        <v>1954</v>
      </c>
      <c r="D47" s="254" t="s">
        <v>1953</v>
      </c>
      <c r="E47" s="254" t="s">
        <v>1759</v>
      </c>
      <c r="F47" s="254"/>
      <c r="G47" s="254"/>
      <c r="H47" s="309"/>
    </row>
    <row r="48" spans="2:8" x14ac:dyDescent="0.25">
      <c r="B48" s="310" t="s">
        <v>1925</v>
      </c>
      <c r="C48" s="254" t="s">
        <v>839</v>
      </c>
      <c r="E48" s="254"/>
      <c r="F48" s="254"/>
      <c r="G48" s="254"/>
      <c r="H48" s="309"/>
    </row>
    <row r="49" spans="2:8" x14ac:dyDescent="0.25">
      <c r="B49" s="310" t="s">
        <v>1926</v>
      </c>
      <c r="C49" s="254" t="s">
        <v>1928</v>
      </c>
      <c r="D49" s="254" t="s">
        <v>1927</v>
      </c>
      <c r="E49" s="254"/>
      <c r="F49" s="254"/>
      <c r="G49" s="254"/>
      <c r="H49" s="309"/>
    </row>
    <row r="50" spans="2:8" x14ac:dyDescent="0.25">
      <c r="B50" s="310" t="s">
        <v>1921</v>
      </c>
      <c r="C50" s="254" t="s">
        <v>1922</v>
      </c>
      <c r="E50" s="254"/>
      <c r="F50" s="254"/>
      <c r="G50" s="254"/>
      <c r="H50" s="309"/>
    </row>
    <row r="51" spans="2:8" x14ac:dyDescent="0.25">
      <c r="B51" s="310" t="s">
        <v>1920</v>
      </c>
      <c r="C51" s="254"/>
      <c r="E51" s="254"/>
      <c r="F51" s="254"/>
      <c r="G51" s="254"/>
      <c r="H51" s="309"/>
    </row>
    <row r="52" spans="2:8" x14ac:dyDescent="0.25">
      <c r="B52" s="310" t="s">
        <v>1431</v>
      </c>
      <c r="C52" s="254" t="s">
        <v>169</v>
      </c>
      <c r="D52" s="254" t="s">
        <v>1559</v>
      </c>
      <c r="E52" s="254" t="s">
        <v>212</v>
      </c>
      <c r="F52" s="254"/>
      <c r="G52" s="254"/>
      <c r="H52" s="312"/>
    </row>
    <row r="53" spans="2:8" x14ac:dyDescent="0.25">
      <c r="B53" s="310" t="s">
        <v>1533</v>
      </c>
      <c r="C53" s="254" t="s">
        <v>1534</v>
      </c>
      <c r="D53" s="254" t="s">
        <v>1535</v>
      </c>
      <c r="E53" s="254" t="s">
        <v>212</v>
      </c>
      <c r="F53" s="254" t="s">
        <v>170</v>
      </c>
      <c r="G53" s="254"/>
      <c r="H53" s="312" t="s">
        <v>1536</v>
      </c>
    </row>
    <row r="54" spans="2:8" x14ac:dyDescent="0.25">
      <c r="B54" s="310" t="s">
        <v>1429</v>
      </c>
      <c r="C54" s="254" t="s">
        <v>169</v>
      </c>
      <c r="E54" s="254" t="s">
        <v>212</v>
      </c>
      <c r="F54" s="254"/>
      <c r="G54" s="254"/>
      <c r="H54" s="309"/>
    </row>
    <row r="55" spans="2:8" x14ac:dyDescent="0.25">
      <c r="B55" s="310" t="s">
        <v>2098</v>
      </c>
      <c r="C55" s="254" t="s">
        <v>2099</v>
      </c>
      <c r="D55" s="254" t="s">
        <v>2100</v>
      </c>
      <c r="E55" s="254" t="s">
        <v>238</v>
      </c>
      <c r="F55" s="254"/>
      <c r="G55" s="254"/>
      <c r="H55" s="309"/>
    </row>
    <row r="56" spans="2:8" x14ac:dyDescent="0.25">
      <c r="B56" s="310" t="s">
        <v>1330</v>
      </c>
      <c r="C56" s="254" t="s">
        <v>1331</v>
      </c>
      <c r="E56" s="254" t="s">
        <v>238</v>
      </c>
      <c r="F56" s="254"/>
      <c r="G56" s="254"/>
      <c r="H56" s="309"/>
    </row>
    <row r="57" spans="2:8" x14ac:dyDescent="0.25">
      <c r="B57" s="310" t="s">
        <v>830</v>
      </c>
      <c r="C57" s="254" t="s">
        <v>237</v>
      </c>
      <c r="D57" s="254" t="s">
        <v>831</v>
      </c>
      <c r="E57" s="254" t="s">
        <v>238</v>
      </c>
      <c r="F57" s="254"/>
      <c r="G57" s="254"/>
      <c r="H57" s="329">
        <v>1</v>
      </c>
    </row>
    <row r="58" spans="2:8" x14ac:dyDescent="0.25">
      <c r="B58" s="310" t="s">
        <v>1329</v>
      </c>
      <c r="C58" s="254"/>
      <c r="E58" s="254" t="s">
        <v>238</v>
      </c>
      <c r="F58" s="254"/>
      <c r="G58" s="254"/>
      <c r="H58" s="329"/>
    </row>
    <row r="59" spans="2:8" x14ac:dyDescent="0.25">
      <c r="B59" s="310" t="s">
        <v>1402</v>
      </c>
      <c r="C59" s="254" t="s">
        <v>236</v>
      </c>
      <c r="D59" s="254" t="s">
        <v>1404</v>
      </c>
      <c r="E59" s="254" t="s">
        <v>238</v>
      </c>
      <c r="F59" s="254" t="s">
        <v>1405</v>
      </c>
      <c r="G59" s="254"/>
      <c r="H59" s="329">
        <v>1</v>
      </c>
    </row>
    <row r="60" spans="2:8" x14ac:dyDescent="0.25">
      <c r="B60" s="310" t="s">
        <v>1403</v>
      </c>
      <c r="C60" s="254" t="s">
        <v>236</v>
      </c>
      <c r="D60" s="254" t="s">
        <v>1404</v>
      </c>
      <c r="E60" s="254" t="s">
        <v>238</v>
      </c>
      <c r="F60" s="254" t="s">
        <v>1405</v>
      </c>
      <c r="G60" s="254"/>
      <c r="H60" s="329">
        <v>1</v>
      </c>
    </row>
    <row r="61" spans="2:8" x14ac:dyDescent="0.25">
      <c r="B61" s="310" t="s">
        <v>1338</v>
      </c>
      <c r="C61" s="254"/>
      <c r="E61" s="254" t="s">
        <v>238</v>
      </c>
      <c r="F61" s="254" t="s">
        <v>1339</v>
      </c>
      <c r="G61" s="254"/>
      <c r="H61" s="329">
        <v>1</v>
      </c>
    </row>
    <row r="62" spans="2:8" x14ac:dyDescent="0.25">
      <c r="B62" s="310" t="s">
        <v>1980</v>
      </c>
      <c r="C62" s="254" t="s">
        <v>1543</v>
      </c>
      <c r="D62" s="254" t="s">
        <v>1981</v>
      </c>
      <c r="E62" s="254" t="s">
        <v>212</v>
      </c>
      <c r="F62" s="254"/>
      <c r="G62" s="254"/>
      <c r="H62" s="329"/>
    </row>
    <row r="63" spans="2:8" x14ac:dyDescent="0.25">
      <c r="B63" s="310" t="s">
        <v>832</v>
      </c>
      <c r="C63" s="254" t="s">
        <v>237</v>
      </c>
      <c r="D63" s="254" t="s">
        <v>833</v>
      </c>
      <c r="E63" s="254" t="s">
        <v>238</v>
      </c>
      <c r="F63" s="254"/>
      <c r="G63" s="254"/>
      <c r="H63" s="309"/>
    </row>
    <row r="64" spans="2:8" x14ac:dyDescent="0.25">
      <c r="B64" s="310" t="s">
        <v>834</v>
      </c>
      <c r="C64" s="254" t="s">
        <v>237</v>
      </c>
      <c r="D64" s="254" t="s">
        <v>835</v>
      </c>
      <c r="E64" s="254" t="s">
        <v>238</v>
      </c>
      <c r="F64" s="254"/>
      <c r="G64" s="254"/>
      <c r="H64" s="309"/>
    </row>
    <row r="65" spans="2:8" x14ac:dyDescent="0.25">
      <c r="B65" s="310" t="s">
        <v>1982</v>
      </c>
      <c r="C65" s="254" t="s">
        <v>1543</v>
      </c>
      <c r="D65" s="254" t="s">
        <v>1983</v>
      </c>
      <c r="E65" s="254" t="s">
        <v>238</v>
      </c>
      <c r="F65" s="254"/>
      <c r="G65" s="254"/>
      <c r="H65" s="309"/>
    </row>
    <row r="66" spans="2:8" x14ac:dyDescent="0.25">
      <c r="B66" s="310" t="s">
        <v>1881</v>
      </c>
      <c r="C66" s="254" t="s">
        <v>194</v>
      </c>
      <c r="D66" s="254" t="s">
        <v>1882</v>
      </c>
      <c r="E66" s="254"/>
      <c r="F66" s="254"/>
      <c r="G66" s="254"/>
      <c r="H66" s="309"/>
    </row>
    <row r="67" spans="2:8" x14ac:dyDescent="0.25">
      <c r="B67" s="310" t="s">
        <v>1879</v>
      </c>
      <c r="C67" s="254" t="s">
        <v>1880</v>
      </c>
      <c r="E67" s="254" t="s">
        <v>238</v>
      </c>
      <c r="F67" s="254"/>
      <c r="G67" s="254"/>
      <c r="H67" s="309"/>
    </row>
    <row r="68" spans="2:8" x14ac:dyDescent="0.25">
      <c r="B68" s="310" t="s">
        <v>248</v>
      </c>
      <c r="C68" s="254" t="s">
        <v>169</v>
      </c>
      <c r="D68" s="254" t="s">
        <v>249</v>
      </c>
      <c r="E68" s="254" t="s">
        <v>238</v>
      </c>
      <c r="F68" s="254"/>
      <c r="G68" s="254"/>
      <c r="H68" s="309"/>
    </row>
    <row r="69" spans="2:8" x14ac:dyDescent="0.25">
      <c r="B69" s="310" t="s">
        <v>20</v>
      </c>
      <c r="C69" s="254" t="s">
        <v>225</v>
      </c>
      <c r="D69" s="254" t="s">
        <v>1335</v>
      </c>
      <c r="E69" s="254" t="s">
        <v>238</v>
      </c>
      <c r="F69" s="254" t="s">
        <v>398</v>
      </c>
      <c r="G69" s="254"/>
      <c r="H69" s="329">
        <v>1</v>
      </c>
    </row>
    <row r="70" spans="2:8" x14ac:dyDescent="0.25">
      <c r="B70" s="310" t="s">
        <v>252</v>
      </c>
      <c r="C70" s="254" t="s">
        <v>225</v>
      </c>
      <c r="E70" s="254" t="s">
        <v>238</v>
      </c>
      <c r="F70" s="254" t="s">
        <v>170</v>
      </c>
      <c r="G70" s="254"/>
      <c r="H70" s="312" t="s">
        <v>253</v>
      </c>
    </row>
    <row r="71" spans="2:8" x14ac:dyDescent="0.25">
      <c r="B71" s="310" t="s">
        <v>254</v>
      </c>
      <c r="C71" s="254" t="s">
        <v>255</v>
      </c>
      <c r="D71" s="254" t="s">
        <v>256</v>
      </c>
      <c r="E71" s="254" t="s">
        <v>238</v>
      </c>
      <c r="F71" s="254"/>
      <c r="G71" s="254"/>
      <c r="H71" s="309"/>
    </row>
    <row r="72" spans="2:8" x14ac:dyDescent="0.25">
      <c r="B72" s="318" t="s">
        <v>257</v>
      </c>
      <c r="C72" s="316" t="s">
        <v>258</v>
      </c>
      <c r="D72" s="316"/>
      <c r="E72" s="316" t="s">
        <v>238</v>
      </c>
      <c r="F72" s="316" t="s">
        <v>170</v>
      </c>
      <c r="G72" s="316"/>
      <c r="H72" s="319"/>
    </row>
    <row r="74" spans="2:8" x14ac:dyDescent="0.25">
      <c r="B74" s="2" t="s">
        <v>1990</v>
      </c>
      <c r="C74" s="2" t="s">
        <v>228</v>
      </c>
      <c r="D74" s="172" t="s">
        <v>229</v>
      </c>
      <c r="E74" s="172" t="s">
        <v>234</v>
      </c>
      <c r="F74" s="172" t="s">
        <v>233</v>
      </c>
    </row>
    <row r="75" spans="2:8" x14ac:dyDescent="0.25">
      <c r="B75" s="2" t="s">
        <v>231</v>
      </c>
      <c r="C75" s="2" t="s">
        <v>247</v>
      </c>
      <c r="D75" s="172" t="s">
        <v>1333</v>
      </c>
    </row>
    <row r="76" spans="2:8" ht="13" x14ac:dyDescent="0.3">
      <c r="B76" t="s">
        <v>1112</v>
      </c>
      <c r="H76" s="248" t="s">
        <v>1979</v>
      </c>
    </row>
    <row r="77" spans="2:8" ht="13" x14ac:dyDescent="0.3">
      <c r="H77" s="248" t="s">
        <v>1978</v>
      </c>
    </row>
    <row r="78" spans="2:8" ht="13" x14ac:dyDescent="0.3">
      <c r="H78" s="248" t="s">
        <v>1994</v>
      </c>
    </row>
    <row r="79" spans="2:8" ht="13" x14ac:dyDescent="0.3">
      <c r="H79" s="248" t="s">
        <v>1998</v>
      </c>
    </row>
    <row r="80" spans="2:8" ht="13" x14ac:dyDescent="0.3">
      <c r="H80" s="248" t="s">
        <v>1999</v>
      </c>
    </row>
    <row r="81" spans="8:8" ht="13" x14ac:dyDescent="0.3">
      <c r="H81" s="248" t="s">
        <v>2000</v>
      </c>
    </row>
    <row r="82" spans="8:8" ht="13" x14ac:dyDescent="0.3">
      <c r="H82" s="248" t="s">
        <v>2009</v>
      </c>
    </row>
    <row r="83" spans="8:8" ht="13" x14ac:dyDescent="0.3">
      <c r="H83" s="248" t="s">
        <v>2010</v>
      </c>
    </row>
    <row r="84" spans="8:8" ht="13" x14ac:dyDescent="0.3">
      <c r="H84" s="248" t="s">
        <v>2011</v>
      </c>
    </row>
    <row r="85" spans="8:8" ht="13" x14ac:dyDescent="0.3">
      <c r="H85" s="248" t="s">
        <v>2014</v>
      </c>
    </row>
    <row r="86" spans="8:8" ht="13" x14ac:dyDescent="0.3">
      <c r="H86" s="248" t="s">
        <v>2015</v>
      </c>
    </row>
    <row r="87" spans="8:8" ht="13" x14ac:dyDescent="0.3">
      <c r="H87" s="248" t="s">
        <v>2019</v>
      </c>
    </row>
    <row r="88" spans="8:8" ht="13" x14ac:dyDescent="0.3">
      <c r="H88" s="248" t="s">
        <v>2020</v>
      </c>
    </row>
    <row r="89" spans="8:8" ht="13" x14ac:dyDescent="0.3">
      <c r="H89" s="248" t="s">
        <v>2043</v>
      </c>
    </row>
    <row r="90" spans="8:8" ht="13" x14ac:dyDescent="0.3">
      <c r="H90" s="248" t="s">
        <v>2044</v>
      </c>
    </row>
    <row r="91" spans="8:8" ht="13" x14ac:dyDescent="0.3">
      <c r="H91" s="248" t="s">
        <v>2057</v>
      </c>
    </row>
    <row r="92" spans="8:8" ht="13" x14ac:dyDescent="0.3">
      <c r="H92" s="248" t="s">
        <v>2058</v>
      </c>
    </row>
    <row r="93" spans="8:8" ht="13" x14ac:dyDescent="0.3">
      <c r="H93" s="248" t="s">
        <v>2077</v>
      </c>
    </row>
    <row r="94" spans="8:8" ht="13" x14ac:dyDescent="0.3">
      <c r="H94" s="248" t="s">
        <v>2083</v>
      </c>
    </row>
    <row r="95" spans="8:8" ht="13" x14ac:dyDescent="0.3">
      <c r="H95" s="248" t="s">
        <v>2156</v>
      </c>
    </row>
    <row r="96" spans="8:8" ht="13" x14ac:dyDescent="0.3">
      <c r="H96" s="248" t="s">
        <v>2152</v>
      </c>
    </row>
    <row r="97" spans="8:8" ht="13" x14ac:dyDescent="0.3">
      <c r="H97" s="248" t="s">
        <v>2157</v>
      </c>
    </row>
    <row r="98" spans="8:8" x14ac:dyDescent="0.25">
      <c r="H98" t="s">
        <v>1958</v>
      </c>
    </row>
    <row r="99" spans="8:8" x14ac:dyDescent="0.25">
      <c r="H99" t="s">
        <v>1864</v>
      </c>
    </row>
    <row r="100" spans="8:8" x14ac:dyDescent="0.25">
      <c r="H100" t="s">
        <v>1865</v>
      </c>
    </row>
    <row r="101" spans="8:8" x14ac:dyDescent="0.25">
      <c r="H101" t="s">
        <v>1868</v>
      </c>
    </row>
    <row r="102" spans="8:8" x14ac:dyDescent="0.25">
      <c r="H102" t="s">
        <v>1836</v>
      </c>
    </row>
    <row r="103" spans="8:8" x14ac:dyDescent="0.25">
      <c r="H103" t="s">
        <v>1852</v>
      </c>
    </row>
    <row r="104" spans="8:8" x14ac:dyDescent="0.25">
      <c r="H104" t="s">
        <v>1853</v>
      </c>
    </row>
    <row r="105" spans="8:8" x14ac:dyDescent="0.25">
      <c r="H105" t="s">
        <v>1870</v>
      </c>
    </row>
    <row r="106" spans="8:8" x14ac:dyDescent="0.25">
      <c r="H106" t="s">
        <v>1871</v>
      </c>
    </row>
    <row r="107" spans="8:8" ht="13" x14ac:dyDescent="0.3">
      <c r="H107" s="1" t="s">
        <v>1869</v>
      </c>
    </row>
    <row r="108" spans="8:8" x14ac:dyDescent="0.25">
      <c r="H108" t="s">
        <v>1785</v>
      </c>
    </row>
    <row r="109" spans="8:8" x14ac:dyDescent="0.25">
      <c r="H109"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4" location="Cardiovascular!A1" display="Cardiovascular" xr:uid="{00000000-0004-0000-0600-00000B000000}"/>
    <hyperlink ref="C74" location="Vision!A1" display="Vision" xr:uid="{00000000-0004-0000-0600-00000C000000}"/>
    <hyperlink ref="B75" location="Consumer!A1" display="Consumer" xr:uid="{00000000-0004-0000-0600-00000D000000}"/>
    <hyperlink ref="C75" location="Acquisitions!A1" display="Acquisitions" xr:uid="{00000000-0004-0000-0600-00000E000000}"/>
    <hyperlink ref="F74" location="EndoSurgery!A1" display="EndoSurgery" xr:uid="{00000000-0004-0000-0600-000013000000}"/>
    <hyperlink ref="E74"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4"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5"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30" location="'TAR-200'!A1" display="TAR-200 (gemcitabine)" xr:uid="{B67D77E6-DEE4-4E3E-A5DD-06C87A647AA6}"/>
    <hyperlink ref="B27"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2" location="icotrokinra!A1" display="icotrokinra (JNJ-2113, fka JNJ-77242113/PN-235)" xr:uid="{D2619E8D-B06E-4BC9-8687-A3816615451C}"/>
    <hyperlink ref="B28"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6"/>
  <sheetViews>
    <sheetView zoomScale="160" zoomScaleNormal="160" workbookViewId="0">
      <pane xSplit="2" ySplit="2" topLeftCell="DH64" activePane="bottomRight" state="frozen"/>
      <selection pane="topRight" activeCell="Q1" sqref="Q1"/>
      <selection pane="bottomLeft" activeCell="A3" sqref="A3"/>
      <selection pane="bottomRight"/>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18" width="8" style="76" customWidth="1"/>
    <col min="120" max="124" width="1.26953125" style="76" customWidth="1"/>
    <col min="125" max="141" width="0.453125" style="76" customWidth="1"/>
    <col min="142" max="151" width="7.81640625" style="76" customWidth="1"/>
    <col min="152" max="166" width="8.453125" customWidth="1"/>
    <col min="167" max="167" width="11.26953125" bestFit="1" customWidth="1"/>
    <col min="168" max="168" width="10.7265625" customWidth="1"/>
    <col min="169" max="169" width="10.453125" customWidth="1"/>
    <col min="170" max="170" width="8.453125" customWidth="1"/>
  </cols>
  <sheetData>
    <row r="1" spans="1:169" ht="12.75" customHeight="1" x14ac:dyDescent="0.25">
      <c r="A1" s="2" t="s">
        <v>154</v>
      </c>
      <c r="EV1" s="254"/>
      <c r="EW1" s="254"/>
      <c r="EX1" s="254"/>
      <c r="EY1" s="254"/>
      <c r="EZ1" s="254"/>
      <c r="FA1" s="254"/>
      <c r="FB1" s="254"/>
      <c r="FC1" s="254"/>
      <c r="FD1" s="254"/>
      <c r="FE1" s="254"/>
      <c r="FF1" s="254"/>
      <c r="FG1" s="254"/>
      <c r="FH1" s="254"/>
      <c r="FI1" s="254"/>
      <c r="FJ1" s="254"/>
    </row>
    <row r="2" spans="1:169"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f t="shared" ref="DL3" si="8">+DH3*0.8</f>
        <v>314.40000000000003</v>
      </c>
      <c r="DM3" s="243">
        <f t="shared" ref="DM3" si="9">+DI3*0.8</f>
        <v>335.52</v>
      </c>
      <c r="DN3" s="243">
        <f t="shared" ref="DN3" si="10">+DJ3*0.8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1">SUM(DC3:DF3)</f>
        <v>1839.4</v>
      </c>
      <c r="EY3" s="235">
        <f>SUM(DG3:DJ3)</f>
        <v>1605.4</v>
      </c>
      <c r="EZ3" s="235">
        <f>SUM(DK3:DN3)</f>
        <v>1404.1200000000001</v>
      </c>
      <c r="FA3" s="235">
        <f t="shared" ref="FA3" si="12">EZ3*0.95</f>
        <v>1333.914</v>
      </c>
      <c r="FB3" s="235">
        <f t="shared" ref="FB3" si="13">FA3*0.95</f>
        <v>1267.2183</v>
      </c>
      <c r="FC3" s="235">
        <f t="shared" ref="FC3" si="14">FB3*0.95</f>
        <v>1203.857385</v>
      </c>
      <c r="FD3" s="235">
        <f t="shared" ref="FD3" si="15">FC3*0.95</f>
        <v>1143.66451575</v>
      </c>
      <c r="FE3" s="235">
        <f t="shared" ref="FE3:FJ3" si="16">FD3*0.95</f>
        <v>1086.4812899624999</v>
      </c>
      <c r="FF3" s="235">
        <f t="shared" si="16"/>
        <v>1032.1572254643747</v>
      </c>
      <c r="FG3" s="235">
        <f t="shared" si="16"/>
        <v>980.54936419115597</v>
      </c>
      <c r="FH3" s="235">
        <f t="shared" si="16"/>
        <v>931.52189598159816</v>
      </c>
      <c r="FI3" s="235">
        <f t="shared" si="16"/>
        <v>884.94580118251827</v>
      </c>
      <c r="FJ3" s="235">
        <f t="shared" si="16"/>
        <v>840.69851112339234</v>
      </c>
      <c r="FL3"/>
      <c r="FM3"/>
    </row>
    <row r="4" spans="1:169"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f t="shared" ref="DL4" si="17">+DG4*0.95</f>
        <v>526.29999999999995</v>
      </c>
      <c r="DM4" s="243">
        <f t="shared" ref="DM4" si="18">+DH4*0.95</f>
        <v>510.15</v>
      </c>
      <c r="DN4" s="243">
        <f t="shared" ref="DN4" si="19">+DI4*0.95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0">EP4*1.05</f>
        <v>1370.9850000000001</v>
      </c>
      <c r="ER4" s="235">
        <f t="shared" ref="ER4:ER64" si="21">SUM(CE4:CH4)</f>
        <v>1833</v>
      </c>
      <c r="ES4" s="235">
        <f>SUM(CI4:CL4)</f>
        <v>2084</v>
      </c>
      <c r="ET4" s="235">
        <f>SUM(CM4:CP4)</f>
        <v>2188</v>
      </c>
      <c r="EU4" s="235">
        <f>SUM(CQ4:CT4)</f>
        <v>2243</v>
      </c>
      <c r="EV4" s="235">
        <f t="shared" ref="EV4:EV7" si="22">SUM(CU4:CX4)</f>
        <v>2276</v>
      </c>
      <c r="EW4" s="235">
        <f>SUM(CY4:DB4)</f>
        <v>2183</v>
      </c>
      <c r="EX4" s="235">
        <f t="shared" si="11"/>
        <v>2197.4</v>
      </c>
      <c r="EY4" s="235">
        <f t="shared" ref="EY4:EY50" si="23">SUM(DG4:DJ4)</f>
        <v>2190.3000000000002</v>
      </c>
      <c r="EZ4" s="235">
        <f>SUM(DK4:DN4)</f>
        <v>2185.9349999999999</v>
      </c>
      <c r="FA4" s="235">
        <f t="shared" ref="FA4:FJ4" si="24">EZ4*1.01</f>
        <v>2207.7943500000001</v>
      </c>
      <c r="FB4" s="235">
        <f t="shared" si="24"/>
        <v>2229.8722935000001</v>
      </c>
      <c r="FC4" s="235">
        <f t="shared" si="24"/>
        <v>2252.1710164350002</v>
      </c>
      <c r="FD4" s="235">
        <f t="shared" si="24"/>
        <v>2274.6927265993504</v>
      </c>
      <c r="FE4" s="235">
        <f t="shared" si="24"/>
        <v>2297.4396538653441</v>
      </c>
      <c r="FF4" s="235">
        <f t="shared" si="24"/>
        <v>2320.4140504039974</v>
      </c>
      <c r="FG4" s="235">
        <f t="shared" si="24"/>
        <v>2343.6181909080374</v>
      </c>
      <c r="FH4" s="235">
        <f t="shared" si="24"/>
        <v>2367.0543728171178</v>
      </c>
      <c r="FI4" s="235">
        <f t="shared" si="24"/>
        <v>2390.724916545289</v>
      </c>
      <c r="FJ4" s="235">
        <f t="shared" si="24"/>
        <v>2414.6321657107419</v>
      </c>
      <c r="FK4" s="254"/>
    </row>
    <row r="5" spans="1:169"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f>++DH5*1.25</f>
        <v>1132.5</v>
      </c>
      <c r="DM5" s="243">
        <f t="shared" ref="DM5" si="25">++DI5*1.25</f>
        <v>1259.125</v>
      </c>
      <c r="DN5" s="243">
        <f t="shared" ref="DN5" si="26">++DJ5*1.25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1"/>
        <v>47</v>
      </c>
      <c r="ES5" s="235">
        <f>SUM(CI5:CL5)</f>
        <v>544</v>
      </c>
      <c r="ET5" s="235">
        <f>SUM(CM5:CP5)</f>
        <v>1012</v>
      </c>
      <c r="EU5" s="235">
        <f>SUM(CQ5:CT5)</f>
        <v>1347</v>
      </c>
      <c r="EV5" s="235">
        <f t="shared" si="22"/>
        <v>2127</v>
      </c>
      <c r="EW5" s="235">
        <f>SUM(CY5:DB5)</f>
        <v>2668</v>
      </c>
      <c r="EX5" s="235">
        <f t="shared" si="11"/>
        <v>3147.3</v>
      </c>
      <c r="EY5" s="235">
        <f t="shared" si="23"/>
        <v>3670.3</v>
      </c>
      <c r="EZ5" s="235">
        <f>SUM(DK5:DN5)</f>
        <v>4533.875</v>
      </c>
      <c r="FA5" s="235">
        <f>+EZ5*1.3</f>
        <v>5894.0375000000004</v>
      </c>
      <c r="FB5" s="235">
        <f>+FA5*1.3</f>
        <v>7662.2487500000007</v>
      </c>
      <c r="FC5" s="235">
        <f>+FB5*1.3</f>
        <v>9960.9233750000003</v>
      </c>
      <c r="FD5" s="235">
        <f t="shared" ref="FD5:FI5" si="27">+FC5*1.05</f>
        <v>10458.969543750001</v>
      </c>
      <c r="FE5" s="235">
        <f t="shared" si="27"/>
        <v>10981.918020937503</v>
      </c>
      <c r="FF5" s="235">
        <f t="shared" si="27"/>
        <v>11531.013921984379</v>
      </c>
      <c r="FG5" s="235">
        <f t="shared" si="27"/>
        <v>12107.564618083597</v>
      </c>
      <c r="FH5" s="235">
        <f t="shared" si="27"/>
        <v>12712.942848987777</v>
      </c>
      <c r="FI5" s="235">
        <f t="shared" si="27"/>
        <v>13348.589991437168</v>
      </c>
      <c r="FJ5" s="235">
        <f>+FI5*0.01</f>
        <v>133.48589991437169</v>
      </c>
      <c r="FK5" s="254"/>
    </row>
    <row r="6" spans="1:169"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28">EO6*1.15</f>
        <v>2382.7999999999997</v>
      </c>
      <c r="EQ6" s="235"/>
      <c r="ER6" s="235">
        <f t="shared" si="21"/>
        <v>4011</v>
      </c>
      <c r="ES6" s="235">
        <f>SUM(CI6:CL6)</f>
        <v>5156</v>
      </c>
      <c r="ET6" s="235">
        <f>SUM(CM6:CP6)</f>
        <v>6361</v>
      </c>
      <c r="EU6" s="235">
        <f>SUM(CQ6:CT6)</f>
        <v>7707</v>
      </c>
      <c r="EV6" s="235">
        <f t="shared" si="22"/>
        <v>9134</v>
      </c>
      <c r="EW6" s="235">
        <f>SUM(CY6:DB6)</f>
        <v>9722</v>
      </c>
      <c r="EX6" s="235">
        <f t="shared" si="11"/>
        <v>10858.4</v>
      </c>
      <c r="EY6" s="235">
        <f t="shared" si="23"/>
        <v>10361.4</v>
      </c>
      <c r="EZ6" s="235">
        <f>SUM(DK6:DN6)</f>
        <v>6136.34</v>
      </c>
      <c r="FA6" s="235">
        <f>+EZ6*0.5</f>
        <v>3068.17</v>
      </c>
      <c r="FB6" s="235">
        <f>+FA6*0.5</f>
        <v>1534.085</v>
      </c>
      <c r="FC6" s="235">
        <f>+FB6*0.5</f>
        <v>767.04250000000002</v>
      </c>
      <c r="FD6" s="235">
        <f t="shared" ref="FD6:FJ6" si="29">+FC6*0.8</f>
        <v>613.63400000000001</v>
      </c>
      <c r="FE6" s="235">
        <f t="shared" si="29"/>
        <v>490.90720000000005</v>
      </c>
      <c r="FF6" s="235">
        <f t="shared" si="29"/>
        <v>392.72576000000004</v>
      </c>
      <c r="FG6" s="235">
        <f t="shared" si="29"/>
        <v>314.18060800000006</v>
      </c>
      <c r="FH6" s="235">
        <f t="shared" si="29"/>
        <v>251.34448640000005</v>
      </c>
      <c r="FI6" s="235">
        <f t="shared" si="29"/>
        <v>201.07558912000005</v>
      </c>
      <c r="FJ6" s="235">
        <f t="shared" si="29"/>
        <v>160.86047129600004</v>
      </c>
    </row>
    <row r="7" spans="1:169"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f t="shared" ref="DL7" si="30">+DK7</f>
        <v>1</v>
      </c>
      <c r="DM7" s="243">
        <f t="shared" ref="DM7" si="31">+DL7</f>
        <v>1</v>
      </c>
      <c r="DN7" s="243">
        <f t="shared" ref="DN7" si="32">+DM7</f>
        <v>1</v>
      </c>
      <c r="EI7" s="235"/>
      <c r="EJ7" s="235"/>
      <c r="EK7" s="235"/>
      <c r="EL7" s="235"/>
      <c r="EM7" s="235"/>
      <c r="EN7" s="235"/>
      <c r="EO7" s="235"/>
      <c r="EP7" s="235"/>
      <c r="EQ7" s="235"/>
      <c r="ER7" s="235">
        <f t="shared" si="21"/>
        <v>38</v>
      </c>
      <c r="ES7" s="235">
        <f>SUM(CI7:CL7)</f>
        <v>10</v>
      </c>
      <c r="ET7" s="235">
        <f>SUM(CM7:CP7)</f>
        <v>10</v>
      </c>
      <c r="EU7" s="235">
        <f>SUM(CQ7:CT7)</f>
        <v>11</v>
      </c>
      <c r="EV7" s="235">
        <f t="shared" si="22"/>
        <v>25</v>
      </c>
      <c r="EW7" s="235">
        <f>SUM(CY7:DB7)</f>
        <v>17</v>
      </c>
      <c r="EX7" s="235">
        <f t="shared" si="11"/>
        <v>11</v>
      </c>
      <c r="EY7" s="235">
        <f t="shared" si="23"/>
        <v>3.3</v>
      </c>
      <c r="EZ7" s="235">
        <f>SUM(DK7:DN7)</f>
        <v>4</v>
      </c>
      <c r="FA7" s="235">
        <f t="shared" ref="FA7:FJ7" si="33">+EZ7</f>
        <v>4</v>
      </c>
      <c r="FB7" s="235">
        <f t="shared" si="33"/>
        <v>4</v>
      </c>
      <c r="FC7" s="235">
        <f t="shared" si="33"/>
        <v>4</v>
      </c>
      <c r="FD7" s="235">
        <f t="shared" si="33"/>
        <v>4</v>
      </c>
      <c r="FE7" s="235">
        <f t="shared" si="33"/>
        <v>4</v>
      </c>
      <c r="FF7" s="235">
        <f t="shared" si="33"/>
        <v>4</v>
      </c>
      <c r="FG7" s="235">
        <f t="shared" si="33"/>
        <v>4</v>
      </c>
      <c r="FH7" s="235">
        <f t="shared" si="33"/>
        <v>4</v>
      </c>
      <c r="FI7" s="235">
        <f t="shared" si="33"/>
        <v>4</v>
      </c>
      <c r="FJ7" s="235">
        <f t="shared" si="33"/>
        <v>4</v>
      </c>
    </row>
    <row r="8" spans="1:169"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1"/>
        <v>0</v>
      </c>
      <c r="ES8" s="76"/>
      <c r="ET8" s="76"/>
      <c r="EU8" s="76"/>
      <c r="EX8" s="235">
        <f t="shared" si="11"/>
        <v>0</v>
      </c>
      <c r="EY8" s="235">
        <f t="shared" si="23"/>
        <v>0</v>
      </c>
      <c r="EZ8" s="235"/>
    </row>
    <row r="9" spans="1:169"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4">SUM(BC9:BF9)</f>
        <v>527</v>
      </c>
      <c r="EL9" s="235">
        <f t="shared" ref="EL9" si="35">SUM(BG9:BJ9)</f>
        <v>542</v>
      </c>
      <c r="EM9" s="76"/>
      <c r="EN9" s="76"/>
      <c r="EO9" s="76"/>
      <c r="EP9" s="76"/>
      <c r="EQ9" s="76"/>
      <c r="ER9" s="235">
        <f t="shared" si="21"/>
        <v>0</v>
      </c>
      <c r="ES9" s="76"/>
      <c r="ET9" s="76"/>
      <c r="EU9" s="76"/>
      <c r="EX9" s="235">
        <f t="shared" si="11"/>
        <v>0</v>
      </c>
      <c r="EY9" s="235">
        <f t="shared" si="23"/>
        <v>0</v>
      </c>
      <c r="EZ9" s="235"/>
      <c r="FM9"/>
    </row>
    <row r="10" spans="1:169"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4"/>
        <v>1500</v>
      </c>
      <c r="EL10" s="235">
        <f>SUM(BG10:BJ10)</f>
        <v>1583</v>
      </c>
      <c r="EM10" s="235">
        <f>SUM(BK10:BN10)</f>
        <v>1425</v>
      </c>
      <c r="EN10" s="235">
        <f>SUM(BO10:BR10)</f>
        <v>1318</v>
      </c>
      <c r="EO10" s="235">
        <f>SUM(BS10:BV10)</f>
        <v>1190</v>
      </c>
      <c r="EP10" s="235">
        <f t="shared" ref="EP10:EQ10" si="36">+EO10*0.95</f>
        <v>1130.5</v>
      </c>
      <c r="EQ10" s="235">
        <f t="shared" si="36"/>
        <v>1073.9749999999999</v>
      </c>
      <c r="ER10" s="235">
        <f t="shared" si="21"/>
        <v>805</v>
      </c>
      <c r="ES10" s="235">
        <f>SUM(CI10:CL10)</f>
        <v>737</v>
      </c>
      <c r="ET10" s="235">
        <f>SUM(CM10:CP10)</f>
        <v>688</v>
      </c>
      <c r="EU10" s="235">
        <f>SUM(CQ10:CT10)</f>
        <v>642</v>
      </c>
      <c r="EV10" s="235">
        <f t="shared" ref="EV10:EV14" si="37">SUM(CU10:CX10)</f>
        <v>592</v>
      </c>
      <c r="EW10" s="235">
        <f>SUM(CY10:DB10)</f>
        <v>513</v>
      </c>
      <c r="EX10" s="235"/>
      <c r="EY10" s="235"/>
      <c r="EZ10" s="235"/>
      <c r="FA10" s="235"/>
      <c r="FB10" s="235"/>
      <c r="FC10" s="235"/>
      <c r="FD10" s="235"/>
      <c r="FE10" s="235"/>
      <c r="FF10" s="235"/>
      <c r="FG10" s="235"/>
      <c r="FH10" s="235"/>
      <c r="FI10" s="235"/>
      <c r="FJ10" s="235"/>
      <c r="FM10"/>
    </row>
    <row r="11" spans="1:169"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f t="shared" ref="DL11" si="38">DH11*1.01</f>
        <v>1064.54</v>
      </c>
      <c r="DM11" s="243">
        <f t="shared" ref="DM11" si="39">DI11*1.01</f>
        <v>1059.894</v>
      </c>
      <c r="DN11" s="243">
        <f t="shared" ref="DN11" si="40">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4"/>
        <v>424</v>
      </c>
      <c r="EL11" s="235">
        <f>SUM(BG11:BJ11)</f>
        <v>600</v>
      </c>
      <c r="EM11" s="235">
        <f>SUM(BK11:BN11)</f>
        <v>1346</v>
      </c>
      <c r="EN11" s="235">
        <f>SUM(BO11:BR11)</f>
        <v>1831</v>
      </c>
      <c r="EO11" s="235">
        <f>SUM(BS11:BV11)</f>
        <v>2228</v>
      </c>
      <c r="EP11" s="235">
        <f t="shared" ref="EP11:EQ11" si="41">+EO11*1.02</f>
        <v>2272.56</v>
      </c>
      <c r="EQ11" s="235">
        <f t="shared" si="41"/>
        <v>2318.0111999999999</v>
      </c>
      <c r="ER11" s="235">
        <f t="shared" si="21"/>
        <v>2569</v>
      </c>
      <c r="ES11" s="235">
        <f>SUM(CI11:CL11)</f>
        <v>2928</v>
      </c>
      <c r="ET11" s="235">
        <f>SUM(CM11:CP11)</f>
        <v>3330</v>
      </c>
      <c r="EU11" s="235">
        <f>SUM(CQ11:CT11)</f>
        <v>3653</v>
      </c>
      <c r="EV11" s="235">
        <f t="shared" si="37"/>
        <v>4022</v>
      </c>
      <c r="EW11" s="235">
        <f>SUM(CY11:DB11)</f>
        <v>4141</v>
      </c>
      <c r="EX11" s="235">
        <f t="shared" ref="EX11:EX33" si="42">SUM(DC11:DF11)</f>
        <v>4115</v>
      </c>
      <c r="EY11" s="235">
        <f t="shared" si="23"/>
        <v>4222.3999999999996</v>
      </c>
      <c r="EZ11" s="235">
        <f>SUM(DK11:DN11)</f>
        <v>4101.0640000000003</v>
      </c>
      <c r="FA11" s="235">
        <f t="shared" ref="FA11:FJ11" si="43">+EZ11*0.8</f>
        <v>3280.8512000000005</v>
      </c>
      <c r="FB11" s="235">
        <f t="shared" si="43"/>
        <v>2624.6809600000006</v>
      </c>
      <c r="FC11" s="235">
        <f t="shared" si="43"/>
        <v>2099.7447680000005</v>
      </c>
      <c r="FD11" s="235">
        <f t="shared" si="43"/>
        <v>1679.7958144000004</v>
      </c>
      <c r="FE11" s="235">
        <f t="shared" si="43"/>
        <v>1343.8366515200005</v>
      </c>
      <c r="FF11" s="235">
        <f t="shared" si="43"/>
        <v>1075.0693212160004</v>
      </c>
      <c r="FG11" s="235">
        <f t="shared" si="43"/>
        <v>860.05545697280036</v>
      </c>
      <c r="FH11" s="235">
        <f t="shared" si="43"/>
        <v>688.04436557824033</v>
      </c>
      <c r="FI11" s="235">
        <f t="shared" si="43"/>
        <v>550.43549246259226</v>
      </c>
      <c r="FJ11" s="235">
        <f t="shared" si="43"/>
        <v>440.34839397007386</v>
      </c>
      <c r="FM11"/>
    </row>
    <row r="12" spans="1:169"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f t="shared" ref="DL12" si="44">DH12</f>
        <v>163</v>
      </c>
      <c r="DM12" s="243">
        <f t="shared" ref="DM12" si="45">DI12</f>
        <v>142.30000000000001</v>
      </c>
      <c r="DN12" s="243">
        <f t="shared" ref="DN12" si="46">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1"/>
        <v>791</v>
      </c>
      <c r="ES12" s="235">
        <f t="shared" ref="ES12:ES14" si="47">SUM(CI12:CL12)</f>
        <v>663</v>
      </c>
      <c r="ET12" s="235">
        <f t="shared" ref="ET12:ET13" si="48">SUM(CM12:CP12)</f>
        <v>696</v>
      </c>
      <c r="EU12" s="235">
        <f t="shared" ref="EU12" si="49">SUM(CQ12:CT12)</f>
        <v>622</v>
      </c>
      <c r="EV12" s="235">
        <f t="shared" ref="EV12" si="50">SUM(CU12:CX12)</f>
        <v>667</v>
      </c>
      <c r="EW12" s="235">
        <f t="shared" ref="EW12" si="51">SUM(CY12:DB12)</f>
        <v>644</v>
      </c>
      <c r="EX12" s="235">
        <f t="shared" si="42"/>
        <v>783</v>
      </c>
      <c r="EY12" s="235">
        <f t="shared" si="23"/>
        <v>641.29999999999995</v>
      </c>
      <c r="EZ12" s="235">
        <f>SUM(DK12:DN12)</f>
        <v>612.29999999999995</v>
      </c>
      <c r="FA12" s="235">
        <f t="shared" ref="FA12" si="52">EZ12*0.5</f>
        <v>306.14999999999998</v>
      </c>
      <c r="FB12" s="235">
        <f t="shared" ref="FB12" si="53">FA12*0.5</f>
        <v>153.07499999999999</v>
      </c>
      <c r="FC12" s="235">
        <f t="shared" ref="FC12" si="54">FB12*0.5</f>
        <v>76.537499999999994</v>
      </c>
      <c r="FD12" s="235">
        <f t="shared" ref="FD12" si="55">FC12*0.5</f>
        <v>38.268749999999997</v>
      </c>
      <c r="FE12" s="235">
        <f t="shared" ref="FE12:FJ12" si="56">FD12*0.5</f>
        <v>19.134374999999999</v>
      </c>
      <c r="FF12" s="235">
        <f t="shared" si="56"/>
        <v>9.5671874999999993</v>
      </c>
      <c r="FG12" s="235">
        <f t="shared" si="56"/>
        <v>4.7835937499999996</v>
      </c>
      <c r="FH12" s="235">
        <f t="shared" si="56"/>
        <v>2.3917968749999998</v>
      </c>
      <c r="FI12" s="235">
        <f t="shared" si="56"/>
        <v>1.1958984374999999</v>
      </c>
      <c r="FJ12" s="235">
        <f t="shared" si="56"/>
        <v>0.59794921874999996</v>
      </c>
      <c r="FM12"/>
    </row>
    <row r="13" spans="1:169"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f t="shared" ref="DL13" si="57">DK13+15</f>
        <v>335</v>
      </c>
      <c r="DM13" s="243">
        <f t="shared" ref="DM13" si="58">DL13+15</f>
        <v>350</v>
      </c>
      <c r="DN13" s="243">
        <f t="shared" ref="DN13" si="59">DM13+15</f>
        <v>365</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1"/>
        <v>0</v>
      </c>
      <c r="ES13" s="235">
        <f t="shared" si="47"/>
        <v>0</v>
      </c>
      <c r="ET13" s="235">
        <f t="shared" si="48"/>
        <v>0</v>
      </c>
      <c r="EU13" s="235">
        <v>0</v>
      </c>
      <c r="EV13" s="235">
        <v>224</v>
      </c>
      <c r="EW13" s="235">
        <v>374</v>
      </c>
      <c r="EX13" s="235">
        <f t="shared" si="42"/>
        <v>689</v>
      </c>
      <c r="EY13" s="235">
        <f t="shared" si="23"/>
        <v>1077.4000000000001</v>
      </c>
      <c r="EZ13" s="235">
        <f>SUM(DK13:DN13)</f>
        <v>1370</v>
      </c>
      <c r="FA13" s="235"/>
      <c r="FB13" s="235"/>
      <c r="FC13" s="235"/>
      <c r="FD13" s="235"/>
      <c r="FE13" s="235"/>
      <c r="FF13" s="235"/>
      <c r="FG13" s="235"/>
      <c r="FH13" s="235"/>
      <c r="FI13" s="235"/>
      <c r="FJ13" s="235"/>
      <c r="FM13"/>
    </row>
    <row r="14" spans="1:169"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f t="shared" ref="DL14" si="60">DH14</f>
        <v>294</v>
      </c>
      <c r="DM14" s="243">
        <f t="shared" ref="DM14" si="61">DI14</f>
        <v>281.3</v>
      </c>
      <c r="DN14" s="243">
        <f t="shared" ref="DN14" si="62">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1"/>
        <v>1821</v>
      </c>
      <c r="ES14" s="235">
        <f t="shared" si="47"/>
        <v>1749</v>
      </c>
      <c r="ET14" s="235">
        <f>SUM(CM14:CP14)</f>
        <v>1614</v>
      </c>
      <c r="EU14" s="235">
        <f>SUM(CQ14:CT14)</f>
        <v>1632</v>
      </c>
      <c r="EV14" s="235">
        <f t="shared" si="37"/>
        <v>1719</v>
      </c>
      <c r="EW14" s="235">
        <f>SUM(CY14:DB14)</f>
        <v>1624</v>
      </c>
      <c r="EX14" s="235">
        <f t="shared" si="42"/>
        <v>1553</v>
      </c>
      <c r="EY14" s="235">
        <f t="shared" si="23"/>
        <v>1175.3</v>
      </c>
      <c r="EZ14" s="235">
        <f>SUM(DK14:DN14)</f>
        <v>1107.3</v>
      </c>
      <c r="FA14" s="235">
        <f t="shared" ref="FA14:FJ14" si="63">+EZ14*0.9</f>
        <v>996.56999999999994</v>
      </c>
      <c r="FB14" s="235">
        <f t="shared" si="63"/>
        <v>896.91300000000001</v>
      </c>
      <c r="FC14" s="235">
        <f t="shared" si="63"/>
        <v>807.22170000000006</v>
      </c>
      <c r="FD14" s="235">
        <f t="shared" si="63"/>
        <v>726.49953000000005</v>
      </c>
      <c r="FE14" s="235">
        <f t="shared" si="63"/>
        <v>653.84957700000007</v>
      </c>
      <c r="FF14" s="235">
        <f t="shared" si="63"/>
        <v>588.46461930000009</v>
      </c>
      <c r="FG14" s="235">
        <f t="shared" si="63"/>
        <v>529.61815737000006</v>
      </c>
      <c r="FH14" s="235">
        <f t="shared" si="63"/>
        <v>476.65634163300007</v>
      </c>
      <c r="FI14" s="235">
        <f t="shared" si="63"/>
        <v>428.99070746970006</v>
      </c>
      <c r="FJ14" s="235">
        <f t="shared" si="63"/>
        <v>386.09163672273007</v>
      </c>
      <c r="FM14"/>
    </row>
    <row r="15" spans="1:169"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1"/>
        <v>0</v>
      </c>
      <c r="ES15" s="235"/>
      <c r="ET15" s="235"/>
      <c r="EU15" s="235">
        <f t="shared" ref="EU15:EU18" si="64">SUM(CQ15:CT15)</f>
        <v>0</v>
      </c>
      <c r="EV15" s="235">
        <f t="shared" ref="EV15:EV18" si="65">SUM(CU15:CX15)</f>
        <v>0</v>
      </c>
      <c r="EW15" s="235">
        <f t="shared" ref="EW15:EW18" si="66">SUM(CY15:DB15)</f>
        <v>0</v>
      </c>
      <c r="EX15" s="235">
        <f t="shared" si="42"/>
        <v>0</v>
      </c>
      <c r="EY15" s="235">
        <f t="shared" si="23"/>
        <v>0</v>
      </c>
      <c r="EZ15" s="235"/>
      <c r="FA15" s="235"/>
      <c r="FB15" s="235"/>
      <c r="FC15" s="235"/>
      <c r="FD15" s="235"/>
      <c r="FE15" s="235"/>
      <c r="FF15" s="235"/>
      <c r="FG15" s="235"/>
      <c r="FH15" s="235"/>
      <c r="FI15" s="235"/>
      <c r="FJ15" s="235"/>
      <c r="FM15" t="s">
        <v>107</v>
      </c>
    </row>
    <row r="16" spans="1:169"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67">SUM(AQ16:AT16)</f>
        <v>1357</v>
      </c>
      <c r="EI16" s="235">
        <f t="shared" ref="EI16:EI18" si="68">SUM(AU16:AX16)</f>
        <v>1158</v>
      </c>
      <c r="EJ16" s="235">
        <f t="shared" ref="EJ16:EJ18" si="69">SUM(AY16:BB16)</f>
        <v>1096</v>
      </c>
      <c r="EK16" s="235">
        <f t="shared" si="34"/>
        <v>1006</v>
      </c>
      <c r="EL16" s="235">
        <f t="shared" ref="EL16:EL40" si="70">SUM(BG16:BJ16)</f>
        <v>975</v>
      </c>
      <c r="EM16" s="235">
        <f t="shared" ref="EM16:EM18" si="71">SUM(BK16:BN16)</f>
        <v>835</v>
      </c>
      <c r="EN16" s="235">
        <f>SUM(BO16:BR16)</f>
        <v>470</v>
      </c>
      <c r="EO16" s="235"/>
      <c r="EP16" s="76"/>
      <c r="EQ16" s="76"/>
      <c r="ER16" s="235">
        <f t="shared" si="21"/>
        <v>0</v>
      </c>
      <c r="ES16" s="76"/>
      <c r="ET16" s="76"/>
      <c r="EU16" s="235">
        <f t="shared" si="64"/>
        <v>0</v>
      </c>
      <c r="EV16" s="235">
        <f t="shared" si="65"/>
        <v>0</v>
      </c>
      <c r="EW16" s="235">
        <f t="shared" si="66"/>
        <v>0</v>
      </c>
      <c r="EX16" s="235">
        <f t="shared" si="42"/>
        <v>0</v>
      </c>
      <c r="EY16" s="235">
        <f t="shared" si="23"/>
        <v>0</v>
      </c>
      <c r="EZ16"/>
      <c r="FA16"/>
      <c r="FB16"/>
      <c r="FC16"/>
      <c r="FD16"/>
      <c r="FE16"/>
      <c r="FF16"/>
      <c r="FG16"/>
      <c r="FH16"/>
      <c r="FI16"/>
      <c r="FJ16"/>
      <c r="FM16" t="s">
        <v>329</v>
      </c>
    </row>
    <row r="17" spans="2:169"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67"/>
        <v>2453</v>
      </c>
      <c r="EI17" s="235">
        <f t="shared" si="68"/>
        <v>2731</v>
      </c>
      <c r="EJ17" s="235">
        <f t="shared" si="69"/>
        <v>1151</v>
      </c>
      <c r="EK17" s="235">
        <f t="shared" si="34"/>
        <v>538</v>
      </c>
      <c r="EL17" s="235">
        <f t="shared" si="70"/>
        <v>488</v>
      </c>
      <c r="EM17" s="235"/>
      <c r="EN17" s="235"/>
      <c r="EO17" s="235"/>
      <c r="ER17" s="235">
        <f t="shared" si="21"/>
        <v>0</v>
      </c>
      <c r="EU17" s="235">
        <f t="shared" si="64"/>
        <v>0</v>
      </c>
      <c r="EV17" s="235">
        <f t="shared" si="65"/>
        <v>0</v>
      </c>
      <c r="EW17" s="235">
        <f t="shared" si="66"/>
        <v>0</v>
      </c>
      <c r="EX17" s="235">
        <f t="shared" si="42"/>
        <v>0</v>
      </c>
      <c r="EY17" s="235">
        <f t="shared" si="23"/>
        <v>0</v>
      </c>
      <c r="FK17" s="254"/>
    </row>
    <row r="18" spans="2:169"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f t="shared" ref="DL18" si="72">+DH18*0.9</f>
        <v>394.2</v>
      </c>
      <c r="DM18" s="243">
        <f t="shared" ref="DM18" si="73">+DI18*0.9</f>
        <v>404.1</v>
      </c>
      <c r="DN18" s="243">
        <f t="shared" ref="DN18" si="74">+DJ18*0.9</f>
        <v>366.3</v>
      </c>
      <c r="EI18" s="235">
        <f t="shared" si="68"/>
        <v>334</v>
      </c>
      <c r="EJ18" s="235">
        <f t="shared" si="69"/>
        <v>592</v>
      </c>
      <c r="EK18" s="235">
        <f t="shared" si="34"/>
        <v>857</v>
      </c>
      <c r="EL18" s="235">
        <f t="shared" si="70"/>
        <v>1211</v>
      </c>
      <c r="EM18" s="235">
        <f t="shared" si="71"/>
        <v>1414</v>
      </c>
      <c r="EN18" s="235">
        <f>SUM(BO18:BR18)</f>
        <v>1673</v>
      </c>
      <c r="EO18" s="235">
        <f>SUM(BS18:BV18)</f>
        <v>1831</v>
      </c>
      <c r="EP18" s="235">
        <f>EO18</f>
        <v>1831</v>
      </c>
      <c r="EQ18" s="235">
        <f>EP18*0.5</f>
        <v>915.5</v>
      </c>
      <c r="ER18" s="235">
        <f t="shared" si="21"/>
        <v>1821</v>
      </c>
      <c r="ES18" s="235">
        <f t="shared" ref="ES18:ES20" si="75">SUM(CI18:CL18)</f>
        <v>1955</v>
      </c>
      <c r="ET18" s="235">
        <f>SUM(CM18:CP18)</f>
        <v>2110</v>
      </c>
      <c r="EU18" s="235">
        <f t="shared" si="64"/>
        <v>2184</v>
      </c>
      <c r="EV18" s="235">
        <f t="shared" si="65"/>
        <v>2083</v>
      </c>
      <c r="EW18" s="235">
        <f t="shared" si="66"/>
        <v>1943</v>
      </c>
      <c r="EX18" s="235">
        <f t="shared" si="42"/>
        <v>1854</v>
      </c>
      <c r="EY18" s="235">
        <f t="shared" si="23"/>
        <v>1712</v>
      </c>
      <c r="EZ18" s="235">
        <f>SUM(DK18:DN18)</f>
        <v>1567.6000000000001</v>
      </c>
      <c r="FA18" s="235"/>
      <c r="FB18" s="235"/>
      <c r="FC18" s="235"/>
      <c r="FD18" s="235"/>
      <c r="FE18" s="235"/>
      <c r="FF18" s="235"/>
      <c r="FG18" s="235"/>
      <c r="FH18" s="235"/>
      <c r="FI18" s="235"/>
      <c r="FJ18" s="235"/>
      <c r="FK18" s="254"/>
    </row>
    <row r="19" spans="2:169"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f t="shared" ref="DL19:DN19" si="76">+DH19*1.1</f>
        <v>326.70000000000005</v>
      </c>
      <c r="DM19" s="243">
        <f t="shared" si="76"/>
        <v>363.00000000000006</v>
      </c>
      <c r="DN19" s="243">
        <f t="shared" si="76"/>
        <v>354.20000000000005</v>
      </c>
      <c r="EI19" s="235"/>
      <c r="EJ19" s="235"/>
      <c r="EK19" s="235"/>
      <c r="EL19" s="235"/>
      <c r="EM19" s="235"/>
      <c r="EN19" s="235"/>
      <c r="EO19" s="235">
        <f>SUM(BS19:BV19)</f>
        <v>365</v>
      </c>
      <c r="EP19" s="235">
        <f>+EO19*1.05</f>
        <v>383.25</v>
      </c>
      <c r="EQ19" s="235">
        <f t="shared" ref="EQ19" si="77">+EP19*1.05</f>
        <v>402.41250000000002</v>
      </c>
      <c r="ER19" s="235">
        <f t="shared" si="21"/>
        <v>714</v>
      </c>
      <c r="ES19" s="235">
        <f t="shared" si="75"/>
        <v>816</v>
      </c>
      <c r="ET19" s="235">
        <f>SUM(CM19:CP19)</f>
        <v>861</v>
      </c>
      <c r="EU19" s="235">
        <f>SUM(CQ19:CT19)</f>
        <v>964</v>
      </c>
      <c r="EV19" s="235">
        <f t="shared" ref="EV19:EV25" si="78">SUM(CU19:CX19)</f>
        <v>994</v>
      </c>
      <c r="EW19" s="235">
        <f>SUM(CY19:DB19)</f>
        <v>1008</v>
      </c>
      <c r="EX19" s="235">
        <f t="shared" si="42"/>
        <v>1150</v>
      </c>
      <c r="EY19" s="235">
        <f t="shared" si="23"/>
        <v>1272</v>
      </c>
      <c r="EZ19" s="235">
        <f>SUM(DK19:DN19)</f>
        <v>1401.9</v>
      </c>
      <c r="FA19" s="235">
        <f t="shared" ref="FA19:FF19" si="79">+EZ19*0.5</f>
        <v>700.95</v>
      </c>
      <c r="FB19" s="235">
        <f t="shared" si="79"/>
        <v>350.47500000000002</v>
      </c>
      <c r="FC19" s="235">
        <f t="shared" si="79"/>
        <v>175.23750000000001</v>
      </c>
      <c r="FD19" s="235">
        <f t="shared" si="79"/>
        <v>87.618750000000006</v>
      </c>
      <c r="FE19" s="235">
        <f t="shared" si="79"/>
        <v>43.809375000000003</v>
      </c>
      <c r="FF19" s="235">
        <f t="shared" si="79"/>
        <v>21.904687500000001</v>
      </c>
      <c r="FG19" s="235">
        <f t="shared" ref="FG19" si="80">+FF19*0.5</f>
        <v>10.952343750000001</v>
      </c>
      <c r="FH19" s="235">
        <f t="shared" ref="FH19" si="81">+FG19*0.5</f>
        <v>5.4761718750000004</v>
      </c>
      <c r="FI19" s="235">
        <f t="shared" ref="FI19" si="82">+FH19*0.5</f>
        <v>2.7380859375000002</v>
      </c>
      <c r="FJ19" s="235">
        <f t="shared" ref="FJ19" si="83">+FI19*0.5</f>
        <v>1.3690429687500001</v>
      </c>
      <c r="FK19" s="254"/>
    </row>
    <row r="20" spans="2:169"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1"/>
        <v>0</v>
      </c>
      <c r="ES20" s="235">
        <f t="shared" si="75"/>
        <v>0</v>
      </c>
      <c r="ET20" s="235">
        <f>SUM(CM20:CP20)</f>
        <v>0</v>
      </c>
      <c r="EU20" s="235">
        <f>SUM(CQ20:CT20)</f>
        <v>0</v>
      </c>
      <c r="EV20" s="235">
        <f t="shared" si="78"/>
        <v>2385</v>
      </c>
      <c r="EW20" s="235">
        <f t="shared" ref="EW20:EW25" si="84">SUM(CY20:DB20)</f>
        <v>2179</v>
      </c>
      <c r="EX20" s="235">
        <f t="shared" si="42"/>
        <v>1117</v>
      </c>
      <c r="EY20" s="235">
        <f t="shared" si="23"/>
        <v>198</v>
      </c>
      <c r="EZ20" s="344"/>
      <c r="FA20" s="344"/>
      <c r="FB20" s="344"/>
      <c r="FC20" s="344"/>
      <c r="FD20" s="344"/>
      <c r="FE20" s="344"/>
      <c r="FF20" s="344"/>
      <c r="FG20" s="344"/>
      <c r="FH20" s="344"/>
      <c r="FI20" s="344"/>
      <c r="FJ20" s="344"/>
      <c r="FK20" s="254"/>
    </row>
    <row r="21" spans="2:169"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1"/>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85">+FF21*0.1</f>
        <v>54.6</v>
      </c>
      <c r="FH21" s="235">
        <f t="shared" si="85"/>
        <v>5.4600000000000009</v>
      </c>
      <c r="FI21" s="235">
        <f t="shared" si="85"/>
        <v>0.54600000000000015</v>
      </c>
      <c r="FJ21" s="235">
        <f t="shared" si="85"/>
        <v>5.4600000000000017E-2</v>
      </c>
      <c r="FK21" s="254"/>
      <c r="FM21" t="s">
        <v>1317</v>
      </c>
    </row>
    <row r="22" spans="2:169"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86">SUM(AY22:BB22)</f>
        <v>1550</v>
      </c>
      <c r="EK22" s="235">
        <f>SUM(BC22:BF22)</f>
        <v>1357</v>
      </c>
      <c r="EL22" s="235">
        <f>SUM(BG22:BJ22)</f>
        <v>623</v>
      </c>
      <c r="EM22" s="235">
        <f>SUM(BK22:BN22)</f>
        <v>75</v>
      </c>
      <c r="EN22" s="76"/>
      <c r="EO22" s="76"/>
      <c r="EP22" s="76"/>
      <c r="EQ22" s="76"/>
      <c r="ER22" s="235">
        <f t="shared" si="21"/>
        <v>0</v>
      </c>
      <c r="ES22" s="76"/>
      <c r="ET22" s="76"/>
      <c r="EU22" s="235">
        <f t="shared" ref="EU22:EU25" si="87">SUM(CQ22:CT22)</f>
        <v>0</v>
      </c>
      <c r="EV22" s="235">
        <f t="shared" si="78"/>
        <v>0</v>
      </c>
      <c r="EW22" s="235">
        <f t="shared" si="84"/>
        <v>0</v>
      </c>
      <c r="EX22" s="235">
        <f t="shared" si="42"/>
        <v>0</v>
      </c>
      <c r="EY22" s="235"/>
      <c r="EZ22" s="344"/>
      <c r="FA22" s="345"/>
      <c r="FB22" s="345"/>
      <c r="FC22" s="345"/>
      <c r="FD22" s="345"/>
      <c r="FE22" s="345"/>
      <c r="FF22" s="345"/>
      <c r="FG22" s="345"/>
      <c r="FH22" s="345"/>
      <c r="FI22" s="345"/>
      <c r="FJ22" s="345"/>
      <c r="FM22"/>
    </row>
    <row r="23" spans="2:169"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88">EO23*1.1</f>
        <v>0</v>
      </c>
      <c r="EQ23" s="235">
        <f>+EP23*0.1</f>
        <v>0</v>
      </c>
      <c r="ER23" s="235">
        <f t="shared" si="21"/>
        <v>0</v>
      </c>
      <c r="ES23" s="235">
        <f t="shared" ref="ES23:ET23" si="89">+ER23*0.1</f>
        <v>0</v>
      </c>
      <c r="ET23" s="235">
        <f t="shared" si="89"/>
        <v>0</v>
      </c>
      <c r="EU23" s="235">
        <f t="shared" si="87"/>
        <v>0</v>
      </c>
      <c r="EV23" s="235">
        <f t="shared" si="78"/>
        <v>0</v>
      </c>
      <c r="EW23" s="235">
        <f t="shared" si="84"/>
        <v>0</v>
      </c>
      <c r="EX23" s="235">
        <f t="shared" si="42"/>
        <v>0</v>
      </c>
      <c r="EY23" s="235"/>
      <c r="EZ23" s="344"/>
      <c r="FA23" s="344"/>
      <c r="FB23" s="344"/>
      <c r="FC23" s="344"/>
      <c r="FD23" s="344"/>
      <c r="FE23" s="344"/>
      <c r="FF23" s="344"/>
      <c r="FG23" s="344"/>
      <c r="FH23" s="344"/>
      <c r="FI23" s="344"/>
      <c r="FJ23" s="344"/>
      <c r="FM23" t="s">
        <v>1317</v>
      </c>
    </row>
    <row r="24" spans="2:169"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1"/>
        <v>0</v>
      </c>
      <c r="ES24" s="235"/>
      <c r="ET24" s="235"/>
      <c r="EU24" s="235">
        <f t="shared" si="87"/>
        <v>0</v>
      </c>
      <c r="EV24" s="235">
        <f t="shared" si="78"/>
        <v>0</v>
      </c>
      <c r="EW24" s="235">
        <f t="shared" si="84"/>
        <v>0</v>
      </c>
      <c r="EX24" s="235">
        <f t="shared" si="42"/>
        <v>0</v>
      </c>
      <c r="EY24" s="235"/>
      <c r="EZ24" s="344"/>
      <c r="FA24" s="344"/>
      <c r="FB24" s="344"/>
      <c r="FC24" s="344"/>
      <c r="FD24" s="344"/>
      <c r="FE24" s="344"/>
      <c r="FF24" s="344"/>
      <c r="FG24" s="344"/>
      <c r="FH24" s="344"/>
      <c r="FI24" s="344"/>
      <c r="FJ24" s="344"/>
      <c r="FM24"/>
    </row>
    <row r="25" spans="2:169"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0">+EP25*0.1</f>
        <v>1.83</v>
      </c>
      <c r="ER25" s="235">
        <f t="shared" si="21"/>
        <v>0</v>
      </c>
      <c r="ES25" s="235">
        <f t="shared" si="90"/>
        <v>0</v>
      </c>
      <c r="ET25" s="235">
        <f t="shared" si="90"/>
        <v>0</v>
      </c>
      <c r="EU25" s="235">
        <f t="shared" si="87"/>
        <v>0</v>
      </c>
      <c r="EV25" s="235">
        <f t="shared" si="78"/>
        <v>0</v>
      </c>
      <c r="EW25" s="235">
        <f t="shared" si="84"/>
        <v>0</v>
      </c>
      <c r="EX25" s="235">
        <f t="shared" si="42"/>
        <v>0</v>
      </c>
      <c r="EY25" s="235"/>
      <c r="EZ25" s="344"/>
      <c r="FA25" s="344"/>
      <c r="FB25" s="344"/>
      <c r="FC25" s="344"/>
      <c r="FD25" s="344"/>
      <c r="FE25" s="344"/>
      <c r="FF25" s="344"/>
      <c r="FG25" s="344"/>
      <c r="FH25" s="344"/>
      <c r="FI25" s="344"/>
      <c r="FJ25" s="344"/>
      <c r="FM25"/>
    </row>
    <row r="26" spans="2:169"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f t="shared" ref="DL26" si="91">DK26</f>
        <v>41</v>
      </c>
      <c r="DM26" s="243">
        <f t="shared" ref="DM26" si="92">DL26</f>
        <v>41</v>
      </c>
      <c r="DN26" s="243">
        <f t="shared" ref="DN26" si="93">DM26</f>
        <v>41</v>
      </c>
      <c r="EI26" s="235"/>
      <c r="EJ26" s="235"/>
      <c r="EK26" s="235"/>
      <c r="EL26" s="235"/>
      <c r="EM26" s="235"/>
      <c r="EN26" s="235"/>
      <c r="EO26" s="235"/>
      <c r="EP26" s="235"/>
      <c r="EQ26" s="235"/>
      <c r="ER26" s="235">
        <f t="shared" si="21"/>
        <v>619</v>
      </c>
      <c r="ES26" s="235">
        <f t="shared" ref="ES26:ES30" si="94">SUM(CI26:CL26)</f>
        <v>533</v>
      </c>
      <c r="ET26" s="235">
        <f>SUM(CM26:CP26)</f>
        <v>441</v>
      </c>
      <c r="EU26" s="235">
        <f>SUM(CQ26:CT26)</f>
        <v>427</v>
      </c>
      <c r="EV26" s="235">
        <f t="shared" ref="EV26:EV30" si="95">SUM(CU26:CX26)</f>
        <v>380</v>
      </c>
      <c r="EW26" s="235">
        <f>SUM(CY26:DB26)</f>
        <v>318</v>
      </c>
      <c r="EX26" s="235">
        <f t="shared" si="42"/>
        <v>297</v>
      </c>
      <c r="EY26" s="235">
        <f>SUM(DD26:DG26)</f>
        <v>268</v>
      </c>
      <c r="EZ26" s="235">
        <f>SUM(DK26:DN26)</f>
        <v>164</v>
      </c>
      <c r="FA26" s="235">
        <f t="shared" ref="FA26:FE26" si="96">+EZ26</f>
        <v>164</v>
      </c>
      <c r="FB26" s="235">
        <f t="shared" si="96"/>
        <v>164</v>
      </c>
      <c r="FC26" s="235">
        <f t="shared" si="96"/>
        <v>164</v>
      </c>
      <c r="FD26" s="235">
        <f t="shared" si="96"/>
        <v>164</v>
      </c>
      <c r="FE26" s="235">
        <f t="shared" si="96"/>
        <v>164</v>
      </c>
      <c r="FF26" s="235">
        <f t="shared" ref="FF26" si="97">+FE26</f>
        <v>164</v>
      </c>
      <c r="FG26" s="235">
        <f t="shared" ref="FG26" si="98">+FF26</f>
        <v>164</v>
      </c>
      <c r="FH26" s="235">
        <f t="shared" ref="FH26" si="99">+FG26</f>
        <v>164</v>
      </c>
      <c r="FI26" s="235">
        <f t="shared" ref="FI26" si="100">+FH26</f>
        <v>164</v>
      </c>
      <c r="FJ26" s="235">
        <f t="shared" ref="FJ26" si="101">+FI26</f>
        <v>164</v>
      </c>
      <c r="FK26" s="254"/>
    </row>
    <row r="27" spans="2:169"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f t="shared" ref="DL27" si="102">DH27*0.8</f>
        <v>616</v>
      </c>
      <c r="DM27" s="243">
        <f t="shared" ref="DM27" si="103">DI27*0.8</f>
        <v>602.4</v>
      </c>
      <c r="DN27" s="243">
        <f t="shared" ref="DN27" si="104">DJ27*0.8</f>
        <v>584.80000000000007</v>
      </c>
      <c r="EI27" s="235"/>
      <c r="EJ27" s="235"/>
      <c r="EK27" s="235"/>
      <c r="EL27" s="235"/>
      <c r="EM27" s="235"/>
      <c r="EN27" s="235"/>
      <c r="EO27" s="235"/>
      <c r="EP27" s="235"/>
      <c r="EQ27" s="235"/>
      <c r="ER27" s="235">
        <f t="shared" si="21"/>
        <v>1893</v>
      </c>
      <c r="ES27" s="235">
        <f t="shared" si="94"/>
        <v>2615</v>
      </c>
      <c r="ET27" s="235">
        <f>SUM(CM27:CP27)</f>
        <v>3411</v>
      </c>
      <c r="EU27" s="235">
        <f>SUM(CQ27:CT27)</f>
        <v>4128</v>
      </c>
      <c r="EV27" s="235">
        <f t="shared" si="95"/>
        <v>4369</v>
      </c>
      <c r="EW27" s="235">
        <f>SUM(CY27:DB27)</f>
        <v>3785</v>
      </c>
      <c r="EX27" s="235">
        <f t="shared" si="42"/>
        <v>3264</v>
      </c>
      <c r="EY27" s="235">
        <f t="shared" si="23"/>
        <v>3038</v>
      </c>
      <c r="EZ27" s="235">
        <f>SUM(DK27:DN27)</f>
        <v>2512.2000000000003</v>
      </c>
      <c r="FA27" s="235">
        <f t="shared" ref="FA27:FE27" si="105">+EZ27*0.95</f>
        <v>2386.59</v>
      </c>
      <c r="FB27" s="235">
        <f t="shared" si="105"/>
        <v>2267.2604999999999</v>
      </c>
      <c r="FC27" s="235">
        <f t="shared" si="105"/>
        <v>2153.8974749999998</v>
      </c>
      <c r="FD27" s="235">
        <f t="shared" si="105"/>
        <v>2046.2026012499996</v>
      </c>
      <c r="FE27" s="235">
        <f t="shared" si="105"/>
        <v>1943.8924711874995</v>
      </c>
      <c r="FF27" s="235">
        <f t="shared" ref="FF27" si="106">+FE27*0.95</f>
        <v>1846.6978476281245</v>
      </c>
      <c r="FG27" s="235">
        <f t="shared" ref="FG27" si="107">+FF27*0.95</f>
        <v>1754.3629552467182</v>
      </c>
      <c r="FH27" s="235">
        <f t="shared" ref="FH27" si="108">+FG27*0.95</f>
        <v>1666.6448074843822</v>
      </c>
      <c r="FI27" s="235">
        <f t="shared" ref="FI27" si="109">+FH27*0.95</f>
        <v>1583.3125671101629</v>
      </c>
      <c r="FJ27" s="235">
        <f t="shared" ref="FJ27" si="110">+FI27*0.95</f>
        <v>1504.1469387546547</v>
      </c>
      <c r="FK27" s="254"/>
    </row>
    <row r="28" spans="2:169"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f t="shared" ref="DL28" si="111">DH28*1.15</f>
        <v>3309.7</v>
      </c>
      <c r="DM28" s="243">
        <f t="shared" ref="DM28" si="112">DI28*1.15</f>
        <v>3468.8599999999997</v>
      </c>
      <c r="DN28" s="243">
        <f t="shared" ref="DN28" si="113">DJ28*1.15</f>
        <v>3546.6</v>
      </c>
      <c r="EI28" s="235"/>
      <c r="EJ28" s="235"/>
      <c r="EK28" s="235"/>
      <c r="EL28" s="235"/>
      <c r="EM28" s="235"/>
      <c r="EN28" s="235"/>
      <c r="EO28" s="235"/>
      <c r="EP28" s="235"/>
      <c r="EQ28" s="235"/>
      <c r="ER28" s="235">
        <f t="shared" si="21"/>
        <v>1242</v>
      </c>
      <c r="ES28" s="235">
        <f t="shared" si="94"/>
        <v>2025</v>
      </c>
      <c r="ET28" s="235">
        <f>SUM(CM28:CP28)</f>
        <v>2998</v>
      </c>
      <c r="EU28" s="235">
        <f>SUM(CQ28:CT28)</f>
        <v>4190</v>
      </c>
      <c r="EV28" s="235">
        <f t="shared" si="95"/>
        <v>6023</v>
      </c>
      <c r="EW28" s="235">
        <f>SUM(CY28:DB28)</f>
        <v>7977</v>
      </c>
      <c r="EX28" s="235">
        <f t="shared" si="42"/>
        <v>9744</v>
      </c>
      <c r="EY28" s="235">
        <f t="shared" si="23"/>
        <v>11670.4</v>
      </c>
      <c r="EZ28" s="235">
        <f>SUM(DK28:DN28)</f>
        <v>13562.16</v>
      </c>
      <c r="FA28" s="235">
        <f>+EZ28*1.02</f>
        <v>13833.403200000001</v>
      </c>
      <c r="FB28" s="235">
        <f t="shared" ref="FB28:FE28" si="114">+FA28*1.02</f>
        <v>14110.071264</v>
      </c>
      <c r="FC28" s="235">
        <f t="shared" si="114"/>
        <v>14392.27268928</v>
      </c>
      <c r="FD28" s="235">
        <f t="shared" si="114"/>
        <v>14680.1181430656</v>
      </c>
      <c r="FE28" s="235">
        <f t="shared" si="114"/>
        <v>14973.720505926913</v>
      </c>
      <c r="FF28" s="235">
        <f t="shared" ref="FF28" si="115">+FE28*1.02</f>
        <v>15273.194916045451</v>
      </c>
      <c r="FG28" s="235">
        <f t="shared" ref="FG28" si="116">+FF28*1.02</f>
        <v>15578.658814366361</v>
      </c>
      <c r="FH28" s="235">
        <f t="shared" ref="FH28" si="117">+FG28*1.02</f>
        <v>15890.231990653689</v>
      </c>
      <c r="FI28" s="235">
        <f t="shared" ref="FI28" si="118">+FH28*1.02</f>
        <v>16208.036630466762</v>
      </c>
      <c r="FJ28" s="235">
        <f>+FI28*0.1</f>
        <v>1620.8036630466763</v>
      </c>
      <c r="FK28" s="254"/>
    </row>
    <row r="29" spans="2:169"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f>+DK29+15</f>
        <v>384</v>
      </c>
      <c r="DM29" s="243">
        <f>+DL29+15</f>
        <v>399</v>
      </c>
      <c r="DN29" s="243">
        <f>+DM29+15</f>
        <v>414</v>
      </c>
      <c r="EI29" s="235"/>
      <c r="EJ29" s="235"/>
      <c r="EK29" s="235"/>
      <c r="EL29" s="235"/>
      <c r="EM29" s="235"/>
      <c r="EN29" s="235"/>
      <c r="EO29" s="235"/>
      <c r="EP29" s="235"/>
      <c r="EQ29" s="235"/>
      <c r="ER29" s="235">
        <f t="shared" si="21"/>
        <v>0</v>
      </c>
      <c r="ES29" s="235">
        <f t="shared" si="94"/>
        <v>0</v>
      </c>
      <c r="ET29" s="235">
        <f>SUM(CM29:CP29)</f>
        <v>0</v>
      </c>
      <c r="EU29" s="235">
        <f>SUM(CQ29:CT29)</f>
        <v>0</v>
      </c>
      <c r="EV29" s="235">
        <f t="shared" si="95"/>
        <v>0</v>
      </c>
      <c r="EW29" s="235">
        <f>SUM(CY29:DB29)</f>
        <v>133</v>
      </c>
      <c r="EX29" s="235">
        <f t="shared" si="42"/>
        <v>500</v>
      </c>
      <c r="EY29" s="235">
        <f t="shared" si="23"/>
        <v>963.4</v>
      </c>
      <c r="EZ29" s="235">
        <f>SUM(DK29:DN29)</f>
        <v>1566</v>
      </c>
      <c r="FA29" s="235">
        <f>+EZ29*1.15</f>
        <v>1800.8999999999999</v>
      </c>
      <c r="FB29" s="235">
        <f>+FA29*1.15</f>
        <v>2071.0349999999999</v>
      </c>
      <c r="FC29" s="235">
        <f t="shared" ref="FC29:FJ29" si="119">+FB29*1.05</f>
        <v>2174.5867499999999</v>
      </c>
      <c r="FD29" s="235">
        <f t="shared" si="119"/>
        <v>2283.3160874999999</v>
      </c>
      <c r="FE29" s="235">
        <f t="shared" si="119"/>
        <v>2397.4818918749997</v>
      </c>
      <c r="FF29" s="235">
        <f t="shared" si="119"/>
        <v>2517.35598646875</v>
      </c>
      <c r="FG29" s="235">
        <f t="shared" si="119"/>
        <v>2643.2237857921878</v>
      </c>
      <c r="FH29" s="235">
        <f t="shared" si="119"/>
        <v>2775.3849750817972</v>
      </c>
      <c r="FI29" s="235">
        <f t="shared" si="119"/>
        <v>2914.154223835887</v>
      </c>
      <c r="FJ29" s="235">
        <f t="shared" si="119"/>
        <v>3059.8619350276813</v>
      </c>
      <c r="FK29" s="254"/>
    </row>
    <row r="30" spans="2:169"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f t="shared" ref="DL30" si="120">DK30*0.9</f>
        <v>112.5</v>
      </c>
      <c r="DM30" s="243">
        <f t="shared" ref="DM30" si="121">DL30*0.9</f>
        <v>101.25</v>
      </c>
      <c r="DN30" s="243">
        <f t="shared" ref="DN30" si="122">DM30*0.9</f>
        <v>91.125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23">SUM(BG30:BJ30)</f>
        <v>100</v>
      </c>
      <c r="EM30" s="235">
        <f t="shared" ref="EM30" si="124">SUM(BK30:BN30)</f>
        <v>961</v>
      </c>
      <c r="EN30" s="235">
        <f>SUM(BO30:BR30)</f>
        <v>1698</v>
      </c>
      <c r="EO30" s="235">
        <f>+EN30*1.2</f>
        <v>2037.6</v>
      </c>
      <c r="EP30" s="235">
        <f>+EO30*1.05</f>
        <v>2139.48</v>
      </c>
      <c r="EQ30" s="235">
        <f>+EP30*1.05</f>
        <v>2246.4540000000002</v>
      </c>
      <c r="ER30" s="235">
        <f t="shared" si="21"/>
        <v>2505</v>
      </c>
      <c r="ES30" s="235">
        <f t="shared" si="94"/>
        <v>3498</v>
      </c>
      <c r="ET30" s="235">
        <f>SUM(CM30:CP30)</f>
        <v>2795</v>
      </c>
      <c r="EU30" s="235">
        <f>SUM(CQ30:CT30)</f>
        <v>2470</v>
      </c>
      <c r="EV30" s="235">
        <f t="shared" si="95"/>
        <v>2297</v>
      </c>
      <c r="EW30" s="235">
        <f>SUM(CY30:DB30)</f>
        <v>1770</v>
      </c>
      <c r="EX30" s="235">
        <f t="shared" si="42"/>
        <v>887</v>
      </c>
      <c r="EY30" s="235">
        <f t="shared" si="23"/>
        <v>631.29999999999995</v>
      </c>
      <c r="EZ30" s="235">
        <f>SUM(DK30:DN30)</f>
        <v>429.875</v>
      </c>
      <c r="FA30" s="235">
        <f t="shared" ref="FA30:FE30" si="125">+EZ30*0.5</f>
        <v>214.9375</v>
      </c>
      <c r="FB30" s="235">
        <f t="shared" si="125"/>
        <v>107.46875</v>
      </c>
      <c r="FC30" s="235">
        <f t="shared" si="125"/>
        <v>53.734375</v>
      </c>
      <c r="FD30" s="235">
        <f t="shared" si="125"/>
        <v>26.8671875</v>
      </c>
      <c r="FE30" s="235">
        <f t="shared" si="125"/>
        <v>13.43359375</v>
      </c>
      <c r="FF30" s="235">
        <f t="shared" ref="FF30" si="126">+FE30*0.5</f>
        <v>6.716796875</v>
      </c>
      <c r="FG30" s="235">
        <f t="shared" ref="FG30" si="127">+FF30*0.5</f>
        <v>3.3583984375</v>
      </c>
      <c r="FH30" s="235">
        <f t="shared" ref="FH30" si="128">+FG30*0.5</f>
        <v>1.67919921875</v>
      </c>
      <c r="FI30" s="235">
        <f t="shared" ref="FI30" si="129">+FH30*0.5</f>
        <v>0.839599609375</v>
      </c>
      <c r="FJ30" s="235">
        <f t="shared" ref="FJ30" si="130">+FI30*0.5</f>
        <v>0.4197998046875</v>
      </c>
      <c r="FM30"/>
    </row>
    <row r="31" spans="2:169"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43"/>
      <c r="DI31" s="243"/>
      <c r="DJ31" s="243"/>
      <c r="DK31" s="243">
        <v>141</v>
      </c>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1"/>
        <v>0</v>
      </c>
      <c r="ES31" s="235"/>
      <c r="ET31" s="235"/>
      <c r="EU31" s="235"/>
      <c r="EV31" s="235"/>
      <c r="EW31" s="235"/>
      <c r="EX31" s="235"/>
      <c r="EY31" s="235"/>
      <c r="EZ31" s="235">
        <v>400</v>
      </c>
      <c r="FA31" s="235">
        <v>600</v>
      </c>
      <c r="FB31" s="235">
        <v>800</v>
      </c>
      <c r="FC31" s="235">
        <v>1000</v>
      </c>
      <c r="FD31" s="235">
        <f>+FC31*1.05</f>
        <v>1050</v>
      </c>
      <c r="FE31" s="235">
        <f t="shared" ref="FE31:FJ31" si="131">+FD31*1.05</f>
        <v>1102.5</v>
      </c>
      <c r="FF31" s="235">
        <f t="shared" si="131"/>
        <v>1157.625</v>
      </c>
      <c r="FG31" s="235">
        <f t="shared" si="131"/>
        <v>1215.5062500000001</v>
      </c>
      <c r="FH31" s="235">
        <f t="shared" si="131"/>
        <v>1276.2815625000003</v>
      </c>
      <c r="FI31" s="235">
        <f t="shared" si="131"/>
        <v>1340.0956406250004</v>
      </c>
      <c r="FJ31" s="235">
        <f t="shared" si="131"/>
        <v>1407.1004226562504</v>
      </c>
      <c r="FM31"/>
    </row>
    <row r="32" spans="2:169"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f t="shared" ref="DL32" si="132">+DK32</f>
        <v>89</v>
      </c>
      <c r="DM32" s="243">
        <f t="shared" ref="DM32" si="133">+DL32</f>
        <v>89</v>
      </c>
      <c r="DN32" s="243">
        <f t="shared" ref="DN32" si="134">+DM32</f>
        <v>89</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1"/>
        <v>504</v>
      </c>
      <c r="ES32" s="235">
        <f t="shared" ref="ES32:ES50" si="135">SUM(CI32:CL32)</f>
        <v>590</v>
      </c>
      <c r="ET32" s="235">
        <f t="shared" ref="ET32:ET50" si="136">SUM(CM32:CP32)</f>
        <v>739</v>
      </c>
      <c r="EU32" s="235">
        <f t="shared" ref="EU32:EU50" si="137">SUM(CQ32:CT32)</f>
        <v>821</v>
      </c>
      <c r="EV32" s="235">
        <f t="shared" ref="EV32:EV50" si="138">SUM(CU32:CX32)</f>
        <v>568</v>
      </c>
      <c r="EW32" s="235">
        <f t="shared" ref="EW32:EW50" si="139">SUM(CY32:DB32)</f>
        <v>571</v>
      </c>
      <c r="EX32" s="235">
        <f t="shared" si="42"/>
        <v>641</v>
      </c>
      <c r="EY32" s="235">
        <f>SUM(DG32:DJ32)</f>
        <v>931.4</v>
      </c>
      <c r="EZ32" s="235">
        <f t="shared" ref="EZ32:EZ38" si="140">SUM(DK32:DN32)</f>
        <v>356</v>
      </c>
      <c r="FA32" s="235">
        <f t="shared" ref="FA32:FE32" si="141">+EZ32*0.9</f>
        <v>320.40000000000003</v>
      </c>
      <c r="FB32" s="235">
        <f t="shared" si="141"/>
        <v>288.36</v>
      </c>
      <c r="FC32" s="235">
        <f t="shared" si="141"/>
        <v>259.524</v>
      </c>
      <c r="FD32" s="235">
        <f t="shared" si="141"/>
        <v>233.57160000000002</v>
      </c>
      <c r="FE32" s="235">
        <f t="shared" si="141"/>
        <v>210.21444000000002</v>
      </c>
      <c r="FF32" s="235">
        <f t="shared" ref="FF32" si="142">+FE32*0.9</f>
        <v>189.19299600000002</v>
      </c>
      <c r="FG32" s="235">
        <f t="shared" ref="FG32" si="143">+FF32*0.9</f>
        <v>170.27369640000003</v>
      </c>
      <c r="FH32" s="235">
        <f t="shared" ref="FH32" si="144">+FG32*0.9</f>
        <v>153.24632676000004</v>
      </c>
      <c r="FI32" s="235">
        <f t="shared" ref="FI32" si="145">+FH32*0.9</f>
        <v>137.92169408400005</v>
      </c>
      <c r="FJ32" s="235">
        <f t="shared" ref="FJ32" si="146">+FI32*0.9</f>
        <v>124.12952467560005</v>
      </c>
      <c r="FM32"/>
    </row>
    <row r="33" spans="2:169"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f t="shared" ref="DL33:DN33" si="147">+DH33*1.15</f>
        <v>846.4</v>
      </c>
      <c r="DM33" s="243">
        <f t="shared" si="147"/>
        <v>908.49999999999989</v>
      </c>
      <c r="DN33" s="243">
        <f t="shared" si="147"/>
        <v>901.59999999999991</v>
      </c>
      <c r="EI33" s="235"/>
      <c r="EJ33" s="235"/>
      <c r="EK33" s="235"/>
      <c r="EL33" s="235"/>
      <c r="EM33" s="235"/>
      <c r="EN33" s="235"/>
      <c r="EO33" s="235"/>
      <c r="EP33" s="235"/>
      <c r="EQ33" s="235"/>
      <c r="ER33" s="235">
        <f t="shared" si="21"/>
        <v>0</v>
      </c>
      <c r="ES33" s="235">
        <f t="shared" si="135"/>
        <v>0</v>
      </c>
      <c r="ET33" s="235">
        <f t="shared" si="136"/>
        <v>0</v>
      </c>
      <c r="EU33" s="235">
        <f t="shared" si="137"/>
        <v>760</v>
      </c>
      <c r="EV33" s="235">
        <f t="shared" si="138"/>
        <v>1291</v>
      </c>
      <c r="EW33" s="235">
        <f t="shared" si="139"/>
        <v>1881</v>
      </c>
      <c r="EX33" s="235">
        <f t="shared" si="42"/>
        <v>2387</v>
      </c>
      <c r="EY33" s="235">
        <f t="shared" si="23"/>
        <v>2999</v>
      </c>
      <c r="EZ33" s="235">
        <f t="shared" si="140"/>
        <v>3427.5</v>
      </c>
      <c r="FA33" s="235">
        <f>+EZ33*1.05</f>
        <v>3598.875</v>
      </c>
      <c r="FB33" s="235">
        <f t="shared" ref="FB33:FE33" si="148">+FA33*1.05</f>
        <v>3778.8187500000004</v>
      </c>
      <c r="FC33" s="235">
        <f t="shared" si="148"/>
        <v>3967.7596875000004</v>
      </c>
      <c r="FD33" s="235">
        <f t="shared" si="148"/>
        <v>4166.1476718750009</v>
      </c>
      <c r="FE33" s="235">
        <f t="shared" si="148"/>
        <v>4374.4550554687512</v>
      </c>
      <c r="FF33" s="235">
        <f t="shared" ref="FF33" si="149">+FE33*1.05</f>
        <v>4593.1778082421888</v>
      </c>
      <c r="FG33" s="235">
        <f t="shared" ref="FG33" si="150">+FF33*1.05</f>
        <v>4822.8366986542987</v>
      </c>
      <c r="FH33" s="235">
        <f t="shared" ref="FH33" si="151">+FG33*1.05</f>
        <v>5063.9785335870138</v>
      </c>
      <c r="FI33" s="235">
        <f t="shared" ref="FI33" si="152">+FH33*1.05</f>
        <v>5317.1774602663645</v>
      </c>
      <c r="FJ33" s="235">
        <f t="shared" ref="FJ33" si="153">+FI33*1.05</f>
        <v>5583.0363332796833</v>
      </c>
      <c r="FK33" s="254"/>
    </row>
    <row r="34" spans="2:169"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f t="shared" ref="DL34:DN34" si="154">+DK34+25</f>
        <v>176</v>
      </c>
      <c r="DM34" s="243">
        <f t="shared" si="154"/>
        <v>201</v>
      </c>
      <c r="DN34" s="243">
        <f t="shared" si="154"/>
        <v>226</v>
      </c>
      <c r="EI34" s="235"/>
      <c r="EJ34" s="235"/>
      <c r="EK34" s="235"/>
      <c r="EL34" s="235"/>
      <c r="EM34" s="235"/>
      <c r="EN34" s="235"/>
      <c r="EO34" s="235"/>
      <c r="EP34" s="235"/>
      <c r="EQ34" s="235"/>
      <c r="ER34" s="235">
        <f t="shared" si="21"/>
        <v>0</v>
      </c>
      <c r="ES34" s="235"/>
      <c r="ET34" s="235"/>
      <c r="EU34" s="235"/>
      <c r="EV34" s="235"/>
      <c r="EW34" s="235"/>
      <c r="EX34" s="235"/>
      <c r="EY34" s="235">
        <f t="shared" si="23"/>
        <v>549</v>
      </c>
      <c r="EZ34" s="235">
        <f t="shared" si="140"/>
        <v>754</v>
      </c>
      <c r="FA34" s="235"/>
      <c r="FB34" s="235"/>
      <c r="FC34" s="235"/>
      <c r="FD34" s="235"/>
      <c r="FE34" s="235"/>
      <c r="FF34" s="235"/>
      <c r="FG34" s="235"/>
      <c r="FH34" s="235"/>
      <c r="FI34" s="235"/>
      <c r="FJ34" s="235"/>
      <c r="FK34" s="254"/>
    </row>
    <row r="35" spans="2:169" ht="12.75" customHeight="1" x14ac:dyDescent="0.25">
      <c r="B35" t="s">
        <v>2164</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2165</v>
      </c>
      <c r="DH35" s="243"/>
      <c r="DI35" s="243"/>
      <c r="DJ35" s="243"/>
      <c r="DK35" s="243">
        <v>86</v>
      </c>
      <c r="DL35" s="243"/>
      <c r="DM35" s="243"/>
      <c r="DN35" s="243"/>
      <c r="EI35" s="235"/>
      <c r="EJ35" s="235"/>
      <c r="EK35" s="235"/>
      <c r="EL35" s="235"/>
      <c r="EM35" s="235"/>
      <c r="EN35" s="235"/>
      <c r="EO35" s="235"/>
      <c r="EP35" s="235"/>
      <c r="EQ35" s="235"/>
      <c r="ER35" s="235"/>
      <c r="ES35" s="235"/>
      <c r="ET35" s="235"/>
      <c r="EU35" s="235"/>
      <c r="EV35" s="235"/>
      <c r="EW35" s="235"/>
      <c r="EX35" s="235"/>
      <c r="EY35" s="235"/>
      <c r="EZ35" s="235"/>
      <c r="FA35" s="235"/>
      <c r="FB35" s="235"/>
      <c r="FC35" s="235"/>
      <c r="FD35" s="235"/>
      <c r="FE35" s="235"/>
      <c r="FF35" s="235"/>
      <c r="FG35" s="235"/>
      <c r="FH35" s="235"/>
      <c r="FI35" s="235"/>
      <c r="FJ35" s="235"/>
      <c r="FK35" s="254"/>
    </row>
    <row r="36" spans="2:169"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P36" s="271"/>
      <c r="DQ36" s="271"/>
      <c r="DR36" s="271"/>
      <c r="DS36" s="271"/>
      <c r="DT36" s="271"/>
      <c r="DU36" s="271"/>
      <c r="DV36" s="235">
        <f>271+575</f>
        <v>846</v>
      </c>
      <c r="DW36" s="235">
        <f>385+631</f>
        <v>1016</v>
      </c>
      <c r="DX36" s="235">
        <f>SUM(C36:F36)</f>
        <v>1160</v>
      </c>
      <c r="DY36" s="235">
        <f>SUM(G36:J36)</f>
        <v>1499</v>
      </c>
      <c r="DZ36" s="235">
        <f>SUM(K36:N36)</f>
        <v>2094</v>
      </c>
      <c r="EA36" s="235">
        <f>SUM(O36:R36)</f>
        <v>2709</v>
      </c>
      <c r="EB36" s="235">
        <f>SUM(S36:V36)</f>
        <v>3429</v>
      </c>
      <c r="EC36" s="235">
        <f>SUM(W36:Z36)</f>
        <v>4269</v>
      </c>
      <c r="ED36" s="235">
        <f>SUM(AA36:AD36)</f>
        <v>3984</v>
      </c>
      <c r="EE36" s="235">
        <f>SUM(AE36:AH36)</f>
        <v>3588</v>
      </c>
      <c r="EF36" s="235">
        <f>SUM(AI36:AL36)</f>
        <v>3324</v>
      </c>
      <c r="EG36" s="235">
        <f>SUM(AM36:AP36)</f>
        <v>3180</v>
      </c>
      <c r="EH36" s="235">
        <f>SUM(AQ36:AT36)</f>
        <v>2885</v>
      </c>
      <c r="EI36" s="235">
        <f>SUM(AU36:AX36)</f>
        <v>2460</v>
      </c>
      <c r="EJ36" s="235">
        <f>SUM(AY36:BB36)</f>
        <v>2245</v>
      </c>
      <c r="EK36" s="235">
        <f>SUM(BC36:BF36)</f>
        <v>1934</v>
      </c>
      <c r="EL36" s="235">
        <f>SUM(BG36:BJ36)</f>
        <v>1623</v>
      </c>
      <c r="EM36" s="235">
        <f>SUM(BK36:BN36)</f>
        <v>1462</v>
      </c>
      <c r="EN36" s="235">
        <f>SUM(BO36:BR36)</f>
        <v>1364</v>
      </c>
      <c r="EO36" s="235">
        <f>SUM(BS36:BV36)</f>
        <v>1238</v>
      </c>
      <c r="EP36" s="235">
        <f>EO36*0.9</f>
        <v>1114.2</v>
      </c>
      <c r="EQ36" s="235">
        <f>EP36*0.9</f>
        <v>1002.7800000000001</v>
      </c>
      <c r="ER36" s="235">
        <f t="shared" si="21"/>
        <v>972</v>
      </c>
      <c r="ES36" s="235">
        <f t="shared" si="135"/>
        <v>988</v>
      </c>
      <c r="ET36" s="235">
        <f t="shared" si="136"/>
        <v>790</v>
      </c>
      <c r="EU36" s="235">
        <f t="shared" si="137"/>
        <v>552</v>
      </c>
      <c r="EV36" s="235">
        <f t="shared" si="138"/>
        <v>479</v>
      </c>
      <c r="EW36" s="235">
        <f t="shared" si="139"/>
        <v>0</v>
      </c>
      <c r="EX36" s="235"/>
      <c r="EY36" s="235">
        <f t="shared" si="23"/>
        <v>0</v>
      </c>
      <c r="EZ36" s="344"/>
      <c r="FA36" s="344"/>
      <c r="FB36" s="344"/>
      <c r="FC36" s="344"/>
      <c r="FD36" s="344"/>
      <c r="FE36" s="344"/>
      <c r="FF36" s="344"/>
      <c r="FG36" s="344"/>
      <c r="FH36" s="344"/>
      <c r="FI36" s="344"/>
      <c r="FJ36" s="344"/>
      <c r="FM36"/>
    </row>
    <row r="37" spans="2:169"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P37" s="235"/>
      <c r="DQ37" s="235"/>
      <c r="DR37" s="235"/>
      <c r="DS37" s="235"/>
      <c r="DT37" s="235"/>
      <c r="DU37" s="235"/>
      <c r="DV37" s="235"/>
      <c r="DW37" s="235"/>
      <c r="DX37" s="235"/>
      <c r="DY37" s="235"/>
      <c r="DZ37" s="235"/>
      <c r="EA37" s="235"/>
      <c r="EB37" s="235"/>
      <c r="EC37" s="235"/>
      <c r="ED37" s="235"/>
      <c r="EE37" s="235" t="s">
        <v>325</v>
      </c>
      <c r="EF37" s="235" t="s">
        <v>326</v>
      </c>
      <c r="EG37" s="235"/>
      <c r="EH37" s="235">
        <f>SUM(AQ37:AT37)</f>
        <v>534</v>
      </c>
      <c r="EI37" s="235">
        <f>SUM(AU37:AX37)</f>
        <v>787</v>
      </c>
      <c r="EJ37" s="235">
        <f>SUM(AY37:BB37)</f>
        <v>933</v>
      </c>
      <c r="EK37" s="235">
        <f>SUM(BC37:BF37)</f>
        <v>1080</v>
      </c>
      <c r="EL37" s="235">
        <f>SUM(BG37:BJ37)</f>
        <v>1274</v>
      </c>
      <c r="EM37" s="235">
        <f>SUM(BK37:BN37)</f>
        <v>1500</v>
      </c>
      <c r="EN37" s="235">
        <f>SUM(BO37:BR37)</f>
        <v>1660</v>
      </c>
      <c r="EO37" s="235">
        <f>SUM(BS37:BV37)</f>
        <v>1618</v>
      </c>
      <c r="EP37" s="235">
        <f>EO37</f>
        <v>1618</v>
      </c>
      <c r="EQ37" s="235">
        <f>EP37*0.5</f>
        <v>809</v>
      </c>
      <c r="ER37" s="235">
        <f t="shared" si="21"/>
        <v>1114</v>
      </c>
      <c r="ES37" s="235">
        <f t="shared" si="135"/>
        <v>1116</v>
      </c>
      <c r="ET37" s="235">
        <f t="shared" si="136"/>
        <v>751</v>
      </c>
      <c r="EU37" s="235">
        <f t="shared" si="137"/>
        <v>0</v>
      </c>
      <c r="EV37" s="235">
        <f t="shared" si="138"/>
        <v>0</v>
      </c>
      <c r="EW37" s="235">
        <f t="shared" si="139"/>
        <v>0</v>
      </c>
      <c r="EX37" s="235"/>
      <c r="EY37" s="235">
        <f t="shared" si="23"/>
        <v>0</v>
      </c>
      <c r="EZ37" s="344"/>
      <c r="FA37" s="344"/>
      <c r="FB37" s="344"/>
      <c r="FC37" s="344"/>
      <c r="FD37" s="344"/>
      <c r="FE37" s="344"/>
      <c r="FF37" s="344"/>
      <c r="FG37" s="344"/>
      <c r="FH37" s="344"/>
      <c r="FI37" s="344"/>
      <c r="FJ37" s="344"/>
      <c r="FM37"/>
    </row>
    <row r="38" spans="2:169"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544</v>
      </c>
      <c r="DI38" s="243">
        <v>571</v>
      </c>
      <c r="DJ38" s="243">
        <v>545</v>
      </c>
      <c r="DK38" s="243">
        <v>522</v>
      </c>
      <c r="DL38" s="243">
        <f t="shared" ref="DL38:DL39" si="155">+DH38*1.05</f>
        <v>571.20000000000005</v>
      </c>
      <c r="DM38" s="243">
        <f t="shared" ref="DM38:DM39" si="156">+DI38*1.05</f>
        <v>599.55000000000007</v>
      </c>
      <c r="DN38" s="243">
        <f t="shared" ref="DN38:DN39" si="157">+DJ38*1.05</f>
        <v>572.25</v>
      </c>
      <c r="EI38" s="235"/>
      <c r="EJ38" s="235"/>
      <c r="EK38" s="235"/>
      <c r="EL38" s="235"/>
      <c r="EM38" s="235"/>
      <c r="EN38" s="235"/>
      <c r="EO38" s="235"/>
      <c r="EP38" s="235"/>
      <c r="EQ38" s="235"/>
      <c r="ER38" s="235">
        <f t="shared" si="21"/>
        <v>573</v>
      </c>
      <c r="ES38" s="235">
        <f t="shared" si="135"/>
        <v>1215</v>
      </c>
      <c r="ET38" s="235">
        <f t="shared" si="136"/>
        <v>1327</v>
      </c>
      <c r="EU38" s="235">
        <f t="shared" si="137"/>
        <v>1639</v>
      </c>
      <c r="EV38" s="235">
        <f t="shared" si="138"/>
        <v>1819</v>
      </c>
      <c r="EW38" s="235">
        <f t="shared" si="139"/>
        <v>1783</v>
      </c>
      <c r="EX38" s="235">
        <f t="shared" ref="EX38:EX45" si="158">SUM(DC38:DF38)</f>
        <v>1973</v>
      </c>
      <c r="EY38" s="235">
        <f t="shared" si="23"/>
        <v>2184</v>
      </c>
      <c r="EZ38" s="235">
        <f t="shared" si="140"/>
        <v>2265</v>
      </c>
      <c r="FA38" s="235">
        <f t="shared" ref="FA38:FE38" si="159">+EZ38*0.99</f>
        <v>2242.35</v>
      </c>
      <c r="FB38" s="235">
        <f t="shared" si="159"/>
        <v>2219.9265</v>
      </c>
      <c r="FC38" s="235">
        <f t="shared" si="159"/>
        <v>2197.7272349999998</v>
      </c>
      <c r="FD38" s="235">
        <f t="shared" si="159"/>
        <v>2175.7499626499998</v>
      </c>
      <c r="FE38" s="235">
        <f t="shared" si="159"/>
        <v>2153.9924630235</v>
      </c>
      <c r="FF38" s="235">
        <f t="shared" ref="FF38" si="160">+FE38*0.99</f>
        <v>2132.4525383932651</v>
      </c>
      <c r="FG38" s="235">
        <f t="shared" ref="FG38" si="161">+FF38*0.99</f>
        <v>2111.1280130093323</v>
      </c>
      <c r="FH38" s="235">
        <f t="shared" ref="FH38" si="162">+FG38*0.99</f>
        <v>2090.016732879239</v>
      </c>
      <c r="FI38" s="235">
        <f t="shared" ref="FI38" si="163">+FH38*0.99</f>
        <v>2069.1165655504465</v>
      </c>
      <c r="FJ38" s="235">
        <f t="shared" ref="FJ38" si="164">+FI38*0.99</f>
        <v>2048.4253998949421</v>
      </c>
      <c r="FK38" s="254"/>
    </row>
    <row r="39" spans="2:169"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f t="shared" si="155"/>
        <v>447.3</v>
      </c>
      <c r="DM39" s="243">
        <f t="shared" si="156"/>
        <v>480.90000000000003</v>
      </c>
      <c r="DN39" s="243">
        <f t="shared" si="157"/>
        <v>488.25</v>
      </c>
      <c r="EI39" s="235"/>
      <c r="EJ39" s="235"/>
      <c r="EK39" s="235"/>
      <c r="EL39" s="235"/>
      <c r="EM39" s="235"/>
      <c r="EN39" s="235"/>
      <c r="EO39" s="235"/>
      <c r="EP39" s="235"/>
      <c r="EQ39" s="235"/>
      <c r="ER39" s="235">
        <f t="shared" si="21"/>
        <v>263</v>
      </c>
      <c r="ES39" s="235">
        <f t="shared" si="135"/>
        <v>663</v>
      </c>
      <c r="ET39" s="235">
        <f t="shared" si="136"/>
        <v>819</v>
      </c>
      <c r="EU39" s="235">
        <f t="shared" si="137"/>
        <v>1093</v>
      </c>
      <c r="EV39" s="235">
        <f t="shared" si="138"/>
        <v>1237</v>
      </c>
      <c r="EW39" s="235">
        <f t="shared" si="139"/>
        <v>1322</v>
      </c>
      <c r="EX39" s="235">
        <f t="shared" si="158"/>
        <v>1582</v>
      </c>
      <c r="EY39" s="235">
        <f t="shared" si="23"/>
        <v>1817</v>
      </c>
      <c r="EZ39" s="235">
        <f>SUM(DK39:DN39)</f>
        <v>1867.45</v>
      </c>
      <c r="FA39" s="235">
        <f>+EZ39*1.02</f>
        <v>1904.799</v>
      </c>
      <c r="FB39" s="235">
        <f t="shared" ref="FB39" si="165">+FA39*1.02</f>
        <v>1942.89498</v>
      </c>
      <c r="FC39" s="235">
        <f>+FB39*0.95</f>
        <v>1845.750231</v>
      </c>
      <c r="FD39" s="235">
        <f t="shared" ref="FD39:FE39" si="166">+FC39*0.95</f>
        <v>1753.4627194499999</v>
      </c>
      <c r="FE39" s="235">
        <f t="shared" si="166"/>
        <v>1665.7895834774997</v>
      </c>
      <c r="FF39" s="235">
        <f t="shared" ref="FF39" si="167">+FE39*0.95</f>
        <v>1582.5001043036248</v>
      </c>
      <c r="FG39" s="235">
        <f t="shared" ref="FG39" si="168">+FF39*0.95</f>
        <v>1503.3750990884434</v>
      </c>
      <c r="FH39" s="235">
        <f t="shared" ref="FH39" si="169">+FG39*0.95</f>
        <v>1428.2063441340213</v>
      </c>
      <c r="FI39" s="235">
        <f t="shared" ref="FI39" si="170">+FH39*0.95</f>
        <v>1356.7960269273201</v>
      </c>
      <c r="FJ39" s="235">
        <f t="shared" ref="FJ39" si="171">+FI39*0.95</f>
        <v>1288.956225580954</v>
      </c>
      <c r="FK39" s="254"/>
    </row>
    <row r="40" spans="2:169"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EI40" s="235"/>
      <c r="EJ40" s="235"/>
      <c r="EK40" s="235"/>
      <c r="EL40" s="235">
        <f t="shared" si="70"/>
        <v>402</v>
      </c>
      <c r="EM40" s="235">
        <f>SUM(BK40:BN40)</f>
        <v>83</v>
      </c>
      <c r="EN40" s="235"/>
      <c r="EO40" s="235"/>
      <c r="EP40" s="235"/>
      <c r="EQ40" s="235"/>
      <c r="ER40" s="235">
        <f t="shared" si="21"/>
        <v>0</v>
      </c>
      <c r="ES40" s="235">
        <f t="shared" si="135"/>
        <v>0</v>
      </c>
      <c r="ET40" s="235">
        <f t="shared" si="136"/>
        <v>0</v>
      </c>
      <c r="EU40" s="235">
        <f t="shared" si="137"/>
        <v>0</v>
      </c>
      <c r="EV40" s="235">
        <f t="shared" si="138"/>
        <v>0</v>
      </c>
      <c r="EW40" s="235">
        <f t="shared" si="139"/>
        <v>0</v>
      </c>
      <c r="EX40" s="235">
        <f t="shared" si="158"/>
        <v>0</v>
      </c>
      <c r="EY40" s="235">
        <f t="shared" si="23"/>
        <v>0</v>
      </c>
      <c r="EZ40" s="346"/>
      <c r="FA40" s="346"/>
      <c r="FB40" s="346"/>
      <c r="FC40" s="346"/>
      <c r="FD40" s="346"/>
      <c r="FE40" s="346"/>
      <c r="FF40" s="346"/>
      <c r="FG40" s="346"/>
      <c r="FH40" s="346"/>
      <c r="FI40" s="346"/>
      <c r="FJ40" s="346"/>
      <c r="FK40" s="254"/>
    </row>
    <row r="41" spans="2:169"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120</v>
      </c>
      <c r="DW41" s="235">
        <v>250</v>
      </c>
      <c r="DX41" s="235">
        <f>SUM(C41:F41)</f>
        <v>328</v>
      </c>
      <c r="DY41" s="235">
        <f>SUM(G41:J41)</f>
        <v>376</v>
      </c>
      <c r="DZ41" s="235">
        <f>SUM(K41:N41)</f>
        <v>454</v>
      </c>
      <c r="EA41" s="235">
        <f>SUM(O41:R41)</f>
        <v>522</v>
      </c>
      <c r="EB41" s="235">
        <f>SUM(S41:V41)</f>
        <v>608</v>
      </c>
      <c r="EC41" s="235">
        <f>SUM(W41:Z41)</f>
        <v>442</v>
      </c>
      <c r="ED41" s="235">
        <f>SUM(AA41:AD41)</f>
        <v>294</v>
      </c>
      <c r="EE41" s="235">
        <v>328</v>
      </c>
      <c r="EF41" s="235">
        <v>181.4</v>
      </c>
      <c r="EG41" s="235"/>
      <c r="EH41" s="235"/>
      <c r="EI41" s="235"/>
      <c r="EJ41" s="235"/>
      <c r="EK41" s="235"/>
      <c r="EL41" s="235"/>
      <c r="EM41" s="235"/>
      <c r="EN41" s="235"/>
      <c r="EO41" s="235"/>
      <c r="EP41" s="235"/>
      <c r="EQ41" s="235"/>
      <c r="ER41" s="235">
        <f t="shared" si="21"/>
        <v>0</v>
      </c>
      <c r="ES41" s="235">
        <f t="shared" si="135"/>
        <v>0</v>
      </c>
      <c r="ET41" s="235">
        <f t="shared" si="136"/>
        <v>0</v>
      </c>
      <c r="EU41" s="235">
        <f t="shared" si="137"/>
        <v>0</v>
      </c>
      <c r="EV41" s="235">
        <f t="shared" si="138"/>
        <v>0</v>
      </c>
      <c r="EW41" s="235">
        <f t="shared" si="139"/>
        <v>0</v>
      </c>
      <c r="EX41" s="235">
        <f t="shared" si="158"/>
        <v>0</v>
      </c>
      <c r="EY41" s="235">
        <f t="shared" si="23"/>
        <v>0</v>
      </c>
      <c r="EZ41" s="345"/>
      <c r="FA41" s="345"/>
      <c r="FB41" s="345"/>
      <c r="FC41" s="345"/>
      <c r="FD41" s="345"/>
      <c r="FE41" s="345"/>
      <c r="FF41" s="345"/>
      <c r="FG41" s="345"/>
      <c r="FH41" s="345"/>
      <c r="FI41" s="345"/>
      <c r="FJ41" s="345"/>
      <c r="FM41"/>
    </row>
    <row r="42" spans="2:169"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450</v>
      </c>
      <c r="DW42" s="235">
        <v>625</v>
      </c>
      <c r="DX42" s="235">
        <f>SUM(C42:F42)</f>
        <v>569</v>
      </c>
      <c r="DY42" s="235">
        <f>SUM(G42:J42)</f>
        <v>549</v>
      </c>
      <c r="DZ42" s="235">
        <f>SUM(K42:N42)</f>
        <v>594</v>
      </c>
      <c r="EA42" s="235">
        <f>SUM(O42:R42)</f>
        <v>605</v>
      </c>
      <c r="EB42" s="235">
        <f>SUM(S42:V42)</f>
        <v>603</v>
      </c>
      <c r="EC42" s="235">
        <f>SUM(W42:Z42)</f>
        <v>568</v>
      </c>
      <c r="ED42" s="235">
        <f>SUM(AA42:AD42)</f>
        <v>567</v>
      </c>
      <c r="EE42" s="235">
        <f>SUM(AE42:AH42)</f>
        <v>654</v>
      </c>
      <c r="EF42" s="235">
        <v>507</v>
      </c>
      <c r="EG42" s="235"/>
      <c r="EH42" s="235"/>
      <c r="EI42" s="235"/>
      <c r="EJ42" s="235"/>
      <c r="EK42" s="235"/>
      <c r="EL42" s="235"/>
      <c r="EM42" s="235"/>
      <c r="EN42" s="235"/>
      <c r="EO42" s="235"/>
      <c r="EP42" s="235"/>
      <c r="EQ42" s="235"/>
      <c r="ER42" s="235">
        <f t="shared" si="21"/>
        <v>0</v>
      </c>
      <c r="ES42" s="235">
        <f t="shared" si="135"/>
        <v>0</v>
      </c>
      <c r="ET42" s="235">
        <f t="shared" si="136"/>
        <v>0</v>
      </c>
      <c r="EU42" s="235">
        <f t="shared" si="137"/>
        <v>0</v>
      </c>
      <c r="EV42" s="235">
        <f t="shared" si="138"/>
        <v>0</v>
      </c>
      <c r="EW42" s="235">
        <f t="shared" si="139"/>
        <v>0</v>
      </c>
      <c r="EX42" s="235">
        <f t="shared" si="158"/>
        <v>0</v>
      </c>
      <c r="EY42" s="235">
        <f t="shared" si="23"/>
        <v>0</v>
      </c>
      <c r="EZ42" s="345"/>
      <c r="FA42" s="345"/>
      <c r="FB42" s="345"/>
      <c r="FC42" s="345"/>
      <c r="FD42" s="345"/>
      <c r="FE42" s="345"/>
      <c r="FF42" s="345"/>
      <c r="FG42" s="345"/>
      <c r="FH42" s="345"/>
      <c r="FI42" s="345"/>
      <c r="FJ42" s="345"/>
      <c r="FM42"/>
    </row>
    <row r="43" spans="2:169"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71"/>
      <c r="DQ43" s="271"/>
      <c r="DR43" s="271"/>
      <c r="DS43" s="271"/>
      <c r="DT43" s="271"/>
      <c r="DU43" s="271"/>
      <c r="DV43" s="235">
        <v>570</v>
      </c>
      <c r="DW43" s="235">
        <v>545</v>
      </c>
      <c r="DX43" s="235">
        <f>SUM(C43:F43)</f>
        <v>670</v>
      </c>
      <c r="DY43" s="235">
        <f>SUM(G43:J43)</f>
        <v>760</v>
      </c>
      <c r="DZ43" s="235">
        <f>SUM(K43:N43)</f>
        <v>914</v>
      </c>
      <c r="EA43" s="235">
        <f>SUM(O43:R43)</f>
        <v>957</v>
      </c>
      <c r="EB43" s="235">
        <f>SUM(S43:V43)</f>
        <v>1003</v>
      </c>
      <c r="EC43" s="235">
        <f>SUM(W43:Z43)</f>
        <v>1003</v>
      </c>
      <c r="ED43" s="235">
        <f>SUM(AA43:AD43)</f>
        <v>1175</v>
      </c>
      <c r="EE43" s="235">
        <f>SUM(AE43:AH43)</f>
        <v>1279</v>
      </c>
      <c r="EF43" s="235">
        <v>1136</v>
      </c>
      <c r="EG43" s="235">
        <f>SUM(AM43:AP43)</f>
        <v>1015</v>
      </c>
      <c r="EH43" s="235">
        <f>SUM(AQ43:AT43)</f>
        <v>925</v>
      </c>
      <c r="EI43" s="235">
        <f>SUM(AU43:AX43)</f>
        <v>201.45</v>
      </c>
      <c r="EJ43" s="235"/>
      <c r="EK43" s="235"/>
      <c r="EL43" s="235"/>
      <c r="EM43" s="235"/>
      <c r="EN43" s="235"/>
      <c r="EO43" s="235"/>
      <c r="EP43" s="235"/>
      <c r="EQ43" s="235"/>
      <c r="ER43" s="235">
        <f t="shared" si="21"/>
        <v>0</v>
      </c>
      <c r="ES43" s="235">
        <f t="shared" si="135"/>
        <v>0</v>
      </c>
      <c r="ET43" s="235">
        <f t="shared" si="136"/>
        <v>0</v>
      </c>
      <c r="EU43" s="235">
        <f t="shared" si="137"/>
        <v>0</v>
      </c>
      <c r="EV43" s="235">
        <f t="shared" si="138"/>
        <v>0</v>
      </c>
      <c r="EW43" s="235">
        <f t="shared" si="139"/>
        <v>0</v>
      </c>
      <c r="EX43" s="235">
        <f t="shared" si="158"/>
        <v>0</v>
      </c>
      <c r="EY43" s="235">
        <f t="shared" si="23"/>
        <v>0</v>
      </c>
      <c r="EZ43" s="345"/>
      <c r="FA43" s="345"/>
      <c r="FB43" s="345"/>
      <c r="FC43" s="345"/>
      <c r="FD43" s="345"/>
      <c r="FE43" s="345"/>
      <c r="FF43" s="345"/>
      <c r="FG43" s="345"/>
      <c r="FH43" s="345"/>
      <c r="FI43" s="345"/>
      <c r="FJ43" s="345"/>
    </row>
    <row r="44" spans="2:169"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44" t="s">
        <v>120</v>
      </c>
      <c r="DQ44" s="235"/>
      <c r="DR44" s="235"/>
      <c r="DS44" s="235"/>
      <c r="DT44" s="235"/>
      <c r="DU44" s="235"/>
      <c r="DV44" s="235"/>
      <c r="DW44" s="235"/>
      <c r="DX44" s="235"/>
      <c r="DY44" s="235"/>
      <c r="DZ44" s="235"/>
      <c r="EA44" s="235">
        <v>679</v>
      </c>
      <c r="EB44" s="235">
        <v>1042</v>
      </c>
      <c r="EC44" s="235">
        <v>1114</v>
      </c>
      <c r="ED44" s="235">
        <f>SUM(AA44:AD44)</f>
        <v>1364</v>
      </c>
      <c r="EE44" s="235">
        <v>1674</v>
      </c>
      <c r="EF44" s="235"/>
      <c r="EG44" s="235"/>
      <c r="EH44" s="235"/>
      <c r="EI44" s="235"/>
      <c r="EJ44" s="235"/>
      <c r="EK44" s="235"/>
      <c r="EL44" s="235"/>
      <c r="EM44" s="235"/>
      <c r="EN44" s="235"/>
      <c r="EO44" s="235"/>
      <c r="EP44" s="76"/>
      <c r="EQ44" s="76"/>
      <c r="ER44" s="235">
        <f t="shared" si="21"/>
        <v>0</v>
      </c>
      <c r="ES44" s="235">
        <f t="shared" si="135"/>
        <v>0</v>
      </c>
      <c r="ET44" s="235">
        <f t="shared" si="136"/>
        <v>0</v>
      </c>
      <c r="EU44" s="235">
        <f t="shared" si="137"/>
        <v>0</v>
      </c>
      <c r="EV44" s="235">
        <f t="shared" si="138"/>
        <v>0</v>
      </c>
      <c r="EW44" s="235">
        <f t="shared" si="139"/>
        <v>0</v>
      </c>
      <c r="EX44" s="235">
        <f t="shared" si="158"/>
        <v>0</v>
      </c>
      <c r="EY44" s="235">
        <f t="shared" si="23"/>
        <v>0</v>
      </c>
      <c r="EZ44" s="345"/>
      <c r="FA44" s="345"/>
      <c r="FB44" s="345"/>
      <c r="FC44" s="345"/>
      <c r="FD44" s="345"/>
      <c r="FE44" s="345"/>
      <c r="FF44" s="345"/>
      <c r="FG44" s="345"/>
      <c r="FH44" s="345"/>
      <c r="FI44" s="345"/>
      <c r="FJ44" s="345"/>
      <c r="FM44"/>
    </row>
    <row r="45" spans="2:169"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v>25</v>
      </c>
      <c r="EC45" s="244" t="s">
        <v>422</v>
      </c>
      <c r="ED45" s="244" t="s">
        <v>426</v>
      </c>
      <c r="EE45" s="244" t="s">
        <v>431</v>
      </c>
      <c r="EF45" s="244" t="s">
        <v>433</v>
      </c>
      <c r="EG45" s="235"/>
      <c r="EH45" s="235">
        <f>SUM(AQ45:AT45)</f>
        <v>531</v>
      </c>
      <c r="EI45" s="235">
        <f>SUM(AU45:AX45)</f>
        <v>541</v>
      </c>
      <c r="EJ45" s="235">
        <f>SUM(AY45:BB45)</f>
        <v>415</v>
      </c>
      <c r="EK45" s="235"/>
      <c r="EL45" s="235"/>
      <c r="EM45" s="235"/>
      <c r="EN45" s="235"/>
      <c r="EO45" s="235"/>
      <c r="EP45" s="235"/>
      <c r="EQ45" s="235"/>
      <c r="ER45" s="235">
        <f t="shared" si="21"/>
        <v>0</v>
      </c>
      <c r="ES45" s="235">
        <f t="shared" si="135"/>
        <v>0</v>
      </c>
      <c r="ET45" s="235">
        <f t="shared" si="136"/>
        <v>0</v>
      </c>
      <c r="EU45" s="235">
        <f t="shared" si="137"/>
        <v>0</v>
      </c>
      <c r="EV45" s="235">
        <f t="shared" si="138"/>
        <v>0</v>
      </c>
      <c r="EW45" s="235">
        <f t="shared" si="139"/>
        <v>0</v>
      </c>
      <c r="EX45" s="235">
        <f t="shared" si="158"/>
        <v>0</v>
      </c>
      <c r="EY45" s="235">
        <f t="shared" si="23"/>
        <v>0</v>
      </c>
      <c r="EZ45" s="344"/>
      <c r="FA45" s="344"/>
      <c r="FB45" s="344"/>
      <c r="FC45" s="344"/>
      <c r="FD45" s="344"/>
      <c r="FE45" s="344"/>
      <c r="FF45" s="344"/>
      <c r="FG45" s="344"/>
      <c r="FH45" s="344"/>
      <c r="FI45" s="344"/>
      <c r="FJ45" s="344"/>
    </row>
    <row r="46" spans="2:169"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1"/>
        <v>403</v>
      </c>
      <c r="ES46" s="235">
        <f t="shared" si="135"/>
        <v>546</v>
      </c>
      <c r="ET46" s="235">
        <f t="shared" si="136"/>
        <v>341</v>
      </c>
      <c r="EU46" s="235">
        <f t="shared" si="137"/>
        <v>0</v>
      </c>
      <c r="EV46" s="235">
        <f t="shared" si="138"/>
        <v>0</v>
      </c>
      <c r="EW46" s="235">
        <f t="shared" si="139"/>
        <v>0</v>
      </c>
      <c r="EX46" s="235"/>
      <c r="EY46" s="235"/>
      <c r="EZ46" s="344"/>
      <c r="FA46" s="344"/>
      <c r="FB46" s="344"/>
      <c r="FC46" s="344"/>
      <c r="FD46" s="344"/>
      <c r="FE46" s="344"/>
      <c r="FF46" s="344"/>
      <c r="FG46" s="344"/>
      <c r="FH46" s="344"/>
      <c r="FI46" s="344"/>
      <c r="FJ46" s="344"/>
    </row>
    <row r="47" spans="2:169"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71</v>
      </c>
      <c r="DI47" s="243">
        <v>72</v>
      </c>
      <c r="DJ47" s="243">
        <v>82</v>
      </c>
      <c r="DK47" s="243">
        <v>52</v>
      </c>
      <c r="DL47" s="243"/>
      <c r="DM47" s="243"/>
      <c r="DN47" s="243"/>
      <c r="DP47" s="235"/>
      <c r="DQ47" s="235"/>
      <c r="DR47" s="235"/>
      <c r="DS47" s="235"/>
      <c r="DT47" s="235"/>
      <c r="DU47" s="235"/>
      <c r="DV47" s="235"/>
      <c r="DW47" s="235"/>
      <c r="DX47" s="235"/>
      <c r="DY47" s="235"/>
      <c r="DZ47" s="235"/>
      <c r="EA47" s="235"/>
      <c r="EB47" s="235"/>
      <c r="EC47" s="244"/>
      <c r="ED47" s="244"/>
      <c r="EE47" s="244"/>
      <c r="EF47" s="244"/>
      <c r="EG47" s="235"/>
      <c r="EH47" s="235"/>
      <c r="EI47" s="235"/>
      <c r="EJ47" s="235"/>
      <c r="EK47" s="235"/>
      <c r="EL47" s="235"/>
      <c r="EM47" s="235"/>
      <c r="EN47" s="235"/>
      <c r="EO47" s="235"/>
      <c r="EP47" s="235"/>
      <c r="EQ47" s="235"/>
      <c r="ER47" s="235">
        <f t="shared" si="21"/>
        <v>94</v>
      </c>
      <c r="ES47" s="235">
        <f t="shared" si="135"/>
        <v>149</v>
      </c>
      <c r="ET47" s="235">
        <f t="shared" si="136"/>
        <v>135</v>
      </c>
      <c r="EU47" s="235">
        <f t="shared" si="137"/>
        <v>416</v>
      </c>
      <c r="EV47" s="235">
        <f t="shared" si="138"/>
        <v>395</v>
      </c>
      <c r="EW47" s="235">
        <f t="shared" si="139"/>
        <v>312</v>
      </c>
      <c r="EX47" s="235">
        <f>SUM(DC47:DF47)</f>
        <v>260</v>
      </c>
      <c r="EY47" s="235">
        <f t="shared" si="23"/>
        <v>281</v>
      </c>
      <c r="EZ47" s="344"/>
      <c r="FA47" s="344"/>
      <c r="FB47" s="344"/>
      <c r="FC47" s="344"/>
      <c r="FD47" s="344"/>
      <c r="FE47" s="344"/>
      <c r="FF47" s="344"/>
      <c r="FG47" s="344"/>
      <c r="FH47" s="344"/>
      <c r="FI47" s="344"/>
      <c r="FJ47" s="344"/>
    </row>
    <row r="48" spans="2:169"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530.25</v>
      </c>
      <c r="DM48" s="243">
        <v>530.25</v>
      </c>
      <c r="DN48" s="243">
        <v>530.25</v>
      </c>
      <c r="DP48" s="76"/>
      <c r="DQ48" s="76"/>
      <c r="DR48" s="76"/>
      <c r="DS48" s="76"/>
      <c r="DT48" s="76"/>
      <c r="DU48" s="76"/>
      <c r="DV48" s="76"/>
      <c r="DW48" s="76"/>
      <c r="DX48" s="76"/>
      <c r="DY48" s="76"/>
      <c r="DZ48" s="76"/>
      <c r="EA48" s="76"/>
      <c r="EB48" s="76"/>
      <c r="EC48" s="76"/>
      <c r="ED48" s="76"/>
      <c r="EE48" s="76"/>
      <c r="EF48" s="76"/>
      <c r="EG48" s="76"/>
      <c r="EH48" s="235"/>
      <c r="EI48" s="235"/>
      <c r="EJ48" s="235">
        <v>0</v>
      </c>
      <c r="EK48" s="235"/>
      <c r="EL48" s="235"/>
      <c r="EM48" s="235">
        <f>SUM(BK48:BN48)</f>
        <v>239</v>
      </c>
      <c r="EN48" s="235">
        <f>SUM(BO48:BR48)</f>
        <v>864</v>
      </c>
      <c r="EO48" s="235">
        <f>SUM(BS48:BV48)</f>
        <v>1522</v>
      </c>
      <c r="EP48" s="235">
        <f>EO48*1.1</f>
        <v>1674.2</v>
      </c>
      <c r="EQ48" s="235">
        <f>EP48*1.05</f>
        <v>1757.91</v>
      </c>
      <c r="ER48" s="235">
        <f t="shared" si="21"/>
        <v>2500</v>
      </c>
      <c r="ES48" s="235">
        <f t="shared" si="135"/>
        <v>2477</v>
      </c>
      <c r="ET48" s="235">
        <f t="shared" si="136"/>
        <v>2313</v>
      </c>
      <c r="EU48" s="235">
        <f t="shared" si="137"/>
        <v>2345</v>
      </c>
      <c r="EV48" s="235">
        <f t="shared" si="138"/>
        <v>2438</v>
      </c>
      <c r="EW48" s="235">
        <f t="shared" si="139"/>
        <v>2473</v>
      </c>
      <c r="EX48" s="235">
        <f>SUM(DC48:DF48)</f>
        <v>2365</v>
      </c>
      <c r="EY48" s="235">
        <f t="shared" si="23"/>
        <v>2373</v>
      </c>
      <c r="EZ48" s="235">
        <f>SUM(DK48:DN48)</f>
        <v>2280.75</v>
      </c>
      <c r="FA48" s="235">
        <f t="shared" ref="FA48:FC48" si="172">+EZ48*1.05</f>
        <v>2394.7874999999999</v>
      </c>
      <c r="FB48" s="235">
        <f t="shared" si="172"/>
        <v>2514.526875</v>
      </c>
      <c r="FC48" s="235">
        <f t="shared" si="172"/>
        <v>2640.2532187500001</v>
      </c>
      <c r="FD48" s="235">
        <f>+FC48*0.5</f>
        <v>1320.126609375</v>
      </c>
      <c r="FE48" s="235">
        <f t="shared" ref="FE48" si="173">+FD48*0.5</f>
        <v>660.06330468750002</v>
      </c>
      <c r="FF48" s="235">
        <f t="shared" ref="FF48" si="174">+FE48*0.5</f>
        <v>330.03165234375001</v>
      </c>
      <c r="FG48" s="235">
        <f t="shared" ref="FG48" si="175">+FF48*0.5</f>
        <v>165.01582617187501</v>
      </c>
      <c r="FH48" s="235">
        <f t="shared" ref="FH48" si="176">+FG48*0.5</f>
        <v>82.507913085937503</v>
      </c>
      <c r="FI48" s="235">
        <f t="shared" ref="FI48" si="177">+FH48*0.5</f>
        <v>41.253956542968751</v>
      </c>
      <c r="FJ48" s="235">
        <f t="shared" ref="FJ48" si="178">+FI48*0.5</f>
        <v>20.626978271484376</v>
      </c>
      <c r="FM48"/>
    </row>
    <row r="49" spans="1:172"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P49" s="76"/>
      <c r="DQ49" s="76"/>
      <c r="DR49" s="76"/>
      <c r="DS49" s="76"/>
      <c r="DT49" s="76"/>
      <c r="DU49" s="76"/>
      <c r="DV49" s="76"/>
      <c r="DW49" s="76"/>
      <c r="DX49" s="76"/>
      <c r="DY49" s="76"/>
      <c r="DZ49" s="76"/>
      <c r="EA49" s="76"/>
      <c r="EB49" s="76"/>
      <c r="EC49" s="76"/>
      <c r="ED49" s="76"/>
      <c r="EE49" s="76"/>
      <c r="EF49" s="76"/>
      <c r="EG49" s="76"/>
      <c r="EH49" s="235"/>
      <c r="EI49" s="235"/>
      <c r="EJ49" s="235"/>
      <c r="EK49" s="235"/>
      <c r="EL49" s="235"/>
      <c r="EM49" s="235"/>
      <c r="EN49" s="235"/>
      <c r="EO49" s="235"/>
      <c r="EP49" s="235"/>
      <c r="EQ49" s="235"/>
      <c r="ER49" s="235">
        <f t="shared" si="21"/>
        <v>1111</v>
      </c>
      <c r="ES49" s="235">
        <f t="shared" si="135"/>
        <v>881</v>
      </c>
      <c r="ET49" s="235">
        <f t="shared" si="136"/>
        <v>735</v>
      </c>
      <c r="EU49" s="235">
        <f t="shared" si="137"/>
        <v>795</v>
      </c>
      <c r="EV49" s="235">
        <f t="shared" si="138"/>
        <v>563</v>
      </c>
      <c r="EW49" s="235">
        <f t="shared" si="139"/>
        <v>448</v>
      </c>
      <c r="EX49" s="235"/>
      <c r="EY49" s="235"/>
      <c r="EZ49" s="344"/>
      <c r="FA49" s="344"/>
      <c r="FB49" s="344"/>
      <c r="FC49" s="344"/>
      <c r="FD49" s="344"/>
      <c r="FE49" s="344"/>
      <c r="FF49" s="344"/>
      <c r="FG49" s="344"/>
      <c r="FH49" s="344"/>
      <c r="FI49" s="344"/>
      <c r="FJ49" s="344"/>
      <c r="FM49"/>
    </row>
    <row r="50" spans="1:172"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f t="shared" ref="DL50" si="179">+DH50</f>
        <v>305</v>
      </c>
      <c r="DM50" s="243">
        <f t="shared" ref="DM50" si="180">+DI50</f>
        <v>292</v>
      </c>
      <c r="DN50" s="243">
        <f t="shared" ref="DN50" si="181">+DJ50</f>
        <v>281</v>
      </c>
      <c r="DP50" s="274" t="s">
        <v>120</v>
      </c>
      <c r="DQ50" s="271"/>
      <c r="DR50" s="271"/>
      <c r="DS50" s="271"/>
      <c r="DT50" s="271"/>
      <c r="DU50" s="271"/>
      <c r="DV50" s="235">
        <v>1857</v>
      </c>
      <c r="DW50" s="235">
        <v>2307</v>
      </c>
      <c r="DX50" s="235">
        <v>2025</v>
      </c>
      <c r="DY50" s="235">
        <v>1976</v>
      </c>
      <c r="DZ50" s="235">
        <v>1656</v>
      </c>
      <c r="EA50" s="235">
        <f>SUM(X50:AA50)</f>
        <v>2677</v>
      </c>
      <c r="EB50" s="235">
        <f>SUM(Y50:AB50)</f>
        <v>2834</v>
      </c>
      <c r="EC50" s="235">
        <f>SUM(Z50:AC50)</f>
        <v>2964</v>
      </c>
      <c r="ED50" s="235">
        <f>SUM(AA50:AD50)</f>
        <v>3101</v>
      </c>
      <c r="EE50" s="235">
        <f>22128-SUM(EE8:EE43)</f>
        <v>6625</v>
      </c>
      <c r="EF50" s="235">
        <f>22322-SUM(EF8:EF43)</f>
        <v>6921.6</v>
      </c>
      <c r="EG50" s="235">
        <f t="shared" ref="EG50:EG64" si="182">SUM(AM50:AP50)</f>
        <v>4854</v>
      </c>
      <c r="EH50" s="235">
        <f t="shared" ref="EH50:EH64" si="183">SUM(AQ50:AT50)</f>
        <v>4468</v>
      </c>
      <c r="EI50" s="235">
        <f t="shared" ref="EI50:EI62" si="184">SUM(AU50:AX50)</f>
        <v>4971.55</v>
      </c>
      <c r="EJ50" s="235">
        <f t="shared" ref="EJ50:EJ62" si="185">SUM(AY50:BB50)</f>
        <v>5303</v>
      </c>
      <c r="EK50" s="235">
        <f t="shared" ref="EK50:EK62" si="186">SUM(BC50:BF50)</f>
        <v>6364</v>
      </c>
      <c r="EL50" s="235">
        <f>SUM(BG50:BJ50)</f>
        <v>6136</v>
      </c>
      <c r="EM50" s="235">
        <f t="shared" ref="EM50:EM64" si="187">SUM(BK50:BN50)</f>
        <v>6898</v>
      </c>
      <c r="EN50" s="235">
        <f>SUM(BO50:BR50)</f>
        <v>6460</v>
      </c>
      <c r="EO50" s="235">
        <f>EN50*0.95</f>
        <v>6137</v>
      </c>
      <c r="EP50" s="235">
        <f>EO50</f>
        <v>6137</v>
      </c>
      <c r="EQ50" s="235">
        <f>EP50</f>
        <v>6137</v>
      </c>
      <c r="ER50" s="235">
        <f t="shared" si="21"/>
        <v>1698</v>
      </c>
      <c r="ES50" s="235">
        <f t="shared" si="135"/>
        <v>1470</v>
      </c>
      <c r="ET50" s="235">
        <f t="shared" si="136"/>
        <v>1353</v>
      </c>
      <c r="EU50" s="235">
        <f t="shared" si="137"/>
        <v>1186</v>
      </c>
      <c r="EV50" s="235">
        <f t="shared" si="138"/>
        <v>920</v>
      </c>
      <c r="EW50" s="235">
        <f t="shared" si="139"/>
        <v>966</v>
      </c>
      <c r="EX50" s="235">
        <f>SUM(DC50:DF50)</f>
        <v>1306</v>
      </c>
      <c r="EY50" s="235">
        <f t="shared" si="23"/>
        <v>1189</v>
      </c>
      <c r="EZ50" s="235">
        <f>SUM(DK50:DN50)</f>
        <v>1201</v>
      </c>
      <c r="FA50" s="235">
        <f t="shared" ref="FA50" si="188">EZ50</f>
        <v>1201</v>
      </c>
      <c r="FB50" s="235">
        <f t="shared" ref="FB50" si="189">FA50</f>
        <v>1201</v>
      </c>
      <c r="FC50" s="235">
        <f t="shared" ref="FC50" si="190">FB50</f>
        <v>1201</v>
      </c>
      <c r="FD50" s="235">
        <f t="shared" ref="FD50" si="191">FC50</f>
        <v>1201</v>
      </c>
      <c r="FE50" s="235">
        <f t="shared" ref="FE50" si="192">FD50</f>
        <v>1201</v>
      </c>
      <c r="FF50" s="235">
        <f t="shared" ref="FF50" si="193">FE50</f>
        <v>1201</v>
      </c>
      <c r="FG50" s="235">
        <f t="shared" ref="FG50" si="194">FF50</f>
        <v>1201</v>
      </c>
      <c r="FH50" s="235">
        <f t="shared" ref="FH50" si="195">FG50</f>
        <v>1201</v>
      </c>
      <c r="FI50" s="235">
        <f t="shared" ref="FI50" si="196">FH50</f>
        <v>1201</v>
      </c>
      <c r="FJ50" s="235">
        <f t="shared" ref="FJ50" si="197">FI50</f>
        <v>1201</v>
      </c>
    </row>
    <row r="51" spans="1:172"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f t="shared" ref="DL51:DL54" si="198">+DH51*1.03</f>
        <v>1362.69</v>
      </c>
      <c r="DM51" s="243">
        <f t="shared" ref="DM51:DM54" si="199">+DI51*1.03</f>
        <v>1317.3700000000001</v>
      </c>
      <c r="DN51" s="243">
        <f t="shared" ref="DN51:DN54" si="200">+DJ51*1.03</f>
        <v>1360.63</v>
      </c>
      <c r="DP51" s="271"/>
      <c r="DQ51" s="271"/>
      <c r="DR51" s="271"/>
      <c r="DS51" s="271"/>
      <c r="DT51" s="271"/>
      <c r="DU51" s="271"/>
      <c r="DV51" s="271"/>
      <c r="DW51" s="235">
        <f>+DX51/0.98</f>
        <v>1362.2448979591836</v>
      </c>
      <c r="DX51" s="235">
        <v>1335</v>
      </c>
      <c r="DY51" s="235">
        <f>SUM(G51:J51)</f>
        <v>907</v>
      </c>
      <c r="DZ51" s="235">
        <v>942</v>
      </c>
      <c r="EA51" s="235">
        <f t="shared" ref="EA51:EA63" si="201">SUM(O51:R51)</f>
        <v>1055.8</v>
      </c>
      <c r="EB51" s="235">
        <f t="shared" ref="EB51:EB63" si="202">SUM(S51:V51)</f>
        <v>1343</v>
      </c>
      <c r="EC51" s="235">
        <f t="shared" ref="EC51:EC63" si="203">SUM(W51:Z51)</f>
        <v>1642</v>
      </c>
      <c r="ED51" s="235">
        <f t="shared" ref="ED51:ED64" si="204">SUM(AA51:AD51)</f>
        <v>2706</v>
      </c>
      <c r="EE51" s="235">
        <f t="shared" ref="EE51:EE64" si="205">SUM(AE51:AH51)</f>
        <v>3212</v>
      </c>
      <c r="EF51" s="235">
        <f t="shared" ref="EF51:EF64" si="206">SUM(AI51:AL51)</f>
        <v>3982</v>
      </c>
      <c r="EG51" s="235">
        <f t="shared" si="182"/>
        <v>4087</v>
      </c>
      <c r="EH51" s="235">
        <f t="shared" si="183"/>
        <v>3425</v>
      </c>
      <c r="EI51" s="235">
        <f t="shared" si="184"/>
        <v>3135</v>
      </c>
      <c r="EJ51" s="235">
        <f t="shared" si="185"/>
        <v>2679</v>
      </c>
      <c r="EK51" s="235">
        <f t="shared" si="186"/>
        <v>2552</v>
      </c>
      <c r="EL51" s="235">
        <f t="shared" ref="EL51:EL64" si="207">SUM(BG51:BJ51)</f>
        <v>2288</v>
      </c>
      <c r="EM51" s="235">
        <f t="shared" si="187"/>
        <v>1985</v>
      </c>
      <c r="EN51" s="235">
        <f t="shared" ref="EN51:EN62" si="208">SUM(BO51:BR51)</f>
        <v>2077</v>
      </c>
      <c r="EO51" s="235">
        <f>EN51*1.02</f>
        <v>2118.54</v>
      </c>
      <c r="EP51" s="235">
        <f t="shared" ref="EP51:EQ51" si="209">EO51*1.02</f>
        <v>2160.9108000000001</v>
      </c>
      <c r="EQ51" s="235">
        <f t="shared" si="209"/>
        <v>2204.1290160000003</v>
      </c>
      <c r="ER51" s="235">
        <f t="shared" si="21"/>
        <v>2143</v>
      </c>
      <c r="ES51" s="235">
        <f t="shared" ref="ES51:ES55" si="210">SUM(CI51:CL51)</f>
        <v>2646</v>
      </c>
      <c r="ET51" s="235">
        <f t="shared" ref="ET51:ET55" si="211">SUM(CM51:CP51)</f>
        <v>2997</v>
      </c>
      <c r="EU51" s="235">
        <f t="shared" ref="EU51:EU55" si="212">SUM(CQ51:CT51)</f>
        <v>3046</v>
      </c>
      <c r="EV51" s="235">
        <f t="shared" ref="EV51:EV55" si="213">SUM(CU51:CX51)</f>
        <v>3971</v>
      </c>
      <c r="EW51" s="235">
        <f t="shared" ref="EW51:EW55" si="214">SUM(CY51:DB51)</f>
        <v>4195</v>
      </c>
      <c r="EX51" s="235">
        <f t="shared" ref="EX51:EY51" si="215">EW51*1.02</f>
        <v>4278.8999999999996</v>
      </c>
      <c r="EY51" s="235">
        <f t="shared" si="215"/>
        <v>4364.4780000000001</v>
      </c>
      <c r="EZ51" s="235">
        <f>SUM(DK51:DN51)</f>
        <v>5363.6900000000005</v>
      </c>
      <c r="FA51" s="235">
        <f t="shared" ref="FA51" si="216">EZ51*1.02</f>
        <v>5470.9638000000004</v>
      </c>
      <c r="FB51" s="235">
        <f t="shared" ref="FB51" si="217">FA51*1.02</f>
        <v>5580.383076000001</v>
      </c>
      <c r="FC51" s="235">
        <f t="shared" ref="FC51" si="218">FB51*1.02</f>
        <v>5691.9907375200009</v>
      </c>
      <c r="FD51" s="235">
        <f t="shared" ref="FD51" si="219">FC51*1.02</f>
        <v>5805.8305522704013</v>
      </c>
      <c r="FE51" s="235">
        <f t="shared" ref="FE51" si="220">FD51*1.02</f>
        <v>5921.9471633158091</v>
      </c>
      <c r="FF51" s="235">
        <f t="shared" ref="FF51" si="221">FE51*1.02</f>
        <v>6040.3861065821256</v>
      </c>
      <c r="FG51" s="235">
        <f t="shared" ref="FG51" si="222">FF51*1.02</f>
        <v>6161.1938287137682</v>
      </c>
      <c r="FH51" s="235">
        <f t="shared" ref="FH51" si="223">FG51*1.02</f>
        <v>6284.4177052880441</v>
      </c>
      <c r="FI51" s="235">
        <f t="shared" ref="FI51" si="224">FH51*1.02</f>
        <v>6410.1060593938055</v>
      </c>
      <c r="FJ51" s="235">
        <f t="shared" ref="FJ51" si="225">FI51*1.02</f>
        <v>6538.3081805816819</v>
      </c>
      <c r="FM51"/>
    </row>
    <row r="52" spans="1:172"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f t="shared" si="198"/>
        <v>390.37</v>
      </c>
      <c r="DM52" s="243">
        <f t="shared" si="199"/>
        <v>372.86</v>
      </c>
      <c r="DN52" s="243">
        <f t="shared" si="200"/>
        <v>395.52</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1"/>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v>229</v>
      </c>
      <c r="DJ53" s="243">
        <v>258</v>
      </c>
      <c r="DK53" s="243">
        <v>258</v>
      </c>
      <c r="DL53" s="243"/>
      <c r="DM53" s="243"/>
      <c r="DN53" s="243"/>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1"/>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f t="shared" si="198"/>
        <v>175.1</v>
      </c>
      <c r="DM54" s="243">
        <f t="shared" si="199"/>
        <v>98.88</v>
      </c>
      <c r="DN54" s="243">
        <f t="shared" si="200"/>
        <v>101.97</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c r="EN54" s="235"/>
      <c r="EO54" s="235"/>
      <c r="EP54" s="235"/>
      <c r="EQ54" s="235"/>
      <c r="ER54" s="235">
        <f t="shared" si="21"/>
        <v>0</v>
      </c>
      <c r="ES54" s="235"/>
      <c r="ET54" s="235"/>
      <c r="EU54" s="235"/>
      <c r="EV54" s="235"/>
      <c r="EW54" s="235"/>
      <c r="EX54" s="235"/>
      <c r="EY54" s="235"/>
      <c r="EZ54" s="344"/>
      <c r="FA54" s="344"/>
      <c r="FB54" s="344"/>
      <c r="FC54" s="344"/>
      <c r="FD54" s="344"/>
      <c r="FE54" s="344"/>
      <c r="FF54" s="344"/>
      <c r="FG54" s="344"/>
      <c r="FH54" s="344"/>
      <c r="FI54" s="344"/>
      <c r="FJ54" s="344"/>
      <c r="FM54"/>
    </row>
    <row r="55" spans="1:172"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f t="shared" ref="DL55:DN55" si="226">+DH55*1.05</f>
        <v>2427.6</v>
      </c>
      <c r="DM55" s="243">
        <f t="shared" si="226"/>
        <v>2300.5500000000002</v>
      </c>
      <c r="DN55" s="243">
        <f t="shared" si="226"/>
        <v>2430.75</v>
      </c>
      <c r="DP55" s="271"/>
      <c r="DQ55" s="271"/>
      <c r="DR55" s="271"/>
      <c r="DS55" s="271"/>
      <c r="DT55" s="271"/>
      <c r="DU55" s="271"/>
      <c r="DV55" s="271"/>
      <c r="DW55" s="271"/>
      <c r="DX55" s="271"/>
      <c r="DY55" s="235">
        <v>795</v>
      </c>
      <c r="DZ55" s="235">
        <v>1751</v>
      </c>
      <c r="EA55" s="235">
        <f t="shared" si="201"/>
        <v>1816</v>
      </c>
      <c r="EB55" s="235">
        <f t="shared" si="202"/>
        <v>2054</v>
      </c>
      <c r="EC55" s="235">
        <f t="shared" si="203"/>
        <v>2537</v>
      </c>
      <c r="ED55" s="235">
        <f t="shared" si="204"/>
        <v>3007</v>
      </c>
      <c r="EE55" s="235">
        <f t="shared" si="205"/>
        <v>3420</v>
      </c>
      <c r="EF55" s="235">
        <f t="shared" si="206"/>
        <v>3847</v>
      </c>
      <c r="EG55" s="235">
        <f t="shared" si="182"/>
        <v>4105</v>
      </c>
      <c r="EH55" s="235">
        <f t="shared" si="183"/>
        <v>4587</v>
      </c>
      <c r="EI55" s="235">
        <f t="shared" si="184"/>
        <v>4989</v>
      </c>
      <c r="EJ55" s="235">
        <f t="shared" si="185"/>
        <v>5372</v>
      </c>
      <c r="EK55" s="235">
        <f t="shared" si="186"/>
        <v>5585</v>
      </c>
      <c r="EL55" s="235">
        <f t="shared" si="207"/>
        <v>5809</v>
      </c>
      <c r="EM55" s="235">
        <f t="shared" si="187"/>
        <v>7799</v>
      </c>
      <c r="EN55" s="235">
        <f t="shared" si="208"/>
        <v>9509</v>
      </c>
      <c r="EO55" s="235">
        <f t="shared" ref="EO55:EQ55" si="227">EN55*1.03</f>
        <v>9794.27</v>
      </c>
      <c r="EP55" s="235">
        <f t="shared" si="227"/>
        <v>10088.098100000001</v>
      </c>
      <c r="EQ55" s="235">
        <f t="shared" si="227"/>
        <v>10390.741043000002</v>
      </c>
      <c r="ER55" s="235">
        <f t="shared" si="21"/>
        <v>9211</v>
      </c>
      <c r="ES55" s="235">
        <f t="shared" si="210"/>
        <v>8885</v>
      </c>
      <c r="ET55" s="235">
        <f t="shared" si="211"/>
        <v>8839</v>
      </c>
      <c r="EU55" s="235">
        <f t="shared" si="212"/>
        <v>7763</v>
      </c>
      <c r="EV55" s="235">
        <f t="shared" si="213"/>
        <v>8588</v>
      </c>
      <c r="EW55" s="235">
        <f t="shared" si="214"/>
        <v>8588</v>
      </c>
      <c r="EX55" s="235">
        <f t="shared" ref="EX55" si="228">EW55*1.03</f>
        <v>8845.64</v>
      </c>
      <c r="EY55" s="235">
        <f t="shared" ref="EY55" si="229">EX55*1.03</f>
        <v>9111.0092000000004</v>
      </c>
      <c r="EZ55" s="235">
        <f t="shared" ref="EZ55" si="230">EY55*1.03</f>
        <v>9384.339476000001</v>
      </c>
      <c r="FA55" s="235">
        <f t="shared" ref="FA55" si="231">EZ55*1.03</f>
        <v>9665.869660280001</v>
      </c>
      <c r="FB55" s="235">
        <f t="shared" ref="FB55" si="232">FA55*1.03</f>
        <v>9955.8457500884015</v>
      </c>
      <c r="FC55" s="235">
        <f t="shared" ref="FC55" si="233">FB55*1.03</f>
        <v>10254.521122591053</v>
      </c>
      <c r="FD55" s="235">
        <f t="shared" ref="FD55" si="234">FC55*1.03</f>
        <v>10562.156756268785</v>
      </c>
      <c r="FE55" s="235">
        <f t="shared" ref="FE55" si="235">FD55*1.03</f>
        <v>10879.02145895685</v>
      </c>
      <c r="FF55" s="235">
        <f t="shared" ref="FF55" si="236">FE55*1.03</f>
        <v>11205.392102725555</v>
      </c>
      <c r="FG55" s="235">
        <f t="shared" ref="FG55" si="237">FF55*1.03</f>
        <v>11541.553865807322</v>
      </c>
      <c r="FH55" s="235">
        <f t="shared" ref="FH55" si="238">FG55*1.03</f>
        <v>11887.800481781542</v>
      </c>
      <c r="FI55" s="235">
        <f t="shared" ref="FI55" si="239">FH55*1.03</f>
        <v>12244.434496234988</v>
      </c>
      <c r="FJ55" s="235">
        <f t="shared" ref="FJ55" si="240">FI55*1.03</f>
        <v>12611.767531122037</v>
      </c>
      <c r="FM55"/>
    </row>
    <row r="56" spans="1:172"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f>
        <v>1525</v>
      </c>
      <c r="DX56" s="235">
        <f>586+939</f>
        <v>1525</v>
      </c>
      <c r="DY56" s="235">
        <f>SUM(G56:J56)</f>
        <v>1607</v>
      </c>
      <c r="DZ56" s="235">
        <f>1828+108</f>
        <v>1936</v>
      </c>
      <c r="EA56" s="235">
        <f t="shared" si="201"/>
        <v>1976</v>
      </c>
      <c r="EB56" s="235">
        <f t="shared" si="202"/>
        <v>2199</v>
      </c>
      <c r="EC56" s="235">
        <f t="shared" si="203"/>
        <v>2386</v>
      </c>
      <c r="ED56" s="235">
        <f t="shared" si="204"/>
        <v>2639</v>
      </c>
      <c r="EE56" s="235">
        <f t="shared" si="205"/>
        <v>2837</v>
      </c>
      <c r="EF56" s="235">
        <f t="shared" si="206"/>
        <v>3099</v>
      </c>
      <c r="EG56" s="235">
        <f t="shared" si="182"/>
        <v>3213</v>
      </c>
      <c r="EH56" s="235">
        <f t="shared" si="183"/>
        <v>3592</v>
      </c>
      <c r="EI56" s="235">
        <f t="shared" si="184"/>
        <v>3840</v>
      </c>
      <c r="EJ56" s="235">
        <f t="shared" si="185"/>
        <v>4122</v>
      </c>
      <c r="EK56" s="235">
        <f t="shared" si="186"/>
        <v>4503</v>
      </c>
      <c r="EL56" s="235">
        <f t="shared" si="207"/>
        <v>4870</v>
      </c>
      <c r="EM56" s="235"/>
      <c r="EN56" s="235"/>
      <c r="EO56" s="235"/>
      <c r="EP56" s="235"/>
      <c r="EQ56" s="235"/>
      <c r="ER56" s="235">
        <f t="shared" si="21"/>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+DX57/1.16</f>
        <v>869.67895362663512</v>
      </c>
      <c r="DX57" s="235">
        <f>SUM(C57:F57)</f>
        <v>1008.8275862068966</v>
      </c>
      <c r="DY57" s="235">
        <f>SUM(G57:J57)</f>
        <v>1192</v>
      </c>
      <c r="DZ57" s="235">
        <f>SUM(K57:N57)</f>
        <v>1739</v>
      </c>
      <c r="EA57" s="235">
        <f t="shared" si="201"/>
        <v>1840</v>
      </c>
      <c r="EB57" s="235">
        <f t="shared" si="202"/>
        <v>2000</v>
      </c>
      <c r="EC57" s="235">
        <f t="shared" si="203"/>
        <v>2292</v>
      </c>
      <c r="ED57" s="235">
        <f t="shared" si="204"/>
        <v>2587</v>
      </c>
      <c r="EE57" s="235">
        <f t="shared" si="205"/>
        <v>2849</v>
      </c>
      <c r="EF57" s="235">
        <f t="shared" si="206"/>
        <v>3098</v>
      </c>
      <c r="EG57" s="235">
        <f t="shared" si="182"/>
        <v>3377</v>
      </c>
      <c r="EH57" s="235">
        <f t="shared" si="183"/>
        <v>3834</v>
      </c>
      <c r="EI57" s="235">
        <f t="shared" si="184"/>
        <v>4286</v>
      </c>
      <c r="EJ57" s="235">
        <f t="shared" si="185"/>
        <v>4492</v>
      </c>
      <c r="EK57" s="235">
        <f t="shared" si="186"/>
        <v>4758</v>
      </c>
      <c r="EL57" s="235">
        <f t="shared" si="207"/>
        <v>5080</v>
      </c>
      <c r="EM57" s="235"/>
      <c r="EN57" s="235"/>
      <c r="EO57" s="235"/>
      <c r="EP57" s="235"/>
      <c r="EQ57" s="235"/>
      <c r="ER57" s="235">
        <f t="shared" si="21"/>
        <v>0</v>
      </c>
      <c r="ES57" s="235"/>
      <c r="ET57" s="235"/>
      <c r="EU57" s="235"/>
      <c r="EV57" s="235"/>
      <c r="EW57" s="235"/>
      <c r="EX57" s="235"/>
      <c r="EY57" s="235"/>
      <c r="EZ57" s="344"/>
      <c r="FA57" s="344"/>
      <c r="FB57" s="344"/>
      <c r="FC57" s="344"/>
      <c r="FD57" s="344"/>
      <c r="FE57" s="344"/>
      <c r="FF57" s="344"/>
      <c r="FG57" s="344"/>
      <c r="FH57" s="344"/>
      <c r="FI57" s="344"/>
      <c r="FJ57" s="344"/>
      <c r="FM57"/>
    </row>
    <row r="58" spans="1:172"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f t="shared" ref="DL58:DL59" si="241">+DH58*1.01</f>
        <v>1152.4100000000001</v>
      </c>
      <c r="DM58" s="243">
        <f t="shared" ref="DM58:DM59" si="242">+DI58*1.01</f>
        <v>1120.0899999999999</v>
      </c>
      <c r="DN58" s="243">
        <f t="shared" ref="DN58:DN59" si="243">+DJ58*1.01</f>
        <v>1162.51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187"/>
        <v>3478</v>
      </c>
      <c r="EN58" s="235">
        <f t="shared" si="208"/>
        <v>3504</v>
      </c>
      <c r="EO58" s="235">
        <f t="shared" ref="EO58:EQ58" si="244">+EN58*1.01</f>
        <v>3539.04</v>
      </c>
      <c r="EP58" s="235">
        <f t="shared" si="244"/>
        <v>3574.4304000000002</v>
      </c>
      <c r="EQ58" s="235">
        <f t="shared" si="244"/>
        <v>3610.174704</v>
      </c>
      <c r="ER58" s="235">
        <f t="shared" si="21"/>
        <v>5096</v>
      </c>
      <c r="ES58" s="235">
        <f t="shared" ref="ES58:ES62" si="245">SUM(CI58:CL58)</f>
        <v>5344</v>
      </c>
      <c r="ET58" s="235">
        <f t="shared" ref="ET58:ET62" si="246">SUM(CM58:CP58)</f>
        <v>5021</v>
      </c>
      <c r="EU58" s="235">
        <f t="shared" ref="EU58:EU62" si="247">SUM(CQ58:CT58)</f>
        <v>3839</v>
      </c>
      <c r="EV58" s="235">
        <f t="shared" ref="EV58:EV62" si="248">SUM(CU58:CX58)</f>
        <v>4622</v>
      </c>
      <c r="EW58" s="235">
        <f t="shared" ref="EW58:EW59" si="249">SUM(CY58:DB58)</f>
        <v>4569</v>
      </c>
      <c r="EX58" s="235">
        <f t="shared" ref="EX58:EX59" si="250">+EW58*1.01</f>
        <v>4614.6899999999996</v>
      </c>
      <c r="EY58" s="235">
        <f t="shared" ref="EY58:EY59" si="251">+EX58*1.01</f>
        <v>4660.8368999999993</v>
      </c>
      <c r="EZ58" s="235">
        <f t="shared" ref="EZ58:EZ59" si="252">+EY58*1.01</f>
        <v>4707.4452689999989</v>
      </c>
      <c r="FA58" s="235">
        <f t="shared" ref="FA58:FA59" si="253">+EZ58*1.01</f>
        <v>4754.5197216899987</v>
      </c>
      <c r="FB58" s="235">
        <f t="shared" ref="FB58:FB59" si="254">+FA58*1.01</f>
        <v>4802.064918906899</v>
      </c>
      <c r="FC58" s="235">
        <f t="shared" ref="FC58:FC59" si="255">+FB58*1.01</f>
        <v>4850.0855680959685</v>
      </c>
      <c r="FD58" s="235">
        <f t="shared" ref="FD58:FD59" si="256">+FC58*1.01</f>
        <v>4898.5864237769283</v>
      </c>
      <c r="FE58" s="235">
        <f t="shared" ref="FE58:FE59" si="257">+FD58*1.01</f>
        <v>4947.5722880146977</v>
      </c>
      <c r="FF58" s="235">
        <f t="shared" ref="FF58:FF59" si="258">+FE58*1.01</f>
        <v>4997.048010894845</v>
      </c>
      <c r="FG58" s="235">
        <f t="shared" ref="FG58:FG59" si="259">+FF58*1.01</f>
        <v>5047.0184910037933</v>
      </c>
      <c r="FH58" s="235">
        <f t="shared" ref="FH58:FH59" si="260">+FG58*1.01</f>
        <v>5097.4886759138317</v>
      </c>
      <c r="FI58" s="235">
        <f t="shared" ref="FI58:FI59" si="261">+FH58*1.01</f>
        <v>5148.4635626729696</v>
      </c>
      <c r="FJ58" s="235">
        <f t="shared" ref="FJ58:FJ59" si="262">+FI58*1.01</f>
        <v>5199.9481982996995</v>
      </c>
      <c r="FM58"/>
    </row>
    <row r="59" spans="1:172"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f t="shared" si="241"/>
        <v>1359.46</v>
      </c>
      <c r="DM59" s="243">
        <f t="shared" si="242"/>
        <v>1338.25</v>
      </c>
      <c r="DN59" s="243">
        <f t="shared" si="243"/>
        <v>1370.57</v>
      </c>
      <c r="DP59" s="271"/>
      <c r="DQ59" s="271"/>
      <c r="DR59" s="271"/>
      <c r="DS59" s="271"/>
      <c r="DT59" s="271"/>
      <c r="DU59" s="271"/>
      <c r="DV59" s="271"/>
      <c r="DW59" s="235"/>
      <c r="DX59" s="235"/>
      <c r="DY59" s="235"/>
      <c r="DZ59" s="235"/>
      <c r="EA59" s="235"/>
      <c r="EB59" s="235"/>
      <c r="EC59" s="235"/>
      <c r="ED59" s="235"/>
      <c r="EE59" s="235"/>
      <c r="EF59" s="235"/>
      <c r="EG59" s="235"/>
      <c r="EH59" s="235"/>
      <c r="EI59" s="235"/>
      <c r="EJ59" s="235"/>
      <c r="EK59" s="235"/>
      <c r="EL59" s="235"/>
      <c r="EM59" s="235">
        <f t="shared" si="187"/>
        <v>6483</v>
      </c>
      <c r="EN59" s="235">
        <f t="shared" si="208"/>
        <v>6269</v>
      </c>
      <c r="EO59" s="235">
        <f t="shared" ref="EO59:EQ59" si="263">+EN59*1.01</f>
        <v>6331.6900000000005</v>
      </c>
      <c r="EP59" s="235">
        <f t="shared" si="263"/>
        <v>6395.0069000000003</v>
      </c>
      <c r="EQ59" s="235">
        <f t="shared" si="263"/>
        <v>6458.9569690000008</v>
      </c>
      <c r="ER59" s="235">
        <f t="shared" si="21"/>
        <v>4463</v>
      </c>
      <c r="ES59" s="235">
        <f t="shared" si="245"/>
        <v>4557</v>
      </c>
      <c r="ET59" s="235">
        <f t="shared" si="246"/>
        <v>4480</v>
      </c>
      <c r="EU59" s="235">
        <f t="shared" si="247"/>
        <v>4392</v>
      </c>
      <c r="EV59" s="235">
        <f t="shared" si="248"/>
        <v>5190</v>
      </c>
      <c r="EW59" s="235">
        <f t="shared" si="249"/>
        <v>5121</v>
      </c>
      <c r="EX59" s="235">
        <f t="shared" si="250"/>
        <v>5172.21</v>
      </c>
      <c r="EY59" s="235">
        <f t="shared" si="251"/>
        <v>5223.9321</v>
      </c>
      <c r="EZ59" s="235">
        <f t="shared" si="252"/>
        <v>5276.171421</v>
      </c>
      <c r="FA59" s="235">
        <f t="shared" si="253"/>
        <v>5328.9331352099998</v>
      </c>
      <c r="FB59" s="235">
        <f t="shared" si="254"/>
        <v>5382.2224665620997</v>
      </c>
      <c r="FC59" s="235">
        <f t="shared" si="255"/>
        <v>5436.0446912277212</v>
      </c>
      <c r="FD59" s="235">
        <f t="shared" si="256"/>
        <v>5490.4051381399986</v>
      </c>
      <c r="FE59" s="235">
        <f t="shared" si="257"/>
        <v>5545.3091895213984</v>
      </c>
      <c r="FF59" s="235">
        <f t="shared" si="258"/>
        <v>5600.7622814166125</v>
      </c>
      <c r="FG59" s="235">
        <f t="shared" si="259"/>
        <v>5656.7699042307786</v>
      </c>
      <c r="FH59" s="235">
        <f t="shared" si="260"/>
        <v>5713.3376032730866</v>
      </c>
      <c r="FI59" s="235">
        <f t="shared" si="261"/>
        <v>5770.4709793058173</v>
      </c>
      <c r="FJ59" s="235">
        <f t="shared" si="262"/>
        <v>5828.1756890988754</v>
      </c>
      <c r="FM59"/>
    </row>
    <row r="60" spans="1:172"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+DX60/1.15</f>
        <v>811.34734068372518</v>
      </c>
      <c r="DX60" s="235">
        <f>SUM(C60:F60)</f>
        <v>933.04944178628386</v>
      </c>
      <c r="DY60" s="235">
        <f>SUM(G60:J60)</f>
        <v>998</v>
      </c>
      <c r="DZ60" s="235">
        <f>SUM(K60:N60)</f>
        <v>1043</v>
      </c>
      <c r="EA60" s="235">
        <f t="shared" si="201"/>
        <v>988</v>
      </c>
      <c r="EB60" s="235">
        <f t="shared" si="202"/>
        <v>1107</v>
      </c>
      <c r="EC60" s="235">
        <f t="shared" si="203"/>
        <v>1342</v>
      </c>
      <c r="ED60" s="235">
        <f t="shared" si="204"/>
        <v>1427</v>
      </c>
      <c r="EE60" s="235">
        <f t="shared" si="205"/>
        <v>1701</v>
      </c>
      <c r="EF60" s="235">
        <f t="shared" si="206"/>
        <v>1910</v>
      </c>
      <c r="EG60" s="235">
        <f t="shared" si="182"/>
        <v>2073</v>
      </c>
      <c r="EH60" s="235">
        <f t="shared" si="183"/>
        <v>2373</v>
      </c>
      <c r="EI60" s="235">
        <f t="shared" si="184"/>
        <v>2535</v>
      </c>
      <c r="EJ60" s="235">
        <f t="shared" si="185"/>
        <v>2440</v>
      </c>
      <c r="EK60" s="235">
        <f t="shared" si="186"/>
        <v>2470</v>
      </c>
      <c r="EL60" s="235">
        <f t="shared" si="207"/>
        <v>2652</v>
      </c>
      <c r="EM60" s="235">
        <f t="shared" si="187"/>
        <v>2616</v>
      </c>
      <c r="EN60" s="235">
        <f t="shared" si="208"/>
        <v>2309</v>
      </c>
      <c r="EO60" s="235">
        <f>+EN60*0.995</f>
        <v>2297.4549999999999</v>
      </c>
      <c r="EP60" s="235">
        <f t="shared" ref="EP60:EQ60" si="264">+EO60*0.995</f>
        <v>2285.967725</v>
      </c>
      <c r="EQ60" s="235">
        <f t="shared" si="264"/>
        <v>2274.5378863749997</v>
      </c>
      <c r="ER60" s="235">
        <f t="shared" si="21"/>
        <v>1615</v>
      </c>
      <c r="ES60" s="235">
        <f t="shared" si="245"/>
        <v>1009</v>
      </c>
      <c r="ET60" s="235"/>
      <c r="EU60" s="235"/>
      <c r="EV60" s="235"/>
      <c r="EW60" s="235"/>
      <c r="EX60" s="235"/>
      <c r="EY60" s="235"/>
      <c r="EZ60" s="344"/>
      <c r="FA60" s="344"/>
      <c r="FB60" s="344"/>
      <c r="FC60" s="344"/>
      <c r="FD60" s="344"/>
      <c r="FE60" s="344"/>
      <c r="FF60" s="344"/>
      <c r="FG60" s="344"/>
      <c r="FH60" s="344"/>
      <c r="FI60" s="344"/>
      <c r="FJ60" s="344"/>
      <c r="FM60"/>
    </row>
    <row r="61" spans="1:172"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35">
        <f>+DX61/0.96</f>
        <v>1083.3333333333335</v>
      </c>
      <c r="DX61" s="235">
        <v>1040</v>
      </c>
      <c r="DY61" s="235">
        <f>SUM(G61:J61)</f>
        <v>988</v>
      </c>
      <c r="DZ61" s="235">
        <f>SUM(K61:N61)</f>
        <v>940</v>
      </c>
      <c r="EA61" s="235">
        <f t="shared" si="201"/>
        <v>978</v>
      </c>
      <c r="EB61" s="235">
        <f t="shared" si="202"/>
        <v>1023</v>
      </c>
      <c r="EC61" s="235">
        <f t="shared" si="203"/>
        <v>1094</v>
      </c>
      <c r="ED61" s="235">
        <f t="shared" si="204"/>
        <v>1176</v>
      </c>
      <c r="EE61" s="235">
        <f t="shared" si="205"/>
        <v>1273</v>
      </c>
      <c r="EF61" s="235">
        <f t="shared" si="206"/>
        <v>1408</v>
      </c>
      <c r="EG61" s="235">
        <f t="shared" si="182"/>
        <v>1488</v>
      </c>
      <c r="EH61" s="235">
        <f t="shared" si="183"/>
        <v>1659</v>
      </c>
      <c r="EI61" s="235">
        <f t="shared" si="184"/>
        <v>1841</v>
      </c>
      <c r="EJ61" s="235">
        <f t="shared" si="185"/>
        <v>1963</v>
      </c>
      <c r="EK61" s="235">
        <f t="shared" si="186"/>
        <v>2053</v>
      </c>
      <c r="EL61" s="235">
        <f t="shared" si="207"/>
        <v>2164</v>
      </c>
      <c r="EM61" s="235">
        <f t="shared" si="187"/>
        <v>2069</v>
      </c>
      <c r="EN61" s="235">
        <f t="shared" si="208"/>
        <v>1885</v>
      </c>
      <c r="EO61" s="235">
        <f>+EN61*0.995</f>
        <v>1875.575</v>
      </c>
      <c r="EP61" s="235">
        <f t="shared" ref="EP61:EQ61" si="265">+EO61*0.995</f>
        <v>1866.1971250000001</v>
      </c>
      <c r="EQ61" s="235">
        <f t="shared" si="265"/>
        <v>1856.8661393750001</v>
      </c>
      <c r="ER61" s="235">
        <f t="shared" si="21"/>
        <v>1</v>
      </c>
      <c r="ES61" s="235">
        <f t="shared" si="245"/>
        <v>0</v>
      </c>
      <c r="ET61" s="235"/>
      <c r="EU61" s="235"/>
      <c r="EV61" s="235"/>
      <c r="EW61" s="235"/>
      <c r="EX61" s="235"/>
      <c r="EY61" s="235"/>
      <c r="EZ61" s="344"/>
      <c r="FA61" s="344"/>
      <c r="FB61" s="344"/>
      <c r="FC61" s="344"/>
      <c r="FD61" s="344"/>
      <c r="FE61" s="344"/>
      <c r="FF61" s="344"/>
      <c r="FG61" s="344"/>
      <c r="FH61" s="344"/>
      <c r="FI61" s="344"/>
      <c r="FJ61" s="344"/>
      <c r="FM61"/>
    </row>
    <row r="62" spans="1:172"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f t="shared" ref="DL62" si="266">+DH62*1.01</f>
        <v>1297.8499999999999</v>
      </c>
      <c r="DM62" s="243">
        <f t="shared" ref="DM62" si="267">+DI62*1.01</f>
        <v>1313</v>
      </c>
      <c r="DN62" s="243">
        <f t="shared" ref="DN62" si="268">+DJ62*1.01</f>
        <v>1316.03</v>
      </c>
      <c r="DP62" s="271"/>
      <c r="DQ62" s="271"/>
      <c r="DR62" s="271"/>
      <c r="DS62" s="271"/>
      <c r="DT62" s="271"/>
      <c r="DU62" s="271"/>
      <c r="DV62" s="271"/>
      <c r="DW62" s="235">
        <f>+DX62/1.17</f>
        <v>723.07692307692309</v>
      </c>
      <c r="DX62" s="235">
        <f>427+419</f>
        <v>846</v>
      </c>
      <c r="DY62" s="235">
        <f>SUM(G62:J62)</f>
        <v>854</v>
      </c>
      <c r="DZ62" s="235">
        <v>953</v>
      </c>
      <c r="EA62" s="235">
        <f t="shared" si="201"/>
        <v>1031</v>
      </c>
      <c r="EB62" s="235">
        <f t="shared" si="202"/>
        <v>1063</v>
      </c>
      <c r="EC62" s="235">
        <f t="shared" si="203"/>
        <v>1168</v>
      </c>
      <c r="ED62" s="235">
        <f t="shared" si="204"/>
        <v>1298</v>
      </c>
      <c r="EE62" s="235">
        <f t="shared" si="205"/>
        <v>1530</v>
      </c>
      <c r="EF62" s="235">
        <f t="shared" si="206"/>
        <v>1694</v>
      </c>
      <c r="EG62" s="235">
        <f t="shared" si="182"/>
        <v>1879</v>
      </c>
      <c r="EH62" s="235">
        <f t="shared" si="183"/>
        <v>2209</v>
      </c>
      <c r="EI62" s="235">
        <f t="shared" si="184"/>
        <v>2500</v>
      </c>
      <c r="EJ62" s="235">
        <f t="shared" si="185"/>
        <v>2506</v>
      </c>
      <c r="EK62" s="235">
        <f t="shared" si="186"/>
        <v>2680</v>
      </c>
      <c r="EL62" s="235">
        <f>SUM(BG62:BJ62)</f>
        <v>2916</v>
      </c>
      <c r="EM62" s="235">
        <f>SUM(BK62:BN62)</f>
        <v>2996</v>
      </c>
      <c r="EN62" s="235">
        <f t="shared" si="208"/>
        <v>2937</v>
      </c>
      <c r="EO62" s="235">
        <f>+EN62*0.995</f>
        <v>2922.3150000000001</v>
      </c>
      <c r="EP62" s="235">
        <f t="shared" ref="EP62:EY62" si="269">+EO62*0.995</f>
        <v>2907.7034250000002</v>
      </c>
      <c r="EQ62" s="235">
        <f t="shared" si="269"/>
        <v>2893.1649078750002</v>
      </c>
      <c r="ER62" s="235">
        <f t="shared" si="21"/>
        <v>4063</v>
      </c>
      <c r="ES62" s="235">
        <f t="shared" si="245"/>
        <v>4553</v>
      </c>
      <c r="ET62" s="235">
        <f t="shared" si="246"/>
        <v>4624</v>
      </c>
      <c r="EU62" s="235">
        <f t="shared" si="247"/>
        <v>3919</v>
      </c>
      <c r="EV62" s="235">
        <f t="shared" si="248"/>
        <v>4688</v>
      </c>
      <c r="EW62" s="235">
        <f>SUM(CY62:DB62)</f>
        <v>4849</v>
      </c>
      <c r="EX62" s="235">
        <f t="shared" si="269"/>
        <v>4824.7550000000001</v>
      </c>
      <c r="EY62" s="235">
        <f t="shared" si="269"/>
        <v>4800.6312250000001</v>
      </c>
      <c r="EZ62" s="235">
        <f t="shared" ref="EZ62" si="270">+EY62*0.995</f>
        <v>4776.6280688750003</v>
      </c>
      <c r="FA62" s="235">
        <f t="shared" ref="FA62" si="271">+EZ62*0.995</f>
        <v>4752.7449285306257</v>
      </c>
      <c r="FB62" s="235">
        <f t="shared" ref="FB62" si="272">+FA62*0.995</f>
        <v>4728.9812038879727</v>
      </c>
      <c r="FC62" s="235">
        <f t="shared" ref="FC62" si="273">+FB62*0.995</f>
        <v>4705.3362978685327</v>
      </c>
      <c r="FD62" s="235">
        <f t="shared" ref="FD62" si="274">+FC62*0.995</f>
        <v>4681.8096163791897</v>
      </c>
      <c r="FE62" s="235">
        <f t="shared" ref="FE62" si="275">+FD62*0.995</f>
        <v>4658.4005682972938</v>
      </c>
      <c r="FF62" s="235">
        <f t="shared" ref="FF62" si="276">+FE62*0.995</f>
        <v>4635.1085654558074</v>
      </c>
      <c r="FG62" s="235">
        <f t="shared" ref="FG62" si="277">+FF62*0.995</f>
        <v>4611.9330226285283</v>
      </c>
      <c r="FH62" s="235">
        <f t="shared" ref="FH62" si="278">+FG62*0.995</f>
        <v>4588.8733575153856</v>
      </c>
      <c r="FI62" s="235">
        <f t="shared" ref="FI62" si="279">+FH62*0.995</f>
        <v>4565.9289907278089</v>
      </c>
      <c r="FJ62" s="235">
        <f t="shared" ref="FJ62" si="280">+FI62*0.995</f>
        <v>4543.0993457741697</v>
      </c>
      <c r="FP62" s="3"/>
    </row>
    <row r="63" spans="1:172"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P63" s="271"/>
      <c r="DQ63" s="271"/>
      <c r="DR63" s="271"/>
      <c r="DS63" s="271"/>
      <c r="DT63" s="271"/>
      <c r="DU63" s="271"/>
      <c r="DV63" s="271"/>
      <c r="DW63" s="271"/>
      <c r="DX63" s="271"/>
      <c r="DY63" s="235">
        <f>1011+77</f>
        <v>1088</v>
      </c>
      <c r="DZ63" s="235">
        <v>1071</v>
      </c>
      <c r="EA63" s="235">
        <f t="shared" si="201"/>
        <v>597</v>
      </c>
      <c r="EB63" s="235">
        <f t="shared" si="202"/>
        <v>389</v>
      </c>
      <c r="EC63" s="235">
        <f t="shared" si="203"/>
        <v>124</v>
      </c>
      <c r="ED63" s="235">
        <f t="shared" si="204"/>
        <v>73</v>
      </c>
      <c r="EE63" s="235">
        <f t="shared" si="205"/>
        <v>65</v>
      </c>
      <c r="EF63" s="235">
        <f t="shared" si="206"/>
        <v>58</v>
      </c>
      <c r="EG63" s="235">
        <f t="shared" si="182"/>
        <v>61</v>
      </c>
      <c r="EH63" s="235">
        <f t="shared" si="183"/>
        <v>57</v>
      </c>
      <c r="EI63" s="235"/>
      <c r="EJ63" s="235"/>
      <c r="EK63" s="235"/>
      <c r="EL63" s="235"/>
      <c r="EM63" s="235"/>
      <c r="EN63" s="235"/>
      <c r="EO63" s="235"/>
      <c r="EP63" s="235"/>
      <c r="EQ63" s="235"/>
      <c r="ER63" s="235">
        <f t="shared" si="21"/>
        <v>0</v>
      </c>
      <c r="ES63" s="235"/>
      <c r="ET63" s="235"/>
      <c r="EU63" s="235"/>
      <c r="EV63" s="235"/>
      <c r="EW63" s="235"/>
      <c r="EX63" s="235"/>
      <c r="EY63" s="235"/>
      <c r="EZ63" s="344"/>
      <c r="FA63" s="344"/>
      <c r="FB63" s="344"/>
      <c r="FC63" s="344"/>
      <c r="FD63" s="344"/>
      <c r="FE63" s="344"/>
      <c r="FF63" s="344"/>
      <c r="FG63" s="344"/>
      <c r="FH63" s="344"/>
      <c r="FI63" s="344"/>
      <c r="FJ63" s="344"/>
    </row>
    <row r="64" spans="1:172"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P64" s="276"/>
      <c r="DQ64" s="276"/>
      <c r="DR64" s="276"/>
      <c r="DS64" s="243">
        <v>4780</v>
      </c>
      <c r="DT64" s="243">
        <v>4824</v>
      </c>
      <c r="DU64" s="243">
        <v>5251</v>
      </c>
      <c r="DV64" s="243">
        <v>5831</v>
      </c>
      <c r="DW64" s="243">
        <v>6364</v>
      </c>
      <c r="DX64" s="243">
        <v>6498</v>
      </c>
      <c r="DY64" s="243">
        <v>6526</v>
      </c>
      <c r="DZ64" s="243">
        <v>6864</v>
      </c>
      <c r="EA64" s="243">
        <v>6904</v>
      </c>
      <c r="EB64" s="243">
        <v>6962</v>
      </c>
      <c r="EC64" s="243">
        <v>6563.9</v>
      </c>
      <c r="ED64" s="235">
        <f t="shared" si="204"/>
        <v>7430</v>
      </c>
      <c r="EE64" s="235">
        <f t="shared" si="205"/>
        <v>8333</v>
      </c>
      <c r="EF64" s="235">
        <f t="shared" si="206"/>
        <v>9096</v>
      </c>
      <c r="EG64" s="235">
        <f t="shared" si="182"/>
        <v>9774</v>
      </c>
      <c r="EH64" s="235">
        <f t="shared" si="183"/>
        <v>14493</v>
      </c>
      <c r="EI64" s="235">
        <f>SUM(AU64:AX64)</f>
        <v>16054</v>
      </c>
      <c r="EJ64" s="235">
        <f>SUM(AY64:BB64)</f>
        <v>15803</v>
      </c>
      <c r="EK64" s="243">
        <f>SUM(BC64:BF64)</f>
        <v>14590</v>
      </c>
      <c r="EL64" s="235">
        <f t="shared" si="207"/>
        <v>14883</v>
      </c>
      <c r="EM64" s="235">
        <f t="shared" si="187"/>
        <v>14447</v>
      </c>
      <c r="EN64" s="235">
        <f>SUM(BO64:BR64)</f>
        <v>14697</v>
      </c>
      <c r="EO64" s="243">
        <f t="shared" ref="EO64:EQ64" si="281">EN64*1.02</f>
        <v>14990.94</v>
      </c>
      <c r="EP64" s="243">
        <f t="shared" si="281"/>
        <v>15290.758800000001</v>
      </c>
      <c r="EQ64" s="243">
        <f t="shared" si="281"/>
        <v>15596.573976000001</v>
      </c>
      <c r="ER64" s="235">
        <f t="shared" si="21"/>
        <v>13602</v>
      </c>
      <c r="ES64" s="235">
        <f t="shared" ref="ES64:ES69" si="282">SUM(CI64:CL64)</f>
        <v>13853</v>
      </c>
      <c r="ET64" s="235">
        <f t="shared" ref="ET64:ET72" si="283">SUM(CM64:CP64)</f>
        <v>13898</v>
      </c>
      <c r="EU64" s="235">
        <f t="shared" ref="EU64:EU69" si="284">SUM(CQ64:CT64)</f>
        <v>14053</v>
      </c>
      <c r="EV64" s="235">
        <f>SUM(CU64:CX64)</f>
        <v>14923</v>
      </c>
      <c r="EW64" s="235">
        <f>SUM(CY64:DB64)</f>
        <v>14953</v>
      </c>
      <c r="EX64" s="243">
        <f t="shared" ref="EX64" si="285">EW64*1.02</f>
        <v>15252.06</v>
      </c>
      <c r="EY64" s="243">
        <f t="shared" ref="EY64" si="286">EX64*1.02</f>
        <v>15557.101199999999</v>
      </c>
      <c r="EZ64" s="339"/>
      <c r="FA64" s="339"/>
      <c r="FB64" s="339"/>
      <c r="FC64" s="339"/>
      <c r="FD64" s="339"/>
      <c r="FE64" s="339"/>
      <c r="FF64" s="339"/>
      <c r="FG64" s="339"/>
      <c r="FH64" s="339"/>
      <c r="FI64" s="339"/>
      <c r="FJ64" s="339"/>
      <c r="FO64" s="277"/>
      <c r="FP64" s="277"/>
    </row>
    <row r="65" spans="1:270"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87">SUM(AA3:AA64)</f>
        <v>9822</v>
      </c>
      <c r="AB65" s="239">
        <f t="shared" si="287"/>
        <v>10332</v>
      </c>
      <c r="AC65" s="239">
        <f t="shared" si="287"/>
        <v>10454</v>
      </c>
      <c r="AD65" s="239">
        <f t="shared" si="287"/>
        <v>11389</v>
      </c>
      <c r="AE65" s="239">
        <f t="shared" si="287"/>
        <v>11984</v>
      </c>
      <c r="AF65" s="239">
        <f t="shared" si="287"/>
        <v>11892</v>
      </c>
      <c r="AG65" s="239">
        <f t="shared" si="287"/>
        <v>11553</v>
      </c>
      <c r="AH65" s="239">
        <f t="shared" si="287"/>
        <v>12752</v>
      </c>
      <c r="AI65" s="239">
        <f t="shared" si="287"/>
        <v>12832</v>
      </c>
      <c r="AJ65" s="239">
        <f t="shared" si="287"/>
        <v>12762</v>
      </c>
      <c r="AK65" s="239">
        <f t="shared" si="287"/>
        <v>12310</v>
      </c>
      <c r="AL65" s="278">
        <f t="shared" si="287"/>
        <v>12610</v>
      </c>
      <c r="AM65" s="278">
        <f t="shared" si="287"/>
        <v>12992</v>
      </c>
      <c r="AN65" s="278">
        <f t="shared" si="287"/>
        <v>13363</v>
      </c>
      <c r="AO65" s="278">
        <f t="shared" si="287"/>
        <v>13287</v>
      </c>
      <c r="AP65" s="278">
        <f t="shared" si="287"/>
        <v>13682</v>
      </c>
      <c r="AQ65" s="278">
        <f t="shared" si="287"/>
        <v>15087</v>
      </c>
      <c r="AR65" s="278">
        <f t="shared" si="287"/>
        <v>15142</v>
      </c>
      <c r="AS65" s="278">
        <f t="shared" si="287"/>
        <v>15007</v>
      </c>
      <c r="AT65" s="278">
        <f t="shared" si="287"/>
        <v>15957</v>
      </c>
      <c r="AU65" s="278">
        <f t="shared" si="287"/>
        <v>16194</v>
      </c>
      <c r="AV65" s="278">
        <f t="shared" si="287"/>
        <v>16450</v>
      </c>
      <c r="AW65" s="278">
        <f t="shared" si="287"/>
        <v>15921</v>
      </c>
      <c r="AX65" s="278">
        <f t="shared" si="287"/>
        <v>15182</v>
      </c>
      <c r="AY65" s="278">
        <f t="shared" si="287"/>
        <v>15026</v>
      </c>
      <c r="AZ65" s="278">
        <f t="shared" si="287"/>
        <v>15239</v>
      </c>
      <c r="BA65" s="278">
        <f t="shared" si="287"/>
        <v>15081</v>
      </c>
      <c r="BB65" s="278">
        <f t="shared" si="287"/>
        <v>16551</v>
      </c>
      <c r="BC65" s="278">
        <f t="shared" si="287"/>
        <v>15631</v>
      </c>
      <c r="BD65" s="278">
        <f t="shared" si="287"/>
        <v>15389</v>
      </c>
      <c r="BE65" s="278">
        <f t="shared" si="287"/>
        <v>14982</v>
      </c>
      <c r="BF65" s="278">
        <f t="shared" si="287"/>
        <v>15644</v>
      </c>
      <c r="BG65" s="278">
        <f t="shared" si="287"/>
        <v>16966</v>
      </c>
      <c r="BH65" s="278">
        <f t="shared" si="287"/>
        <v>16597</v>
      </c>
      <c r="BI65" s="278">
        <f>SUM(BI3:BI55,BI58:BI64)</f>
        <v>16005</v>
      </c>
      <c r="BJ65" s="278">
        <f t="shared" ref="BJ65:DA65" si="288">SUM(BJ3:BJ64)</f>
        <v>18821</v>
      </c>
      <c r="BK65" s="278">
        <f t="shared" si="288"/>
        <v>16139</v>
      </c>
      <c r="BL65" s="278">
        <f t="shared" si="288"/>
        <v>16626</v>
      </c>
      <c r="BM65" s="278">
        <f t="shared" si="288"/>
        <v>17191</v>
      </c>
      <c r="BN65" s="278">
        <f t="shared" si="288"/>
        <v>17791</v>
      </c>
      <c r="BO65" s="278">
        <f t="shared" si="288"/>
        <v>17548</v>
      </c>
      <c r="BP65" s="278">
        <f t="shared" si="288"/>
        <v>17933</v>
      </c>
      <c r="BQ65" s="278">
        <f t="shared" si="288"/>
        <v>17639</v>
      </c>
      <c r="BR65" s="278">
        <f t="shared" si="288"/>
        <v>18451</v>
      </c>
      <c r="BS65" s="278">
        <f t="shared" si="288"/>
        <v>18219</v>
      </c>
      <c r="BT65" s="278">
        <f t="shared" si="288"/>
        <v>19495</v>
      </c>
      <c r="BU65" s="278">
        <f t="shared" si="288"/>
        <v>18467</v>
      </c>
      <c r="BV65" s="278">
        <f t="shared" si="288"/>
        <v>18254</v>
      </c>
      <c r="BW65" s="278">
        <f t="shared" si="288"/>
        <v>17374</v>
      </c>
      <c r="BX65" s="278">
        <f t="shared" si="288"/>
        <v>17787</v>
      </c>
      <c r="BY65" s="278">
        <f t="shared" si="288"/>
        <v>17102</v>
      </c>
      <c r="BZ65" s="278">
        <f t="shared" si="288"/>
        <v>17811</v>
      </c>
      <c r="CA65" s="278">
        <f t="shared" si="288"/>
        <v>17482</v>
      </c>
      <c r="CB65" s="278">
        <f t="shared" si="288"/>
        <v>18482</v>
      </c>
      <c r="CC65" s="278">
        <f t="shared" si="288"/>
        <v>17820</v>
      </c>
      <c r="CD65" s="278">
        <f t="shared" si="288"/>
        <v>18106</v>
      </c>
      <c r="CE65" s="278">
        <f t="shared" si="288"/>
        <v>17766</v>
      </c>
      <c r="CF65" s="278">
        <f t="shared" si="288"/>
        <v>18839</v>
      </c>
      <c r="CG65" s="278">
        <f t="shared" si="288"/>
        <v>19650</v>
      </c>
      <c r="CH65" s="278">
        <f t="shared" si="288"/>
        <v>20195</v>
      </c>
      <c r="CI65" s="278">
        <f t="shared" si="288"/>
        <v>20009</v>
      </c>
      <c r="CJ65" s="278">
        <f t="shared" si="288"/>
        <v>20830</v>
      </c>
      <c r="CK65" s="278">
        <f t="shared" si="288"/>
        <v>20348</v>
      </c>
      <c r="CL65" s="278">
        <f t="shared" si="288"/>
        <v>20394</v>
      </c>
      <c r="CM65" s="278">
        <f t="shared" si="288"/>
        <v>20021</v>
      </c>
      <c r="CN65" s="278">
        <f t="shared" si="288"/>
        <v>20564</v>
      </c>
      <c r="CO65" s="278">
        <f t="shared" si="288"/>
        <v>20728</v>
      </c>
      <c r="CP65" s="278">
        <f t="shared" si="288"/>
        <v>20744</v>
      </c>
      <c r="CQ65" s="278">
        <f t="shared" si="288"/>
        <v>20690</v>
      </c>
      <c r="CR65" s="278">
        <f t="shared" si="288"/>
        <v>18338</v>
      </c>
      <c r="CS65" s="278">
        <f t="shared" si="288"/>
        <v>21082</v>
      </c>
      <c r="CT65" s="278">
        <f t="shared" si="288"/>
        <v>22476</v>
      </c>
      <c r="CU65" s="278">
        <f t="shared" si="288"/>
        <v>22321</v>
      </c>
      <c r="CV65" s="278">
        <f t="shared" si="288"/>
        <v>23441</v>
      </c>
      <c r="CW65" s="278">
        <f t="shared" si="288"/>
        <v>23335</v>
      </c>
      <c r="CX65" s="278">
        <f t="shared" si="288"/>
        <v>24878</v>
      </c>
      <c r="CY65" s="278">
        <f t="shared" si="288"/>
        <v>23524</v>
      </c>
      <c r="CZ65" s="278">
        <f t="shared" si="288"/>
        <v>24129</v>
      </c>
      <c r="DA65" s="278">
        <f t="shared" si="288"/>
        <v>23947</v>
      </c>
      <c r="DB65" s="278">
        <f>SUM(DB3:DB64)+2</f>
        <v>23879</v>
      </c>
      <c r="DC65" s="278">
        <f t="shared" ref="DC65:DN65" si="289">SUM(DC3:DC64)</f>
        <v>20894</v>
      </c>
      <c r="DD65" s="278">
        <f t="shared" si="289"/>
        <v>25624</v>
      </c>
      <c r="DE65" s="278">
        <f t="shared" si="289"/>
        <v>21350.5</v>
      </c>
      <c r="DF65" s="278">
        <f t="shared" si="289"/>
        <v>21396</v>
      </c>
      <c r="DG65" s="278">
        <f t="shared" si="289"/>
        <v>21382</v>
      </c>
      <c r="DH65" s="278">
        <f t="shared" si="289"/>
        <v>22453</v>
      </c>
      <c r="DI65" s="278">
        <f t="shared" si="289"/>
        <v>22470.6</v>
      </c>
      <c r="DJ65" s="278">
        <f t="shared" si="289"/>
        <v>22521</v>
      </c>
      <c r="DK65" s="278">
        <f t="shared" si="289"/>
        <v>21894</v>
      </c>
      <c r="DL65" s="278">
        <f t="shared" si="289"/>
        <v>22126.469999999998</v>
      </c>
      <c r="DM65" s="278">
        <f t="shared" si="289"/>
        <v>22161.939000000002</v>
      </c>
      <c r="DN65" s="278">
        <f t="shared" si="289"/>
        <v>21916.419999999995</v>
      </c>
      <c r="DP65" s="239">
        <v>9757</v>
      </c>
      <c r="DQ65" s="239">
        <v>11232</v>
      </c>
      <c r="DR65" s="239">
        <v>12447</v>
      </c>
      <c r="DS65" s="239">
        <v>13753</v>
      </c>
      <c r="DT65" s="239">
        <v>14138</v>
      </c>
      <c r="DU65" s="239">
        <v>15734</v>
      </c>
      <c r="DV65" s="239">
        <v>18842</v>
      </c>
      <c r="DW65" s="239">
        <v>21620</v>
      </c>
      <c r="DX65" s="239">
        <v>22629</v>
      </c>
      <c r="DY65" s="239">
        <v>23657</v>
      </c>
      <c r="DZ65" s="239">
        <v>27471</v>
      </c>
      <c r="EA65" s="239">
        <v>29139</v>
      </c>
      <c r="EB65" s="239">
        <v>33004</v>
      </c>
      <c r="EC65" s="239">
        <f>SUM(EC3:EC64)</f>
        <v>36911.9</v>
      </c>
      <c r="ED65" s="239">
        <f>SUM(ED3:ED64)</f>
        <v>42365.4</v>
      </c>
      <c r="EE65" s="239">
        <f>SUM(EE9:EE64)+EE3</f>
        <v>48117</v>
      </c>
      <c r="EF65" s="239">
        <f>SUM(EF9:EF64)+EF3</f>
        <v>49498</v>
      </c>
      <c r="EG65" s="239">
        <f>SUM(EG3:EG64)</f>
        <v>53324</v>
      </c>
      <c r="EH65" s="239">
        <f>SUM(EH9:EH64)+EH3</f>
        <v>61095</v>
      </c>
      <c r="EI65" s="239">
        <f t="shared" ref="EI65:FJ65" si="290">SUM(EI3:EI64)</f>
        <v>63747</v>
      </c>
      <c r="EJ65" s="239">
        <f t="shared" si="290"/>
        <v>61897</v>
      </c>
      <c r="EK65" s="239">
        <f t="shared" si="290"/>
        <v>61455</v>
      </c>
      <c r="EL65" s="239">
        <f t="shared" si="290"/>
        <v>65030</v>
      </c>
      <c r="EM65" s="239">
        <f t="shared" si="290"/>
        <v>67747</v>
      </c>
      <c r="EN65" s="239">
        <f t="shared" si="290"/>
        <v>71312</v>
      </c>
      <c r="EO65" s="239">
        <f t="shared" si="290"/>
        <v>75247.425000000003</v>
      </c>
      <c r="EP65" s="239">
        <f t="shared" si="290"/>
        <v>76071.903275000004</v>
      </c>
      <c r="EQ65" s="239">
        <f t="shared" si="290"/>
        <v>70454.942341625007</v>
      </c>
      <c r="ER65" s="239">
        <f t="shared" si="290"/>
        <v>76450</v>
      </c>
      <c r="ES65" s="239">
        <f t="shared" si="290"/>
        <v>81581</v>
      </c>
      <c r="ET65" s="239">
        <f t="shared" si="290"/>
        <v>82057</v>
      </c>
      <c r="EU65" s="239">
        <f t="shared" si="290"/>
        <v>82586</v>
      </c>
      <c r="EV65" s="239">
        <f t="shared" si="290"/>
        <v>94199</v>
      </c>
      <c r="EW65" s="239">
        <f t="shared" si="290"/>
        <v>95373</v>
      </c>
      <c r="EX65" s="239">
        <f t="shared" si="290"/>
        <v>97508.755000000019</v>
      </c>
      <c r="EY65" s="239">
        <f t="shared" si="290"/>
        <v>100741.58862500002</v>
      </c>
      <c r="EZ65" s="239">
        <f t="shared" si="290"/>
        <v>85543.64323487501</v>
      </c>
      <c r="FA65" s="239">
        <f t="shared" si="290"/>
        <v>80027.510495710623</v>
      </c>
      <c r="FB65" s="239">
        <f t="shared" si="290"/>
        <v>81137.42833794537</v>
      </c>
      <c r="FC65" s="239">
        <f t="shared" si="290"/>
        <v>83835.219823268286</v>
      </c>
      <c r="FD65" s="239">
        <f t="shared" si="290"/>
        <v>84116.494700000258</v>
      </c>
      <c r="FE65" s="239">
        <f t="shared" si="290"/>
        <v>85194.170120788069</v>
      </c>
      <c r="FF65" s="239">
        <f t="shared" si="290"/>
        <v>80993.959486743843</v>
      </c>
      <c r="FG65" s="239">
        <f t="shared" si="290"/>
        <v>81561.130982576477</v>
      </c>
      <c r="FH65" s="239">
        <f t="shared" si="290"/>
        <v>82809.988489304451</v>
      </c>
      <c r="FI65" s="239">
        <f t="shared" si="290"/>
        <v>84286.350935945942</v>
      </c>
      <c r="FJ65" s="239">
        <f t="shared" si="290"/>
        <v>57125.944836793897</v>
      </c>
      <c r="FO65" s="280"/>
    </row>
    <row r="66" spans="1:270"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f t="shared" ref="DL66:DN66" si="291">+DL65*0.25</f>
        <v>5531.6174999999994</v>
      </c>
      <c r="DM66" s="243">
        <f t="shared" si="291"/>
        <v>5540.4847500000005</v>
      </c>
      <c r="DN66" s="243">
        <f t="shared" si="291"/>
        <v>5479.1049999999987</v>
      </c>
      <c r="DP66" s="235">
        <v>3480</v>
      </c>
      <c r="DQ66" s="235">
        <v>3937</v>
      </c>
      <c r="DR66" s="235">
        <v>4204</v>
      </c>
      <c r="DS66" s="235">
        <v>4678</v>
      </c>
      <c r="DT66" s="235">
        <v>4791</v>
      </c>
      <c r="DU66" s="235">
        <v>5299</v>
      </c>
      <c r="DV66" s="235">
        <v>6235</v>
      </c>
      <c r="DW66" s="235">
        <v>7018</v>
      </c>
      <c r="DX66" s="235">
        <v>7152</v>
      </c>
      <c r="DY66" s="235">
        <f>7496-60</f>
        <v>7436</v>
      </c>
      <c r="DZ66" s="235">
        <v>8442</v>
      </c>
      <c r="EA66" s="235">
        <v>8861</v>
      </c>
      <c r="EB66" s="235">
        <v>9536</v>
      </c>
      <c r="EC66" s="235">
        <v>10447</v>
      </c>
      <c r="ED66" s="235">
        <v>12176</v>
      </c>
      <c r="EE66" s="235">
        <v>13422</v>
      </c>
      <c r="EF66" s="235">
        <v>13954</v>
      </c>
      <c r="EG66" s="235">
        <f>SUM(AM66:AP66)</f>
        <v>15057</v>
      </c>
      <c r="EH66" s="235">
        <f>SUM(AQ66:AT66)</f>
        <v>17751</v>
      </c>
      <c r="EI66" s="235">
        <f>SUM(AU66:AX66)</f>
        <v>18511</v>
      </c>
      <c r="EJ66" s="235">
        <f>EJ65-EJ67</f>
        <v>18334</v>
      </c>
      <c r="EK66" s="235">
        <f>SUM(BC66:BF66)</f>
        <v>18792</v>
      </c>
      <c r="EL66" s="235">
        <f>EL65-EL67</f>
        <v>17001</v>
      </c>
      <c r="EM66" s="235">
        <f>SUM(BK66:BN66)</f>
        <v>21658</v>
      </c>
      <c r="EN66" s="235">
        <f>SUM(BO66:BR66)</f>
        <v>22342</v>
      </c>
      <c r="EO66" s="235">
        <f t="shared" ref="EO66:EQ66" si="292">EO65-EO67</f>
        <v>23326.701750000007</v>
      </c>
      <c r="EP66" s="235">
        <f t="shared" si="292"/>
        <v>23582.290015250008</v>
      </c>
      <c r="EQ66" s="235">
        <f t="shared" si="292"/>
        <v>21841.032125903759</v>
      </c>
      <c r="ER66" s="235">
        <f>+ER65-ER67</f>
        <v>23699.500000000007</v>
      </c>
      <c r="ES66" s="235">
        <f t="shared" si="282"/>
        <v>27091</v>
      </c>
      <c r="ET66" s="235">
        <f t="shared" si="283"/>
        <v>27556</v>
      </c>
      <c r="EU66" s="235">
        <f t="shared" si="284"/>
        <v>28427</v>
      </c>
      <c r="EV66" s="235">
        <f t="shared" ref="EV66:EV69" si="293">SUM(CU66:CX66)</f>
        <v>28613</v>
      </c>
      <c r="EW66" s="235">
        <f>SUM(CY66:DB66)</f>
        <v>28477</v>
      </c>
      <c r="EX66" s="235">
        <f t="shared" ref="EX66:EY66" si="294">+EX65-EX67</f>
        <v>30227.71405000001</v>
      </c>
      <c r="EY66" s="235">
        <f t="shared" si="294"/>
        <v>31229.892473750006</v>
      </c>
      <c r="EZ66" s="235">
        <f>+EZ65-EZ67</f>
        <v>26518.529402811255</v>
      </c>
      <c r="FA66" s="235">
        <f t="shared" ref="FA66:FE66" si="295">+FA65-FA67</f>
        <v>24808.528253670294</v>
      </c>
      <c r="FB66" s="235">
        <f t="shared" si="295"/>
        <v>25152.602784763068</v>
      </c>
      <c r="FC66" s="235">
        <f t="shared" si="295"/>
        <v>25988.918145213174</v>
      </c>
      <c r="FD66" s="235">
        <f t="shared" si="295"/>
        <v>26076.113357000082</v>
      </c>
      <c r="FE66" s="235">
        <f t="shared" si="295"/>
        <v>26410.192737444304</v>
      </c>
      <c r="FF66" s="235">
        <f t="shared" ref="FF66:FJ66" si="296">+FF65-FF67</f>
        <v>25108.127440890596</v>
      </c>
      <c r="FG66" s="235">
        <f t="shared" si="296"/>
        <v>25283.950604598715</v>
      </c>
      <c r="FH66" s="235">
        <f t="shared" si="296"/>
        <v>25671.096431684382</v>
      </c>
      <c r="FI66" s="235">
        <f t="shared" si="296"/>
        <v>26128.768790143244</v>
      </c>
      <c r="FJ66" s="235">
        <f t="shared" si="296"/>
        <v>17709.042899406108</v>
      </c>
    </row>
    <row r="67" spans="1:270" s="275" customFormat="1" ht="12.75" customHeight="1" x14ac:dyDescent="0.25">
      <c r="A67"/>
      <c r="B67" t="s">
        <v>337</v>
      </c>
      <c r="C67" s="235">
        <f t="shared" ref="C67:AW67" si="297">C65-C66</f>
        <v>3943</v>
      </c>
      <c r="D67" s="235">
        <f t="shared" si="297"/>
        <v>3949</v>
      </c>
      <c r="E67" s="235">
        <f t="shared" si="297"/>
        <v>3836</v>
      </c>
      <c r="F67" s="235">
        <f t="shared" si="297"/>
        <v>3749</v>
      </c>
      <c r="G67" s="235">
        <f t="shared" si="297"/>
        <v>4006</v>
      </c>
      <c r="H67" s="235">
        <f t="shared" si="297"/>
        <v>3980</v>
      </c>
      <c r="I67" s="235">
        <f t="shared" si="297"/>
        <v>3966</v>
      </c>
      <c r="J67" s="235">
        <f t="shared" si="297"/>
        <v>4269</v>
      </c>
      <c r="K67" s="235">
        <f t="shared" si="297"/>
        <v>4600</v>
      </c>
      <c r="L67" s="235">
        <f t="shared" si="297"/>
        <v>4768</v>
      </c>
      <c r="M67" s="235">
        <f t="shared" si="297"/>
        <v>4719</v>
      </c>
      <c r="N67" s="235">
        <f t="shared" si="297"/>
        <v>4696</v>
      </c>
      <c r="O67" s="235">
        <f t="shared" si="297"/>
        <v>5078</v>
      </c>
      <c r="P67" s="235">
        <f t="shared" si="297"/>
        <v>5252</v>
      </c>
      <c r="Q67" s="235">
        <f t="shared" si="297"/>
        <v>5025</v>
      </c>
      <c r="R67" s="235">
        <f t="shared" si="297"/>
        <v>4923</v>
      </c>
      <c r="S67" s="235">
        <f t="shared" si="297"/>
        <v>5512</v>
      </c>
      <c r="T67" s="235">
        <f t="shared" si="297"/>
        <v>5980</v>
      </c>
      <c r="U67" s="235">
        <f t="shared" si="297"/>
        <v>5853</v>
      </c>
      <c r="V67" s="235">
        <f t="shared" si="297"/>
        <v>5914</v>
      </c>
      <c r="W67" s="235">
        <f t="shared" si="297"/>
        <v>6286</v>
      </c>
      <c r="X67" s="235">
        <f t="shared" si="297"/>
        <v>6491</v>
      </c>
      <c r="Y67" s="235">
        <f t="shared" si="297"/>
        <v>6468</v>
      </c>
      <c r="Z67" s="235">
        <f t="shared" si="297"/>
        <v>6606</v>
      </c>
      <c r="AA67" s="235">
        <f t="shared" si="297"/>
        <v>7100</v>
      </c>
      <c r="AB67" s="235">
        <f t="shared" si="297"/>
        <v>7366</v>
      </c>
      <c r="AC67" s="235">
        <f t="shared" si="297"/>
        <v>7474</v>
      </c>
      <c r="AD67" s="235">
        <f t="shared" si="297"/>
        <v>7881</v>
      </c>
      <c r="AE67" s="243">
        <f t="shared" si="297"/>
        <v>8617</v>
      </c>
      <c r="AF67" s="243">
        <f t="shared" si="297"/>
        <v>8730</v>
      </c>
      <c r="AG67" s="243">
        <f t="shared" si="297"/>
        <v>8366</v>
      </c>
      <c r="AH67" s="243">
        <f t="shared" si="297"/>
        <v>9046</v>
      </c>
      <c r="AI67" s="243">
        <f t="shared" si="297"/>
        <v>9336</v>
      </c>
      <c r="AJ67" s="243">
        <f t="shared" si="297"/>
        <v>9240</v>
      </c>
      <c r="AK67" s="243">
        <f t="shared" si="297"/>
        <v>8956</v>
      </c>
      <c r="AL67" s="243">
        <f t="shared" si="297"/>
        <v>8972</v>
      </c>
      <c r="AM67" s="243">
        <f t="shared" si="297"/>
        <v>9380</v>
      </c>
      <c r="AN67" s="243">
        <f t="shared" si="297"/>
        <v>9575</v>
      </c>
      <c r="AO67" s="243">
        <f t="shared" si="297"/>
        <v>9637</v>
      </c>
      <c r="AP67" s="243">
        <f t="shared" si="297"/>
        <v>9675</v>
      </c>
      <c r="AQ67" s="243">
        <f>AQ65-AQ66</f>
        <v>10702</v>
      </c>
      <c r="AR67" s="243">
        <f>AR65-AR66</f>
        <v>10784</v>
      </c>
      <c r="AS67" s="243">
        <f>AS65-AS66</f>
        <v>10733</v>
      </c>
      <c r="AT67" s="243">
        <f>AT65-AT66</f>
        <v>11223</v>
      </c>
      <c r="AU67" s="243">
        <f t="shared" si="297"/>
        <v>11580</v>
      </c>
      <c r="AV67" s="243">
        <f t="shared" si="297"/>
        <v>11699</v>
      </c>
      <c r="AW67" s="243">
        <f t="shared" si="297"/>
        <v>11147</v>
      </c>
      <c r="AX67" s="243">
        <f t="shared" ref="AX67:BC67" si="298">AX65-AX66</f>
        <v>10810</v>
      </c>
      <c r="AY67" s="243">
        <f t="shared" si="298"/>
        <v>10775</v>
      </c>
      <c r="AZ67" s="243">
        <f t="shared" si="298"/>
        <v>10789</v>
      </c>
      <c r="BA67" s="243">
        <f t="shared" si="298"/>
        <v>10647</v>
      </c>
      <c r="BB67" s="243">
        <f t="shared" si="298"/>
        <v>11352</v>
      </c>
      <c r="BC67" s="243">
        <f t="shared" si="298"/>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99">+BN65-BN66</f>
        <v>11788</v>
      </c>
      <c r="BO67" s="243">
        <f t="shared" si="299"/>
        <v>11994</v>
      </c>
      <c r="BP67" s="243">
        <f t="shared" si="299"/>
        <v>12444</v>
      </c>
      <c r="BQ67" s="243">
        <f t="shared" si="299"/>
        <v>12295</v>
      </c>
      <c r="BR67" s="243">
        <f t="shared" si="299"/>
        <v>12496</v>
      </c>
      <c r="BS67" s="243">
        <f>+BS65-BS66</f>
        <v>12764</v>
      </c>
      <c r="BT67" s="243">
        <f t="shared" si="299"/>
        <v>13456</v>
      </c>
      <c r="BU67" s="243">
        <f t="shared" ref="BU67:CH67" si="300">BU65-BU66</f>
        <v>13068</v>
      </c>
      <c r="BV67" s="243">
        <f t="shared" si="300"/>
        <v>12401</v>
      </c>
      <c r="BW67" s="243">
        <f t="shared" si="300"/>
        <v>12092</v>
      </c>
      <c r="BX67" s="243">
        <f t="shared" si="300"/>
        <v>12430</v>
      </c>
      <c r="BY67" s="243">
        <f t="shared" si="300"/>
        <v>11878</v>
      </c>
      <c r="BZ67" s="243">
        <f t="shared" si="300"/>
        <v>12138</v>
      </c>
      <c r="CA67" s="243">
        <f t="shared" si="300"/>
        <v>12153</v>
      </c>
      <c r="CB67" s="243">
        <f t="shared" si="300"/>
        <v>13146</v>
      </c>
      <c r="CC67" s="243">
        <f t="shared" si="300"/>
        <v>12334</v>
      </c>
      <c r="CD67" s="243">
        <f t="shared" si="300"/>
        <v>12572</v>
      </c>
      <c r="CE67" s="243">
        <f t="shared" si="300"/>
        <v>12380</v>
      </c>
      <c r="CF67" s="243">
        <f t="shared" si="300"/>
        <v>13016</v>
      </c>
      <c r="CG67" s="243">
        <f t="shared" si="300"/>
        <v>12748</v>
      </c>
      <c r="CH67" s="243">
        <f t="shared" si="300"/>
        <v>14236</v>
      </c>
      <c r="CI67" s="243">
        <f t="shared" ref="CI67:CP67" si="301">+CI65-CI66</f>
        <v>13395</v>
      </c>
      <c r="CJ67" s="243">
        <f t="shared" si="301"/>
        <v>13903</v>
      </c>
      <c r="CK67" s="243">
        <f t="shared" si="301"/>
        <v>13759</v>
      </c>
      <c r="CL67" s="243">
        <f t="shared" si="301"/>
        <v>13433</v>
      </c>
      <c r="CM67" s="243">
        <f t="shared" si="301"/>
        <v>13406</v>
      </c>
      <c r="CN67" s="243">
        <f t="shared" si="301"/>
        <v>13624</v>
      </c>
      <c r="CO67" s="243">
        <f t="shared" si="301"/>
        <v>13861</v>
      </c>
      <c r="CP67" s="243">
        <f t="shared" si="301"/>
        <v>13610</v>
      </c>
      <c r="CQ67" s="243">
        <f t="shared" ref="CQ67" si="302">+CQ65-CQ66</f>
        <v>13628</v>
      </c>
      <c r="CR67" s="243">
        <f t="shared" ref="CR67:CV67" si="303">+CR65-CR66</f>
        <v>11759</v>
      </c>
      <c r="CS67" s="243">
        <f t="shared" si="303"/>
        <v>14110</v>
      </c>
      <c r="CT67" s="243">
        <f t="shared" si="303"/>
        <v>14662</v>
      </c>
      <c r="CU67" s="243">
        <f t="shared" si="303"/>
        <v>15258</v>
      </c>
      <c r="CV67" s="243">
        <f t="shared" si="303"/>
        <v>17096</v>
      </c>
      <c r="CW67" s="243">
        <f t="shared" ref="CW67:DB67" si="304">+CW65-CW66</f>
        <v>16085</v>
      </c>
      <c r="CX67" s="243">
        <f t="shared" si="304"/>
        <v>16923</v>
      </c>
      <c r="CY67" s="243">
        <f t="shared" si="304"/>
        <v>15926</v>
      </c>
      <c r="CZ67" s="243">
        <f t="shared" si="304"/>
        <v>17529</v>
      </c>
      <c r="DA67" s="243">
        <f t="shared" si="304"/>
        <v>16140</v>
      </c>
      <c r="DB67" s="243">
        <f t="shared" si="304"/>
        <v>17407</v>
      </c>
      <c r="DC67" s="243">
        <f>DC65-DC66</f>
        <v>14207</v>
      </c>
      <c r="DD67" s="243">
        <f t="shared" ref="DD67:DI67" si="305">+DD65-DD66</f>
        <v>17412</v>
      </c>
      <c r="DE67" s="243">
        <f t="shared" si="305"/>
        <v>16145.5</v>
      </c>
      <c r="DF67" s="243">
        <f t="shared" si="305"/>
        <v>15866</v>
      </c>
      <c r="DG67" s="243">
        <f t="shared" si="305"/>
        <v>15978</v>
      </c>
      <c r="DH67" s="243">
        <f t="shared" si="305"/>
        <v>15584</v>
      </c>
      <c r="DI67" s="243">
        <f t="shared" si="305"/>
        <v>16858.599999999999</v>
      </c>
      <c r="DJ67" s="243">
        <f>+DJ65-DJ66</f>
        <v>16746</v>
      </c>
      <c r="DK67" s="243">
        <f t="shared" ref="DK67:DN67" si="306">+DK65-DK66</f>
        <v>15717</v>
      </c>
      <c r="DL67" s="243">
        <f t="shared" si="306"/>
        <v>16594.852499999997</v>
      </c>
      <c r="DM67" s="243">
        <f t="shared" si="306"/>
        <v>16621.454250000003</v>
      </c>
      <c r="DN67" s="243">
        <f t="shared" si="306"/>
        <v>16437.314999999995</v>
      </c>
      <c r="DP67" s="235">
        <f t="shared" ref="DP67:EG67" si="307">DP65-DP66</f>
        <v>6277</v>
      </c>
      <c r="DQ67" s="235">
        <f t="shared" si="307"/>
        <v>7295</v>
      </c>
      <c r="DR67" s="235">
        <f t="shared" si="307"/>
        <v>8243</v>
      </c>
      <c r="DS67" s="235">
        <f t="shared" si="307"/>
        <v>9075</v>
      </c>
      <c r="DT67" s="235">
        <f t="shared" si="307"/>
        <v>9347</v>
      </c>
      <c r="DU67" s="235">
        <f t="shared" si="307"/>
        <v>10435</v>
      </c>
      <c r="DV67" s="235">
        <f t="shared" si="307"/>
        <v>12607</v>
      </c>
      <c r="DW67" s="235">
        <f t="shared" si="307"/>
        <v>14602</v>
      </c>
      <c r="DX67" s="235">
        <f t="shared" si="307"/>
        <v>15477</v>
      </c>
      <c r="DY67" s="235">
        <f t="shared" si="307"/>
        <v>16221</v>
      </c>
      <c r="DZ67" s="235">
        <f t="shared" si="307"/>
        <v>19029</v>
      </c>
      <c r="EA67" s="235">
        <f t="shared" si="307"/>
        <v>20278</v>
      </c>
      <c r="EB67" s="235">
        <f t="shared" si="307"/>
        <v>23468</v>
      </c>
      <c r="EC67" s="235">
        <f t="shared" si="307"/>
        <v>26464.9</v>
      </c>
      <c r="ED67" s="235">
        <f t="shared" si="307"/>
        <v>30189.4</v>
      </c>
      <c r="EE67" s="235">
        <f t="shared" si="307"/>
        <v>34695</v>
      </c>
      <c r="EF67" s="235">
        <f t="shared" si="307"/>
        <v>35544</v>
      </c>
      <c r="EG67" s="235">
        <f t="shared" si="307"/>
        <v>38267</v>
      </c>
      <c r="EH67" s="235">
        <f>EH65-EH66</f>
        <v>43344</v>
      </c>
      <c r="EI67" s="235">
        <f>EI65-EI66</f>
        <v>45236</v>
      </c>
      <c r="EJ67" s="235">
        <f>SUM(AY67:BB67)</f>
        <v>43563</v>
      </c>
      <c r="EK67" s="235">
        <f>EK65-EK66</f>
        <v>42663</v>
      </c>
      <c r="EL67" s="235">
        <f>SUM(BG67:BJ67)</f>
        <v>48029</v>
      </c>
      <c r="EM67" s="235">
        <f>EM65-EM66</f>
        <v>46089</v>
      </c>
      <c r="EN67" s="235">
        <f>EN65-EN66</f>
        <v>48970</v>
      </c>
      <c r="EO67" s="235">
        <f>+EO65*0.69</f>
        <v>51920.723249999995</v>
      </c>
      <c r="EP67" s="235">
        <f t="shared" ref="EP67:FE67" si="308">+EP65*0.69</f>
        <v>52489.613259749996</v>
      </c>
      <c r="EQ67" s="235">
        <f t="shared" si="308"/>
        <v>48613.910215721247</v>
      </c>
      <c r="ER67" s="235">
        <f t="shared" si="308"/>
        <v>52750.499999999993</v>
      </c>
      <c r="ES67" s="235">
        <f>ES65-ES66</f>
        <v>54490</v>
      </c>
      <c r="ET67" s="235">
        <f>ET65-ET66</f>
        <v>54501</v>
      </c>
      <c r="EU67" s="235">
        <f>EU65-EU66</f>
        <v>54159</v>
      </c>
      <c r="EV67" s="235">
        <f>+EV65-EV66</f>
        <v>65586</v>
      </c>
      <c r="EW67" s="235">
        <f>EW65-EW66</f>
        <v>66896</v>
      </c>
      <c r="EX67" s="235">
        <f t="shared" si="308"/>
        <v>67281.04095000001</v>
      </c>
      <c r="EY67" s="235">
        <f t="shared" si="308"/>
        <v>69511.696151250013</v>
      </c>
      <c r="EZ67" s="235">
        <f t="shared" si="308"/>
        <v>59025.113832063755</v>
      </c>
      <c r="FA67" s="235">
        <f t="shared" si="308"/>
        <v>55218.982242040329</v>
      </c>
      <c r="FB67" s="235">
        <f t="shared" si="308"/>
        <v>55984.825553182302</v>
      </c>
      <c r="FC67" s="235">
        <f t="shared" si="308"/>
        <v>57846.301678055112</v>
      </c>
      <c r="FD67" s="235">
        <f t="shared" si="308"/>
        <v>58040.381343000176</v>
      </c>
      <c r="FE67" s="235">
        <f t="shared" si="308"/>
        <v>58783.977383343765</v>
      </c>
      <c r="FF67" s="235">
        <f t="shared" ref="FF67:FJ67" si="309">+FF65*0.69</f>
        <v>55885.832045853247</v>
      </c>
      <c r="FG67" s="235">
        <f t="shared" si="309"/>
        <v>56277.180377977762</v>
      </c>
      <c r="FH67" s="235">
        <f t="shared" si="309"/>
        <v>57138.892057620069</v>
      </c>
      <c r="FI67" s="235">
        <f t="shared" si="309"/>
        <v>58157.582145802699</v>
      </c>
      <c r="FJ67" s="235">
        <f t="shared" si="309"/>
        <v>39416.901937387789</v>
      </c>
    </row>
    <row r="68" spans="1:270"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c r="DM68" s="243"/>
      <c r="DN68" s="243"/>
      <c r="DP68" s="235">
        <v>3897</v>
      </c>
      <c r="DQ68" s="235">
        <v>4469</v>
      </c>
      <c r="DR68" s="235">
        <v>5099</v>
      </c>
      <c r="DS68" s="235">
        <v>5671</v>
      </c>
      <c r="DT68" s="235">
        <v>5771</v>
      </c>
      <c r="DU68" s="235">
        <v>6350</v>
      </c>
      <c r="DV68" s="235">
        <v>7462</v>
      </c>
      <c r="DW68" s="235">
        <v>8394</v>
      </c>
      <c r="DX68" s="235">
        <v>8715</v>
      </c>
      <c r="DY68" s="235">
        <v>8907</v>
      </c>
      <c r="DZ68" s="235">
        <v>10503</v>
      </c>
      <c r="EA68" s="235">
        <v>10875</v>
      </c>
      <c r="EB68" s="235">
        <v>11992</v>
      </c>
      <c r="EC68" s="235">
        <v>12216</v>
      </c>
      <c r="ED68" s="235">
        <v>14131</v>
      </c>
      <c r="EE68" s="235">
        <v>15860</v>
      </c>
      <c r="EF68" s="235">
        <v>16877</v>
      </c>
      <c r="EG68" s="235">
        <f>SUM(AM68:AP68)</f>
        <v>17433</v>
      </c>
      <c r="EH68" s="235">
        <f>SUM(AQ68:AT68)</f>
        <v>20451</v>
      </c>
      <c r="EI68" s="235">
        <f>SUM(AU68:AX68)</f>
        <v>21490</v>
      </c>
      <c r="EJ68" s="235">
        <f>SUM(AY68:BB68)</f>
        <v>19801</v>
      </c>
      <c r="EK68" s="235">
        <f>SUM(BC68:BF68)</f>
        <v>19424</v>
      </c>
      <c r="EL68" s="235">
        <f>SUM(BG68:BJ68)</f>
        <v>20969</v>
      </c>
      <c r="EM68" s="235">
        <f>SUM(BK68:BN68)</f>
        <v>20869</v>
      </c>
      <c r="EN68" s="235">
        <f>SUM(BO68:BR68)</f>
        <v>21455</v>
      </c>
      <c r="EO68" s="235">
        <f>EO65*EO100</f>
        <v>24831.650250000002</v>
      </c>
      <c r="EP68" s="235"/>
      <c r="EQ68" s="235"/>
      <c r="ER68" s="235">
        <f>+EQ68</f>
        <v>0</v>
      </c>
      <c r="ES68" s="235">
        <f t="shared" si="282"/>
        <v>20382</v>
      </c>
      <c r="ET68" s="235">
        <f t="shared" si="283"/>
        <v>19898</v>
      </c>
      <c r="EU68" s="235">
        <f t="shared" si="284"/>
        <v>22084</v>
      </c>
      <c r="EV68" s="235">
        <f>SUM(CU68:CX68)</f>
        <v>24653</v>
      </c>
      <c r="EW68" s="235">
        <f>SUM(CY68:DB68)</f>
        <v>24707</v>
      </c>
      <c r="EX68" s="235">
        <f t="shared" ref="EX68:FE68" si="310">+EX65*0.26</f>
        <v>25352.276300000005</v>
      </c>
      <c r="EY68" s="235">
        <f t="shared" si="310"/>
        <v>26192.813042500005</v>
      </c>
      <c r="EZ68" s="235">
        <f t="shared" si="310"/>
        <v>22241.347241067502</v>
      </c>
      <c r="FA68" s="235">
        <f t="shared" si="310"/>
        <v>20807.152728884761</v>
      </c>
      <c r="FB68" s="235">
        <f t="shared" si="310"/>
        <v>21095.731367865796</v>
      </c>
      <c r="FC68" s="235">
        <f t="shared" si="310"/>
        <v>21797.157154049753</v>
      </c>
      <c r="FD68" s="235">
        <f t="shared" si="310"/>
        <v>21870.288622000069</v>
      </c>
      <c r="FE68" s="235">
        <f t="shared" si="310"/>
        <v>22150.484231404898</v>
      </c>
      <c r="FF68" s="235">
        <f t="shared" ref="FF68:FJ68" si="311">+FF65*0.26</f>
        <v>21058.4294665534</v>
      </c>
      <c r="FG68" s="235">
        <f t="shared" si="311"/>
        <v>21205.894055469886</v>
      </c>
      <c r="FH68" s="235">
        <f t="shared" si="311"/>
        <v>21530.597007219159</v>
      </c>
      <c r="FI68" s="235">
        <f t="shared" si="311"/>
        <v>21914.451243345946</v>
      </c>
      <c r="FJ68" s="235">
        <f t="shared" si="311"/>
        <v>14852.745657566413</v>
      </c>
    </row>
    <row r="69" spans="1:270"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c r="DM69" s="243"/>
      <c r="DN69" s="243"/>
      <c r="DP69" s="235">
        <v>719</v>
      </c>
      <c r="DQ69" s="235">
        <v>834</v>
      </c>
      <c r="DR69" s="235">
        <v>980</v>
      </c>
      <c r="DS69" s="235">
        <v>1127</v>
      </c>
      <c r="DT69" s="235">
        <v>1182</v>
      </c>
      <c r="DU69" s="235">
        <v>1278</v>
      </c>
      <c r="DV69" s="235">
        <v>1634</v>
      </c>
      <c r="DW69" s="235">
        <v>1905</v>
      </c>
      <c r="DX69" s="235">
        <v>2140</v>
      </c>
      <c r="DY69" s="235">
        <v>2269</v>
      </c>
      <c r="DZ69" s="235">
        <v>2600</v>
      </c>
      <c r="EA69" s="235">
        <v>2926</v>
      </c>
      <c r="EB69" s="235">
        <v>3591</v>
      </c>
      <c r="EC69" s="235">
        <v>3957</v>
      </c>
      <c r="ED69" s="235">
        <v>4684</v>
      </c>
      <c r="EE69" s="235">
        <v>5203</v>
      </c>
      <c r="EF69" s="235">
        <v>6312</v>
      </c>
      <c r="EG69" s="235">
        <f>SUM(AM69:AP69)</f>
        <v>6960</v>
      </c>
      <c r="EH69" s="235">
        <f>SUM(AQ69:AT69)</f>
        <v>7680</v>
      </c>
      <c r="EI69" s="235">
        <f>SUM(AU69:AX69)</f>
        <v>7577</v>
      </c>
      <c r="EJ69" s="235">
        <f>SUM(AY69:BB69)</f>
        <v>6986</v>
      </c>
      <c r="EK69" s="235">
        <f>SUM(BC69:BF69)</f>
        <v>6844</v>
      </c>
      <c r="EL69" s="235">
        <f>SUM(BG69:BJ69)</f>
        <v>7548</v>
      </c>
      <c r="EM69" s="235">
        <f>SUM(BK69:BN69)</f>
        <v>7665</v>
      </c>
      <c r="EN69" s="235">
        <f>SUM(BO69:BR69)</f>
        <v>8183</v>
      </c>
      <c r="EO69" s="235">
        <v>3000</v>
      </c>
      <c r="EP69" s="235">
        <v>3000</v>
      </c>
      <c r="EQ69" s="235">
        <v>3000</v>
      </c>
      <c r="ER69" s="235"/>
      <c r="ES69" s="235">
        <f t="shared" si="282"/>
        <v>10775</v>
      </c>
      <c r="ET69" s="235">
        <f t="shared" si="283"/>
        <v>11355</v>
      </c>
      <c r="EU69" s="235">
        <f t="shared" si="284"/>
        <v>12159</v>
      </c>
      <c r="EV69" s="235">
        <f t="shared" si="293"/>
        <v>14684</v>
      </c>
      <c r="EW69" s="235">
        <f>SUM(CY69:DB69)</f>
        <v>14294</v>
      </c>
      <c r="EX69" s="235">
        <v>3000</v>
      </c>
      <c r="EY69" s="235">
        <v>3000</v>
      </c>
      <c r="EZ69" s="235">
        <v>3000</v>
      </c>
      <c r="FA69" s="235">
        <v>3000</v>
      </c>
      <c r="FB69" s="235">
        <v>3000</v>
      </c>
      <c r="FC69" s="235">
        <v>3000</v>
      </c>
      <c r="FD69" s="235">
        <v>3000</v>
      </c>
      <c r="FE69" s="235">
        <v>3000</v>
      </c>
      <c r="FF69" s="235">
        <v>3000</v>
      </c>
      <c r="FG69" s="235">
        <v>3000</v>
      </c>
      <c r="FH69" s="235">
        <v>3000</v>
      </c>
      <c r="FI69" s="235">
        <v>3000</v>
      </c>
      <c r="FJ69" s="235">
        <v>3000</v>
      </c>
    </row>
    <row r="70" spans="1:270"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312">+BS68+BS69</f>
        <v>7014</v>
      </c>
      <c r="BT70" s="243">
        <f t="shared" ref="BT70" si="313">+BT68+BT69</f>
        <v>7486</v>
      </c>
      <c r="BU70" s="243">
        <f t="shared" ref="BU70" si="314">+BU68+BU69</f>
        <v>7491</v>
      </c>
      <c r="BV70" s="243">
        <f t="shared" ref="BV70" si="315">+BV68+BV69</f>
        <v>8457</v>
      </c>
      <c r="BW70" s="243">
        <f>+BW68+BW69</f>
        <v>6746</v>
      </c>
      <c r="BX70" s="243">
        <f t="shared" ref="BX70:BY70" si="316">+BX68+BX69</f>
        <v>7513</v>
      </c>
      <c r="BY70" s="243">
        <f t="shared" si="316"/>
        <v>7235</v>
      </c>
      <c r="BZ70" s="243">
        <f t="shared" ref="BZ70" si="317">+BZ68+BZ69</f>
        <v>8755</v>
      </c>
      <c r="CA70" s="243">
        <f t="shared" ref="CA70:CB70" si="318">+CA68+CA69</f>
        <v>6701</v>
      </c>
      <c r="CB70" s="243">
        <f t="shared" si="318"/>
        <v>7440</v>
      </c>
      <c r="CC70" s="243">
        <f t="shared" ref="CC70:CD70" si="319">+CC68+CC69</f>
        <v>6950</v>
      </c>
      <c r="CD70" s="243">
        <f t="shared" si="319"/>
        <v>7949</v>
      </c>
      <c r="CE70" s="243">
        <f t="shared" ref="CE70:CH70" si="320">+CE68+CE69</f>
        <v>6797</v>
      </c>
      <c r="CF70" s="243">
        <f t="shared" si="320"/>
        <v>7547</v>
      </c>
      <c r="CG70" s="243">
        <f t="shared" si="320"/>
        <v>7970</v>
      </c>
      <c r="CH70" s="243">
        <f t="shared" si="320"/>
        <v>9660</v>
      </c>
      <c r="CI70" s="243">
        <f>+CI68+CI69</f>
        <v>7667</v>
      </c>
      <c r="CJ70" s="243">
        <f>+CJ68+CJ69</f>
        <v>8382</v>
      </c>
      <c r="CK70" s="243">
        <f>+CK69+CK68</f>
        <v>6966</v>
      </c>
      <c r="CL70" s="243">
        <f>+CL69+CL68</f>
        <v>8142</v>
      </c>
      <c r="CM70" s="243">
        <f t="shared" ref="CM70" si="321">+CM69+CM68</f>
        <v>8077</v>
      </c>
      <c r="CN70" s="243">
        <f>+CN69+CN68</f>
        <v>8212</v>
      </c>
      <c r="CO70" s="243">
        <f>+CO69+CO68</f>
        <v>6835</v>
      </c>
      <c r="CP70" s="243">
        <f>+CP69+CP68</f>
        <v>8129</v>
      </c>
      <c r="CQ70" s="243">
        <f t="shared" ref="CQ70" si="322">+CQ69+CQ68</f>
        <v>7783</v>
      </c>
      <c r="CR70" s="243">
        <f t="shared" ref="CR70" si="323">+CR69+CR68</f>
        <v>7700</v>
      </c>
      <c r="CS70" s="243">
        <f t="shared" ref="CS70" si="324">+CS69+CS68</f>
        <v>8271</v>
      </c>
      <c r="CT70" s="243">
        <f t="shared" ref="CT70" si="325">+CT69+CT68</f>
        <v>10489</v>
      </c>
      <c r="CU70" s="243">
        <f t="shared" ref="CU70" si="326">+CU69+CU68</f>
        <v>8610</v>
      </c>
      <c r="CV70" s="243">
        <f t="shared" ref="CV70" si="327">+CV69+CV68</f>
        <v>9431</v>
      </c>
      <c r="CW70" s="243">
        <f t="shared" ref="CW70" si="328">+CW69+CW68</f>
        <v>9422</v>
      </c>
      <c r="CX70" s="243">
        <f t="shared" ref="CX70" si="329">+CX69+CX68</f>
        <v>11874</v>
      </c>
      <c r="CY70" s="243">
        <f>+CY69+CY68</f>
        <v>9400</v>
      </c>
      <c r="CZ70" s="243">
        <f>+CZ69+CZ68</f>
        <v>9774</v>
      </c>
      <c r="DA70" s="243">
        <f t="shared" ref="DA70:DG70" si="330">+DA69+DA68</f>
        <v>9686</v>
      </c>
      <c r="DB70" s="243">
        <f t="shared" si="330"/>
        <v>10141</v>
      </c>
      <c r="DC70" s="243">
        <f t="shared" si="330"/>
        <v>8361</v>
      </c>
      <c r="DD70" s="243">
        <f t="shared" si="330"/>
        <v>10494</v>
      </c>
      <c r="DE70" s="243">
        <f>+DE69+DE68</f>
        <v>8772</v>
      </c>
      <c r="DF70" s="243">
        <f t="shared" si="330"/>
        <v>10227</v>
      </c>
      <c r="DG70" s="243">
        <f t="shared" si="330"/>
        <v>8743</v>
      </c>
      <c r="DH70" s="243">
        <f t="shared" ref="DH70:DN70" si="331">+DH69+DH68</f>
        <v>9121</v>
      </c>
      <c r="DI70" s="243">
        <f t="shared" si="331"/>
        <v>10370</v>
      </c>
      <c r="DJ70" s="243">
        <f t="shared" si="331"/>
        <v>11716</v>
      </c>
      <c r="DK70" s="243">
        <f t="shared" si="331"/>
        <v>8331</v>
      </c>
      <c r="DL70" s="243">
        <f t="shared" si="331"/>
        <v>0</v>
      </c>
      <c r="DM70" s="243">
        <f t="shared" si="331"/>
        <v>0</v>
      </c>
      <c r="DN70" s="243">
        <f t="shared" si="331"/>
        <v>0</v>
      </c>
      <c r="DP70" s="235"/>
      <c r="DQ70" s="235"/>
      <c r="DR70" s="235"/>
      <c r="DS70" s="235"/>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f t="shared" ref="ES70:EV70" si="332">+ES69+ES68</f>
        <v>31157</v>
      </c>
      <c r="ET70" s="235">
        <f t="shared" si="332"/>
        <v>31253</v>
      </c>
      <c r="EU70" s="235">
        <f t="shared" si="332"/>
        <v>34243</v>
      </c>
      <c r="EV70" s="235">
        <f t="shared" si="332"/>
        <v>39337</v>
      </c>
      <c r="EW70" s="235">
        <f>+EW69+EW68</f>
        <v>39001</v>
      </c>
      <c r="EX70" s="235">
        <f t="shared" ref="EX70" si="333">+EX69+EX68</f>
        <v>28352.276300000005</v>
      </c>
      <c r="EY70" s="235">
        <f t="shared" ref="EY70" si="334">+EY69+EY68</f>
        <v>29192.813042500005</v>
      </c>
      <c r="EZ70" s="235">
        <f t="shared" ref="EZ70" si="335">+EZ69+EZ68</f>
        <v>25241.347241067502</v>
      </c>
      <c r="FA70" s="235">
        <f t="shared" ref="FA70" si="336">+FA69+FA68</f>
        <v>23807.152728884761</v>
      </c>
      <c r="FB70" s="235">
        <f t="shared" ref="FB70" si="337">+FB69+FB68</f>
        <v>24095.731367865796</v>
      </c>
      <c r="FC70" s="235">
        <f t="shared" ref="FC70" si="338">+FC69+FC68</f>
        <v>24797.157154049753</v>
      </c>
      <c r="FD70" s="235">
        <f t="shared" ref="FD70" si="339">+FD69+FD68</f>
        <v>24870.288622000069</v>
      </c>
      <c r="FE70" s="235">
        <f t="shared" ref="FE70:FJ70" si="340">+FE69+FE68</f>
        <v>25150.484231404898</v>
      </c>
      <c r="FF70" s="235">
        <f t="shared" si="340"/>
        <v>24058.4294665534</v>
      </c>
      <c r="FG70" s="235">
        <f t="shared" si="340"/>
        <v>24205.894055469886</v>
      </c>
      <c r="FH70" s="235">
        <f t="shared" si="340"/>
        <v>24530.597007219159</v>
      </c>
      <c r="FI70" s="235">
        <f t="shared" si="340"/>
        <v>24914.451243345946</v>
      </c>
      <c r="FJ70" s="235">
        <f t="shared" si="340"/>
        <v>17852.745657566411</v>
      </c>
    </row>
    <row r="71" spans="1:270" s="275" customFormat="1" ht="12.75" customHeight="1" x14ac:dyDescent="0.25">
      <c r="A71"/>
      <c r="B71" t="s">
        <v>340</v>
      </c>
      <c r="C71" s="235">
        <f t="shared" ref="C71:AH71" si="341">C67-C68-C69</f>
        <v>1327</v>
      </c>
      <c r="D71" s="235">
        <f t="shared" si="341"/>
        <v>1287</v>
      </c>
      <c r="E71" s="235">
        <f t="shared" si="341"/>
        <v>1171</v>
      </c>
      <c r="F71" s="235">
        <f t="shared" si="341"/>
        <v>837</v>
      </c>
      <c r="G71" s="235">
        <f t="shared" si="341"/>
        <v>1412</v>
      </c>
      <c r="H71" s="235">
        <f t="shared" si="341"/>
        <v>1334</v>
      </c>
      <c r="I71" s="235">
        <f t="shared" si="341"/>
        <v>1304</v>
      </c>
      <c r="J71" s="235">
        <f t="shared" si="341"/>
        <v>995</v>
      </c>
      <c r="K71" s="235">
        <f t="shared" si="341"/>
        <v>1661</v>
      </c>
      <c r="L71" s="235">
        <f t="shared" si="341"/>
        <v>1645</v>
      </c>
      <c r="M71" s="235">
        <f t="shared" si="341"/>
        <v>1542</v>
      </c>
      <c r="N71" s="235">
        <f t="shared" si="341"/>
        <v>1023</v>
      </c>
      <c r="O71" s="235">
        <f t="shared" si="341"/>
        <v>1832</v>
      </c>
      <c r="P71" s="235">
        <f t="shared" si="341"/>
        <v>1840</v>
      </c>
      <c r="Q71" s="235">
        <f t="shared" si="341"/>
        <v>1658</v>
      </c>
      <c r="R71" s="235">
        <f t="shared" si="341"/>
        <v>1147</v>
      </c>
      <c r="S71" s="235">
        <f t="shared" si="341"/>
        <v>2090</v>
      </c>
      <c r="T71" s="235">
        <f t="shared" si="341"/>
        <v>2176</v>
      </c>
      <c r="U71" s="235">
        <f t="shared" si="341"/>
        <v>2060</v>
      </c>
      <c r="V71" s="235">
        <f t="shared" si="341"/>
        <v>1530</v>
      </c>
      <c r="W71" s="235">
        <f t="shared" si="341"/>
        <v>2612</v>
      </c>
      <c r="X71" s="235">
        <f t="shared" si="341"/>
        <v>2542</v>
      </c>
      <c r="Y71" s="235">
        <f t="shared" si="341"/>
        <v>2510</v>
      </c>
      <c r="Z71" s="235">
        <f t="shared" si="341"/>
        <v>2014</v>
      </c>
      <c r="AA71" s="235">
        <f t="shared" si="341"/>
        <v>2911</v>
      </c>
      <c r="AB71" s="235">
        <f t="shared" si="341"/>
        <v>2888</v>
      </c>
      <c r="AC71" s="235">
        <f t="shared" si="341"/>
        <v>2869</v>
      </c>
      <c r="AD71" s="235">
        <f t="shared" si="341"/>
        <v>2338</v>
      </c>
      <c r="AE71" s="235">
        <f t="shared" si="341"/>
        <v>3882</v>
      </c>
      <c r="AF71" s="243">
        <f t="shared" si="341"/>
        <v>3837</v>
      </c>
      <c r="AG71" s="243">
        <f t="shared" si="341"/>
        <v>3314</v>
      </c>
      <c r="AH71" s="243">
        <f t="shared" si="341"/>
        <v>2664</v>
      </c>
      <c r="AI71" s="243">
        <f t="shared" ref="AI71:BA71" si="342">AI67-AI68-AI69</f>
        <v>3825</v>
      </c>
      <c r="AJ71" s="243">
        <f t="shared" si="342"/>
        <v>3559</v>
      </c>
      <c r="AK71" s="243">
        <f t="shared" si="342"/>
        <v>3256</v>
      </c>
      <c r="AL71" s="243">
        <f t="shared" si="342"/>
        <v>2313</v>
      </c>
      <c r="AM71" s="243">
        <f t="shared" si="342"/>
        <v>3753</v>
      </c>
      <c r="AN71" s="243">
        <f t="shared" si="342"/>
        <v>3561</v>
      </c>
      <c r="AO71" s="243">
        <f t="shared" si="342"/>
        <v>3627</v>
      </c>
      <c r="AP71" s="243">
        <f t="shared" si="342"/>
        <v>2933</v>
      </c>
      <c r="AQ71" s="243">
        <f>AQ67-AQ68-AQ69</f>
        <v>4248</v>
      </c>
      <c r="AR71" s="243">
        <f t="shared" si="342"/>
        <v>3889</v>
      </c>
      <c r="AS71" s="243">
        <f t="shared" si="342"/>
        <v>4000</v>
      </c>
      <c r="AT71" s="243">
        <f t="shared" si="342"/>
        <v>3174</v>
      </c>
      <c r="AU71" s="243">
        <f t="shared" si="342"/>
        <v>4745</v>
      </c>
      <c r="AV71" s="243">
        <f t="shared" si="342"/>
        <v>4296</v>
      </c>
      <c r="AW71" s="243">
        <f t="shared" si="342"/>
        <v>4091</v>
      </c>
      <c r="AX71" s="243">
        <f t="shared" si="342"/>
        <v>3037</v>
      </c>
      <c r="AY71" s="243">
        <f t="shared" si="342"/>
        <v>4649</v>
      </c>
      <c r="AZ71" s="243">
        <f t="shared" si="342"/>
        <v>4354</v>
      </c>
      <c r="BA71" s="243">
        <f t="shared" si="342"/>
        <v>4263</v>
      </c>
      <c r="BB71" s="243">
        <f t="shared" ref="BB71:BH71" si="343">BB67-BB68-BB69</f>
        <v>3510</v>
      </c>
      <c r="BC71" s="243">
        <f t="shared" si="343"/>
        <v>4767</v>
      </c>
      <c r="BD71" s="243">
        <f t="shared" si="343"/>
        <v>4355</v>
      </c>
      <c r="BE71" s="243">
        <f t="shared" si="343"/>
        <v>4022</v>
      </c>
      <c r="BF71" s="243">
        <f t="shared" si="343"/>
        <v>3442</v>
      </c>
      <c r="BG71" s="243">
        <f t="shared" si="343"/>
        <v>5394</v>
      </c>
      <c r="BH71" s="243">
        <f t="shared" si="343"/>
        <v>4328</v>
      </c>
      <c r="BI71" s="243">
        <f>BI67-BI68-BI69</f>
        <v>3920</v>
      </c>
      <c r="BJ71" s="243">
        <f t="shared" ref="BJ71:BN71" si="344">BJ67-BJ68-BJ69</f>
        <v>5870</v>
      </c>
      <c r="BK71" s="243">
        <f>BK67-BK68-BK69</f>
        <v>4564</v>
      </c>
      <c r="BL71" s="243">
        <f t="shared" si="344"/>
        <v>4752</v>
      </c>
      <c r="BM71" s="243">
        <f>BM67-BM68-BM69</f>
        <v>4443</v>
      </c>
      <c r="BN71" s="243">
        <f t="shared" si="344"/>
        <v>3796</v>
      </c>
      <c r="BO71" s="243">
        <f t="shared" ref="BO71:BQ71" si="345">BO67-BO68-BO69</f>
        <v>4987</v>
      </c>
      <c r="BP71" s="243">
        <f t="shared" si="345"/>
        <v>5497</v>
      </c>
      <c r="BQ71" s="243">
        <f t="shared" si="345"/>
        <v>4939</v>
      </c>
      <c r="BR71" s="243">
        <f>BR67-BR68-BR69</f>
        <v>4168</v>
      </c>
      <c r="BS71" s="243">
        <f>BS67-BS68-BS69</f>
        <v>5750</v>
      </c>
      <c r="BT71" s="243">
        <f t="shared" ref="BT71:BV71" si="346">BT67-BT68-BT69</f>
        <v>5970</v>
      </c>
      <c r="BU71" s="243">
        <f t="shared" ref="BU71" si="347">BU67-BU68-BU69</f>
        <v>5577</v>
      </c>
      <c r="BV71" s="243">
        <f t="shared" si="346"/>
        <v>3944</v>
      </c>
      <c r="BW71" s="243">
        <f>BW67-BW68-BW69</f>
        <v>5346</v>
      </c>
      <c r="BX71" s="243">
        <f t="shared" ref="BX71:BY71" si="348">+BX67-BX70</f>
        <v>4917</v>
      </c>
      <c r="BY71" s="243">
        <f t="shared" si="348"/>
        <v>4643</v>
      </c>
      <c r="BZ71" s="243">
        <f t="shared" ref="BZ71" si="349">+BZ67-BZ70</f>
        <v>3383</v>
      </c>
      <c r="CA71" s="243">
        <f t="shared" ref="CA71:CB71" si="350">+CA67-CA70</f>
        <v>5452</v>
      </c>
      <c r="CB71" s="243">
        <f t="shared" si="350"/>
        <v>5706</v>
      </c>
      <c r="CC71" s="243">
        <f t="shared" ref="CC71:CD71" si="351">+CC67-CC70</f>
        <v>5384</v>
      </c>
      <c r="CD71" s="243">
        <f t="shared" si="351"/>
        <v>4623</v>
      </c>
      <c r="CE71" s="243">
        <f t="shared" ref="CE71:CH71" si="352">+CE67-CE70</f>
        <v>5583</v>
      </c>
      <c r="CF71" s="243">
        <f t="shared" si="352"/>
        <v>5469</v>
      </c>
      <c r="CG71" s="243">
        <f t="shared" si="352"/>
        <v>4778</v>
      </c>
      <c r="CH71" s="243">
        <f t="shared" si="352"/>
        <v>4576</v>
      </c>
      <c r="CI71" s="243">
        <f>+CI67-CI70</f>
        <v>5728</v>
      </c>
      <c r="CJ71" s="243">
        <f>+CJ67-CJ70</f>
        <v>5521</v>
      </c>
      <c r="CK71" s="243">
        <f>+CK67-CK70</f>
        <v>6793</v>
      </c>
      <c r="CL71" s="243">
        <f>+CL67-CL70</f>
        <v>5291</v>
      </c>
      <c r="CM71" s="243">
        <f t="shared" ref="CM71" si="353">+CM67-CM70</f>
        <v>5329</v>
      </c>
      <c r="CN71" s="243">
        <f>+CN67-CN70</f>
        <v>5412</v>
      </c>
      <c r="CO71" s="243">
        <f>+CO67-CO70</f>
        <v>7026</v>
      </c>
      <c r="CP71" s="243">
        <f>+CP67-CP70</f>
        <v>5481</v>
      </c>
      <c r="CQ71" s="243">
        <f t="shared" ref="CQ71" si="354">+CQ67-CQ70</f>
        <v>5845</v>
      </c>
      <c r="CR71" s="243">
        <f t="shared" ref="CR71" si="355">+CR67-CR70</f>
        <v>4059</v>
      </c>
      <c r="CS71" s="243">
        <f t="shared" ref="CS71" si="356">+CS67-CS70</f>
        <v>5839</v>
      </c>
      <c r="CT71" s="243">
        <f t="shared" ref="CT71" si="357">+CT67-CT70</f>
        <v>4173</v>
      </c>
      <c r="CU71" s="243">
        <f t="shared" ref="CU71" si="358">+CU67-CU70</f>
        <v>6648</v>
      </c>
      <c r="CV71" s="243">
        <f t="shared" ref="CV71" si="359">+CV67-CV70</f>
        <v>7665</v>
      </c>
      <c r="CW71" s="243">
        <f t="shared" ref="CW71" si="360">+CW67-CW70</f>
        <v>6663</v>
      </c>
      <c r="CX71" s="243">
        <f t="shared" ref="CX71" si="361">+CX67-CX70</f>
        <v>5049</v>
      </c>
      <c r="CY71" s="243">
        <f>+CY67-CY70</f>
        <v>6526</v>
      </c>
      <c r="CZ71" s="243">
        <f>+CZ67-CZ70</f>
        <v>7755</v>
      </c>
      <c r="DA71" s="243">
        <f t="shared" ref="DA71:DG71" si="362">+DA67-DA70</f>
        <v>6454</v>
      </c>
      <c r="DB71" s="243">
        <f t="shared" si="362"/>
        <v>7266</v>
      </c>
      <c r="DC71" s="243">
        <f t="shared" si="362"/>
        <v>5846</v>
      </c>
      <c r="DD71" s="243">
        <f t="shared" si="362"/>
        <v>6918</v>
      </c>
      <c r="DE71" s="243">
        <f>+DE67-DE70</f>
        <v>7373.5</v>
      </c>
      <c r="DF71" s="243">
        <f t="shared" si="362"/>
        <v>5639</v>
      </c>
      <c r="DG71" s="243">
        <f t="shared" si="362"/>
        <v>7235</v>
      </c>
      <c r="DH71" s="243">
        <f t="shared" ref="DH71:DN71" si="363">+DH67-DH70</f>
        <v>6463</v>
      </c>
      <c r="DI71" s="243">
        <f t="shared" si="363"/>
        <v>6488.5999999999985</v>
      </c>
      <c r="DJ71" s="243">
        <f t="shared" si="363"/>
        <v>5030</v>
      </c>
      <c r="DK71" s="243">
        <f t="shared" si="363"/>
        <v>7386</v>
      </c>
      <c r="DL71" s="243">
        <f t="shared" si="363"/>
        <v>16594.852499999997</v>
      </c>
      <c r="DM71" s="243">
        <f t="shared" si="363"/>
        <v>16621.454250000003</v>
      </c>
      <c r="DN71" s="243">
        <f t="shared" si="363"/>
        <v>16437.314999999995</v>
      </c>
      <c r="DP71" s="235">
        <f t="shared" ref="DP71:EQ71" si="364">DP67-DP68-DP69</f>
        <v>1661</v>
      </c>
      <c r="DQ71" s="235">
        <f t="shared" si="364"/>
        <v>1992</v>
      </c>
      <c r="DR71" s="235">
        <f t="shared" si="364"/>
        <v>2164</v>
      </c>
      <c r="DS71" s="235">
        <f t="shared" si="364"/>
        <v>2277</v>
      </c>
      <c r="DT71" s="235">
        <f t="shared" si="364"/>
        <v>2394</v>
      </c>
      <c r="DU71" s="235">
        <f t="shared" si="364"/>
        <v>2807</v>
      </c>
      <c r="DV71" s="235">
        <f t="shared" si="364"/>
        <v>3511</v>
      </c>
      <c r="DW71" s="235">
        <f t="shared" si="364"/>
        <v>4303</v>
      </c>
      <c r="DX71" s="235">
        <f t="shared" si="364"/>
        <v>4622</v>
      </c>
      <c r="DY71" s="235">
        <f t="shared" si="364"/>
        <v>5045</v>
      </c>
      <c r="DZ71" s="235">
        <f t="shared" si="364"/>
        <v>5926</v>
      </c>
      <c r="EA71" s="235">
        <f t="shared" si="364"/>
        <v>6477</v>
      </c>
      <c r="EB71" s="235">
        <f t="shared" si="364"/>
        <v>7885</v>
      </c>
      <c r="EC71" s="235">
        <f t="shared" si="364"/>
        <v>10291.900000000001</v>
      </c>
      <c r="ED71" s="235">
        <f t="shared" si="364"/>
        <v>11374.400000000001</v>
      </c>
      <c r="EE71" s="235">
        <f t="shared" si="364"/>
        <v>13632</v>
      </c>
      <c r="EF71" s="235">
        <f t="shared" si="364"/>
        <v>12355</v>
      </c>
      <c r="EG71" s="235">
        <f t="shared" si="364"/>
        <v>13874</v>
      </c>
      <c r="EH71" s="235">
        <f>EH67-EH68-EH69</f>
        <v>15213</v>
      </c>
      <c r="EI71" s="235">
        <f>EI67-EI68-EI69</f>
        <v>16169</v>
      </c>
      <c r="EJ71" s="235">
        <f>EJ67-EJ68-EJ69</f>
        <v>16776</v>
      </c>
      <c r="EK71" s="235">
        <f>EK67-EK68-EK69</f>
        <v>16395</v>
      </c>
      <c r="EL71" s="235">
        <f t="shared" si="364"/>
        <v>19512</v>
      </c>
      <c r="EM71" s="235">
        <f t="shared" si="364"/>
        <v>17555</v>
      </c>
      <c r="EN71" s="235">
        <f t="shared" si="364"/>
        <v>19332</v>
      </c>
      <c r="EO71" s="235">
        <f t="shared" si="364"/>
        <v>24089.072999999993</v>
      </c>
      <c r="EP71" s="235">
        <f t="shared" si="364"/>
        <v>49489.613259749996</v>
      </c>
      <c r="EQ71" s="235">
        <f t="shared" si="364"/>
        <v>45613.910215721247</v>
      </c>
      <c r="ER71" s="235">
        <f t="shared" ref="ER71:EU71" si="365">ER67-ER68-ER69</f>
        <v>52750.499999999993</v>
      </c>
      <c r="ES71" s="235">
        <f t="shared" si="365"/>
        <v>23333</v>
      </c>
      <c r="ET71" s="235">
        <f t="shared" si="365"/>
        <v>23248</v>
      </c>
      <c r="EU71" s="235">
        <f t="shared" si="365"/>
        <v>19916</v>
      </c>
      <c r="EV71" s="235">
        <f>+EV67-EV70</f>
        <v>26249</v>
      </c>
      <c r="EW71" s="235">
        <f>+EW67-EW70</f>
        <v>27895</v>
      </c>
      <c r="EX71" s="235">
        <f t="shared" ref="EX71:FE71" si="366">+EX67-EX70</f>
        <v>38928.764650000005</v>
      </c>
      <c r="EY71" s="235">
        <f t="shared" si="366"/>
        <v>40318.883108750008</v>
      </c>
      <c r="EZ71" s="235">
        <f t="shared" si="366"/>
        <v>33783.766590996252</v>
      </c>
      <c r="FA71" s="235">
        <f t="shared" si="366"/>
        <v>31411.829513155568</v>
      </c>
      <c r="FB71" s="235">
        <f t="shared" si="366"/>
        <v>31889.094185316506</v>
      </c>
      <c r="FC71" s="235">
        <f t="shared" si="366"/>
        <v>33049.144524005358</v>
      </c>
      <c r="FD71" s="235">
        <f t="shared" si="366"/>
        <v>33170.09272100011</v>
      </c>
      <c r="FE71" s="235">
        <f t="shared" si="366"/>
        <v>33633.493151938863</v>
      </c>
      <c r="FF71" s="235">
        <f t="shared" ref="FF71:FJ71" si="367">+FF67-FF70</f>
        <v>31827.402579299847</v>
      </c>
      <c r="FG71" s="235">
        <f t="shared" si="367"/>
        <v>32071.286322507876</v>
      </c>
      <c r="FH71" s="235">
        <f t="shared" si="367"/>
        <v>32608.29505040091</v>
      </c>
      <c r="FI71" s="235">
        <f t="shared" si="367"/>
        <v>33243.130902456753</v>
      </c>
      <c r="FJ71" s="235">
        <f t="shared" si="367"/>
        <v>21564.156279821378</v>
      </c>
    </row>
    <row r="72" spans="1:270"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c r="DM72" s="243"/>
      <c r="DN72" s="243"/>
      <c r="DP72" s="235">
        <f>-87+141+93</f>
        <v>147</v>
      </c>
      <c r="DQ72" s="235">
        <f>-98+201+162</f>
        <v>265</v>
      </c>
      <c r="DR72" s="235">
        <f>-88+129+85</f>
        <v>126</v>
      </c>
      <c r="DS72" s="235">
        <f>-93+124+39</f>
        <v>70</v>
      </c>
      <c r="DT72" s="235">
        <f>-80+126+16</f>
        <v>62</v>
      </c>
      <c r="DU72" s="235">
        <f>-60+142+44</f>
        <v>126</v>
      </c>
      <c r="DV72" s="235">
        <v>115</v>
      </c>
      <c r="DW72" s="235">
        <v>139</v>
      </c>
      <c r="DX72" s="235">
        <v>203</v>
      </c>
      <c r="DY72" s="235">
        <v>262</v>
      </c>
      <c r="DZ72" s="235">
        <v>246</v>
      </c>
      <c r="EA72" s="235">
        <v>379</v>
      </c>
      <c r="EB72" s="235">
        <v>456</v>
      </c>
      <c r="EC72" s="235">
        <v>256</v>
      </c>
      <c r="ED72" s="235">
        <v>177</v>
      </c>
      <c r="EE72" s="235">
        <v>195</v>
      </c>
      <c r="EF72" s="235">
        <v>487</v>
      </c>
      <c r="EG72" s="235">
        <v>766</v>
      </c>
      <c r="EH72" s="235">
        <f>SUM(AQ72:AT72)</f>
        <v>275</v>
      </c>
      <c r="EI72" s="235">
        <f>SUM(AU72:AX72)</f>
        <v>326</v>
      </c>
      <c r="EJ72" s="235">
        <f>EI150*0.05</f>
        <v>2.5</v>
      </c>
      <c r="EK72" s="235">
        <f>SUM(BC72:BF72)</f>
        <v>-348</v>
      </c>
      <c r="EL72" s="235">
        <f>SUM(BG72:BJ72)</f>
        <v>136</v>
      </c>
      <c r="EM72" s="235"/>
      <c r="EN72" s="235"/>
      <c r="EO72" s="235">
        <f>EN150*$FN$78</f>
        <v>0</v>
      </c>
      <c r="EP72" s="235">
        <f>EO150*$FN$78</f>
        <v>0</v>
      </c>
      <c r="EQ72" s="235">
        <f>EP150*$FN$78</f>
        <v>0</v>
      </c>
      <c r="ER72" s="235">
        <f t="shared" ref="ER72" si="368">EQ150*$FN$78</f>
        <v>0</v>
      </c>
      <c r="ES72" s="235">
        <f t="shared" ref="ES72" si="369">SUM(CI72:CL72)</f>
        <v>-331</v>
      </c>
      <c r="ET72" s="235">
        <f t="shared" si="283"/>
        <v>-169</v>
      </c>
      <c r="EU72" s="235">
        <f t="shared" ref="EU72" si="370">SUM(CQ72:CT72)</f>
        <v>-198</v>
      </c>
      <c r="EV72" s="235">
        <f t="shared" ref="EV72" si="371">SUM(CU72:CX72)</f>
        <v>1011</v>
      </c>
      <c r="EW72" s="235">
        <f>SUM(CY72:DB72)</f>
        <v>1063</v>
      </c>
      <c r="EX72" s="235">
        <f t="shared" ref="EX72" si="372">EW150*$FN$78</f>
        <v>0</v>
      </c>
      <c r="EY72" s="235">
        <f t="shared" ref="EY72" si="373">EX150*$FN$78</f>
        <v>0</v>
      </c>
      <c r="EZ72" s="235">
        <f t="shared" ref="EZ72:FF72" si="374">EY149*$FN$78</f>
        <v>238.34162331562504</v>
      </c>
      <c r="FA72" s="235">
        <f t="shared" si="374"/>
        <v>493.50743492296408</v>
      </c>
      <c r="FB72" s="235">
        <f t="shared" si="374"/>
        <v>732.79746203355319</v>
      </c>
      <c r="FC72" s="235">
        <f t="shared" si="374"/>
        <v>977.46164938867867</v>
      </c>
      <c r="FD72" s="235">
        <f t="shared" si="374"/>
        <v>1232.6611956891338</v>
      </c>
      <c r="FE72" s="235">
        <f t="shared" si="374"/>
        <v>1490.6818500643033</v>
      </c>
      <c r="FF72" s="235">
        <f t="shared" si="374"/>
        <v>1754.1131625793269</v>
      </c>
      <c r="FG72" s="235">
        <f>FF149*$FN$78</f>
        <v>2005.9745306434206</v>
      </c>
      <c r="FH72" s="235">
        <f t="shared" ref="FH72:FJ72" si="375">FG149*$FN$78</f>
        <v>2261.5539870420553</v>
      </c>
      <c r="FI72" s="235">
        <f t="shared" si="375"/>
        <v>2523.0778548228777</v>
      </c>
      <c r="FJ72" s="235">
        <f t="shared" si="375"/>
        <v>2791.3244205024744</v>
      </c>
    </row>
    <row r="73" spans="1:270"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P73" s="235"/>
      <c r="DQ73" s="235"/>
      <c r="DR73" s="235"/>
      <c r="DS73" s="235"/>
      <c r="DT73" s="235"/>
      <c r="DU73" s="235"/>
      <c r="DV73" s="235">
        <f>143+166</f>
        <v>309</v>
      </c>
      <c r="DW73" s="235">
        <f>125+284</f>
        <v>409</v>
      </c>
      <c r="DX73" s="235">
        <f>120+129</f>
        <v>249</v>
      </c>
      <c r="DY73" s="235">
        <f>110+151</f>
        <v>261</v>
      </c>
      <c r="DZ73" s="235">
        <f>197+222</f>
        <v>419</v>
      </c>
      <c r="EA73" s="235">
        <f>146+67</f>
        <v>213</v>
      </c>
      <c r="EB73" s="235">
        <f>153+185</f>
        <v>338</v>
      </c>
      <c r="EC73" s="235">
        <f>160+294</f>
        <v>454</v>
      </c>
      <c r="ED73" s="235">
        <f>207-385</f>
        <v>-178</v>
      </c>
      <c r="EE73" s="235">
        <f>187+15</f>
        <v>202</v>
      </c>
      <c r="EF73" s="235">
        <f>54-214</f>
        <v>-160</v>
      </c>
      <c r="EG73" s="235">
        <v>-671</v>
      </c>
      <c r="EH73" s="235">
        <f>SUM(AQ73:AT73)</f>
        <v>-228</v>
      </c>
      <c r="EI73" s="235">
        <f>SUM(AU73:AX73)</f>
        <v>-236</v>
      </c>
      <c r="EJ73" s="235"/>
      <c r="EK73" s="235">
        <f>SUM(BC73:BF73)</f>
        <v>-494</v>
      </c>
      <c r="EL73" s="235"/>
      <c r="EM73" s="235">
        <f>SUM(BK73:BN73)</f>
        <v>408</v>
      </c>
      <c r="EN73" s="235">
        <f>SUM(BO73:BR73)</f>
        <v>895</v>
      </c>
      <c r="EO73" s="235"/>
      <c r="EP73" s="235"/>
      <c r="EQ73" s="235"/>
      <c r="ER73" s="235"/>
      <c r="ES73" s="235"/>
      <c r="ET73" s="235"/>
      <c r="EU73" s="235"/>
      <c r="EV73" s="235"/>
    </row>
    <row r="74" spans="1:270" s="275" customFormat="1" ht="12.75" customHeight="1" x14ac:dyDescent="0.25">
      <c r="A74"/>
      <c r="B74" t="s">
        <v>725</v>
      </c>
      <c r="C74" s="235">
        <f t="shared" ref="C74:AY74" si="376">C71+C72-C73</f>
        <v>1302</v>
      </c>
      <c r="D74" s="235">
        <f t="shared" si="376"/>
        <v>1294</v>
      </c>
      <c r="E74" s="235">
        <f t="shared" si="376"/>
        <v>1197</v>
      </c>
      <c r="F74" s="235">
        <f t="shared" si="376"/>
        <v>783</v>
      </c>
      <c r="G74" s="235">
        <f t="shared" si="376"/>
        <v>1434</v>
      </c>
      <c r="H74" s="235">
        <f t="shared" si="376"/>
        <v>1371</v>
      </c>
      <c r="I74" s="235">
        <f t="shared" si="376"/>
        <v>1317</v>
      </c>
      <c r="J74" s="235">
        <f t="shared" si="376"/>
        <v>924</v>
      </c>
      <c r="K74" s="235">
        <f t="shared" si="376"/>
        <v>1605</v>
      </c>
      <c r="L74" s="235">
        <f t="shared" si="376"/>
        <v>1614</v>
      </c>
      <c r="M74" s="235">
        <f t="shared" si="376"/>
        <v>1511</v>
      </c>
      <c r="N74" s="235">
        <f t="shared" si="376"/>
        <v>971</v>
      </c>
      <c r="O74" s="235">
        <f t="shared" si="376"/>
        <v>1892</v>
      </c>
      <c r="P74" s="235">
        <f t="shared" si="376"/>
        <v>1866</v>
      </c>
      <c r="Q74" s="235">
        <f t="shared" si="376"/>
        <v>1746</v>
      </c>
      <c r="R74" s="235">
        <f t="shared" si="376"/>
        <v>1172</v>
      </c>
      <c r="S74" s="235">
        <f>S71+S72-S73</f>
        <v>2140</v>
      </c>
      <c r="T74" s="235">
        <f t="shared" si="376"/>
        <v>2129</v>
      </c>
      <c r="U74" s="235">
        <f t="shared" si="376"/>
        <v>2108</v>
      </c>
      <c r="V74" s="235">
        <f t="shared" si="376"/>
        <v>1549</v>
      </c>
      <c r="W74" s="235">
        <f t="shared" si="376"/>
        <v>2621</v>
      </c>
      <c r="X74" s="235">
        <f t="shared" si="376"/>
        <v>2732</v>
      </c>
      <c r="Y74" s="235">
        <f t="shared" si="376"/>
        <v>2393</v>
      </c>
      <c r="Z74" s="235">
        <f t="shared" si="376"/>
        <v>1849</v>
      </c>
      <c r="AA74" s="235">
        <f t="shared" si="376"/>
        <v>2948</v>
      </c>
      <c r="AB74" s="235">
        <f t="shared" si="376"/>
        <v>2956</v>
      </c>
      <c r="AC74" s="235">
        <f t="shared" si="376"/>
        <v>2948</v>
      </c>
      <c r="AD74" s="235">
        <f t="shared" si="376"/>
        <v>2509</v>
      </c>
      <c r="AE74" s="235">
        <f t="shared" si="376"/>
        <v>3929</v>
      </c>
      <c r="AF74" s="243">
        <f t="shared" si="376"/>
        <v>3843</v>
      </c>
      <c r="AG74" s="243">
        <f t="shared" si="376"/>
        <v>3292</v>
      </c>
      <c r="AH74" s="243">
        <f t="shared" si="376"/>
        <v>2625</v>
      </c>
      <c r="AI74" s="243">
        <f t="shared" si="376"/>
        <v>3927</v>
      </c>
      <c r="AJ74" s="243">
        <f t="shared" si="376"/>
        <v>3741</v>
      </c>
      <c r="AK74" s="243">
        <f t="shared" si="376"/>
        <v>3420</v>
      </c>
      <c r="AL74" s="243">
        <f t="shared" si="376"/>
        <v>2512</v>
      </c>
      <c r="AM74" s="243">
        <f t="shared" si="376"/>
        <v>4652</v>
      </c>
      <c r="AN74" s="243">
        <f t="shared" si="376"/>
        <v>3855</v>
      </c>
      <c r="AO74" s="243">
        <f t="shared" si="376"/>
        <v>3776</v>
      </c>
      <c r="AP74" s="243">
        <f t="shared" si="376"/>
        <v>3028</v>
      </c>
      <c r="AQ74" s="243">
        <f>AQ71+AQ72-AQ73</f>
        <v>4509</v>
      </c>
      <c r="AR74" s="243">
        <f t="shared" si="376"/>
        <v>4042</v>
      </c>
      <c r="AS74" s="243">
        <f t="shared" si="376"/>
        <v>4054</v>
      </c>
      <c r="AT74" s="243">
        <f t="shared" si="376"/>
        <v>3209</v>
      </c>
      <c r="AU74" s="243">
        <f t="shared" si="376"/>
        <v>4747</v>
      </c>
      <c r="AV74" s="243">
        <f t="shared" si="376"/>
        <v>4415</v>
      </c>
      <c r="AW74" s="243">
        <f t="shared" si="376"/>
        <v>4290</v>
      </c>
      <c r="AX74" s="243">
        <f t="shared" si="376"/>
        <v>3279</v>
      </c>
      <c r="AY74" s="243">
        <f t="shared" si="376"/>
        <v>4643</v>
      </c>
      <c r="AZ74" s="243">
        <f t="shared" ref="AZ74:BG74" si="377">AZ71+AZ72-AZ73</f>
        <v>4263</v>
      </c>
      <c r="BA74" s="243">
        <f t="shared" si="377"/>
        <v>4245</v>
      </c>
      <c r="BB74" s="243">
        <f t="shared" si="377"/>
        <v>3790</v>
      </c>
      <c r="BC74" s="243">
        <f t="shared" si="377"/>
        <v>4783</v>
      </c>
      <c r="BD74" s="243">
        <f t="shared" si="377"/>
        <v>4279</v>
      </c>
      <c r="BE74" s="243">
        <f t="shared" si="377"/>
        <v>4219</v>
      </c>
      <c r="BF74" s="243">
        <f t="shared" si="377"/>
        <v>3451</v>
      </c>
      <c r="BG74" s="243">
        <f t="shared" si="377"/>
        <v>5303</v>
      </c>
      <c r="BH74" s="243">
        <f>BH71+BH72-BH73</f>
        <v>4011</v>
      </c>
      <c r="BI74" s="243">
        <f>BI71+BI72-BI73</f>
        <v>4111</v>
      </c>
      <c r="BJ74" s="243">
        <f t="shared" ref="BJ74" si="378">BJ71+BJ72-BJ73</f>
        <v>6223</v>
      </c>
      <c r="BK74" s="243">
        <f t="shared" ref="BK74" si="379">BK71+BK72-BK73</f>
        <v>5045</v>
      </c>
      <c r="BL74" s="243">
        <f t="shared" ref="BL74" si="380">BL71+BL72-BL73</f>
        <v>4623</v>
      </c>
      <c r="BM74" s="243">
        <f t="shared" ref="BM74" si="381">BM71+BM72-BM73</f>
        <v>4413</v>
      </c>
      <c r="BN74" s="243">
        <f t="shared" ref="BN74:BY74" si="382">BN71+BN72-BN73</f>
        <v>3388</v>
      </c>
      <c r="BO74" s="243">
        <f t="shared" si="382"/>
        <v>4368</v>
      </c>
      <c r="BP74" s="243">
        <f t="shared" si="382"/>
        <v>5428</v>
      </c>
      <c r="BQ74" s="243">
        <f t="shared" si="382"/>
        <v>4895</v>
      </c>
      <c r="BR74" s="243">
        <f t="shared" si="382"/>
        <v>4005</v>
      </c>
      <c r="BS74" s="243">
        <f t="shared" si="382"/>
        <v>5718</v>
      </c>
      <c r="BT74" s="243">
        <f t="shared" si="382"/>
        <v>5890</v>
      </c>
      <c r="BU74" s="243">
        <f t="shared" si="382"/>
        <v>5465</v>
      </c>
      <c r="BV74" s="243">
        <f t="shared" si="382"/>
        <v>3822</v>
      </c>
      <c r="BW74" s="243">
        <f>BW71+BW72-BW73</f>
        <v>5227</v>
      </c>
      <c r="BX74" s="243">
        <f t="shared" si="382"/>
        <v>4810</v>
      </c>
      <c r="BY74" s="243">
        <f t="shared" si="382"/>
        <v>4552</v>
      </c>
      <c r="BZ74" s="243">
        <f>BZ71+BZ72-BZ73</f>
        <v>3276</v>
      </c>
      <c r="CA74" s="243">
        <f t="shared" ref="CA74:CH74" si="383">CA71+CA72+CA73</f>
        <v>5414</v>
      </c>
      <c r="CB74" s="243">
        <f t="shared" si="383"/>
        <v>5604</v>
      </c>
      <c r="CC74" s="243">
        <f t="shared" si="383"/>
        <v>5343</v>
      </c>
      <c r="CD74" s="243">
        <f t="shared" si="383"/>
        <v>4519</v>
      </c>
      <c r="CE74" s="243">
        <f t="shared" si="383"/>
        <v>5660</v>
      </c>
      <c r="CF74" s="243">
        <f t="shared" si="383"/>
        <v>5347</v>
      </c>
      <c r="CG74" s="243">
        <f t="shared" si="383"/>
        <v>4859</v>
      </c>
      <c r="CH74" s="243">
        <f t="shared" si="383"/>
        <v>4774</v>
      </c>
      <c r="CI74" s="243">
        <f>+CI71+CI72+CI73</f>
        <v>5523</v>
      </c>
      <c r="CJ74" s="243">
        <f t="shared" ref="CJ74:CP74" si="384">+CJ71+CJ72</f>
        <v>5394</v>
      </c>
      <c r="CK74" s="243">
        <f t="shared" si="384"/>
        <v>6538</v>
      </c>
      <c r="CL74" s="243">
        <f t="shared" si="384"/>
        <v>5547</v>
      </c>
      <c r="CM74" s="243">
        <f t="shared" si="384"/>
        <v>5348</v>
      </c>
      <c r="CN74" s="243">
        <f t="shared" si="384"/>
        <v>5417</v>
      </c>
      <c r="CO74" s="243">
        <f t="shared" si="384"/>
        <v>6853</v>
      </c>
      <c r="CP74" s="243">
        <f t="shared" si="384"/>
        <v>5461</v>
      </c>
      <c r="CQ74" s="243">
        <f t="shared" ref="CQ74" si="385">+CQ71+CQ72+CQ73</f>
        <v>5803</v>
      </c>
      <c r="CR74" s="243">
        <f t="shared" ref="CR74" si="386">+CR71+CR72+CR73</f>
        <v>4009</v>
      </c>
      <c r="CS74" s="243">
        <f t="shared" ref="CS74:CY74" si="387">+CS71+CS72+CS73</f>
        <v>5807</v>
      </c>
      <c r="CT74" s="243">
        <f t="shared" si="387"/>
        <v>4099</v>
      </c>
      <c r="CU74" s="243">
        <f t="shared" si="387"/>
        <v>7482</v>
      </c>
      <c r="CV74" s="243">
        <f t="shared" si="387"/>
        <v>7905</v>
      </c>
      <c r="CW74" s="243">
        <f t="shared" si="387"/>
        <v>6656</v>
      </c>
      <c r="CX74" s="243">
        <f t="shared" si="387"/>
        <v>4993</v>
      </c>
      <c r="CY74" s="243">
        <f t="shared" si="387"/>
        <v>6640</v>
      </c>
      <c r="CZ74" s="243">
        <f t="shared" ref="CZ74:DN74" si="388">+CZ71+CZ72+CZ73</f>
        <v>8280</v>
      </c>
      <c r="DA74" s="243">
        <f t="shared" si="388"/>
        <v>6553</v>
      </c>
      <c r="DB74" s="243">
        <f t="shared" si="388"/>
        <v>7591</v>
      </c>
      <c r="DC74" s="243">
        <f t="shared" si="388"/>
        <v>5832</v>
      </c>
      <c r="DD74" s="243">
        <f t="shared" si="388"/>
        <v>7001</v>
      </c>
      <c r="DE74" s="243">
        <f t="shared" si="388"/>
        <v>8032.5</v>
      </c>
      <c r="DF74" s="243">
        <f t="shared" si="388"/>
        <v>6447</v>
      </c>
      <c r="DG74" s="243">
        <f t="shared" si="388"/>
        <v>7876</v>
      </c>
      <c r="DH74" s="243">
        <f t="shared" si="388"/>
        <v>5935</v>
      </c>
      <c r="DI74" s="243">
        <f>+DI71+DI72+DI73</f>
        <v>7276.5999999999985</v>
      </c>
      <c r="DJ74" s="243">
        <f t="shared" si="388"/>
        <v>5278</v>
      </c>
      <c r="DK74" s="243">
        <f t="shared" si="388"/>
        <v>8012</v>
      </c>
      <c r="DL74" s="243">
        <f t="shared" si="388"/>
        <v>16594.852499999997</v>
      </c>
      <c r="DM74" s="243">
        <f t="shared" si="388"/>
        <v>16621.454250000003</v>
      </c>
      <c r="DN74" s="243">
        <f t="shared" si="388"/>
        <v>16437.314999999995</v>
      </c>
      <c r="DP74" s="235">
        <f t="shared" ref="DP74:DU74" si="389">DP71-DP72</f>
        <v>1514</v>
      </c>
      <c r="DQ74" s="235">
        <f t="shared" si="389"/>
        <v>1727</v>
      </c>
      <c r="DR74" s="235">
        <f t="shared" si="389"/>
        <v>2038</v>
      </c>
      <c r="DS74" s="235">
        <f t="shared" si="389"/>
        <v>2207</v>
      </c>
      <c r="DT74" s="235">
        <f t="shared" si="389"/>
        <v>2332</v>
      </c>
      <c r="DU74" s="235">
        <f t="shared" si="389"/>
        <v>2681</v>
      </c>
      <c r="DV74" s="235">
        <f t="shared" ref="DV74:EQ74" si="390">DV71+DV72-DV73</f>
        <v>3317</v>
      </c>
      <c r="DW74" s="235">
        <f t="shared" si="390"/>
        <v>4033</v>
      </c>
      <c r="DX74" s="235">
        <f t="shared" si="390"/>
        <v>4576</v>
      </c>
      <c r="DY74" s="235">
        <f t="shared" si="390"/>
        <v>5046</v>
      </c>
      <c r="DZ74" s="235">
        <f t="shared" si="390"/>
        <v>5753</v>
      </c>
      <c r="EA74" s="235">
        <f t="shared" si="390"/>
        <v>6643</v>
      </c>
      <c r="EB74" s="235">
        <f t="shared" si="390"/>
        <v>8003</v>
      </c>
      <c r="EC74" s="235">
        <f t="shared" si="390"/>
        <v>10093.900000000001</v>
      </c>
      <c r="ED74" s="235">
        <f t="shared" si="390"/>
        <v>11729.400000000001</v>
      </c>
      <c r="EE74" s="235">
        <f t="shared" si="390"/>
        <v>13625</v>
      </c>
      <c r="EF74" s="235">
        <f t="shared" si="390"/>
        <v>13002</v>
      </c>
      <c r="EG74" s="235">
        <f t="shared" si="390"/>
        <v>15311</v>
      </c>
      <c r="EH74" s="235">
        <f>EH71+EH72-EH73</f>
        <v>15716</v>
      </c>
      <c r="EI74" s="235">
        <f>EI71+EI72-EI73</f>
        <v>16731</v>
      </c>
      <c r="EJ74" s="235">
        <f>EJ71+EJ72-EJ73</f>
        <v>16778.5</v>
      </c>
      <c r="EK74" s="235">
        <f>EK71+EK72-EK73</f>
        <v>16541</v>
      </c>
      <c r="EL74" s="235">
        <f>EL71+EL72-EL73</f>
        <v>19648</v>
      </c>
      <c r="EM74" s="235">
        <f t="shared" si="390"/>
        <v>17147</v>
      </c>
      <c r="EN74" s="235">
        <f t="shared" si="390"/>
        <v>18437</v>
      </c>
      <c r="EO74" s="235">
        <f t="shared" si="390"/>
        <v>24089.072999999993</v>
      </c>
      <c r="EP74" s="235">
        <f t="shared" si="390"/>
        <v>49489.613259749996</v>
      </c>
      <c r="EQ74" s="235">
        <f t="shared" si="390"/>
        <v>45613.910215721247</v>
      </c>
      <c r="ER74" s="235">
        <f t="shared" ref="ER74:FE74" si="391">ER71+ER72-ER73</f>
        <v>52750.499999999993</v>
      </c>
      <c r="ES74" s="235">
        <f t="shared" si="391"/>
        <v>23002</v>
      </c>
      <c r="ET74" s="235">
        <f t="shared" si="391"/>
        <v>23079</v>
      </c>
      <c r="EU74" s="235">
        <f t="shared" si="391"/>
        <v>19718</v>
      </c>
      <c r="EV74" s="235">
        <f t="shared" si="391"/>
        <v>27260</v>
      </c>
      <c r="EW74" s="235">
        <f>EW71+EW72-EW73</f>
        <v>28958</v>
      </c>
      <c r="EX74" s="235">
        <f t="shared" si="391"/>
        <v>38928.764650000005</v>
      </c>
      <c r="EY74" s="235">
        <f t="shared" si="391"/>
        <v>40318.883108750008</v>
      </c>
      <c r="EZ74" s="235">
        <f t="shared" si="391"/>
        <v>34022.108214311877</v>
      </c>
      <c r="FA74" s="235">
        <f t="shared" si="391"/>
        <v>31905.336948078533</v>
      </c>
      <c r="FB74" s="235">
        <f t="shared" si="391"/>
        <v>32621.891647350058</v>
      </c>
      <c r="FC74" s="235">
        <f t="shared" si="391"/>
        <v>34026.606173394037</v>
      </c>
      <c r="FD74" s="235">
        <f t="shared" si="391"/>
        <v>34402.753916689246</v>
      </c>
      <c r="FE74" s="235">
        <f t="shared" si="391"/>
        <v>35124.175002003169</v>
      </c>
      <c r="FF74" s="235">
        <f t="shared" ref="FF74:FJ74" si="392">FF71+FF72-FF73</f>
        <v>33581.515741879171</v>
      </c>
      <c r="FG74" s="235">
        <f t="shared" si="392"/>
        <v>34077.260853151296</v>
      </c>
      <c r="FH74" s="235">
        <f t="shared" si="392"/>
        <v>34869.849037442968</v>
      </c>
      <c r="FI74" s="235">
        <f t="shared" si="392"/>
        <v>35766.20875727963</v>
      </c>
      <c r="FJ74" s="235">
        <f t="shared" si="392"/>
        <v>24355.480700323853</v>
      </c>
    </row>
    <row r="75" spans="1:270"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c r="DM75" s="243"/>
      <c r="DN75" s="243"/>
      <c r="DP75" s="235">
        <v>432</v>
      </c>
      <c r="DQ75" s="235">
        <v>480</v>
      </c>
      <c r="DR75" s="235">
        <v>577</v>
      </c>
      <c r="DS75" s="235">
        <v>582</v>
      </c>
      <c r="DT75" s="235">
        <v>545</v>
      </c>
      <c r="DU75" s="235">
        <v>675</v>
      </c>
      <c r="DV75" s="235">
        <v>914</v>
      </c>
      <c r="DW75" s="235">
        <v>1146</v>
      </c>
      <c r="DX75" s="235">
        <v>1273</v>
      </c>
      <c r="DY75" s="235">
        <v>1210</v>
      </c>
      <c r="DZ75" s="235">
        <v>1586</v>
      </c>
      <c r="EA75" s="235">
        <v>1822</v>
      </c>
      <c r="EB75" s="235">
        <v>2230</v>
      </c>
      <c r="EC75" s="235">
        <f>+EC74*0.25</f>
        <v>2523.4750000000004</v>
      </c>
      <c r="ED75" s="235">
        <v>3111</v>
      </c>
      <c r="EE75" s="235">
        <v>4329</v>
      </c>
      <c r="EF75" s="235">
        <v>3245</v>
      </c>
      <c r="EG75" s="235">
        <f>EG74-11133</f>
        <v>4178</v>
      </c>
      <c r="EH75" s="235">
        <f>SUM(AQ75:AT75)</f>
        <v>3464.5590000000002</v>
      </c>
      <c r="EI75" s="235">
        <f>SUM(AU75:AX75)</f>
        <v>3830</v>
      </c>
      <c r="EJ75" s="235"/>
      <c r="EK75" s="235">
        <f>SUM(BC75:BF75)</f>
        <v>3394</v>
      </c>
      <c r="EL75" s="235">
        <f>SUM(BG75:BJ75)</f>
        <v>3117</v>
      </c>
      <c r="EM75" s="235">
        <f>SUM(BK75:BN75)</f>
        <v>3636</v>
      </c>
      <c r="EN75" s="235">
        <f>SUM(BO75:BR75)</f>
        <v>3115.4450000000002</v>
      </c>
      <c r="EO75" s="235">
        <f>EO74*EO104</f>
        <v>4544.2133413131096</v>
      </c>
      <c r="EP75" s="235"/>
      <c r="EQ75" s="235"/>
      <c r="ER75" s="235"/>
      <c r="ES75" s="235">
        <f t="shared" ref="ES75" si="393">SUM(CI75:CL75)</f>
        <v>3087</v>
      </c>
      <c r="ET75" s="235">
        <f t="shared" ref="ET75" si="394">SUM(CM75:CP75)</f>
        <v>3712</v>
      </c>
      <c r="EU75" s="235">
        <f t="shared" ref="EU75" si="395">SUM(CQ75:CT75)</f>
        <v>1874</v>
      </c>
      <c r="EV75" s="235">
        <f t="shared" ref="EV75" si="396">SUM(CU75:CX75)</f>
        <v>2665</v>
      </c>
      <c r="EW75" s="235">
        <f>SUM(CY75:DB75)</f>
        <v>4536</v>
      </c>
      <c r="EX75" s="235">
        <f t="shared" ref="EX75:FE75" si="397">+EX74*0.25</f>
        <v>9732.1911625000012</v>
      </c>
      <c r="EY75" s="235">
        <f t="shared" si="397"/>
        <v>10079.720777187502</v>
      </c>
      <c r="EZ75" s="235">
        <f t="shared" si="397"/>
        <v>8505.5270535779691</v>
      </c>
      <c r="FA75" s="235">
        <f t="shared" si="397"/>
        <v>7976.3342370196333</v>
      </c>
      <c r="FB75" s="235">
        <f t="shared" si="397"/>
        <v>8155.4729118375144</v>
      </c>
      <c r="FC75" s="235">
        <f t="shared" si="397"/>
        <v>8506.6515433485092</v>
      </c>
      <c r="FD75" s="235">
        <f t="shared" si="397"/>
        <v>8600.6884791723114</v>
      </c>
      <c r="FE75" s="235">
        <f t="shared" si="397"/>
        <v>8781.0437505007922</v>
      </c>
      <c r="FF75" s="235">
        <f t="shared" ref="FF75:FJ75" si="398">+FF74*0.25</f>
        <v>8395.3789354697929</v>
      </c>
      <c r="FG75" s="235">
        <f t="shared" si="398"/>
        <v>8519.315213287824</v>
      </c>
      <c r="FH75" s="235">
        <f t="shared" si="398"/>
        <v>8717.4622593607419</v>
      </c>
      <c r="FI75" s="235">
        <f t="shared" si="398"/>
        <v>8941.5521893199075</v>
      </c>
      <c r="FJ75" s="235">
        <f t="shared" si="398"/>
        <v>6088.8701750809632</v>
      </c>
    </row>
    <row r="76" spans="1:270" s="275" customFormat="1" ht="12.75" customHeight="1" x14ac:dyDescent="0.25">
      <c r="A76"/>
      <c r="B76" t="s">
        <v>343</v>
      </c>
      <c r="C76" s="235">
        <f t="shared" ref="C76:AS76" si="399">C74-C75</f>
        <v>909</v>
      </c>
      <c r="D76" s="235">
        <f t="shared" si="399"/>
        <v>909</v>
      </c>
      <c r="E76" s="235">
        <f t="shared" si="399"/>
        <v>855</v>
      </c>
      <c r="F76" s="235">
        <f t="shared" si="399"/>
        <v>630</v>
      </c>
      <c r="G76" s="235">
        <f t="shared" si="399"/>
        <v>1010</v>
      </c>
      <c r="H76" s="235">
        <f t="shared" si="399"/>
        <v>1005</v>
      </c>
      <c r="I76" s="235">
        <f t="shared" si="399"/>
        <v>961</v>
      </c>
      <c r="J76" s="235">
        <f t="shared" si="399"/>
        <v>693</v>
      </c>
      <c r="K76" s="235">
        <f t="shared" si="399"/>
        <v>1128</v>
      </c>
      <c r="L76" s="235">
        <f t="shared" si="399"/>
        <v>1155</v>
      </c>
      <c r="M76" s="235">
        <f t="shared" si="399"/>
        <v>1099</v>
      </c>
      <c r="N76" s="235">
        <f t="shared" si="399"/>
        <v>754</v>
      </c>
      <c r="O76" s="235">
        <f t="shared" si="399"/>
        <v>1314</v>
      </c>
      <c r="P76" s="235">
        <f t="shared" si="399"/>
        <v>1331</v>
      </c>
      <c r="Q76" s="235">
        <f t="shared" si="399"/>
        <v>1264</v>
      </c>
      <c r="R76" s="235">
        <f t="shared" si="399"/>
        <v>945</v>
      </c>
      <c r="S76" s="235">
        <f t="shared" si="399"/>
        <v>1500</v>
      </c>
      <c r="T76" s="235">
        <f t="shared" si="399"/>
        <v>1482</v>
      </c>
      <c r="U76" s="235">
        <f t="shared" si="399"/>
        <v>1529</v>
      </c>
      <c r="V76" s="235">
        <f t="shared" si="399"/>
        <v>1210</v>
      </c>
      <c r="W76" s="235">
        <f t="shared" si="399"/>
        <v>1834</v>
      </c>
      <c r="X76" s="235">
        <f t="shared" si="399"/>
        <v>1958</v>
      </c>
      <c r="Y76" s="235">
        <f t="shared" si="399"/>
        <v>1725</v>
      </c>
      <c r="Z76" s="235">
        <f t="shared" si="399"/>
        <v>1384</v>
      </c>
      <c r="AA76" s="235">
        <f t="shared" si="399"/>
        <v>2089</v>
      </c>
      <c r="AB76" s="235">
        <f t="shared" si="399"/>
        <v>2110</v>
      </c>
      <c r="AC76" s="235">
        <f t="shared" si="399"/>
        <v>2071</v>
      </c>
      <c r="AD76" s="235">
        <f t="shared" si="399"/>
        <v>1980</v>
      </c>
      <c r="AE76" s="235">
        <f t="shared" si="399"/>
        <v>2918</v>
      </c>
      <c r="AF76" s="243">
        <f t="shared" si="399"/>
        <v>2866</v>
      </c>
      <c r="AG76" s="243">
        <f t="shared" si="399"/>
        <v>2359</v>
      </c>
      <c r="AH76" s="243">
        <f t="shared" si="399"/>
        <v>2006</v>
      </c>
      <c r="AI76" s="243">
        <f t="shared" si="399"/>
        <v>2839</v>
      </c>
      <c r="AJ76" s="243">
        <f t="shared" si="399"/>
        <v>3015</v>
      </c>
      <c r="AK76" s="243">
        <f t="shared" si="399"/>
        <v>2538</v>
      </c>
      <c r="AL76" s="243">
        <f t="shared" si="399"/>
        <v>2101</v>
      </c>
      <c r="AM76" s="243">
        <f t="shared" si="399"/>
        <v>3342</v>
      </c>
      <c r="AN76" s="243">
        <f t="shared" si="399"/>
        <v>3072</v>
      </c>
      <c r="AO76" s="243">
        <f t="shared" si="399"/>
        <v>2875</v>
      </c>
      <c r="AP76" s="243">
        <f t="shared" si="399"/>
        <v>2385</v>
      </c>
      <c r="AQ76" s="243">
        <f>AQ74-AQ75</f>
        <v>3430</v>
      </c>
      <c r="AR76" s="243">
        <f t="shared" si="399"/>
        <v>3092</v>
      </c>
      <c r="AS76" s="243">
        <f t="shared" si="399"/>
        <v>3109.4179999999997</v>
      </c>
      <c r="AT76" s="243">
        <f>AT74-AT75+441-267</f>
        <v>2892.0230000000001</v>
      </c>
      <c r="AU76" s="243">
        <f t="shared" ref="AU76:BC76" si="400">AU74-AU75</f>
        <v>3598</v>
      </c>
      <c r="AV76" s="243">
        <f t="shared" si="400"/>
        <v>3367</v>
      </c>
      <c r="AW76" s="243">
        <f t="shared" si="400"/>
        <v>3310</v>
      </c>
      <c r="AX76" s="243">
        <f t="shared" si="400"/>
        <v>2626</v>
      </c>
      <c r="AY76" s="243">
        <f t="shared" si="400"/>
        <v>3507</v>
      </c>
      <c r="AZ76" s="243">
        <f t="shared" si="400"/>
        <v>3208</v>
      </c>
      <c r="BA76" s="243">
        <f t="shared" si="400"/>
        <v>3345</v>
      </c>
      <c r="BB76" s="243">
        <f t="shared" si="400"/>
        <v>2884</v>
      </c>
      <c r="BC76" s="243">
        <f t="shared" si="400"/>
        <v>3616</v>
      </c>
      <c r="BD76" s="243">
        <f t="shared" ref="BD76:BG76" si="401">BD74-BD75</f>
        <v>3441</v>
      </c>
      <c r="BE76" s="243">
        <f t="shared" si="401"/>
        <v>3417</v>
      </c>
      <c r="BF76" s="243">
        <f t="shared" si="401"/>
        <v>2864</v>
      </c>
      <c r="BG76" s="243">
        <f t="shared" si="401"/>
        <v>4269</v>
      </c>
      <c r="BH76" s="243">
        <f>BH74-BH75</f>
        <v>3365</v>
      </c>
      <c r="BI76" s="243">
        <f>BI74-BI75</f>
        <v>3202</v>
      </c>
      <c r="BJ76" s="243">
        <f t="shared" ref="BJ76" si="402">BJ74-BJ75</f>
        <v>5695</v>
      </c>
      <c r="BK76" s="243">
        <f t="shared" ref="BK76" si="403">BK74-BK75</f>
        <v>3910</v>
      </c>
      <c r="BL76" s="243">
        <f t="shared" ref="BL76" si="404">BL74-BL75</f>
        <v>3621</v>
      </c>
      <c r="BM76" s="243">
        <f t="shared" ref="BM76" si="405">BM74-BM75</f>
        <v>3447</v>
      </c>
      <c r="BN76" s="243">
        <f t="shared" ref="BN76:BR76" si="406">BN74-BN75</f>
        <v>2855</v>
      </c>
      <c r="BO76" s="243">
        <f t="shared" si="406"/>
        <v>3604</v>
      </c>
      <c r="BP76" s="243">
        <f t="shared" si="406"/>
        <v>4345</v>
      </c>
      <c r="BQ76" s="243">
        <f t="shared" si="406"/>
        <v>3983</v>
      </c>
      <c r="BR76" s="243">
        <f t="shared" si="406"/>
        <v>3648.5549999999998</v>
      </c>
      <c r="BS76" s="243">
        <f t="shared" ref="BS76:BV76" si="407">BS74-BS75</f>
        <v>5021</v>
      </c>
      <c r="BT76" s="243">
        <f t="shared" si="407"/>
        <v>4590</v>
      </c>
      <c r="BU76" s="243">
        <f t="shared" si="407"/>
        <v>3404</v>
      </c>
      <c r="BV76" s="243">
        <f t="shared" si="407"/>
        <v>3640</v>
      </c>
      <c r="BW76" s="243">
        <f t="shared" ref="BW76:BZ76" si="408">BW74-BW75</f>
        <v>3972</v>
      </c>
      <c r="BX76" s="243">
        <f t="shared" si="408"/>
        <v>3585</v>
      </c>
      <c r="BY76" s="243">
        <f t="shared" si="408"/>
        <v>3788</v>
      </c>
      <c r="BZ76" s="243">
        <f t="shared" si="408"/>
        <v>2733</v>
      </c>
      <c r="CA76" s="243">
        <f t="shared" ref="CA76:CH76" si="409">CA74-CA75</f>
        <v>4577</v>
      </c>
      <c r="CB76" s="243">
        <f t="shared" si="409"/>
        <v>4697</v>
      </c>
      <c r="CC76" s="243">
        <f t="shared" si="409"/>
        <v>4334</v>
      </c>
      <c r="CD76" s="243">
        <f t="shared" si="409"/>
        <v>4009</v>
      </c>
      <c r="CE76" s="243">
        <f t="shared" si="409"/>
        <v>4507</v>
      </c>
      <c r="CF76" s="243">
        <f t="shared" si="409"/>
        <v>4426</v>
      </c>
      <c r="CG76" s="243">
        <f t="shared" si="409"/>
        <v>3833</v>
      </c>
      <c r="CH76" s="243">
        <f t="shared" si="409"/>
        <v>4774</v>
      </c>
      <c r="CI76" s="243">
        <f t="shared" ref="CI76:CP76" si="410">+CI74-CI75</f>
        <v>4409</v>
      </c>
      <c r="CJ76" s="243">
        <f t="shared" si="410"/>
        <v>4375</v>
      </c>
      <c r="CK76" s="243">
        <f t="shared" si="410"/>
        <v>5784</v>
      </c>
      <c r="CL76" s="243">
        <f t="shared" si="410"/>
        <v>5347</v>
      </c>
      <c r="CM76" s="243">
        <f t="shared" si="410"/>
        <v>4675</v>
      </c>
      <c r="CN76" s="243">
        <f t="shared" si="410"/>
        <v>3983</v>
      </c>
      <c r="CO76" s="243">
        <f t="shared" si="410"/>
        <v>5648</v>
      </c>
      <c r="CP76" s="243">
        <f t="shared" si="410"/>
        <v>5061</v>
      </c>
      <c r="CQ76" s="243">
        <f t="shared" ref="CQ76" si="411">+CQ74-CQ75</f>
        <v>5090</v>
      </c>
      <c r="CR76" s="243">
        <f t="shared" ref="CR76" si="412">+CR74-CR75</f>
        <v>3695</v>
      </c>
      <c r="CS76" s="243">
        <f>+CS74-CS75</f>
        <v>4960</v>
      </c>
      <c r="CT76" s="243">
        <f>+CT74-CT75</f>
        <v>4099</v>
      </c>
      <c r="CU76" s="243">
        <f>+CU74-CU75</f>
        <v>6250</v>
      </c>
      <c r="CV76" s="243">
        <f t="shared" ref="CV76" si="413">+CV74-CV75</f>
        <v>6754</v>
      </c>
      <c r="CW76" s="243">
        <f>+CW74-CW75</f>
        <v>6474</v>
      </c>
      <c r="CX76" s="243">
        <f>+CX74-CX75</f>
        <v>4893</v>
      </c>
      <c r="CY76" s="243">
        <f>+CY74-CY75</f>
        <v>5927</v>
      </c>
      <c r="CZ76" s="243">
        <f t="shared" ref="CZ76:DG76" si="414">+CZ74-CZ75</f>
        <v>7021</v>
      </c>
      <c r="DA76" s="243">
        <f t="shared" si="414"/>
        <v>5189</v>
      </c>
      <c r="DB76" s="243">
        <f t="shared" si="414"/>
        <v>6391</v>
      </c>
      <c r="DC76" s="243">
        <f t="shared" si="414"/>
        <v>5036</v>
      </c>
      <c r="DD76" s="243">
        <f t="shared" si="414"/>
        <v>5383</v>
      </c>
      <c r="DE76" s="243">
        <f t="shared" si="414"/>
        <v>6776.5</v>
      </c>
      <c r="DF76" s="243">
        <f t="shared" si="414"/>
        <v>5772</v>
      </c>
      <c r="DG76" s="243">
        <f t="shared" si="414"/>
        <v>6579</v>
      </c>
      <c r="DH76" s="243">
        <f t="shared" ref="DH76:DN76" si="415">+DH74-DH75</f>
        <v>4873</v>
      </c>
      <c r="DI76" s="243">
        <f t="shared" si="415"/>
        <v>5875.5999999999985</v>
      </c>
      <c r="DJ76" s="243">
        <f t="shared" si="415"/>
        <v>4803</v>
      </c>
      <c r="DK76" s="243">
        <f t="shared" si="415"/>
        <v>6707</v>
      </c>
      <c r="DL76" s="243">
        <f t="shared" si="415"/>
        <v>16594.852499999997</v>
      </c>
      <c r="DM76" s="243">
        <f t="shared" si="415"/>
        <v>16621.454250000003</v>
      </c>
      <c r="DN76" s="243">
        <f t="shared" si="415"/>
        <v>16437.314999999995</v>
      </c>
      <c r="DP76" s="235">
        <f t="shared" ref="DP76:EQ76" si="416">DP74-DP75</f>
        <v>1082</v>
      </c>
      <c r="DQ76" s="235">
        <f t="shared" si="416"/>
        <v>1247</v>
      </c>
      <c r="DR76" s="235">
        <f t="shared" si="416"/>
        <v>1461</v>
      </c>
      <c r="DS76" s="235">
        <f t="shared" si="416"/>
        <v>1625</v>
      </c>
      <c r="DT76" s="235">
        <f t="shared" si="416"/>
        <v>1787</v>
      </c>
      <c r="DU76" s="235">
        <f t="shared" si="416"/>
        <v>2006</v>
      </c>
      <c r="DV76" s="235">
        <f t="shared" si="416"/>
        <v>2403</v>
      </c>
      <c r="DW76" s="235">
        <f t="shared" si="416"/>
        <v>2887</v>
      </c>
      <c r="DX76" s="235">
        <f t="shared" si="416"/>
        <v>3303</v>
      </c>
      <c r="DY76" s="235">
        <f t="shared" si="416"/>
        <v>3836</v>
      </c>
      <c r="DZ76" s="235">
        <f t="shared" si="416"/>
        <v>4167</v>
      </c>
      <c r="EA76" s="235">
        <f t="shared" si="416"/>
        <v>4821</v>
      </c>
      <c r="EB76" s="235">
        <f t="shared" si="416"/>
        <v>5773</v>
      </c>
      <c r="EC76" s="235">
        <f t="shared" si="416"/>
        <v>7570.4250000000011</v>
      </c>
      <c r="ED76" s="235">
        <f t="shared" si="416"/>
        <v>8618.4000000000015</v>
      </c>
      <c r="EE76" s="235">
        <f t="shared" si="416"/>
        <v>9296</v>
      </c>
      <c r="EF76" s="235">
        <f t="shared" si="416"/>
        <v>9757</v>
      </c>
      <c r="EG76" s="235">
        <f t="shared" si="416"/>
        <v>11133</v>
      </c>
      <c r="EH76" s="235">
        <f>EH74-EH75</f>
        <v>12251.440999999999</v>
      </c>
      <c r="EI76" s="235">
        <f>EI74-EI75</f>
        <v>12901</v>
      </c>
      <c r="EJ76" s="235">
        <f>EJ74-EJ75</f>
        <v>16778.5</v>
      </c>
      <c r="EK76" s="235">
        <f t="shared" si="416"/>
        <v>13147</v>
      </c>
      <c r="EL76" s="235">
        <f>EL74-EL75</f>
        <v>16531</v>
      </c>
      <c r="EM76" s="235">
        <f>EM74-EM75</f>
        <v>13511</v>
      </c>
      <c r="EN76" s="235">
        <f>EN74-EN75</f>
        <v>15321.555</v>
      </c>
      <c r="EO76" s="235">
        <f t="shared" si="416"/>
        <v>19544.859658686884</v>
      </c>
      <c r="EP76" s="235">
        <f t="shared" si="416"/>
        <v>49489.613259749996</v>
      </c>
      <c r="EQ76" s="235">
        <f t="shared" si="416"/>
        <v>45613.910215721247</v>
      </c>
      <c r="ER76" s="235">
        <f t="shared" ref="ER76:FE76" si="417">ER74-ER75</f>
        <v>52750.499999999993</v>
      </c>
      <c r="ES76" s="235">
        <f t="shared" si="417"/>
        <v>19915</v>
      </c>
      <c r="ET76" s="235">
        <f t="shared" si="417"/>
        <v>19367</v>
      </c>
      <c r="EU76" s="235">
        <f t="shared" si="417"/>
        <v>17844</v>
      </c>
      <c r="EV76" s="235">
        <f t="shared" si="417"/>
        <v>24595</v>
      </c>
      <c r="EW76" s="235">
        <f>EW74-EW75</f>
        <v>24422</v>
      </c>
      <c r="EX76" s="235">
        <f t="shared" si="417"/>
        <v>29196.573487500005</v>
      </c>
      <c r="EY76" s="235">
        <f t="shared" si="417"/>
        <v>30239.162331562504</v>
      </c>
      <c r="EZ76" s="235">
        <f t="shared" si="417"/>
        <v>25516.581160733906</v>
      </c>
      <c r="FA76" s="235">
        <f t="shared" si="417"/>
        <v>23929.0027110589</v>
      </c>
      <c r="FB76" s="235">
        <f t="shared" si="417"/>
        <v>24466.418735512543</v>
      </c>
      <c r="FC76" s="235">
        <f t="shared" si="417"/>
        <v>25519.954630045526</v>
      </c>
      <c r="FD76" s="235">
        <f t="shared" si="417"/>
        <v>25802.065437516932</v>
      </c>
      <c r="FE76" s="235">
        <f t="shared" si="417"/>
        <v>26343.131251502375</v>
      </c>
      <c r="FF76" s="235">
        <f t="shared" ref="FF76:FJ76" si="418">FF74-FF75</f>
        <v>25186.136806409377</v>
      </c>
      <c r="FG76" s="235">
        <f t="shared" si="418"/>
        <v>25557.945639863472</v>
      </c>
      <c r="FH76" s="235">
        <f t="shared" si="418"/>
        <v>26152.386778082226</v>
      </c>
      <c r="FI76" s="235">
        <f t="shared" si="418"/>
        <v>26824.656567959722</v>
      </c>
      <c r="FJ76" s="235">
        <f t="shared" si="418"/>
        <v>18266.61052524289</v>
      </c>
      <c r="FK76" s="235">
        <f>+FJ76*(1+$FN$79)</f>
        <v>18357.9435778691</v>
      </c>
      <c r="FL76" s="235">
        <f t="shared" ref="FL76:HW76" si="419">+FK76*(1+$FN$79)</f>
        <v>18449.733295758444</v>
      </c>
      <c r="FM76" s="235">
        <f t="shared" si="419"/>
        <v>18541.981962237234</v>
      </c>
      <c r="FN76" s="235">
        <f t="shared" si="419"/>
        <v>18634.691872048417</v>
      </c>
      <c r="FO76" s="235">
        <f t="shared" si="419"/>
        <v>18727.865331408659</v>
      </c>
      <c r="FP76" s="235">
        <f t="shared" si="419"/>
        <v>18821.5046580657</v>
      </c>
      <c r="FQ76" s="235">
        <f t="shared" si="419"/>
        <v>18915.612181356028</v>
      </c>
      <c r="FR76" s="235">
        <f t="shared" si="419"/>
        <v>19010.190242262805</v>
      </c>
      <c r="FS76" s="235">
        <f t="shared" si="419"/>
        <v>19105.241193474118</v>
      </c>
      <c r="FT76" s="235">
        <f t="shared" si="419"/>
        <v>19200.767399441487</v>
      </c>
      <c r="FU76" s="235">
        <f t="shared" si="419"/>
        <v>19296.771236438693</v>
      </c>
      <c r="FV76" s="235">
        <f t="shared" si="419"/>
        <v>19393.255092620886</v>
      </c>
      <c r="FW76" s="235">
        <f t="shared" si="419"/>
        <v>19490.221368083989</v>
      </c>
      <c r="FX76" s="235">
        <f t="shared" si="419"/>
        <v>19587.672474924406</v>
      </c>
      <c r="FY76" s="235">
        <f t="shared" si="419"/>
        <v>19685.610837299027</v>
      </c>
      <c r="FZ76" s="235">
        <f t="shared" si="419"/>
        <v>19784.038891485521</v>
      </c>
      <c r="GA76" s="235">
        <f t="shared" si="419"/>
        <v>19882.959085942948</v>
      </c>
      <c r="GB76" s="235">
        <f t="shared" si="419"/>
        <v>19982.37388137266</v>
      </c>
      <c r="GC76" s="235">
        <f t="shared" si="419"/>
        <v>20082.28575077952</v>
      </c>
      <c r="GD76" s="235">
        <f t="shared" si="419"/>
        <v>20182.697179533414</v>
      </c>
      <c r="GE76" s="235">
        <f t="shared" si="419"/>
        <v>20283.610665431079</v>
      </c>
      <c r="GF76" s="235">
        <f t="shared" si="419"/>
        <v>20385.028718758233</v>
      </c>
      <c r="GG76" s="235">
        <f t="shared" si="419"/>
        <v>20486.95386235202</v>
      </c>
      <c r="GH76" s="235">
        <f t="shared" si="419"/>
        <v>20589.38863166378</v>
      </c>
      <c r="GI76" s="235">
        <f t="shared" si="419"/>
        <v>20692.335574822097</v>
      </c>
      <c r="GJ76" s="235">
        <f t="shared" si="419"/>
        <v>20795.797252696204</v>
      </c>
      <c r="GK76" s="235">
        <f t="shared" si="419"/>
        <v>20899.776238959683</v>
      </c>
      <c r="GL76" s="235">
        <f t="shared" si="419"/>
        <v>21004.275120154478</v>
      </c>
      <c r="GM76" s="235">
        <f t="shared" si="419"/>
        <v>21109.296495755247</v>
      </c>
      <c r="GN76" s="235">
        <f t="shared" si="419"/>
        <v>21214.842978234021</v>
      </c>
      <c r="GO76" s="235">
        <f t="shared" si="419"/>
        <v>21320.917193125188</v>
      </c>
      <c r="GP76" s="235">
        <f t="shared" si="419"/>
        <v>21427.52177909081</v>
      </c>
      <c r="GQ76" s="235">
        <f t="shared" si="419"/>
        <v>21534.659387986263</v>
      </c>
      <c r="GR76" s="235">
        <f t="shared" si="419"/>
        <v>21642.33268492619</v>
      </c>
      <c r="GS76" s="235">
        <f t="shared" si="419"/>
        <v>21750.544348350821</v>
      </c>
      <c r="GT76" s="235">
        <f t="shared" si="419"/>
        <v>21859.297070092573</v>
      </c>
      <c r="GU76" s="235">
        <f t="shared" si="419"/>
        <v>21968.593555443033</v>
      </c>
      <c r="GV76" s="235">
        <f t="shared" si="419"/>
        <v>22078.436523220244</v>
      </c>
      <c r="GW76" s="235">
        <f t="shared" si="419"/>
        <v>22188.828705836342</v>
      </c>
      <c r="GX76" s="235">
        <f t="shared" si="419"/>
        <v>22299.772849365523</v>
      </c>
      <c r="GY76" s="235">
        <f t="shared" si="419"/>
        <v>22411.27171361235</v>
      </c>
      <c r="GZ76" s="235">
        <f t="shared" si="419"/>
        <v>22523.328072180411</v>
      </c>
      <c r="HA76" s="235">
        <f t="shared" si="419"/>
        <v>22635.94471254131</v>
      </c>
      <c r="HB76" s="235">
        <f t="shared" si="419"/>
        <v>22749.124436104015</v>
      </c>
      <c r="HC76" s="235">
        <f t="shared" si="419"/>
        <v>22862.870058284534</v>
      </c>
      <c r="HD76" s="235">
        <f t="shared" si="419"/>
        <v>22977.184408575955</v>
      </c>
      <c r="HE76" s="235">
        <f t="shared" si="419"/>
        <v>23092.070330618833</v>
      </c>
      <c r="HF76" s="235">
        <f t="shared" si="419"/>
        <v>23207.530682271925</v>
      </c>
      <c r="HG76" s="235">
        <f t="shared" si="419"/>
        <v>23323.568335683281</v>
      </c>
      <c r="HH76" s="235">
        <f t="shared" si="419"/>
        <v>23440.186177361695</v>
      </c>
      <c r="HI76" s="235">
        <f t="shared" si="419"/>
        <v>23557.387108248502</v>
      </c>
      <c r="HJ76" s="235">
        <f t="shared" si="419"/>
        <v>23675.174043789742</v>
      </c>
      <c r="HK76" s="235">
        <f t="shared" si="419"/>
        <v>23793.54991400869</v>
      </c>
      <c r="HL76" s="235">
        <f t="shared" si="419"/>
        <v>23912.517663578732</v>
      </c>
      <c r="HM76" s="235">
        <f t="shared" si="419"/>
        <v>24032.080251896623</v>
      </c>
      <c r="HN76" s="235">
        <f t="shared" si="419"/>
        <v>24152.240653156103</v>
      </c>
      <c r="HO76" s="235">
        <f t="shared" si="419"/>
        <v>24273.001856421881</v>
      </c>
      <c r="HP76" s="235">
        <f t="shared" si="419"/>
        <v>24394.366865703989</v>
      </c>
      <c r="HQ76" s="235">
        <f t="shared" si="419"/>
        <v>24516.338700032506</v>
      </c>
      <c r="HR76" s="235">
        <f t="shared" si="419"/>
        <v>24638.920393532666</v>
      </c>
      <c r="HS76" s="235">
        <f t="shared" si="419"/>
        <v>24762.114995500327</v>
      </c>
      <c r="HT76" s="235">
        <f t="shared" si="419"/>
        <v>24885.925570477826</v>
      </c>
      <c r="HU76" s="235">
        <f t="shared" si="419"/>
        <v>25010.355198330213</v>
      </c>
      <c r="HV76" s="235">
        <f t="shared" si="419"/>
        <v>25135.406974321861</v>
      </c>
      <c r="HW76" s="235">
        <f t="shared" si="419"/>
        <v>25261.084009193466</v>
      </c>
      <c r="HX76" s="235">
        <f t="shared" ref="HX76:JJ76" si="420">+HW76*(1+$FN$79)</f>
        <v>25387.389429239433</v>
      </c>
      <c r="HY76" s="235">
        <f t="shared" si="420"/>
        <v>25514.326376385627</v>
      </c>
      <c r="HZ76" s="235">
        <f t="shared" si="420"/>
        <v>25641.898008267552</v>
      </c>
      <c r="IA76" s="235">
        <f t="shared" si="420"/>
        <v>25770.107498308887</v>
      </c>
      <c r="IB76" s="235">
        <f t="shared" si="420"/>
        <v>25898.958035800428</v>
      </c>
      <c r="IC76" s="235">
        <f t="shared" si="420"/>
        <v>26028.452825979428</v>
      </c>
      <c r="ID76" s="235">
        <f t="shared" si="420"/>
        <v>26158.595090109324</v>
      </c>
      <c r="IE76" s="235">
        <f t="shared" si="420"/>
        <v>26289.388065559866</v>
      </c>
      <c r="IF76" s="235">
        <f t="shared" si="420"/>
        <v>26420.835005887664</v>
      </c>
      <c r="IG76" s="235">
        <f t="shared" si="420"/>
        <v>26552.939180917099</v>
      </c>
      <c r="IH76" s="235">
        <f t="shared" si="420"/>
        <v>26685.703876821681</v>
      </c>
      <c r="II76" s="235">
        <f t="shared" si="420"/>
        <v>26819.132396205787</v>
      </c>
      <c r="IJ76" s="235">
        <f t="shared" si="420"/>
        <v>26953.228058186814</v>
      </c>
      <c r="IK76" s="235">
        <f t="shared" si="420"/>
        <v>27087.994198477747</v>
      </c>
      <c r="IL76" s="235">
        <f t="shared" si="420"/>
        <v>27223.434169470132</v>
      </c>
      <c r="IM76" s="235">
        <f t="shared" si="420"/>
        <v>27359.551340317481</v>
      </c>
      <c r="IN76" s="235">
        <f t="shared" si="420"/>
        <v>27496.349097019065</v>
      </c>
      <c r="IO76" s="235">
        <f t="shared" si="420"/>
        <v>27633.830842504158</v>
      </c>
      <c r="IP76" s="235">
        <f t="shared" si="420"/>
        <v>27771.999996716677</v>
      </c>
      <c r="IQ76" s="235">
        <f t="shared" si="420"/>
        <v>27910.859996700256</v>
      </c>
      <c r="IR76" s="235">
        <f t="shared" si="420"/>
        <v>28050.414296683753</v>
      </c>
      <c r="IS76" s="235">
        <f t="shared" si="420"/>
        <v>28190.666368167171</v>
      </c>
      <c r="IT76" s="235">
        <f t="shared" si="420"/>
        <v>28331.619700008003</v>
      </c>
      <c r="IU76" s="235">
        <f t="shared" si="420"/>
        <v>28473.277798508039</v>
      </c>
      <c r="IV76" s="235">
        <f t="shared" si="420"/>
        <v>28615.644187500577</v>
      </c>
      <c r="IW76" s="235">
        <f t="shared" si="420"/>
        <v>28758.722408438076</v>
      </c>
      <c r="IX76" s="235">
        <f t="shared" si="420"/>
        <v>28902.516020480263</v>
      </c>
      <c r="IY76" s="235">
        <f t="shared" si="420"/>
        <v>29047.02860058266</v>
      </c>
      <c r="IZ76" s="235">
        <f t="shared" si="420"/>
        <v>29192.263743585569</v>
      </c>
      <c r="JA76" s="235">
        <f t="shared" si="420"/>
        <v>29338.225062303492</v>
      </c>
      <c r="JB76" s="235">
        <f t="shared" si="420"/>
        <v>29484.916187615006</v>
      </c>
      <c r="JC76" s="235">
        <f t="shared" si="420"/>
        <v>29632.34076855308</v>
      </c>
      <c r="JD76" s="235">
        <f t="shared" si="420"/>
        <v>29780.502472395841</v>
      </c>
      <c r="JE76" s="235">
        <f t="shared" si="420"/>
        <v>29929.404984757817</v>
      </c>
      <c r="JF76" s="235">
        <f t="shared" si="420"/>
        <v>30079.052009681604</v>
      </c>
      <c r="JG76" s="235">
        <f t="shared" si="420"/>
        <v>30229.447269730008</v>
      </c>
      <c r="JH76" s="235">
        <f t="shared" si="420"/>
        <v>30380.594506078654</v>
      </c>
      <c r="JI76" s="235">
        <f t="shared" si="420"/>
        <v>30532.497478609046</v>
      </c>
      <c r="JJ76" s="235">
        <f t="shared" si="420"/>
        <v>30685.159966002087</v>
      </c>
    </row>
    <row r="77" spans="1:270" s="281" customFormat="1" ht="12.75" customHeight="1" x14ac:dyDescent="0.3">
      <c r="B77" s="1" t="s">
        <v>344</v>
      </c>
      <c r="C77" s="282">
        <f t="shared" ref="C77:AY77" si="421">C76/C78</f>
        <v>0.34093466356612412</v>
      </c>
      <c r="D77" s="282">
        <f t="shared" si="421"/>
        <v>0.34108818011257036</v>
      </c>
      <c r="E77" s="282">
        <f t="shared" si="421"/>
        <v>0.32020073402741372</v>
      </c>
      <c r="F77" s="282">
        <f t="shared" si="421"/>
        <v>0.23470680277177558</v>
      </c>
      <c r="G77" s="282">
        <f t="shared" si="421"/>
        <v>0.36735287699134356</v>
      </c>
      <c r="H77" s="282">
        <f t="shared" si="421"/>
        <v>0.36694902877172481</v>
      </c>
      <c r="I77" s="282">
        <f t="shared" si="421"/>
        <v>0.34996358339402767</v>
      </c>
      <c r="J77" s="282">
        <f t="shared" si="421"/>
        <v>0.25262467191601051</v>
      </c>
      <c r="K77" s="282">
        <f t="shared" si="421"/>
        <v>0.41065967671472253</v>
      </c>
      <c r="L77" s="282">
        <f t="shared" si="421"/>
        <v>0.42006109979633405</v>
      </c>
      <c r="M77" s="282">
        <f t="shared" si="421"/>
        <v>0.40004368083867214</v>
      </c>
      <c r="N77" s="282">
        <f t="shared" si="421"/>
        <v>0.26558647411060232</v>
      </c>
      <c r="O77" s="282">
        <f t="shared" si="421"/>
        <v>0.46562721474131824</v>
      </c>
      <c r="P77" s="282">
        <f t="shared" si="421"/>
        <v>0.47078381437464634</v>
      </c>
      <c r="Q77" s="282">
        <f t="shared" si="421"/>
        <v>0.44661154688714583</v>
      </c>
      <c r="R77" s="282">
        <f t="shared" si="421"/>
        <v>0.33286368439591407</v>
      </c>
      <c r="S77" s="282">
        <f t="shared" si="421"/>
        <v>0.53014773450201458</v>
      </c>
      <c r="T77" s="282">
        <f t="shared" si="421"/>
        <v>0.47645073139366662</v>
      </c>
      <c r="U77" s="282">
        <f t="shared" si="421"/>
        <v>0.49149763733967661</v>
      </c>
      <c r="V77" s="282">
        <f t="shared" si="421"/>
        <v>0.38767140843265413</v>
      </c>
      <c r="W77" s="282">
        <f t="shared" si="421"/>
        <v>0.58868845092123001</v>
      </c>
      <c r="X77" s="282">
        <f t="shared" si="421"/>
        <v>0.63793047274622872</v>
      </c>
      <c r="Y77" s="282">
        <f t="shared" si="421"/>
        <v>0.56992764396867879</v>
      </c>
      <c r="Z77" s="282">
        <f t="shared" si="421"/>
        <v>0.45771736614082087</v>
      </c>
      <c r="AA77" s="282">
        <f t="shared" si="421"/>
        <v>0.6920655954944509</v>
      </c>
      <c r="AB77" s="282">
        <f t="shared" si="421"/>
        <v>0.69902269339075696</v>
      </c>
      <c r="AC77" s="282">
        <f t="shared" si="421"/>
        <v>0.68842868065020102</v>
      </c>
      <c r="AD77" s="282">
        <f t="shared" si="421"/>
        <v>0.65881413455779592</v>
      </c>
      <c r="AE77" s="282">
        <f t="shared" si="421"/>
        <v>0.97117752779072097</v>
      </c>
      <c r="AF77" s="282">
        <f t="shared" si="421"/>
        <v>0.95364855422087635</v>
      </c>
      <c r="AG77" s="282">
        <f t="shared" si="421"/>
        <v>0.78398138916583582</v>
      </c>
      <c r="AH77" s="282">
        <f t="shared" si="421"/>
        <v>0.66567114650738346</v>
      </c>
      <c r="AI77" s="282">
        <f t="shared" si="421"/>
        <v>0.93891589774117812</v>
      </c>
      <c r="AJ77" s="282">
        <f t="shared" si="421"/>
        <v>0.99679307038714593</v>
      </c>
      <c r="AK77" s="282">
        <f t="shared" si="421"/>
        <v>0.84425520590779057</v>
      </c>
      <c r="AL77" s="282">
        <f t="shared" si="421"/>
        <v>0.69719595155135228</v>
      </c>
      <c r="AM77" s="282">
        <f t="shared" si="421"/>
        <v>1.1167173455408161</v>
      </c>
      <c r="AN77" s="282">
        <f t="shared" si="421"/>
        <v>1.0328133405056481</v>
      </c>
      <c r="AO77" s="282">
        <f t="shared" si="421"/>
        <v>0.97520436891557272</v>
      </c>
      <c r="AP77" s="282">
        <f t="shared" si="421"/>
        <v>0.81379875115160205</v>
      </c>
      <c r="AQ77" s="282">
        <f>AQ76/AQ78</f>
        <v>1.1729302739117053</v>
      </c>
      <c r="AR77" s="282">
        <f t="shared" si="421"/>
        <v>1.0579982891360138</v>
      </c>
      <c r="AS77" s="282">
        <f t="shared" si="421"/>
        <v>1.0674647258745578</v>
      </c>
      <c r="AT77" s="282">
        <f t="shared" si="421"/>
        <v>1.0009770870829295</v>
      </c>
      <c r="AU77" s="282">
        <f t="shared" si="421"/>
        <v>1.2552768377350592</v>
      </c>
      <c r="AV77" s="282">
        <f t="shared" si="421"/>
        <v>1.1835629921259843</v>
      </c>
      <c r="AW77" s="282">
        <f t="shared" si="421"/>
        <v>1.169074276833963</v>
      </c>
      <c r="AX77" s="282">
        <f t="shared" si="421"/>
        <v>0.93732153055396916</v>
      </c>
      <c r="AY77" s="282">
        <f t="shared" si="421"/>
        <v>1.2570793605276362</v>
      </c>
      <c r="AZ77" s="282">
        <f t="shared" ref="AZ77:BG77" si="422">AZ76/AZ78</f>
        <v>1.1531272465851905</v>
      </c>
      <c r="BA77" s="282">
        <f t="shared" si="422"/>
        <v>1.1976369495166488</v>
      </c>
      <c r="BB77" s="282">
        <f t="shared" si="422"/>
        <v>1.0312891113892366</v>
      </c>
      <c r="BC77" s="282">
        <f t="shared" si="422"/>
        <v>1.2926750795409858</v>
      </c>
      <c r="BD77" s="282">
        <f t="shared" si="422"/>
        <v>1.2306866952789699</v>
      </c>
      <c r="BE77" s="282">
        <f t="shared" si="422"/>
        <v>1.2263135228251507</v>
      </c>
      <c r="BF77" s="282">
        <f t="shared" si="422"/>
        <v>1.0296232384239288</v>
      </c>
      <c r="BG77" s="282">
        <f t="shared" si="422"/>
        <v>1.539654488404804</v>
      </c>
      <c r="BH77" s="282">
        <f t="shared" ref="BH77:BN77" si="423">BH76/BH78</f>
        <v>1.2098658900514148</v>
      </c>
      <c r="BI77" s="282">
        <f>BI76/BI78</f>
        <v>1.1525448131883955</v>
      </c>
      <c r="BJ77" s="282">
        <f t="shared" si="423"/>
        <v>2.0597489963470648</v>
      </c>
      <c r="BK77" s="282">
        <f t="shared" si="423"/>
        <v>1.4090597859382319</v>
      </c>
      <c r="BL77" s="282">
        <f t="shared" si="423"/>
        <v>1.2940461725394898</v>
      </c>
      <c r="BM77" s="282">
        <f t="shared" si="423"/>
        <v>1.2231645434867464</v>
      </c>
      <c r="BN77" s="282">
        <f t="shared" si="423"/>
        <v>1.0076233500388225</v>
      </c>
      <c r="BO77" s="282">
        <f t="shared" ref="BO77:BR77" si="424">BO76/BO78</f>
        <v>1.2606688120889884</v>
      </c>
      <c r="BP77" s="282">
        <f t="shared" si="424"/>
        <v>1.5019011406844107</v>
      </c>
      <c r="BQ77" s="282">
        <f t="shared" si="424"/>
        <v>1.3824101068999028</v>
      </c>
      <c r="BR77" s="282">
        <f t="shared" si="424"/>
        <v>1.2703882311977714</v>
      </c>
      <c r="BS77" s="282">
        <f t="shared" ref="BS77:BV77" si="425">BS76/BS78</f>
        <v>1.7466170382996489</v>
      </c>
      <c r="BT77" s="282">
        <f t="shared" si="425"/>
        <v>1.5969661123095122</v>
      </c>
      <c r="BU77" s="282">
        <f t="shared" si="425"/>
        <v>1.1884230003840379</v>
      </c>
      <c r="BV77" s="282">
        <f t="shared" si="425"/>
        <v>1.2793027097318384</v>
      </c>
      <c r="BW77" s="282">
        <f t="shared" ref="BW77:BZ77" si="426">BW76/BW78</f>
        <v>1.40552016985138</v>
      </c>
      <c r="BX77" s="282">
        <f t="shared" si="426"/>
        <v>1.2748933143669985</v>
      </c>
      <c r="BY77" s="282">
        <f t="shared" si="426"/>
        <v>1.3493872898261614</v>
      </c>
      <c r="BZ77" s="282">
        <f t="shared" si="426"/>
        <v>0.97492241287054537</v>
      </c>
      <c r="CA77" s="282">
        <f t="shared" ref="CA77:CC77" si="427">+CA76/CA78</f>
        <v>1.6373327609644415</v>
      </c>
      <c r="CB77" s="282">
        <f t="shared" si="427"/>
        <v>1.6809820342137285</v>
      </c>
      <c r="CC77" s="282">
        <f t="shared" si="427"/>
        <v>1.5559704171752711</v>
      </c>
      <c r="CD77" s="282">
        <f t="shared" ref="CD77:CE77" si="428">+CD76/CD78</f>
        <v>1.4501718213058419</v>
      </c>
      <c r="CE77" s="282">
        <f t="shared" si="428"/>
        <v>1.6362316209838446</v>
      </c>
      <c r="CF77" s="282">
        <f t="shared" ref="CF77:CG77" si="429">+CF76/CF78</f>
        <v>1.6144446470910085</v>
      </c>
      <c r="CG77" s="282">
        <f t="shared" si="429"/>
        <v>1.4000803594257956</v>
      </c>
      <c r="CH77" s="282">
        <f t="shared" ref="CH77:CJ77" si="430">+CH76/CH78</f>
        <v>1.778092293940184</v>
      </c>
      <c r="CI77" s="282">
        <f t="shared" si="430"/>
        <v>1.6138950913283794</v>
      </c>
      <c r="CJ77" s="282">
        <f t="shared" si="430"/>
        <v>1.6076875022966963</v>
      </c>
      <c r="CK77" s="282">
        <f t="shared" ref="CK77:CL77" si="431">+CK76/CK78</f>
        <v>2.1205455345358559</v>
      </c>
      <c r="CL77" s="282">
        <f t="shared" si="431"/>
        <v>1.9629221732745963</v>
      </c>
      <c r="CM77" s="282">
        <f t="shared" ref="CM77:CN77" si="432">+CM76/CM78</f>
        <v>1.7322513709796945</v>
      </c>
      <c r="CN77" s="282">
        <f t="shared" si="432"/>
        <v>1.4797339971022032</v>
      </c>
      <c r="CO77" s="282">
        <f t="shared" ref="CO77:CQ77" si="433">+CO76/CO78</f>
        <v>2.1154350350200382</v>
      </c>
      <c r="CP77" s="282">
        <f t="shared" si="433"/>
        <v>1.896144767899292</v>
      </c>
      <c r="CQ77" s="282">
        <f t="shared" si="433"/>
        <v>1.9056533133657807</v>
      </c>
      <c r="CR77" s="282">
        <f t="shared" ref="CR77" si="434">+CR76/CR78</f>
        <v>1.3862314762708685</v>
      </c>
      <c r="CS77" s="282">
        <f>+CS76/CS78</f>
        <v>1.8583739228175347</v>
      </c>
      <c r="CT77" s="282">
        <f>+CT76/CT78</f>
        <v>1.5357811914574746</v>
      </c>
      <c r="CU77" s="282">
        <f>+CU76/CU78</f>
        <v>2.3384592359785987</v>
      </c>
      <c r="CV77" s="282">
        <f t="shared" ref="CV77" si="435">+CV76/CV78</f>
        <v>2.5280730648300644</v>
      </c>
      <c r="CW77" s="282">
        <f>+CW76/CW78</f>
        <v>2.4202773935474222</v>
      </c>
      <c r="CX77" s="282">
        <f>+CX76/CX78</f>
        <v>1.8325842696629213</v>
      </c>
      <c r="CY77" s="282">
        <f>+CY76/CY78</f>
        <v>2.2227639227451714</v>
      </c>
      <c r="CZ77" s="282">
        <f t="shared" ref="CZ77:DG77" si="436">+CZ76/CZ78</f>
        <v>2.6316578582405636</v>
      </c>
      <c r="DA77" s="282">
        <f t="shared" si="436"/>
        <v>1.9497989704279861</v>
      </c>
      <c r="DB77" s="282">
        <f t="shared" si="436"/>
        <v>2.4116071091656921</v>
      </c>
      <c r="DC77" s="282">
        <f t="shared" si="436"/>
        <v>1.932834388792938</v>
      </c>
      <c r="DD77" s="282">
        <f t="shared" si="436"/>
        <v>2.0501199680085311</v>
      </c>
      <c r="DE77" s="282">
        <f t="shared" si="436"/>
        <v>2.6577636584696243</v>
      </c>
      <c r="DF77" s="282">
        <f t="shared" si="436"/>
        <v>2.3746245937384294</v>
      </c>
      <c r="DG77" s="282">
        <f t="shared" si="436"/>
        <v>2.7072959960495453</v>
      </c>
      <c r="DH77" s="282">
        <f t="shared" ref="DH77:DN77" si="437">+DH76/DH78</f>
        <v>2.0119735755573904</v>
      </c>
      <c r="DI77" s="282">
        <f t="shared" si="437"/>
        <v>2.4200337740434112</v>
      </c>
      <c r="DJ77" s="282">
        <f t="shared" si="437"/>
        <v>1.9789048658893331</v>
      </c>
      <c r="DK77" s="282">
        <f t="shared" si="437"/>
        <v>2.7671425035068897</v>
      </c>
      <c r="DL77" s="282">
        <f t="shared" si="437"/>
        <v>6.8466261655252065</v>
      </c>
      <c r="DM77" s="282">
        <f t="shared" si="437"/>
        <v>6.8576013903787443</v>
      </c>
      <c r="DN77" s="282">
        <f t="shared" si="437"/>
        <v>6.7816300849905078</v>
      </c>
      <c r="DP77" s="282">
        <f t="shared" ref="DP77:EQ77" si="438">DP76/DP78</f>
        <v>0.40603422395676969</v>
      </c>
      <c r="DQ77" s="282">
        <f t="shared" si="438"/>
        <v>0.47156254726970198</v>
      </c>
      <c r="DR77" s="282">
        <f t="shared" si="438"/>
        <v>0.4759850708145893</v>
      </c>
      <c r="DS77" s="282">
        <f t="shared" si="438"/>
        <v>0.52940839182345845</v>
      </c>
      <c r="DT77" s="282">
        <f t="shared" si="438"/>
        <v>0.58218178406300991</v>
      </c>
      <c r="DU77" s="282">
        <f t="shared" si="438"/>
        <v>0.65351385866378242</v>
      </c>
      <c r="DV77" s="282">
        <f t="shared" si="438"/>
        <v>0.78282591359009235</v>
      </c>
      <c r="DW77" s="282">
        <f t="shared" si="438"/>
        <v>0.94049871516212935</v>
      </c>
      <c r="DX77" s="282">
        <f t="shared" si="438"/>
        <v>1.0760191396537975</v>
      </c>
      <c r="DY77" s="282">
        <f t="shared" si="438"/>
        <v>1.2496546835337472</v>
      </c>
      <c r="DZ77" s="282">
        <f t="shared" si="438"/>
        <v>1.3574032715796827</v>
      </c>
      <c r="EA77" s="282">
        <f t="shared" si="438"/>
        <v>1.5704391300920373</v>
      </c>
      <c r="EB77" s="282">
        <f t="shared" si="438"/>
        <v>1.8504142196944589</v>
      </c>
      <c r="EC77" s="282">
        <f t="shared" si="438"/>
        <v>2.5504287815058815</v>
      </c>
      <c r="ED77" s="282">
        <f t="shared" si="438"/>
        <v>2.9038000008760192</v>
      </c>
      <c r="EE77" s="282">
        <f t="shared" si="438"/>
        <v>3.1288886016701989</v>
      </c>
      <c r="EF77" s="282">
        <f t="shared" si="438"/>
        <v>3.2802394235223793</v>
      </c>
      <c r="EG77" s="282">
        <f t="shared" si="438"/>
        <v>3.7598784194528876</v>
      </c>
      <c r="EH77" s="282">
        <f>EH76/EH78</f>
        <v>4.2069005657186507</v>
      </c>
      <c r="EI77" s="282">
        <f t="shared" si="438"/>
        <v>4.5490126939351194</v>
      </c>
      <c r="EJ77" s="282">
        <f>EJ76/EJ78</f>
        <v>6.0130988325732666</v>
      </c>
      <c r="EK77" s="282">
        <f>EK76/EK78</f>
        <v>4.7116375332622535</v>
      </c>
      <c r="EL77" s="282">
        <f t="shared" si="438"/>
        <v>5.9586738877724805</v>
      </c>
      <c r="EM77" s="282">
        <f t="shared" si="438"/>
        <v>4.8147818185057814</v>
      </c>
      <c r="EN77" s="282">
        <f t="shared" si="438"/>
        <v>5.3269204693611476</v>
      </c>
      <c r="EO77" s="282">
        <f t="shared" si="438"/>
        <v>6.7952575953713632</v>
      </c>
      <c r="EP77" s="282">
        <f t="shared" si="438"/>
        <v>17.206297526205997</v>
      </c>
      <c r="EQ77" s="282">
        <f t="shared" si="438"/>
        <v>15.858812765135593</v>
      </c>
      <c r="ER77" s="282" t="e">
        <f t="shared" ref="ER77:EY77" si="439">ER76/ER78</f>
        <v>#DIV/0!</v>
      </c>
      <c r="ES77" s="282">
        <f t="shared" si="439"/>
        <v>7.3050399823930743</v>
      </c>
      <c r="ET77" s="282">
        <f t="shared" si="439"/>
        <v>7.2200941329978097</v>
      </c>
      <c r="EU77" s="282">
        <f t="shared" si="439"/>
        <v>6.6865895358096399</v>
      </c>
      <c r="EV77" s="282">
        <f t="shared" si="439"/>
        <v>9.2036822213074885</v>
      </c>
      <c r="EW77" s="282">
        <f t="shared" si="439"/>
        <v>9.167761552610834</v>
      </c>
      <c r="EX77" s="282">
        <f t="shared" si="439"/>
        <v>11.436630297896514</v>
      </c>
      <c r="EY77" s="282">
        <f t="shared" si="439"/>
        <v>11.845024220127113</v>
      </c>
      <c r="EZ77" s="282">
        <f t="shared" ref="EZ77:FE77" si="440">EZ76/EZ78</f>
        <v>9.9951353992455285</v>
      </c>
      <c r="FA77" s="282">
        <f t="shared" si="440"/>
        <v>9.3732628426726095</v>
      </c>
      <c r="FB77" s="282">
        <f t="shared" si="440"/>
        <v>9.5837748190342538</v>
      </c>
      <c r="FC77" s="282">
        <f t="shared" si="440"/>
        <v>9.9964568255887531</v>
      </c>
      <c r="FD77" s="282">
        <f t="shared" si="440"/>
        <v>10.10696284128518</v>
      </c>
      <c r="FE77" s="282">
        <f t="shared" si="440"/>
        <v>10.318904481766767</v>
      </c>
      <c r="FF77" s="282">
        <f t="shared" ref="FF77:FJ77" si="441">FF76/FF78</f>
        <v>9.8656965828702177</v>
      </c>
      <c r="FG77" s="282">
        <f t="shared" si="441"/>
        <v>10.011338336739973</v>
      </c>
      <c r="FH77" s="282">
        <f t="shared" si="441"/>
        <v>10.244187699511235</v>
      </c>
      <c r="FI77" s="282">
        <f t="shared" si="441"/>
        <v>10.507523431375974</v>
      </c>
      <c r="FJ77" s="282">
        <f t="shared" si="441"/>
        <v>7.1552393455454162</v>
      </c>
    </row>
    <row r="78" spans="1:270"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243">
        <v>2423.8000000000002</v>
      </c>
      <c r="DL78" s="243">
        <f t="shared" ref="DL78:DN78" si="442">+DK78</f>
        <v>2423.8000000000002</v>
      </c>
      <c r="DM78" s="243">
        <f t="shared" si="442"/>
        <v>2423.8000000000002</v>
      </c>
      <c r="DN78" s="243">
        <f t="shared" si="442"/>
        <v>2423.8000000000002</v>
      </c>
      <c r="DP78" s="276">
        <f>666.2*4</f>
        <v>2664.8</v>
      </c>
      <c r="DQ78" s="276">
        <f>661.1*4</f>
        <v>2644.4</v>
      </c>
      <c r="DR78" s="276">
        <f>767.356*4</f>
        <v>3069.424</v>
      </c>
      <c r="DS78" s="276">
        <f>767.366*4</f>
        <v>3069.4639999999999</v>
      </c>
      <c r="DT78" s="276">
        <f>767.372*4</f>
        <v>3069.4879999999998</v>
      </c>
      <c r="DU78" s="276">
        <f>767.39*4</f>
        <v>3069.56</v>
      </c>
      <c r="DV78" s="243">
        <f>767.412*4</f>
        <v>3069.6480000000001</v>
      </c>
      <c r="DW78" s="243">
        <f>1534.824*2</f>
        <v>3069.6480000000001</v>
      </c>
      <c r="DX78" s="243">
        <f>1534.824*2</f>
        <v>3069.6480000000001</v>
      </c>
      <c r="DY78" s="243">
        <f>1534.824*2</f>
        <v>3069.6480000000001</v>
      </c>
      <c r="DZ78" s="243">
        <f>1534.916*2</f>
        <v>3069.8319999999999</v>
      </c>
      <c r="EA78" s="243">
        <f>1534.921*2</f>
        <v>3069.8420000000001</v>
      </c>
      <c r="EB78" s="243">
        <v>3119.8420000000001</v>
      </c>
      <c r="EC78" s="243">
        <f>3119.842-151.547</f>
        <v>2968.2950000000001</v>
      </c>
      <c r="ED78" s="235">
        <f>3119.842-151.869</f>
        <v>2967.973</v>
      </c>
      <c r="EE78" s="235">
        <f>3119.842-148.819</f>
        <v>2971.0230000000001</v>
      </c>
      <c r="EF78" s="235">
        <f>3119.842-145.364</f>
        <v>2974.4780000000001</v>
      </c>
      <c r="EG78" s="276">
        <v>2961</v>
      </c>
      <c r="EH78" s="276">
        <f>AVERAGE(AQ78:AT78)</f>
        <v>2912.2250000000004</v>
      </c>
      <c r="EI78" s="243">
        <f>AVERAGE(AU78:AX78)</f>
        <v>2836.0000000000005</v>
      </c>
      <c r="EJ78" s="243">
        <f>AVERAGE(AY78:BB78)</f>
        <v>2790.3249999999998</v>
      </c>
      <c r="EK78" s="243">
        <f>AVERAGE(BC78:BF78)</f>
        <v>2790.3250000000003</v>
      </c>
      <c r="EL78" s="243">
        <f>AVERAGE(BG78:BJ78)</f>
        <v>2774.2750000000001</v>
      </c>
      <c r="EM78" s="243">
        <f>AVERAGE(BK78:BN78)</f>
        <v>2806.15</v>
      </c>
      <c r="EN78" s="243">
        <f>AVERAGE(BO78:BR78)</f>
        <v>2876.25</v>
      </c>
      <c r="EO78" s="243">
        <f t="shared" ref="EO78:EP78" si="443">EN78</f>
        <v>2876.25</v>
      </c>
      <c r="EP78" s="243">
        <f t="shared" si="443"/>
        <v>2876.25</v>
      </c>
      <c r="EQ78" s="243">
        <f>EP78</f>
        <v>2876.25</v>
      </c>
      <c r="ER78" s="243"/>
      <c r="ES78" s="243">
        <f>AVERAGE(CI78:CL78)</f>
        <v>2726.2000000000003</v>
      </c>
      <c r="ET78" s="243">
        <f>AVERAGE(CM78:CP78)</f>
        <v>2682.375</v>
      </c>
      <c r="EU78" s="243">
        <f>AVERAGE(CQ78:CT78)</f>
        <v>2668.625</v>
      </c>
      <c r="EV78" s="243">
        <f>AVERAGE(CU78:CX78)</f>
        <v>2672.2999999999997</v>
      </c>
      <c r="EW78" s="243">
        <v>2663.9</v>
      </c>
      <c r="EX78" s="243">
        <f>AVERAGE(DC78:DF78)</f>
        <v>2552.8999999999996</v>
      </c>
      <c r="EY78" s="243">
        <f>+EX78</f>
        <v>2552.8999999999996</v>
      </c>
      <c r="EZ78" s="243">
        <f t="shared" ref="EZ78:FE78" si="444">+EY78</f>
        <v>2552.8999999999996</v>
      </c>
      <c r="FA78" s="243">
        <f t="shared" si="444"/>
        <v>2552.8999999999996</v>
      </c>
      <c r="FB78" s="243">
        <f t="shared" si="444"/>
        <v>2552.8999999999996</v>
      </c>
      <c r="FC78" s="243">
        <f t="shared" si="444"/>
        <v>2552.8999999999996</v>
      </c>
      <c r="FD78" s="243">
        <f t="shared" si="444"/>
        <v>2552.8999999999996</v>
      </c>
      <c r="FE78" s="243">
        <f t="shared" si="444"/>
        <v>2552.8999999999996</v>
      </c>
      <c r="FF78" s="243">
        <f t="shared" ref="FF78" si="445">+FE78</f>
        <v>2552.8999999999996</v>
      </c>
      <c r="FG78" s="243">
        <f t="shared" ref="FG78" si="446">+FF78</f>
        <v>2552.8999999999996</v>
      </c>
      <c r="FH78" s="243">
        <f t="shared" ref="FH78" si="447">+FG78</f>
        <v>2552.8999999999996</v>
      </c>
      <c r="FI78" s="243">
        <f t="shared" ref="FI78" si="448">+FH78</f>
        <v>2552.8999999999996</v>
      </c>
      <c r="FJ78" s="243">
        <f t="shared" ref="FJ78" si="449">+FI78</f>
        <v>2552.8999999999996</v>
      </c>
      <c r="FM78" t="s">
        <v>1432</v>
      </c>
      <c r="FN78" s="81">
        <v>0.01</v>
      </c>
    </row>
    <row r="79" spans="1:270"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P79" s="284"/>
      <c r="DQ79" s="284"/>
      <c r="DR79" s="284"/>
      <c r="DS79" s="284"/>
      <c r="DT79" s="284"/>
      <c r="DU79" s="284"/>
      <c r="DV79" s="284"/>
      <c r="DW79" s="284"/>
      <c r="DX79" s="284"/>
      <c r="DY79" s="284"/>
      <c r="DZ79" s="284"/>
      <c r="EA79" s="284"/>
      <c r="EB79" s="284"/>
      <c r="EC79" s="283">
        <v>2.2200000000000002</v>
      </c>
      <c r="ED79" s="283">
        <v>2.65</v>
      </c>
      <c r="EE79" s="283">
        <v>3.1</v>
      </c>
      <c r="EF79" s="283">
        <f>(EF76+356-225)/EF78</f>
        <v>3.3242807645576802</v>
      </c>
      <c r="EG79" s="283">
        <v>3.68</v>
      </c>
      <c r="EH79" s="283">
        <v>4.05</v>
      </c>
      <c r="EI79" s="283">
        <v>4.51</v>
      </c>
      <c r="EJ79" s="283">
        <v>4.49</v>
      </c>
      <c r="EK79" s="283">
        <v>4.75</v>
      </c>
      <c r="EL79" s="283">
        <v>5.36</v>
      </c>
      <c r="EM79" s="283">
        <v>5.81</v>
      </c>
      <c r="EN79" s="283">
        <v>6.25</v>
      </c>
      <c r="EO79" s="283">
        <v>6.68</v>
      </c>
      <c r="EP79" s="283">
        <v>7.28</v>
      </c>
      <c r="EQ79" s="284" t="s">
        <v>1309</v>
      </c>
      <c r="ER79" s="284"/>
      <c r="ES79" s="284"/>
      <c r="ET79" s="284"/>
      <c r="EU79" s="284"/>
      <c r="FK79" s="285"/>
      <c r="FM79" t="s">
        <v>1236</v>
      </c>
      <c r="FN79" s="81">
        <v>5.0000000000000001E-3</v>
      </c>
      <c r="FQ79" s="184"/>
      <c r="FR79" s="285"/>
      <c r="FS79" s="184"/>
      <c r="FT79" s="184"/>
      <c r="FU79" s="184"/>
      <c r="FV79"/>
      <c r="FW79"/>
    </row>
    <row r="80" spans="1:270"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P80" s="287"/>
      <c r="DQ80" s="287"/>
      <c r="DR80" s="287"/>
      <c r="DS80" s="287"/>
      <c r="DT80" s="287"/>
      <c r="DU80" s="287"/>
      <c r="DV80" s="287"/>
      <c r="DW80" s="287"/>
      <c r="DX80" s="287"/>
      <c r="DY80" s="287"/>
      <c r="DZ80" s="287"/>
      <c r="EA80" s="287"/>
      <c r="EB80" s="287"/>
      <c r="EC80" s="282"/>
      <c r="ED80" s="287"/>
      <c r="EE80" s="287"/>
      <c r="EF80" s="287"/>
      <c r="EG80" s="287"/>
      <c r="EH80" s="287"/>
      <c r="EI80" s="282"/>
      <c r="EJ80" s="282"/>
      <c r="EK80" s="282"/>
      <c r="EL80" s="282"/>
      <c r="EM80" s="282"/>
      <c r="EN80" s="287"/>
      <c r="EO80" s="287"/>
      <c r="EP80" s="287"/>
      <c r="EQ80" s="287"/>
      <c r="ER80" s="287"/>
      <c r="ES80" s="287"/>
      <c r="ET80" s="287"/>
      <c r="EU80" s="287"/>
      <c r="FM80" s="1" t="s">
        <v>1237</v>
      </c>
      <c r="FN80" s="223">
        <f>+FN81+(FN83*FN84)</f>
        <v>6.5500000000000003E-2</v>
      </c>
      <c r="FQ80"/>
      <c r="FR80" s="254"/>
      <c r="FS80"/>
      <c r="FT80"/>
      <c r="FU80"/>
      <c r="FV80" s="1"/>
      <c r="FW80" s="1"/>
    </row>
    <row r="81" spans="1:179" s="279" customFormat="1" ht="12.75" customHeight="1" x14ac:dyDescent="0.3">
      <c r="A81" s="1"/>
      <c r="B81" s="1" t="s">
        <v>346</v>
      </c>
      <c r="C81" s="282">
        <f>PV(11%,4,0,-EO77)*14</f>
        <v>62.667453175112655</v>
      </c>
      <c r="D81" s="282"/>
      <c r="E81" s="282"/>
      <c r="F81" s="282"/>
      <c r="G81" s="282"/>
      <c r="H81" s="288">
        <f t="shared" ref="H81:BB81" si="450">H65/D65-1</f>
        <v>1.4917514917514918E-2</v>
      </c>
      <c r="I81" s="288">
        <f t="shared" si="450"/>
        <v>2.4704618689581181E-2</v>
      </c>
      <c r="J81" s="288">
        <f t="shared" si="450"/>
        <v>0.13090586145648309</v>
      </c>
      <c r="K81" s="288">
        <f t="shared" si="450"/>
        <v>0.14784713816358286</v>
      </c>
      <c r="L81" s="288">
        <f t="shared" si="450"/>
        <v>0.18519799412069871</v>
      </c>
      <c r="M81" s="288">
        <f t="shared" si="450"/>
        <v>0.17907058001397624</v>
      </c>
      <c r="N81" s="288">
        <f t="shared" si="450"/>
        <v>8.0100518297471446E-2</v>
      </c>
      <c r="O81" s="288">
        <f t="shared" si="450"/>
        <v>0.1025911419102139</v>
      </c>
      <c r="P81" s="288">
        <f>P65/L65-1</f>
        <v>9.54187335862271E-2</v>
      </c>
      <c r="Q81" s="288">
        <f t="shared" si="450"/>
        <v>6.7417395169654837E-2</v>
      </c>
      <c r="R81" s="288">
        <f t="shared" si="450"/>
        <v>3.3590228297222691E-2</v>
      </c>
      <c r="S81" s="288">
        <f t="shared" si="450"/>
        <v>6.4489684383112422E-2</v>
      </c>
      <c r="T81" s="288">
        <f>T65/P65-1</f>
        <v>0.11108151305274383</v>
      </c>
      <c r="U81" s="288">
        <f t="shared" si="450"/>
        <v>0.14353137146029993</v>
      </c>
      <c r="V81" s="288">
        <f t="shared" si="450"/>
        <v>0.18218908272369161</v>
      </c>
      <c r="W81" s="288">
        <f t="shared" si="450"/>
        <v>0.12219227313566927</v>
      </c>
      <c r="X81" s="288">
        <f t="shared" si="450"/>
        <v>8.7628865979381354E-2</v>
      </c>
      <c r="Y81" s="288">
        <f t="shared" si="450"/>
        <v>0.10208788540907987</v>
      </c>
      <c r="Z81" s="288">
        <f t="shared" si="450"/>
        <v>0.11900511722004037</v>
      </c>
      <c r="AA81" s="288">
        <f t="shared" si="450"/>
        <v>0.12341301612718736</v>
      </c>
      <c r="AB81" s="288">
        <f t="shared" si="450"/>
        <v>0.13876336382673871</v>
      </c>
      <c r="AC81" s="288">
        <f t="shared" si="450"/>
        <v>0.15144839740059468</v>
      </c>
      <c r="AD81" s="288">
        <f t="shared" si="450"/>
        <v>0.21120918855684345</v>
      </c>
      <c r="AE81" s="288">
        <f t="shared" si="450"/>
        <v>0.22011810221950734</v>
      </c>
      <c r="AF81" s="288">
        <f t="shared" si="450"/>
        <v>0.15098722415795596</v>
      </c>
      <c r="AG81" s="288">
        <f t="shared" si="450"/>
        <v>0.1051272240290797</v>
      </c>
      <c r="AH81" s="288">
        <f t="shared" si="450"/>
        <v>0.11967688120115905</v>
      </c>
      <c r="AI81" s="288">
        <f t="shared" si="450"/>
        <v>7.0761014686248291E-2</v>
      </c>
      <c r="AJ81" s="288">
        <f t="shared" si="450"/>
        <v>7.3158425832492435E-2</v>
      </c>
      <c r="AK81" s="288">
        <f t="shared" si="450"/>
        <v>6.552410629273786E-2</v>
      </c>
      <c r="AL81" s="288">
        <f t="shared" si="450"/>
        <v>-1.1135508155583396E-2</v>
      </c>
      <c r="AM81" s="288">
        <f t="shared" si="450"/>
        <v>1.2468827930174564E-2</v>
      </c>
      <c r="AN81" s="288">
        <f t="shared" si="450"/>
        <v>4.7092932142297483E-2</v>
      </c>
      <c r="AO81" s="288">
        <f t="shared" si="450"/>
        <v>7.9366368805848797E-2</v>
      </c>
      <c r="AP81" s="288">
        <f t="shared" si="450"/>
        <v>8.5011895321173592E-2</v>
      </c>
      <c r="AQ81" s="288">
        <f t="shared" si="450"/>
        <v>0.16125307881773399</v>
      </c>
      <c r="AR81" s="288">
        <f t="shared" si="450"/>
        <v>0.13312878844570819</v>
      </c>
      <c r="AS81" s="289">
        <f t="shared" si="450"/>
        <v>0.12944983818770228</v>
      </c>
      <c r="AT81" s="289">
        <f t="shared" si="450"/>
        <v>0.16627686010817122</v>
      </c>
      <c r="AU81" s="289">
        <f t="shared" si="450"/>
        <v>7.3374428315768458E-2</v>
      </c>
      <c r="AV81" s="289">
        <f t="shared" si="450"/>
        <v>8.6382248051776411E-2</v>
      </c>
      <c r="AW81" s="289">
        <f t="shared" si="450"/>
        <v>6.0904911041513854E-2</v>
      </c>
      <c r="AX81" s="289">
        <f>AX65/AT65-1</f>
        <v>-4.8568026571410683E-2</v>
      </c>
      <c r="AY81" s="289">
        <f t="shared" si="450"/>
        <v>-7.2125478572310775E-2</v>
      </c>
      <c r="AZ81" s="289">
        <f t="shared" si="450"/>
        <v>-7.3617021276595751E-2</v>
      </c>
      <c r="BA81" s="289">
        <f>BA65/AW65-1</f>
        <v>-5.27605049934049E-2</v>
      </c>
      <c r="BB81" s="289">
        <f t="shared" si="450"/>
        <v>9.017257278355939E-2</v>
      </c>
      <c r="BC81" s="289">
        <f>BC65/AY65-1</f>
        <v>4.026354319180081E-2</v>
      </c>
      <c r="BD81" s="289">
        <f>BD65/AZ65-1</f>
        <v>9.8431655620447867E-3</v>
      </c>
      <c r="BE81" s="289">
        <f t="shared" ref="BE81:BG81" si="451">BE65/BA65-1</f>
        <v>-6.5645514223194867E-3</v>
      </c>
      <c r="BF81" s="289">
        <f t="shared" si="451"/>
        <v>-5.4800314180412091E-2</v>
      </c>
      <c r="BG81" s="289">
        <f t="shared" si="451"/>
        <v>8.5407203633804718E-2</v>
      </c>
      <c r="BH81" s="289">
        <f>BH65/BD65-1</f>
        <v>7.8497628175969947E-2</v>
      </c>
      <c r="BI81" s="289">
        <f>BI65/BE65-1</f>
        <v>6.8281938325991165E-2</v>
      </c>
      <c r="BJ81" s="289">
        <f t="shared" ref="BJ81" si="452">BJ65/BF65-1</f>
        <v>0.20308105343901817</v>
      </c>
      <c r="BK81" s="289">
        <f>BK65/BG65-1</f>
        <v>-4.8744547919368109E-2</v>
      </c>
      <c r="BL81" s="289">
        <f>BL65/BH65-1</f>
        <v>1.7473037295896443E-3</v>
      </c>
      <c r="BM81" s="289">
        <f>BM65/BI65-1</f>
        <v>7.4101843174008142E-2</v>
      </c>
      <c r="BN81" s="289">
        <f>BN65/BJ65-1</f>
        <v>-5.4726103820200822E-2</v>
      </c>
      <c r="BO81" s="289">
        <f t="shared" ref="BO81:BR81" si="453">BO65/BK65-1</f>
        <v>8.7304046099510479E-2</v>
      </c>
      <c r="BP81" s="289">
        <f t="shared" si="453"/>
        <v>7.8611812823288885E-2</v>
      </c>
      <c r="BQ81" s="289">
        <f t="shared" si="453"/>
        <v>2.60601477517306E-2</v>
      </c>
      <c r="BR81" s="289">
        <f t="shared" si="453"/>
        <v>3.7097408802203358E-2</v>
      </c>
      <c r="BS81" s="289">
        <f>BS65/BO65-1</f>
        <v>3.8237975837702276E-2</v>
      </c>
      <c r="BT81" s="289">
        <f t="shared" ref="BT81" si="454">BT65/BP65-1</f>
        <v>8.7101990743322366E-2</v>
      </c>
      <c r="BU81" s="289">
        <f t="shared" ref="BU81" si="455">BU65/BQ65-1</f>
        <v>4.6941436589375884E-2</v>
      </c>
      <c r="BV81" s="289">
        <f t="shared" ref="BV81" si="456">BV65/BR65-1</f>
        <v>-1.0676928079778825E-2</v>
      </c>
      <c r="BW81" s="289">
        <f t="shared" ref="BW81" si="457">BW65/BS65-1</f>
        <v>-4.6380152587957579E-2</v>
      </c>
      <c r="BX81" s="289">
        <f t="shared" ref="BX81" si="458">BX65/BT65-1</f>
        <v>-8.7612208258527779E-2</v>
      </c>
      <c r="BY81" s="289">
        <f t="shared" ref="BY81" si="459">BY65/BU65-1</f>
        <v>-7.3915633291817828E-2</v>
      </c>
      <c r="BZ81" s="289">
        <f t="shared" ref="BZ81" si="460">BZ65/BV65-1</f>
        <v>-2.4268653445820076E-2</v>
      </c>
      <c r="CA81" s="289">
        <f t="shared" ref="CA81:CH81" si="461">CA65/BW65-1</f>
        <v>6.2161851041786509E-3</v>
      </c>
      <c r="CB81" s="289">
        <f t="shared" si="461"/>
        <v>3.9073480631922175E-2</v>
      </c>
      <c r="CC81" s="289">
        <f t="shared" si="461"/>
        <v>4.1983393755116394E-2</v>
      </c>
      <c r="CD81" s="289">
        <f t="shared" si="461"/>
        <v>1.6562798270731482E-2</v>
      </c>
      <c r="CE81" s="289">
        <f t="shared" si="461"/>
        <v>1.6245280860313516E-2</v>
      </c>
      <c r="CF81" s="289">
        <f t="shared" si="461"/>
        <v>1.9316091332106877E-2</v>
      </c>
      <c r="CG81" s="289">
        <f t="shared" si="461"/>
        <v>0.10269360269360273</v>
      </c>
      <c r="CH81" s="289">
        <f t="shared" si="461"/>
        <v>0.11537611841378559</v>
      </c>
      <c r="CI81" s="289">
        <f t="shared" ref="CI81:CO81" si="462">+CI65/CE65-1</f>
        <v>0.12625239220983908</v>
      </c>
      <c r="CJ81" s="289">
        <f t="shared" si="462"/>
        <v>0.10568501512819162</v>
      </c>
      <c r="CK81" s="289">
        <f t="shared" si="462"/>
        <v>3.5521628498727642E-2</v>
      </c>
      <c r="CL81" s="289">
        <f t="shared" si="462"/>
        <v>9.8539242386730397E-3</v>
      </c>
      <c r="CM81" s="289">
        <f t="shared" si="462"/>
        <v>5.9973012144531879E-4</v>
      </c>
      <c r="CN81" s="289">
        <f t="shared" si="462"/>
        <v>-1.2770043206913106E-2</v>
      </c>
      <c r="CO81" s="289">
        <f t="shared" si="462"/>
        <v>1.867505405936698E-2</v>
      </c>
      <c r="CP81" s="289">
        <f t="shared" ref="CP81" si="463">+CP65/CL65-1</f>
        <v>1.7161910365793842E-2</v>
      </c>
      <c r="CQ81" s="289">
        <f t="shared" ref="CQ81:CU81" si="464">+CQ65/CM65-1</f>
        <v>3.3414914339943147E-2</v>
      </c>
      <c r="CR81" s="289">
        <f t="shared" si="464"/>
        <v>-0.10824742268041232</v>
      </c>
      <c r="CS81" s="289">
        <f t="shared" si="464"/>
        <v>1.7078348128135801E-2</v>
      </c>
      <c r="CT81" s="289">
        <f>+CT65/CP65-1</f>
        <v>8.3494022367913701E-2</v>
      </c>
      <c r="CU81" s="289">
        <f t="shared" si="464"/>
        <v>7.8830352827452765E-2</v>
      </c>
      <c r="CV81" s="289">
        <f t="shared" ref="CV81" si="465">+CV65/CR65-1</f>
        <v>0.27827462100556222</v>
      </c>
      <c r="CW81" s="289">
        <f t="shared" ref="CW81:CX81" si="466">+CW65/CS65-1</f>
        <v>0.10686841855611418</v>
      </c>
      <c r="CX81" s="289">
        <f t="shared" si="466"/>
        <v>0.10686954974194696</v>
      </c>
      <c r="CY81" s="289">
        <f>+CY65/CU65-1</f>
        <v>5.3895434792347929E-2</v>
      </c>
      <c r="CZ81" s="289">
        <f t="shared" ref="CZ81:DG81" si="467">+CZ65/CV65-1</f>
        <v>2.9350283690968926E-2</v>
      </c>
      <c r="DA81" s="289">
        <f t="shared" si="467"/>
        <v>2.6226698092993272E-2</v>
      </c>
      <c r="DB81" s="289">
        <f>+DB65/CX65-1</f>
        <v>-4.0155961090119763E-2</v>
      </c>
      <c r="DC81" s="289">
        <f t="shared" si="467"/>
        <v>-0.11180071416425774</v>
      </c>
      <c r="DD81" s="289">
        <f t="shared" si="467"/>
        <v>6.1958638982137604E-2</v>
      </c>
      <c r="DE81" s="289">
        <f t="shared" si="467"/>
        <v>-0.10842694283208754</v>
      </c>
      <c r="DF81" s="289">
        <f t="shared" si="467"/>
        <v>-0.10398257883495954</v>
      </c>
      <c r="DG81" s="289">
        <f t="shared" si="467"/>
        <v>2.3355987364793718E-2</v>
      </c>
      <c r="DH81" s="289">
        <f t="shared" ref="DH81" si="468">+DH65/DD65-1</f>
        <v>-0.12375117077739617</v>
      </c>
      <c r="DI81" s="289">
        <f t="shared" ref="DI81" si="469">+DI65/DE65-1</f>
        <v>5.246247160488049E-2</v>
      </c>
      <c r="DJ81" s="289">
        <f t="shared" ref="DJ81" si="470">+DJ65/DF65-1</f>
        <v>5.2579921480650604E-2</v>
      </c>
      <c r="DK81" s="289">
        <f t="shared" ref="DK81" si="471">+DK65/DG65-1</f>
        <v>2.3945374614161352E-2</v>
      </c>
      <c r="DL81" s="289">
        <f t="shared" ref="DL81" si="472">+DL65/DH65-1</f>
        <v>-1.4542822785373999E-2</v>
      </c>
      <c r="DM81" s="289">
        <f t="shared" ref="DM81" si="473">+DM65/DI65-1</f>
        <v>-1.3736215321353051E-2</v>
      </c>
      <c r="DN81" s="289">
        <f t="shared" ref="DN81" si="474">+DN65/DJ65-1</f>
        <v>-2.6845166733271419E-2</v>
      </c>
      <c r="DP81" s="245"/>
      <c r="DQ81" s="245">
        <f t="shared" ref="DQ81:EQ81" si="475">DQ65/DP65-1</f>
        <v>0.15117351644972832</v>
      </c>
      <c r="DR81" s="245">
        <f t="shared" si="475"/>
        <v>0.10817307692307687</v>
      </c>
      <c r="DS81" s="245">
        <f t="shared" si="475"/>
        <v>0.10492488149754964</v>
      </c>
      <c r="DT81" s="245">
        <f t="shared" si="475"/>
        <v>2.7993892241692686E-2</v>
      </c>
      <c r="DU81" s="245">
        <f t="shared" si="475"/>
        <v>0.11288725420851597</v>
      </c>
      <c r="DV81" s="245">
        <f t="shared" si="475"/>
        <v>0.19753400279649158</v>
      </c>
      <c r="DW81" s="245">
        <f t="shared" si="475"/>
        <v>0.14743657785797692</v>
      </c>
      <c r="DX81" s="245">
        <f t="shared" si="475"/>
        <v>4.6669750231267404E-2</v>
      </c>
      <c r="DY81" s="245">
        <f t="shared" si="475"/>
        <v>4.542843254231288E-2</v>
      </c>
      <c r="DZ81" s="245">
        <f t="shared" si="475"/>
        <v>0.16122078031872178</v>
      </c>
      <c r="EA81" s="245">
        <f t="shared" si="475"/>
        <v>6.071857595282304E-2</v>
      </c>
      <c r="EB81" s="245">
        <f t="shared" si="475"/>
        <v>0.13264010432753359</v>
      </c>
      <c r="EC81" s="245">
        <f t="shared" si="475"/>
        <v>0.11840685977457288</v>
      </c>
      <c r="ED81" s="245">
        <f t="shared" si="475"/>
        <v>0.14774368157694395</v>
      </c>
      <c r="EE81" s="245">
        <f t="shared" si="475"/>
        <v>0.13576173009106474</v>
      </c>
      <c r="EF81" s="245">
        <f t="shared" si="475"/>
        <v>2.870087495064122E-2</v>
      </c>
      <c r="EG81" s="245">
        <f t="shared" si="475"/>
        <v>7.729605236575221E-2</v>
      </c>
      <c r="EH81" s="245">
        <f t="shared" si="475"/>
        <v>0.14573175305678499</v>
      </c>
      <c r="EI81" s="245">
        <f>EI65/EH65-1</f>
        <v>4.3407807512889862E-2</v>
      </c>
      <c r="EJ81" s="245">
        <f>EJ65/EI65-1</f>
        <v>-2.902097353600952E-2</v>
      </c>
      <c r="EK81" s="245">
        <f t="shared" si="475"/>
        <v>-7.1408953584179979E-3</v>
      </c>
      <c r="EL81" s="245">
        <f t="shared" si="475"/>
        <v>5.817264665202182E-2</v>
      </c>
      <c r="EM81" s="245">
        <f t="shared" si="475"/>
        <v>4.178071659234206E-2</v>
      </c>
      <c r="EN81" s="245">
        <f t="shared" si="475"/>
        <v>5.2622256336073869E-2</v>
      </c>
      <c r="EO81" s="245">
        <f t="shared" si="475"/>
        <v>5.5186013574153092E-2</v>
      </c>
      <c r="EP81" s="245">
        <f t="shared" si="475"/>
        <v>1.0956896863912657E-2</v>
      </c>
      <c r="EQ81" s="245">
        <f t="shared" si="475"/>
        <v>-7.3837523337225819E-2</v>
      </c>
      <c r="ER81" s="245">
        <f t="shared" ref="ER81" si="476">ER65/EQ65-1</f>
        <v>8.5090661621805008E-2</v>
      </c>
      <c r="ES81" s="245">
        <f t="shared" ref="ES81" si="477">ES65/ER65-1</f>
        <v>6.7115761935905738E-2</v>
      </c>
      <c r="ET81" s="245">
        <f t="shared" ref="ET81" si="478">ET65/ES65-1</f>
        <v>5.8346919013005927E-3</v>
      </c>
      <c r="EU81" s="245">
        <f t="shared" ref="EU81" si="479">EU65/ET65-1</f>
        <v>6.4467382429287401E-3</v>
      </c>
      <c r="EV81" s="245">
        <f t="shared" ref="EV81" si="480">EV65/EU65-1</f>
        <v>0.14061705373792166</v>
      </c>
      <c r="EW81" s="245">
        <f t="shared" ref="EW81" si="481">EW65/EV65-1</f>
        <v>1.2462977313984158E-2</v>
      </c>
      <c r="EX81" s="245">
        <f t="shared" ref="EX81" si="482">EX65/EW65-1</f>
        <v>2.2393706814297643E-2</v>
      </c>
      <c r="EY81" s="245">
        <f t="shared" ref="EY81" si="483">EY65/EX65-1</f>
        <v>3.3154290863420366E-2</v>
      </c>
      <c r="EZ81" s="245">
        <f>EZ65/(EY65-EY64)-1</f>
        <v>4.2162114339328038E-3</v>
      </c>
      <c r="FA81" s="245">
        <f t="shared" ref="FA81" si="484">FA65/EZ65-1</f>
        <v>-6.4483257090405699E-2</v>
      </c>
      <c r="FB81" s="245">
        <f t="shared" ref="FB81" si="485">FB65/FA65-1</f>
        <v>1.3869203669583552E-2</v>
      </c>
      <c r="FC81" s="245">
        <f t="shared" ref="FC81" si="486">FC65/FB65-1</f>
        <v>3.3249654821278618E-2</v>
      </c>
      <c r="FD81" s="245">
        <f t="shared" ref="FD81" si="487">FD65/FC65-1</f>
        <v>3.3550920165166254E-3</v>
      </c>
      <c r="FE81" s="245">
        <f t="shared" ref="FE81" si="488">FE65/FD65-1</f>
        <v>1.2811701493640637E-2</v>
      </c>
      <c r="FF81" s="245">
        <f t="shared" ref="FF81" si="489">FF65/FE65-1</f>
        <v>-4.930162038187802E-2</v>
      </c>
      <c r="FG81" s="245">
        <f t="shared" ref="FG81" si="490">FG65/FF65-1</f>
        <v>7.0026394490005917E-3</v>
      </c>
      <c r="FH81" s="245">
        <f t="shared" ref="FH81" si="491">FH65/FG65-1</f>
        <v>1.5311919926597861E-2</v>
      </c>
      <c r="FI81" s="245">
        <f t="shared" ref="FI81" si="492">FI65/FH65-1</f>
        <v>1.7828313631901738E-2</v>
      </c>
      <c r="FJ81" s="245">
        <f t="shared" ref="FJ81" si="493">FJ65/FI65-1</f>
        <v>-0.32223967223106864</v>
      </c>
      <c r="FM81" t="s">
        <v>1436</v>
      </c>
      <c r="FN81" s="81">
        <v>0.02</v>
      </c>
      <c r="FQ81" s="290"/>
      <c r="FR81" s="290"/>
      <c r="FS81" s="291"/>
      <c r="FT81"/>
      <c r="FU81" s="291"/>
      <c r="FV81" s="290"/>
      <c r="FW81" s="290"/>
    </row>
    <row r="82" spans="1:179"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c r="DM82" s="289"/>
      <c r="DN82" s="289"/>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M82"/>
      <c r="FN82" s="81"/>
      <c r="FQ82" s="290"/>
      <c r="FR82" s="290"/>
      <c r="FS82" s="291"/>
      <c r="FT82"/>
      <c r="FU82" s="291"/>
      <c r="FV82" s="290"/>
      <c r="FW82" s="290"/>
    </row>
    <row r="83" spans="1:179"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94">+BD69/AZ69-1</f>
        <v>6.1050061050060833E-3</v>
      </c>
      <c r="BE83" s="288">
        <f t="shared" ref="BE83" si="495">+BE69/BA69-1</f>
        <v>2.4737167594310439E-2</v>
      </c>
      <c r="BF83" s="288">
        <f t="shared" ref="BF83" si="496">+BF69/BB69-1</f>
        <v>-0.10438319023949394</v>
      </c>
      <c r="BG83" s="288">
        <f t="shared" ref="BG83" si="497">+BG69/BC69-1</f>
        <v>0.11624919717405269</v>
      </c>
      <c r="BH83" s="288">
        <f t="shared" ref="BH83:BL83" si="498">+BH69/BD69-1</f>
        <v>0.14199029126213603</v>
      </c>
      <c r="BI83" s="288">
        <f t="shared" si="498"/>
        <v>7.0006035003017608E-2</v>
      </c>
      <c r="BJ83" s="288">
        <f t="shared" si="498"/>
        <v>8.7285570131180545E-2</v>
      </c>
      <c r="BK83" s="288">
        <f t="shared" si="498"/>
        <v>-5.3509781357882646E-2</v>
      </c>
      <c r="BL83" s="288">
        <f t="shared" si="498"/>
        <v>-6.1636556854410163E-2</v>
      </c>
      <c r="BM83" s="288">
        <f>+BM69/BI69-1</f>
        <v>8.4602368866328215E-2</v>
      </c>
      <c r="BN83" s="288">
        <f t="shared" ref="BN83:BR83" si="499">+BN69/BJ69-1</f>
        <v>8.1670533642691501E-2</v>
      </c>
      <c r="BO83" s="288">
        <f t="shared" si="499"/>
        <v>8.44984802431612E-2</v>
      </c>
      <c r="BP83" s="288">
        <f t="shared" si="499"/>
        <v>0.10192525481313708</v>
      </c>
      <c r="BQ83" s="288">
        <f t="shared" si="499"/>
        <v>6.1882475299011919E-2</v>
      </c>
      <c r="BR83" s="288">
        <f t="shared" si="499"/>
        <v>3.4320034320034276E-2</v>
      </c>
      <c r="BS83" s="288">
        <f>+BS69/BO69-1</f>
        <v>2.6345291479820565E-2</v>
      </c>
      <c r="BT83" s="288">
        <f t="shared" ref="BT83" si="500">+BT69/BP69-1</f>
        <v>3.0318602261048211E-2</v>
      </c>
      <c r="BU83" s="288">
        <f t="shared" ref="BU83" si="501">+BU69/BQ69-1</f>
        <v>-9.3046033300685504E-3</v>
      </c>
      <c r="BV83" s="288">
        <f t="shared" ref="BV83" si="502">+BV69/BR69-1</f>
        <v>9.2907507258398914E-2</v>
      </c>
      <c r="BW83" s="288">
        <f t="shared" ref="BW83" si="503">+BW69/BS69-1</f>
        <v>3.713817586018564E-2</v>
      </c>
      <c r="BX83" s="288">
        <f t="shared" ref="BX83" si="504">+BX69/BT69-1</f>
        <v>6.1845386533665891E-2</v>
      </c>
      <c r="BY83" s="288">
        <f t="shared" ref="BY83" si="505">+BY69/BU69-1</f>
        <v>6.4755313890261901E-2</v>
      </c>
      <c r="BZ83" s="288">
        <f t="shared" ref="BZ83" si="506">+BZ69/BV69-1</f>
        <v>8.6907020872865282E-2</v>
      </c>
      <c r="CA83" s="288">
        <f t="shared" ref="CA83" si="507">+CA69/BW69-1</f>
        <v>6.0031595576619301E-2</v>
      </c>
      <c r="CB83" s="288">
        <f t="shared" ref="CB83" si="508">+CB69/BX69-1</f>
        <v>6.3410051667449396E-2</v>
      </c>
      <c r="CC83" s="288">
        <f t="shared" ref="CC83" si="509">+CC69/BY69-1</f>
        <v>1.1142061281337101E-2</v>
      </c>
      <c r="CD83" s="288">
        <f t="shared" ref="CD83" si="510">+CD69/BZ69-1</f>
        <v>-7.8212290502793325E-2</v>
      </c>
      <c r="CE83" s="288">
        <f t="shared" ref="CE83" si="511">+CE69/CA69-1</f>
        <v>2.3348236462990668E-2</v>
      </c>
      <c r="CF83" s="288">
        <f t="shared" ref="CF83" si="512">+CF69/CB69-1</f>
        <v>9.2756183745583698E-3</v>
      </c>
      <c r="CG83" s="288">
        <f t="shared" ref="CG83" si="513">+CG69/CC69-1</f>
        <v>0.18181818181818188</v>
      </c>
      <c r="CH83" s="288">
        <f t="shared" ref="CH83" si="514">+CH69/CD69-1</f>
        <v>0.37689393939393945</v>
      </c>
      <c r="CI83" s="288">
        <f t="shared" ref="CI83" si="515">+CI69/CE69-1</f>
        <v>0.16699029126213594</v>
      </c>
      <c r="CJ83" s="288">
        <f t="shared" ref="CJ83" si="516">+CJ69/CF69-1</f>
        <v>0.15492341356673967</v>
      </c>
      <c r="CK83" s="288">
        <f t="shared" ref="CK83" si="517">+CK69/CG69-1</f>
        <v>-2.5641025641025661E-2</v>
      </c>
      <c r="CL83" s="288">
        <f t="shared" ref="CL83" si="518">+CL69/CH69-1</f>
        <v>-0.1130674002751032</v>
      </c>
      <c r="CM83" s="288">
        <f t="shared" ref="CM83:CO83" si="519">+CM69/CI69-1</f>
        <v>0.18885191347753749</v>
      </c>
      <c r="CN83" s="288">
        <f t="shared" si="519"/>
        <v>1.0231148162182624E-2</v>
      </c>
      <c r="CO83" s="288">
        <f t="shared" si="519"/>
        <v>3.6283891547049363E-2</v>
      </c>
      <c r="CP83" s="288">
        <f t="shared" ref="CP83" si="520">+CP69/CL69-1</f>
        <v>2.4813895781636841E-3</v>
      </c>
      <c r="CQ83" s="288">
        <f t="shared" ref="CQ83" si="521">+CQ69/CM69-1</f>
        <v>-9.7270818754373711E-2</v>
      </c>
      <c r="CR83" s="288">
        <f t="shared" ref="CR83" si="522">+CR69/CN69-1</f>
        <v>1.5378844711177786E-2</v>
      </c>
      <c r="CS83" s="288">
        <f t="shared" ref="CS83" si="523">+CS69/CO69-1</f>
        <v>9.2727972297037331E-2</v>
      </c>
      <c r="CT83" s="288">
        <f t="shared" ref="CT83" si="524">+CT69/CP69-1</f>
        <v>0.24752475247524752</v>
      </c>
      <c r="CU83" s="288">
        <f t="shared" ref="CU83" si="525">+CU69/CQ69-1</f>
        <v>0.23178294573643421</v>
      </c>
      <c r="CV83" s="288">
        <f t="shared" ref="CV83" si="526">+CV69/CR69-1</f>
        <v>0.24270410048023638</v>
      </c>
      <c r="CW83" s="288">
        <f t="shared" ref="CW83:CX83" si="527">+CW69/CS69-1</f>
        <v>0.20492957746478879</v>
      </c>
      <c r="CX83" s="288">
        <f t="shared" si="527"/>
        <v>0.17063492063492069</v>
      </c>
      <c r="CY83" s="288">
        <f>+CY69/CU69-1</f>
        <v>8.9364380113278852E-2</v>
      </c>
      <c r="CZ83" s="288">
        <f t="shared" ref="CZ83:DJ83" si="528">+CZ69/CV69-1</f>
        <v>5.6480380499405403E-2</v>
      </c>
      <c r="DA83" s="288">
        <f t="shared" si="528"/>
        <v>5.1139684395090645E-2</v>
      </c>
      <c r="DB83" s="288">
        <f t="shared" si="528"/>
        <v>-0.22012711864406775</v>
      </c>
      <c r="DC83" s="288">
        <f t="shared" si="528"/>
        <v>-2.021952628538437E-3</v>
      </c>
      <c r="DD83" s="288">
        <f t="shared" si="528"/>
        <v>7.7377602701181658E-2</v>
      </c>
      <c r="DE83" s="288">
        <f t="shared" si="528"/>
        <v>-6.0884070058382034E-2</v>
      </c>
      <c r="DF83" s="288">
        <f t="shared" si="528"/>
        <v>0.20211898940505302</v>
      </c>
      <c r="DG83" s="288">
        <f t="shared" si="528"/>
        <v>1.013024602026058E-2</v>
      </c>
      <c r="DH83" s="288">
        <f t="shared" si="528"/>
        <v>-0.10159310524941234</v>
      </c>
      <c r="DI83" s="288">
        <f t="shared" si="528"/>
        <v>0.44908229721728832</v>
      </c>
      <c r="DJ83" s="288">
        <f t="shared" si="528"/>
        <v>0.19028248587570618</v>
      </c>
      <c r="DK83" s="288">
        <f t="shared" ref="DK83" si="529">+DK69/DG69-1</f>
        <v>-7.7650429799426934E-2</v>
      </c>
      <c r="DL83" s="288">
        <f t="shared" ref="DL83" si="530">+DL69/DH69-1</f>
        <v>-1</v>
      </c>
      <c r="DM83" s="288">
        <f t="shared" ref="DM83" si="531">+DM69/DI69-1</f>
        <v>-1</v>
      </c>
      <c r="DN83" s="288">
        <f t="shared" ref="DN83" si="532">+DN69/DJ69-1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33">EK69/EJ69-1</f>
        <v>-2.0326367019753766E-2</v>
      </c>
      <c r="EL83" s="246">
        <f t="shared" si="533"/>
        <v>0.10286382232612512</v>
      </c>
      <c r="EM83" s="246">
        <f t="shared" si="533"/>
        <v>1.5500794912559623E-2</v>
      </c>
      <c r="EN83" s="246">
        <f>EN69/EM69-1</f>
        <v>6.7579908675799105E-2</v>
      </c>
      <c r="EO83" s="246">
        <f t="shared" ref="EO83:EY83" si="534">EO69/EN69-1</f>
        <v>-0.63338628864719548</v>
      </c>
      <c r="EP83" s="246">
        <f t="shared" si="534"/>
        <v>0</v>
      </c>
      <c r="EQ83" s="246">
        <f t="shared" si="534"/>
        <v>0</v>
      </c>
      <c r="ER83" s="246">
        <f t="shared" si="534"/>
        <v>-1</v>
      </c>
      <c r="ES83" s="246" t="e">
        <f t="shared" si="534"/>
        <v>#DIV/0!</v>
      </c>
      <c r="ET83" s="246">
        <f t="shared" si="534"/>
        <v>5.382830626450108E-2</v>
      </c>
      <c r="EU83" s="246">
        <f t="shared" si="534"/>
        <v>7.080581241743733E-2</v>
      </c>
      <c r="EV83" s="246">
        <f t="shared" si="534"/>
        <v>0.20766510403816096</v>
      </c>
      <c r="EW83" s="246">
        <f t="shared" si="534"/>
        <v>-2.6559520566603156E-2</v>
      </c>
      <c r="EX83" s="246">
        <f t="shared" si="534"/>
        <v>-0.7901217293969498</v>
      </c>
      <c r="EY83" s="246">
        <f t="shared" si="534"/>
        <v>0</v>
      </c>
      <c r="EZ83" s="246"/>
      <c r="FA83" s="246"/>
      <c r="FB83" s="246"/>
      <c r="FC83" s="246"/>
      <c r="FD83" s="246"/>
      <c r="FE83" s="246"/>
      <c r="FF83" s="246"/>
      <c r="FG83" s="246"/>
      <c r="FH83" s="246"/>
      <c r="FI83" s="246"/>
      <c r="FJ83" s="246"/>
      <c r="FM83" t="s">
        <v>1437</v>
      </c>
      <c r="FN83" s="81">
        <v>6.5000000000000002E-2</v>
      </c>
      <c r="FQ83" s="291"/>
      <c r="FR83" s="291"/>
      <c r="FS83" s="291"/>
      <c r="FT83"/>
      <c r="FU83" s="291"/>
      <c r="FV83" s="291"/>
      <c r="FW83" s="291"/>
    </row>
    <row r="84" spans="1:179"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35">BD68/AZ68-1</f>
        <v>-8.5470085470085166E-3</v>
      </c>
      <c r="BE84" s="288">
        <f t="shared" si="535"/>
        <v>-1.2166981329976956E-2</v>
      </c>
      <c r="BF84" s="288">
        <f t="shared" si="535"/>
        <v>-7.9765500088825769E-2</v>
      </c>
      <c r="BG84" s="288">
        <f t="shared" si="535"/>
        <v>5.7961916718978879E-2</v>
      </c>
      <c r="BH84" s="288">
        <f t="shared" si="535"/>
        <v>9.6509671993271651E-2</v>
      </c>
      <c r="BI84" s="288">
        <f t="shared" si="535"/>
        <v>0.11276279464854544</v>
      </c>
      <c r="BJ84" s="288">
        <f t="shared" si="535"/>
        <v>5.3667953667953627E-2</v>
      </c>
      <c r="BK84" s="288">
        <f t="shared" si="535"/>
        <v>-8.1091772151898889E-3</v>
      </c>
      <c r="BL84" s="288">
        <f t="shared" si="535"/>
        <v>-4.7938638542665335E-2</v>
      </c>
      <c r="BM84" s="288">
        <f>BM68/BI68-1</f>
        <v>-2.2900763358778553E-3</v>
      </c>
      <c r="BN84" s="288">
        <f t="shared" ref="BN84:BR84" si="536">BN68/BJ68-1</f>
        <v>3.7193111029681258E-2</v>
      </c>
      <c r="BO84" s="288">
        <f t="shared" si="536"/>
        <v>4.1475573280159495E-2</v>
      </c>
      <c r="BP84" s="288">
        <f t="shared" si="536"/>
        <v>7.2507552870091363E-3</v>
      </c>
      <c r="BQ84" s="288">
        <f t="shared" si="536"/>
        <v>1.6449885233358774E-2</v>
      </c>
      <c r="BR84" s="288">
        <f t="shared" si="536"/>
        <v>4.5221692280515757E-2</v>
      </c>
      <c r="BS84" s="288">
        <f>BS68/BO68-1</f>
        <v>-7.6584338502776461E-3</v>
      </c>
      <c r="BT84" s="288">
        <f t="shared" ref="BT84" si="537">BT68/BP68-1</f>
        <v>9.5980803839232243E-2</v>
      </c>
      <c r="BU84" s="288">
        <f t="shared" ref="BU84" si="538">BU68/BQ68-1</f>
        <v>2.8980052691004898E-2</v>
      </c>
      <c r="BV84" s="288">
        <f t="shared" ref="BV84" si="539">BV68/BR68-1</f>
        <v>-1.6055433496704463E-2</v>
      </c>
      <c r="BW84" s="288">
        <f t="shared" ref="BW84" si="540">BW68/BS68-1</f>
        <v>-6.4827320084892892E-2</v>
      </c>
      <c r="BX84" s="288">
        <f t="shared" ref="BX84" si="541">BX68/BT68-1</f>
        <v>-1.7697500456121174E-2</v>
      </c>
      <c r="BY84" s="288">
        <f t="shared" ref="BY84" si="542">BY68/BU68-1</f>
        <v>-7.0775420629114905E-2</v>
      </c>
      <c r="BZ84" s="288">
        <f t="shared" ref="BZ84" si="543">BZ68/BV68-1</f>
        <v>1.1851597389213264E-2</v>
      </c>
      <c r="CA84" s="288">
        <f t="shared" ref="CA84" si="544">CA68/BW68-1</f>
        <v>-3.2803796162574783E-2</v>
      </c>
      <c r="CB84" s="288">
        <f t="shared" ref="CB84" si="545">CB68/BX68-1</f>
        <v>-3.8632986627043064E-2</v>
      </c>
      <c r="CC84" s="288">
        <f t="shared" ref="CC84" si="546">CC68/BY68-1</f>
        <v>-6.0814800236174027E-2</v>
      </c>
      <c r="CD84" s="288">
        <f t="shared" ref="CD84" si="547">CD68/BZ68-1</f>
        <v>-9.8794771685622118E-2</v>
      </c>
      <c r="CE84" s="288">
        <f t="shared" ref="CE84" si="548">CE68/CA68-1</f>
        <v>1.0452218430034188E-2</v>
      </c>
      <c r="CF84" s="288">
        <f t="shared" ref="CF84" si="549">CF68/CB68-1</f>
        <v>1.6615146831530092E-2</v>
      </c>
      <c r="CG84" s="288">
        <f t="shared" ref="CG84" si="550">CG68/CC68-1</f>
        <v>0.13076278290025156</v>
      </c>
      <c r="CH84" s="288">
        <f t="shared" ref="CH84" si="551">CH68/CD68-1</f>
        <v>0.13486532303635346</v>
      </c>
      <c r="CI84" s="288">
        <f t="shared" ref="CI84" si="552">CI68/CE68-1</f>
        <v>0.1110407430863416</v>
      </c>
      <c r="CJ84" s="288">
        <f t="shared" ref="CJ84" si="553">CJ68/CF68-1</f>
        <v>9.1410110224249275E-2</v>
      </c>
      <c r="CK84" s="288">
        <f t="shared" ref="CK84" si="554">CK68/CG68-1</f>
        <v>-0.17383246849518164</v>
      </c>
      <c r="CL84" s="288">
        <f t="shared" ref="CL84" si="555">CL68/CH68-1</f>
        <v>-0.18373443983402493</v>
      </c>
      <c r="CM84" s="288">
        <f t="shared" ref="CM84:CO84" si="556">+CM68/CI68-1</f>
        <v>-8.3602508075242277E-3</v>
      </c>
      <c r="CN84" s="288">
        <f t="shared" si="556"/>
        <v>-3.4302629287828679E-2</v>
      </c>
      <c r="CO84" s="288">
        <f t="shared" si="556"/>
        <v>-4.9798115746971683E-2</v>
      </c>
      <c r="CP84" s="288">
        <f t="shared" ref="CP84" si="557">+CP68/CL68-1</f>
        <v>-4.2700284668564237E-3</v>
      </c>
      <c r="CQ84" s="288">
        <f t="shared" ref="CQ84" si="558">+CQ68/CM68-1</f>
        <v>-3.0657214025675561E-3</v>
      </c>
      <c r="CR84" s="288">
        <f t="shared" ref="CR84" si="559">+CR68/CN68-1</f>
        <v>-9.9711503786512834E-2</v>
      </c>
      <c r="CS84" s="288">
        <f t="shared" ref="CS84" si="560">+CS68/CO68-1</f>
        <v>0.2821057601510859</v>
      </c>
      <c r="CT84" s="288">
        <f t="shared" ref="CT84" si="561">+CT68/CP68-1</f>
        <v>0.31856238513375534</v>
      </c>
      <c r="CU84" s="288">
        <f t="shared" ref="CU84" si="562">+CU68/CQ68-1</f>
        <v>4.4013069383048276E-2</v>
      </c>
      <c r="CV84" s="288">
        <f t="shared" ref="CV84" si="563">+CV68/CR68-1</f>
        <v>0.21510114159823757</v>
      </c>
      <c r="CW84" s="288">
        <f t="shared" ref="CW84:CX84" si="564">+CW68/CS68-1</f>
        <v>0.10476891916774078</v>
      </c>
      <c r="CX84" s="288">
        <f t="shared" si="564"/>
        <v>0.10794486603685916</v>
      </c>
      <c r="CY84" s="288">
        <f>+CY68/CU68-1</f>
        <v>9.3151693667157476E-2</v>
      </c>
      <c r="CZ84" s="288">
        <f t="shared" ref="CZ84:DG84" si="565">+CZ68/CV68-1</f>
        <v>2.5218394593703675E-2</v>
      </c>
      <c r="DA84" s="288">
        <f t="shared" si="565"/>
        <v>1.4833333333333254E-2</v>
      </c>
      <c r="DB84" s="288">
        <f t="shared" si="565"/>
        <v>-9.7008666480290717E-2</v>
      </c>
      <c r="DC84" s="288">
        <f t="shared" si="565"/>
        <v>-0.17379589087234759</v>
      </c>
      <c r="DD84" s="288">
        <f t="shared" si="565"/>
        <v>7.1543408360128513E-2</v>
      </c>
      <c r="DE84" s="288">
        <f t="shared" si="565"/>
        <v>-0.11414025291509278</v>
      </c>
      <c r="DF84" s="288">
        <f t="shared" si="565"/>
        <v>-0.10185758513931886</v>
      </c>
      <c r="DG84" s="288">
        <f t="shared" si="565"/>
        <v>7.0729718711781464E-2</v>
      </c>
      <c r="DH84" s="288">
        <f t="shared" ref="DH84" si="566">+DH68/DD68-1</f>
        <v>-0.14763690922730688</v>
      </c>
      <c r="DI84" s="288">
        <f t="shared" ref="DI84" si="567">+DI68/DE68-1</f>
        <v>1.5016685205784253E-2</v>
      </c>
      <c r="DJ84" s="288">
        <f t="shared" ref="DJ84" si="568">+DJ68/DF68-1</f>
        <v>0.1115132712857636</v>
      </c>
      <c r="DK84" s="288">
        <f t="shared" ref="DK84" si="569">+DK68/DG68-1</f>
        <v>-2.6841804683038317E-2</v>
      </c>
      <c r="DL84" s="288">
        <f t="shared" ref="DL84" si="570">+DL68/DH68-1</f>
        <v>-1</v>
      </c>
      <c r="DM84" s="288">
        <f t="shared" ref="DM84" si="571">+DM68/DI68-1</f>
        <v>-1</v>
      </c>
      <c r="DN84" s="288">
        <f t="shared" ref="DN84" si="572">+DN68/DJ68-1</f>
        <v>-1</v>
      </c>
      <c r="DP84" s="246"/>
      <c r="DQ84" s="246"/>
      <c r="DR84" s="246"/>
      <c r="DS84" s="246"/>
      <c r="DT84" s="246"/>
      <c r="DU84" s="246"/>
      <c r="DV84" s="246"/>
      <c r="DW84" s="246"/>
      <c r="DX84" s="246"/>
      <c r="DY84" s="246"/>
      <c r="DZ84" s="246"/>
      <c r="EA84" s="246"/>
      <c r="EB84" s="246"/>
      <c r="EC84" s="246"/>
      <c r="ED84" s="246"/>
      <c r="EE84" s="246"/>
      <c r="EF84" s="246"/>
      <c r="EG84" s="246"/>
      <c r="EH84" s="246"/>
      <c r="EI84" s="246"/>
      <c r="EJ84" s="246"/>
      <c r="EK84" s="246">
        <f t="shared" ref="EK84:EM84" si="573">EK68/EJ68-1</f>
        <v>-1.9039442452401412E-2</v>
      </c>
      <c r="EL84" s="246">
        <f t="shared" si="573"/>
        <v>7.9540774299835304E-2</v>
      </c>
      <c r="EM84" s="246">
        <f t="shared" si="573"/>
        <v>-4.7689446325528406E-3</v>
      </c>
      <c r="EN84" s="246">
        <f>EN68/EM68-1</f>
        <v>2.8079927164694096E-2</v>
      </c>
      <c r="EO84" s="246">
        <f t="shared" ref="EO84:EY84" si="574">EO68/EN68-1</f>
        <v>0.15738290608249828</v>
      </c>
      <c r="EP84" s="246">
        <f t="shared" si="574"/>
        <v>-1</v>
      </c>
      <c r="EQ84" s="246" t="e">
        <f t="shared" si="574"/>
        <v>#DIV/0!</v>
      </c>
      <c r="ER84" s="246" t="e">
        <f t="shared" si="574"/>
        <v>#DIV/0!</v>
      </c>
      <c r="ES84" s="246" t="e">
        <f t="shared" si="574"/>
        <v>#DIV/0!</v>
      </c>
      <c r="ET84" s="246">
        <f t="shared" si="574"/>
        <v>-2.3746442939848844E-2</v>
      </c>
      <c r="EU84" s="246">
        <f t="shared" si="574"/>
        <v>0.10986028746607701</v>
      </c>
      <c r="EV84" s="246">
        <f t="shared" si="574"/>
        <v>0.11632856366600253</v>
      </c>
      <c r="EW84" s="246">
        <f t="shared" si="574"/>
        <v>2.1904027907353463E-3</v>
      </c>
      <c r="EX84" s="246">
        <f t="shared" si="574"/>
        <v>2.6117144938681447E-2</v>
      </c>
      <c r="EY84" s="246">
        <f t="shared" si="574"/>
        <v>3.3154290863420366E-2</v>
      </c>
      <c r="EZ84" s="246"/>
      <c r="FA84" s="246"/>
      <c r="FB84" s="246"/>
      <c r="FC84" s="246"/>
      <c r="FD84" s="246"/>
      <c r="FE84" s="246"/>
      <c r="FF84" s="246"/>
      <c r="FG84" s="246"/>
      <c r="FH84" s="246"/>
      <c r="FI84" s="246"/>
      <c r="FJ84" s="246"/>
      <c r="FM84" t="s">
        <v>1438</v>
      </c>
      <c r="FN84" s="292">
        <v>0.7</v>
      </c>
      <c r="FQ84" s="291"/>
      <c r="FR84" s="291"/>
      <c r="FS84" s="291"/>
      <c r="FT84"/>
      <c r="FU84" s="291"/>
      <c r="FV84" s="291"/>
      <c r="FW84" s="291"/>
    </row>
    <row r="85" spans="1:179" s="281" customFormat="1" ht="12.75" customHeight="1" x14ac:dyDescent="0.3">
      <c r="B85" s="1" t="s">
        <v>345</v>
      </c>
      <c r="C85" s="282">
        <f>PV(9%,4,0,-EO77)*14</f>
        <v>67.395045147406719</v>
      </c>
      <c r="D85" s="282"/>
      <c r="E85" s="282"/>
      <c r="F85" s="166"/>
      <c r="G85" s="166"/>
      <c r="H85" s="287">
        <f t="shared" ref="H85:AY85" si="575">H77/D77-1</f>
        <v>7.5818659710282343E-2</v>
      </c>
      <c r="I85" s="287">
        <f t="shared" si="575"/>
        <v>9.2950596934190166E-2</v>
      </c>
      <c r="J85" s="287">
        <f t="shared" si="575"/>
        <v>7.634149897929432E-2</v>
      </c>
      <c r="K85" s="287">
        <f t="shared" si="575"/>
        <v>0.11788882689055269</v>
      </c>
      <c r="L85" s="287">
        <f t="shared" si="575"/>
        <v>0.14473964191263655</v>
      </c>
      <c r="M85" s="287">
        <f t="shared" si="575"/>
        <v>0.14310088198022242</v>
      </c>
      <c r="N85" s="287">
        <f t="shared" si="575"/>
        <v>5.1308536479371281E-2</v>
      </c>
      <c r="O85" s="287">
        <f t="shared" si="575"/>
        <v>0.13385180270518893</v>
      </c>
      <c r="P85" s="287">
        <f>P77/L77-1</f>
        <v>0.12075080173552166</v>
      </c>
      <c r="Q85" s="287">
        <f t="shared" si="575"/>
        <v>0.11640695323782246</v>
      </c>
      <c r="R85" s="287">
        <f t="shared" si="575"/>
        <v>0.25331564986737409</v>
      </c>
      <c r="S85" s="287">
        <f t="shared" si="575"/>
        <v>0.13856690012533113</v>
      </c>
      <c r="T85" s="287">
        <f>T77/P77-1</f>
        <v>1.2037195940025613E-2</v>
      </c>
      <c r="U85" s="287">
        <f t="shared" si="575"/>
        <v>0.10050364968255754</v>
      </c>
      <c r="V85" s="287">
        <f t="shared" si="575"/>
        <v>0.16465516247651335</v>
      </c>
      <c r="W85" s="287">
        <f t="shared" si="575"/>
        <v>0.11042340202435219</v>
      </c>
      <c r="X85" s="287">
        <f t="shared" si="575"/>
        <v>0.33892222366878832</v>
      </c>
      <c r="Y85" s="287">
        <f t="shared" si="575"/>
        <v>0.15957351708447542</v>
      </c>
      <c r="Z85" s="287">
        <f t="shared" si="575"/>
        <v>0.18068383735432225</v>
      </c>
      <c r="AA85" s="287">
        <f t="shared" si="575"/>
        <v>0.17560586488735686</v>
      </c>
      <c r="AB85" s="287">
        <f t="shared" si="575"/>
        <v>9.5766268040985869E-2</v>
      </c>
      <c r="AC85" s="287">
        <f t="shared" si="575"/>
        <v>0.20792294940519618</v>
      </c>
      <c r="AD85" s="287">
        <f t="shared" si="575"/>
        <v>0.43934703660578567</v>
      </c>
      <c r="AE85" s="287">
        <f t="shared" si="575"/>
        <v>0.40330271308582621</v>
      </c>
      <c r="AF85" s="287">
        <f t="shared" si="575"/>
        <v>0.36425979190318269</v>
      </c>
      <c r="AG85" s="287">
        <f t="shared" si="575"/>
        <v>0.13879826799979922</v>
      </c>
      <c r="AH85" s="287">
        <f t="shared" si="575"/>
        <v>1.0408112986510343E-2</v>
      </c>
      <c r="AI85" s="287">
        <f t="shared" si="575"/>
        <v>-3.321908623949843E-2</v>
      </c>
      <c r="AJ85" s="287">
        <f t="shared" si="575"/>
        <v>4.5241526320477954E-2</v>
      </c>
      <c r="AK85" s="287">
        <f t="shared" si="575"/>
        <v>7.6881693334693413E-2</v>
      </c>
      <c r="AL85" s="287">
        <f t="shared" si="575"/>
        <v>4.7357926221335944E-2</v>
      </c>
      <c r="AM85" s="287">
        <f t="shared" si="575"/>
        <v>0.18936887555891713</v>
      </c>
      <c r="AN85" s="287">
        <f t="shared" si="575"/>
        <v>3.6136156228004479E-2</v>
      </c>
      <c r="AO85" s="287">
        <f t="shared" si="575"/>
        <v>0.15510613626240932</v>
      </c>
      <c r="AP85" s="287">
        <f t="shared" si="575"/>
        <v>0.16724537677075335</v>
      </c>
      <c r="AQ85" s="287">
        <f t="shared" si="575"/>
        <v>5.0337651327217348E-2</v>
      </c>
      <c r="AR85" s="287">
        <f t="shared" si="575"/>
        <v>2.4384801824921754E-2</v>
      </c>
      <c r="AS85" s="287">
        <f t="shared" si="575"/>
        <v>9.4606176817664034E-2</v>
      </c>
      <c r="AT85" s="287">
        <f t="shared" si="575"/>
        <v>0.23000568097020602</v>
      </c>
      <c r="AU85" s="287">
        <f t="shared" si="575"/>
        <v>7.020584740193403E-2</v>
      </c>
      <c r="AV85" s="287">
        <f t="shared" si="575"/>
        <v>0.11868138566888375</v>
      </c>
      <c r="AW85" s="287">
        <f t="shared" si="575"/>
        <v>9.5187736415512925E-2</v>
      </c>
      <c r="AX85" s="287">
        <f t="shared" si="575"/>
        <v>-6.3593420219504537E-2</v>
      </c>
      <c r="AY85" s="287">
        <f t="shared" si="575"/>
        <v>1.4359563869827952E-3</v>
      </c>
      <c r="AZ85" s="287">
        <f t="shared" ref="AZ85:BF85" si="576">AZ77/AV77-1</f>
        <v>-2.5715357562949182E-2</v>
      </c>
      <c r="BA85" s="287">
        <f t="shared" si="576"/>
        <v>2.4431871651507064E-2</v>
      </c>
      <c r="BB85" s="287">
        <f t="shared" si="576"/>
        <v>0.10025117077992585</v>
      </c>
      <c r="BC85" s="287">
        <f t="shared" si="576"/>
        <v>2.8316206701865632E-2</v>
      </c>
      <c r="BD85" s="287">
        <f t="shared" si="576"/>
        <v>6.7260095469480863E-2</v>
      </c>
      <c r="BE85" s="287">
        <f t="shared" si="576"/>
        <v>2.3944295740103483E-2</v>
      </c>
      <c r="BF85" s="287">
        <f t="shared" si="576"/>
        <v>-1.6153307030108977E-3</v>
      </c>
      <c r="BG85" s="287">
        <f>BG77/BC77-1</f>
        <v>0.1910607025483293</v>
      </c>
      <c r="BH85" s="287">
        <f>BH77/BD77-1</f>
        <v>-1.6918038772520849E-2</v>
      </c>
      <c r="BI85" s="287">
        <f>BI77/BE77-1</f>
        <v>-6.0154852950498827E-2</v>
      </c>
      <c r="BJ85" s="287">
        <f t="shared" ref="BJ85" si="577">BJ77/BF77-1</f>
        <v>1.0004880615359619</v>
      </c>
      <c r="BK85" s="287">
        <f>BK77/BG77-1</f>
        <v>-8.4820785085281014E-2</v>
      </c>
      <c r="BL85" s="287">
        <f t="shared" ref="BL85" si="578">BL77/BH77-1</f>
        <v>6.9578193071049954E-2</v>
      </c>
      <c r="BM85" s="287">
        <f t="shared" ref="BM85" si="579">BM77/BI77-1</f>
        <v>6.1272871553678554E-2</v>
      </c>
      <c r="BN85" s="287">
        <f t="shared" ref="BN85" si="580">BN77/BJ77-1</f>
        <v>-0.51080284450880753</v>
      </c>
      <c r="BO85" s="287">
        <f t="shared" ref="BO85" si="581">BO77/BK77-1</f>
        <v>-0.10531204944610384</v>
      </c>
      <c r="BP85" s="287">
        <f t="shared" ref="BP85" si="582">BP77/BL77-1</f>
        <v>0.16062407397490119</v>
      </c>
      <c r="BQ85" s="287">
        <f t="shared" ref="BQ85" si="583">BQ77/BM77-1</f>
        <v>0.13019144828970597</v>
      </c>
      <c r="BR85" s="287">
        <f t="shared" ref="BR85" si="584">BR77/BN77-1</f>
        <v>0.2607768876622647</v>
      </c>
      <c r="BS85" s="287">
        <f>BS77/BO77-1</f>
        <v>0.38546858742814538</v>
      </c>
      <c r="BT85" s="287">
        <f t="shared" ref="BT85" si="585">BT77/BP77-1</f>
        <v>6.3296424145320662E-2</v>
      </c>
      <c r="BU85" s="287">
        <f t="shared" ref="BU85" si="586">BU77/BQ77-1</f>
        <v>-0.14032529532852378</v>
      </c>
      <c r="BV85" s="287">
        <f t="shared" ref="BV85" si="587">BV77/BR77-1</f>
        <v>7.0171293429426296E-3</v>
      </c>
      <c r="BW85" s="287">
        <f t="shared" ref="BW85" si="588">BW77/BS77-1</f>
        <v>-0.19529001548062908</v>
      </c>
      <c r="BX85" s="287">
        <f t="shared" ref="BX85" si="589">BX77/BT77-1</f>
        <v>-0.20167791630639931</v>
      </c>
      <c r="BY85" s="287">
        <f t="shared" ref="BY85" si="590">BY77/BU77-1</f>
        <v>0.13544359995566224</v>
      </c>
      <c r="BZ85" s="287">
        <f t="shared" ref="BZ85" si="591">BZ77/BV77-1</f>
        <v>-0.23792671941193322</v>
      </c>
      <c r="CA85" s="287">
        <f t="shared" ref="CA85" si="592">CA77/BW77-1</f>
        <v>0.16493010636593963</v>
      </c>
      <c r="CB85" s="287">
        <f t="shared" ref="CB85" si="593">CB77/BX77-1</f>
        <v>0.31852760954226067</v>
      </c>
      <c r="CC85" s="287">
        <f t="shared" ref="CC85" si="594">CC77/BY77-1</f>
        <v>0.15309402193622512</v>
      </c>
      <c r="CD85" s="287">
        <f t="shared" ref="CD85" si="595">CD77/BZ77-1</f>
        <v>0.4874740822051471</v>
      </c>
      <c r="CE85" s="287">
        <f t="shared" ref="CE85" si="596">CE77/CA77-1</f>
        <v>-6.7252058155131689E-4</v>
      </c>
      <c r="CF85" s="287">
        <f t="shared" ref="CF85" si="597">CF77/CB77-1</f>
        <v>-3.9582449882542892E-2</v>
      </c>
      <c r="CG85" s="287">
        <f t="shared" ref="CG85" si="598">CG77/CC77-1</f>
        <v>-0.10018831722551658</v>
      </c>
      <c r="CH85" s="287">
        <f t="shared" ref="CH85" si="599">CH77/CD77-1</f>
        <v>0.22612525482605106</v>
      </c>
      <c r="CI85" s="287">
        <f t="shared" ref="CI85" si="600">CI77/CE77-1</f>
        <v>-1.3651202781446381E-2</v>
      </c>
      <c r="CJ85" s="287">
        <f t="shared" ref="CJ85" si="601">CJ77/CF77-1</f>
        <v>-4.1854298358804387E-3</v>
      </c>
      <c r="CK85" s="287">
        <f t="shared" ref="CK85" si="602">CK77/CG77-1</f>
        <v>0.51458844505578183</v>
      </c>
      <c r="CL85" s="287">
        <f t="shared" ref="CL85" si="603">CL77/CH77-1</f>
        <v>0.10394841705592039</v>
      </c>
      <c r="CM85" s="287">
        <f t="shared" ref="CM85:CO85" si="604">+CM77/CI77-1</f>
        <v>7.3335795050902153E-2</v>
      </c>
      <c r="CN85" s="287">
        <f t="shared" si="604"/>
        <v>-7.9588542556748409E-2</v>
      </c>
      <c r="CO85" s="287">
        <f t="shared" si="604"/>
        <v>-2.4099928214634803E-3</v>
      </c>
      <c r="CP85" s="287">
        <f t="shared" ref="CP85" si="605">+CP77/CL77-1</f>
        <v>-3.401938512106395E-2</v>
      </c>
      <c r="CQ85" s="287">
        <f t="shared" ref="CQ85" si="606">+CQ77/CM77-1</f>
        <v>0.10010206676183309</v>
      </c>
      <c r="CR85" s="287">
        <f t="shared" ref="CR85" si="607">+CR77/CN77-1</f>
        <v>-6.3188735958248476E-2</v>
      </c>
      <c r="CS85" s="287">
        <f t="shared" ref="CS85" si="608">+CS77/CO77-1</f>
        <v>-0.12151690217235556</v>
      </c>
      <c r="CT85" s="287">
        <f t="shared" ref="CT85" si="609">+CT77/CP77-1</f>
        <v>-0.19005066624794598</v>
      </c>
      <c r="CU85" s="287">
        <f t="shared" ref="CU85" si="610">+CU77/CQ77-1</f>
        <v>0.22711682108032161</v>
      </c>
      <c r="CV85" s="287">
        <f t="shared" ref="CV85" si="611">+CV77/CR77-1</f>
        <v>0.82370196327592327</v>
      </c>
      <c r="CW85" s="287">
        <f t="shared" ref="CW85:CX85" si="612">+CW77/CS77-1</f>
        <v>0.30236297648751398</v>
      </c>
      <c r="CX85" s="287">
        <f t="shared" si="612"/>
        <v>0.19325870108083376</v>
      </c>
      <c r="CY85" s="287">
        <f>+CY77/CU77-1</f>
        <v>-4.9475018188636977E-2</v>
      </c>
      <c r="CZ85" s="287">
        <f t="shared" ref="CZ85:DG85" si="613">+CZ77/CV77-1</f>
        <v>4.0973813158941219E-2</v>
      </c>
      <c r="DA85" s="287">
        <f t="shared" si="613"/>
        <v>-0.19439028946589121</v>
      </c>
      <c r="DB85" s="287">
        <f t="shared" si="613"/>
        <v>0.31595973461524585</v>
      </c>
      <c r="DC85" s="287">
        <f t="shared" si="613"/>
        <v>-0.13043649439575344</v>
      </c>
      <c r="DD85" s="287">
        <f t="shared" si="613"/>
        <v>-0.22097777201966096</v>
      </c>
      <c r="DE85" s="287">
        <f t="shared" si="613"/>
        <v>0.36309624673062468</v>
      </c>
      <c r="DF85" s="287">
        <f t="shared" si="613"/>
        <v>-1.5335215793113588E-2</v>
      </c>
      <c r="DG85" s="287">
        <f t="shared" si="613"/>
        <v>0.40068699716185274</v>
      </c>
      <c r="DH85" s="287">
        <f t="shared" ref="DH85" si="614">+DH77/DD77-1</f>
        <v>-1.8606907423176722E-2</v>
      </c>
      <c r="DI85" s="287">
        <f t="shared" ref="DI85" si="615">+DI77/DE77-1</f>
        <v>-8.9447338053791126E-2</v>
      </c>
      <c r="DJ85" s="287">
        <f t="shared" ref="DJ85" si="616">+DJ77/DF77-1</f>
        <v>-0.1666451736803185</v>
      </c>
      <c r="DK85" s="287">
        <f t="shared" ref="DK85" si="617">+DK77/DG77-1</f>
        <v>2.2105638816247497E-2</v>
      </c>
      <c r="DL85" s="287">
        <f t="shared" ref="DL85" si="618">+DL77/DH77-1</f>
        <v>2.4029404007597068</v>
      </c>
      <c r="DM85" s="287">
        <f t="shared" ref="DM85" si="619">+DM77/DI77-1</f>
        <v>1.8336800353496763</v>
      </c>
      <c r="DN85" s="287">
        <f t="shared" ref="DN85" si="620">+DN77/DJ77-1</f>
        <v>2.4269611449678243</v>
      </c>
      <c r="DP85" s="287"/>
      <c r="DQ85" s="287">
        <f t="shared" ref="DQ85:EQ85" si="621">DQ77/DP77-1</f>
        <v>0.16138620699103701</v>
      </c>
      <c r="DR85" s="287">
        <f t="shared" si="621"/>
        <v>9.3784452783480798E-3</v>
      </c>
      <c r="DS85" s="287">
        <f t="shared" si="621"/>
        <v>0.11223738786059356</v>
      </c>
      <c r="DT85" s="287">
        <f t="shared" si="621"/>
        <v>9.9683709315189217E-2</v>
      </c>
      <c r="DU85" s="287">
        <f t="shared" si="621"/>
        <v>0.12252543201017119</v>
      </c>
      <c r="DV85" s="287">
        <f t="shared" si="621"/>
        <v>0.19787193984028106</v>
      </c>
      <c r="DW85" s="287">
        <f t="shared" si="621"/>
        <v>0.20141489804411172</v>
      </c>
      <c r="DX85" s="287">
        <f t="shared" si="621"/>
        <v>0.14409421544856249</v>
      </c>
      <c r="DY85" s="287">
        <f t="shared" si="621"/>
        <v>0.16136845292158641</v>
      </c>
      <c r="DZ85" s="287">
        <f t="shared" si="621"/>
        <v>8.6222689728370661E-2</v>
      </c>
      <c r="EA85" s="287">
        <f t="shared" si="621"/>
        <v>0.15694367545205146</v>
      </c>
      <c r="EB85" s="287">
        <f t="shared" si="621"/>
        <v>0.17827821800773225</v>
      </c>
      <c r="EC85" s="287">
        <f t="shared" si="621"/>
        <v>0.37830154695147633</v>
      </c>
      <c r="ED85" s="287">
        <f t="shared" si="621"/>
        <v>0.13855365103019746</v>
      </c>
      <c r="EE85" s="287">
        <f t="shared" si="621"/>
        <v>7.7515187246461448E-2</v>
      </c>
      <c r="EF85" s="287">
        <f t="shared" si="621"/>
        <v>4.8372071083447876E-2</v>
      </c>
      <c r="EG85" s="287">
        <f t="shared" si="621"/>
        <v>0.1462207278197587</v>
      </c>
      <c r="EH85" s="287">
        <f t="shared" si="621"/>
        <v>0.11889271311352956</v>
      </c>
      <c r="EI85" s="287">
        <f t="shared" si="621"/>
        <v>8.1321657802964298E-2</v>
      </c>
      <c r="EJ85" s="287">
        <f>EJ77/EI77-1</f>
        <v>0.32184701102067947</v>
      </c>
      <c r="EK85" s="287">
        <f t="shared" si="621"/>
        <v>-0.21643770301278442</v>
      </c>
      <c r="EL85" s="287">
        <f t="shared" si="621"/>
        <v>0.26467153844213498</v>
      </c>
      <c r="EM85" s="287">
        <f t="shared" si="621"/>
        <v>-0.19197091346348505</v>
      </c>
      <c r="EN85" s="287">
        <f t="shared" si="621"/>
        <v>0.10636798720285601</v>
      </c>
      <c r="EO85" s="287">
        <f t="shared" si="621"/>
        <v>0.27564464955984436</v>
      </c>
      <c r="EP85" s="287">
        <f t="shared" si="621"/>
        <v>1.532103792198575</v>
      </c>
      <c r="EQ85" s="287">
        <f t="shared" si="621"/>
        <v>-7.8313463952260576E-2</v>
      </c>
      <c r="ER85" s="287" t="e">
        <f t="shared" ref="ER85" si="622">ER77/EQ77-1</f>
        <v>#DIV/0!</v>
      </c>
      <c r="ES85" s="287" t="e">
        <f t="shared" ref="ES85" si="623">ES77/ER77-1</f>
        <v>#DIV/0!</v>
      </c>
      <c r="ET85" s="287">
        <f t="shared" ref="ET85" si="624">ET77/ES77-1</f>
        <v>-1.1628389385958893E-2</v>
      </c>
      <c r="EU85" s="287">
        <f t="shared" ref="EU85" si="625">EU77/ET77-1</f>
        <v>-7.3891640103403544E-2</v>
      </c>
      <c r="EV85" s="287">
        <f t="shared" ref="EV85" si="626">EV77/EU77-1</f>
        <v>0.37643894125962207</v>
      </c>
      <c r="EW85" s="287">
        <f t="shared" ref="EW85" si="627">EW77/EV77-1</f>
        <v>-3.902858424804645E-3</v>
      </c>
      <c r="EX85" s="287">
        <f t="shared" ref="EX85" si="628">EX77/EW77-1</f>
        <v>0.24748339409411679</v>
      </c>
      <c r="EY85" s="287">
        <f t="shared" ref="EY85" si="629">EY77/EX77-1</f>
        <v>3.5709287752854424E-2</v>
      </c>
      <c r="EZ85" s="287"/>
      <c r="FA85" s="287"/>
      <c r="FB85" s="287"/>
      <c r="FC85" s="287"/>
      <c r="FD85" s="287"/>
      <c r="FE85" s="287"/>
      <c r="FF85" s="287"/>
      <c r="FG85" s="287"/>
      <c r="FH85" s="287"/>
      <c r="FI85" s="287"/>
      <c r="FJ85" s="287"/>
      <c r="FM85" t="s">
        <v>1238</v>
      </c>
      <c r="FN85" s="79">
        <f>NPV(FN80,FA76:JZ76)+EZ76+Main!L5-Main!L6</f>
        <v>351064.48594943265</v>
      </c>
      <c r="FQ85" s="1"/>
      <c r="FR85" s="1"/>
      <c r="FS85"/>
      <c r="FT85"/>
      <c r="FU85"/>
      <c r="FV85" s="1"/>
      <c r="FW85" s="1"/>
    </row>
    <row r="86" spans="1:179" s="279" customFormat="1" ht="12.75" customHeight="1" x14ac:dyDescent="0.3">
      <c r="A86" s="1"/>
      <c r="B86" t="s">
        <v>347</v>
      </c>
      <c r="C86" s="282">
        <f>PV(7%,4,0,-EO77)*14</f>
        <v>72.576972777937499</v>
      </c>
      <c r="D86" s="282"/>
      <c r="E86" s="282"/>
      <c r="F86" s="293"/>
      <c r="G86" s="293"/>
      <c r="H86" s="293"/>
      <c r="I86" s="294"/>
      <c r="J86" s="294"/>
      <c r="K86" s="294"/>
      <c r="L86" s="294"/>
      <c r="M86" s="294"/>
      <c r="N86" s="294"/>
      <c r="O86" s="294">
        <f t="shared" ref="O86:AT86" si="630">O3/K3-1</f>
        <v>1.3333333333333335</v>
      </c>
      <c r="P86" s="294">
        <f t="shared" si="630"/>
        <v>2.5076923076923077</v>
      </c>
      <c r="Q86" s="294">
        <f t="shared" si="630"/>
        <v>2.3629629629629627</v>
      </c>
      <c r="R86" s="294">
        <f t="shared" si="630"/>
        <v>2.3902439024390243</v>
      </c>
      <c r="S86" s="294">
        <f t="shared" si="630"/>
        <v>1.6734693877551021</v>
      </c>
      <c r="T86" s="294">
        <f t="shared" si="630"/>
        <v>0.875</v>
      </c>
      <c r="U86" s="294">
        <f t="shared" si="630"/>
        <v>1.3017621145374449</v>
      </c>
      <c r="V86" s="294">
        <f t="shared" si="630"/>
        <v>0.51079136690647475</v>
      </c>
      <c r="W86" s="294">
        <f t="shared" si="630"/>
        <v>0.87022900763358768</v>
      </c>
      <c r="X86" s="294">
        <f t="shared" si="630"/>
        <v>0.9415204678362572</v>
      </c>
      <c r="Y86" s="294">
        <f t="shared" si="630"/>
        <v>0.63157894736842102</v>
      </c>
      <c r="Z86" s="294">
        <f t="shared" si="630"/>
        <v>0.80476190476190479</v>
      </c>
      <c r="AA86" s="294">
        <f t="shared" si="630"/>
        <v>0.66938775510204085</v>
      </c>
      <c r="AB86" s="294">
        <f t="shared" si="630"/>
        <v>0.26807228915662651</v>
      </c>
      <c r="AC86" s="294">
        <f t="shared" si="630"/>
        <v>0.30205278592375362</v>
      </c>
      <c r="AD86" s="294">
        <f t="shared" si="630"/>
        <v>0.20316622691292885</v>
      </c>
      <c r="AE86" s="294">
        <f t="shared" si="630"/>
        <v>0.13447432762836176</v>
      </c>
      <c r="AF86" s="294">
        <f t="shared" si="630"/>
        <v>0.28028503562945373</v>
      </c>
      <c r="AG86" s="294">
        <f t="shared" si="630"/>
        <v>0.22747747747747749</v>
      </c>
      <c r="AH86" s="294">
        <f t="shared" si="630"/>
        <v>0.31140350877192979</v>
      </c>
      <c r="AI86" s="294">
        <f t="shared" si="630"/>
        <v>0.24353448275862077</v>
      </c>
      <c r="AJ86" s="294">
        <f t="shared" si="630"/>
        <v>0.19109461966604813</v>
      </c>
      <c r="AK86" s="294">
        <f t="shared" si="630"/>
        <v>0.14495412844036704</v>
      </c>
      <c r="AL86" s="294">
        <f t="shared" si="630"/>
        <v>0.15719063545150491</v>
      </c>
      <c r="AM86" s="294">
        <f t="shared" si="630"/>
        <v>0.18024263431542464</v>
      </c>
      <c r="AN86" s="294">
        <f t="shared" si="630"/>
        <v>0.21028037383177578</v>
      </c>
      <c r="AO86" s="294">
        <f t="shared" si="630"/>
        <v>0.24358974358974361</v>
      </c>
      <c r="AP86" s="294">
        <f t="shared" si="630"/>
        <v>0.12716763005780352</v>
      </c>
      <c r="AQ86" s="294">
        <f t="shared" si="630"/>
        <v>7.3421439060205484E-2</v>
      </c>
      <c r="AR86" s="294">
        <f t="shared" si="630"/>
        <v>0.11840411840411846</v>
      </c>
      <c r="AS86" s="294">
        <f t="shared" si="630"/>
        <v>5.5412371134020644E-2</v>
      </c>
      <c r="AT86" s="294">
        <f t="shared" si="630"/>
        <v>0.16410256410256419</v>
      </c>
      <c r="AU86" s="294">
        <f t="shared" ref="AU86:BZ86" si="631">AU3/AQ3-1</f>
        <v>0.36525307797537621</v>
      </c>
      <c r="AV86" s="294">
        <f t="shared" si="631"/>
        <v>1.9562715765247374E-2</v>
      </c>
      <c r="AW86" s="294">
        <f t="shared" si="631"/>
        <v>0.19413919413919412</v>
      </c>
      <c r="AX86" s="294">
        <f t="shared" si="631"/>
        <v>-2.4229074889867808E-2</v>
      </c>
      <c r="AY86" s="294">
        <f t="shared" si="631"/>
        <v>3.0060120240480881E-2</v>
      </c>
      <c r="AZ86" s="294">
        <f t="shared" si="631"/>
        <v>0.24379232505643333</v>
      </c>
      <c r="BA86" s="294">
        <f t="shared" si="631"/>
        <v>5.9304703476482645E-2</v>
      </c>
      <c r="BB86" s="294">
        <f t="shared" si="631"/>
        <v>0.28442437923250563</v>
      </c>
      <c r="BC86" s="294">
        <f t="shared" si="631"/>
        <v>0.15369649805447461</v>
      </c>
      <c r="BD86" s="294">
        <f t="shared" si="631"/>
        <v>2.5408348457350183E-2</v>
      </c>
      <c r="BE86" s="294">
        <f t="shared" si="631"/>
        <v>0.18629343629343631</v>
      </c>
      <c r="BF86" s="294">
        <f t="shared" si="631"/>
        <v>-6.4147627416520248E-2</v>
      </c>
      <c r="BG86" s="294">
        <f t="shared" si="631"/>
        <v>8.3473861720067433E-2</v>
      </c>
      <c r="BH86" s="294">
        <f t="shared" si="631"/>
        <v>0.21327433628318593</v>
      </c>
      <c r="BI86" s="294">
        <f t="shared" si="631"/>
        <v>0.14564686737184696</v>
      </c>
      <c r="BJ86" s="294">
        <f t="shared" si="631"/>
        <v>0.3408450704225352</v>
      </c>
      <c r="BK86" s="294">
        <f t="shared" si="631"/>
        <v>0.18365758754863815</v>
      </c>
      <c r="BL86" s="294">
        <f t="shared" si="631"/>
        <v>0.11086797957695116</v>
      </c>
      <c r="BM86" s="294">
        <f t="shared" si="631"/>
        <v>0.12997159090909083</v>
      </c>
      <c r="BN86" s="294">
        <f t="shared" si="631"/>
        <v>5.3221288515406195E-2</v>
      </c>
      <c r="BO86" s="294">
        <f t="shared" si="631"/>
        <v>5.1939513477974986E-2</v>
      </c>
      <c r="BP86" s="294">
        <f t="shared" si="631"/>
        <v>9.7833223900196886E-2</v>
      </c>
      <c r="BQ86" s="294">
        <f t="shared" si="631"/>
        <v>6.1596480201131287E-2</v>
      </c>
      <c r="BR86" s="294">
        <f t="shared" si="631"/>
        <v>0.13829787234042556</v>
      </c>
      <c r="BS86" s="294">
        <f t="shared" si="631"/>
        <v>6.2500000000000888E-3</v>
      </c>
      <c r="BT86" s="294">
        <f t="shared" si="631"/>
        <v>7.8947368421052655E-2</v>
      </c>
      <c r="BU86" s="294">
        <f t="shared" si="631"/>
        <v>5.5062166962699832E-2</v>
      </c>
      <c r="BV86" s="294">
        <f t="shared" si="631"/>
        <v>-2.3364485981308358E-2</v>
      </c>
      <c r="BW86" s="294">
        <f t="shared" si="631"/>
        <v>-6.2111801242236142E-3</v>
      </c>
      <c r="BX86" s="294">
        <f t="shared" si="631"/>
        <v>-7.5388026607538849E-2</v>
      </c>
      <c r="BY86" s="294">
        <f t="shared" si="631"/>
        <v>-9.4837261503928127E-2</v>
      </c>
      <c r="BZ86" s="294">
        <f t="shared" si="631"/>
        <v>4.7846889952152249E-3</v>
      </c>
      <c r="CA86" s="294">
        <f t="shared" ref="CA86:CL86" si="632">CA3/BW3-1</f>
        <v>0.11187499999999995</v>
      </c>
      <c r="CB86" s="294">
        <f t="shared" si="632"/>
        <v>6.714628297362113E-2</v>
      </c>
      <c r="CC86" s="294">
        <f t="shared" si="632"/>
        <v>0.10539367637941721</v>
      </c>
      <c r="CD86" s="294">
        <f t="shared" si="632"/>
        <v>-3.3333333333333326E-2</v>
      </c>
      <c r="CE86" s="294">
        <f t="shared" si="632"/>
        <v>-6.014614952220354E-2</v>
      </c>
      <c r="CF86" s="294">
        <f t="shared" si="632"/>
        <v>-0.1404494382022472</v>
      </c>
      <c r="CG86" s="294">
        <f t="shared" si="632"/>
        <v>-7.6275939427930428E-2</v>
      </c>
      <c r="CH86" s="294">
        <f t="shared" si="632"/>
        <v>-9.7290640394088634E-2</v>
      </c>
      <c r="CI86" s="294">
        <f t="shared" si="632"/>
        <v>-0.16925837320574166</v>
      </c>
      <c r="CJ86" s="294">
        <f t="shared" si="632"/>
        <v>-0.13725490196078427</v>
      </c>
      <c r="CK86" s="294">
        <f t="shared" si="632"/>
        <v>-0.16272009714632663</v>
      </c>
      <c r="CL86" s="294">
        <f t="shared" si="632"/>
        <v>-0.155525238744884</v>
      </c>
      <c r="CM86" s="294">
        <f t="shared" ref="CM86:CV87" si="633">+CM3/CI3-1</f>
        <v>-0.20662347012239024</v>
      </c>
      <c r="CN86" s="294">
        <f t="shared" si="633"/>
        <v>-0.16136363636363638</v>
      </c>
      <c r="CO86" s="294">
        <f t="shared" si="633"/>
        <v>-0.17621464829586653</v>
      </c>
      <c r="CP86" s="294">
        <f t="shared" si="633"/>
        <v>-0.16397415185783526</v>
      </c>
      <c r="CQ86" s="294">
        <f t="shared" si="633"/>
        <v>-0.10163339382940106</v>
      </c>
      <c r="CR86" s="294">
        <f t="shared" si="633"/>
        <v>-0.15537488708220415</v>
      </c>
      <c r="CS86" s="294">
        <f t="shared" si="633"/>
        <v>-0.18926056338028174</v>
      </c>
      <c r="CT86" s="294">
        <f t="shared" si="633"/>
        <v>-0.12946859903381647</v>
      </c>
      <c r="CU86" s="294">
        <f t="shared" si="633"/>
        <v>-0.2151515151515152</v>
      </c>
      <c r="CV86" s="294">
        <f t="shared" si="633"/>
        <v>-5.0267379679144408E-2</v>
      </c>
      <c r="CW86" s="294">
        <f t="shared" ref="CW86:DF87" si="634">+CW3/CS3-1</f>
        <v>-0.17372421281216066</v>
      </c>
      <c r="CX86" s="294">
        <f t="shared" si="634"/>
        <v>-0.1520532741398446</v>
      </c>
      <c r="CY86" s="294">
        <f t="shared" si="634"/>
        <v>-0.14671814671814676</v>
      </c>
      <c r="CZ86" s="294">
        <f t="shared" si="634"/>
        <v>-0.27139639639639634</v>
      </c>
      <c r="DA86" s="294">
        <f t="shared" si="634"/>
        <v>-0.26675427069645208</v>
      </c>
      <c r="DB86" s="294">
        <f t="shared" si="634"/>
        <v>-0.37827225130890052</v>
      </c>
      <c r="DC86" s="294">
        <f t="shared" si="634"/>
        <v>-0.26546003016591246</v>
      </c>
      <c r="DD86" s="294">
        <f t="shared" si="634"/>
        <v>-0.28593508500772802</v>
      </c>
      <c r="DE86" s="294">
        <f t="shared" si="634"/>
        <v>-0.17311827956989256</v>
      </c>
      <c r="DF86" s="294">
        <f t="shared" si="634"/>
        <v>-9.6842105263157841E-2</v>
      </c>
      <c r="DG86" s="294">
        <f t="shared" ref="DG86:DN87" si="635">+DG3/DC3-1</f>
        <v>-0.10882956878850103</v>
      </c>
      <c r="DH86" s="294">
        <f t="shared" si="635"/>
        <v>-0.14935064935064934</v>
      </c>
      <c r="DI86" s="294">
        <f t="shared" si="635"/>
        <v>-9.1027308192457745E-2</v>
      </c>
      <c r="DJ86" s="294">
        <f t="shared" si="635"/>
        <v>-0.1631701631701632</v>
      </c>
      <c r="DK86" s="294">
        <f t="shared" si="635"/>
        <v>7.6036866359447064E-2</v>
      </c>
      <c r="DL86" s="294">
        <f t="shared" si="635"/>
        <v>-0.19999999999999996</v>
      </c>
      <c r="DM86" s="294">
        <f t="shared" si="635"/>
        <v>-0.19999999999999996</v>
      </c>
      <c r="DN86" s="294">
        <f t="shared" si="635"/>
        <v>-0.20000000000000007</v>
      </c>
      <c r="DP86" s="245"/>
      <c r="DQ86" s="245"/>
      <c r="DR86" s="245"/>
      <c r="DS86" s="245"/>
      <c r="DT86" s="245"/>
      <c r="DU86" s="245"/>
      <c r="DV86" s="245"/>
      <c r="DW86" s="245"/>
      <c r="DX86" s="245"/>
      <c r="DY86" s="245"/>
      <c r="DZ86" s="245"/>
      <c r="EA86" s="245"/>
      <c r="EB86" s="245"/>
      <c r="EC86" s="246">
        <f t="shared" ref="EC86:FE86" si="636">EC3/EB3-1</f>
        <v>0.79889042995839121</v>
      </c>
      <c r="ED86" s="246">
        <f t="shared" si="636"/>
        <v>0.33384734001542027</v>
      </c>
      <c r="EE86" s="246">
        <f t="shared" si="636"/>
        <v>0.23988439306358389</v>
      </c>
      <c r="EF86" s="246">
        <f t="shared" si="636"/>
        <v>0.18181818181818188</v>
      </c>
      <c r="EG86" s="246">
        <f t="shared" si="636"/>
        <v>0.18895463510848121</v>
      </c>
      <c r="EH86" s="246">
        <f t="shared" si="636"/>
        <v>0.10384870603848717</v>
      </c>
      <c r="EI86" s="246">
        <f t="shared" si="636"/>
        <v>0.12654042681094069</v>
      </c>
      <c r="EJ86" s="246">
        <f t="shared" si="636"/>
        <v>0.14834578441835644</v>
      </c>
      <c r="EK86" s="246">
        <f t="shared" si="636"/>
        <v>7.1096654275093041E-2</v>
      </c>
      <c r="EL86" s="246">
        <f t="shared" si="636"/>
        <v>0.19132321041214762</v>
      </c>
      <c r="EM86" s="246">
        <f t="shared" si="636"/>
        <v>0.11780772032046616</v>
      </c>
      <c r="EN86" s="246">
        <f t="shared" si="636"/>
        <v>8.6984850952923853E-2</v>
      </c>
      <c r="EO86" s="246">
        <f t="shared" si="636"/>
        <v>2.9222238873070516E-2</v>
      </c>
      <c r="EP86" s="246">
        <f t="shared" si="636"/>
        <v>3.0000000000000027E-2</v>
      </c>
      <c r="EQ86" s="246">
        <f t="shared" si="636"/>
        <v>0</v>
      </c>
      <c r="ER86" s="246">
        <f t="shared" si="636"/>
        <v>-0.10729936500217696</v>
      </c>
      <c r="ES86" s="246">
        <f t="shared" si="636"/>
        <v>-0.15661124307205065</v>
      </c>
      <c r="ET86" s="246">
        <f t="shared" si="636"/>
        <v>-0.17761922643634998</v>
      </c>
      <c r="EU86" s="246">
        <f t="shared" si="636"/>
        <v>-0.14452054794520552</v>
      </c>
      <c r="EV86" s="246">
        <f t="shared" si="636"/>
        <v>-0.14865225513744329</v>
      </c>
      <c r="EW86" s="246">
        <f t="shared" si="636"/>
        <v>-0.26551724137931032</v>
      </c>
      <c r="EX86" s="246">
        <f t="shared" si="636"/>
        <v>-0.21493811352966274</v>
      </c>
      <c r="EY86" s="246">
        <f t="shared" si="636"/>
        <v>-0.12721539632488854</v>
      </c>
      <c r="EZ86" s="246">
        <f t="shared" si="636"/>
        <v>-0.12537685312071756</v>
      </c>
      <c r="FA86" s="246">
        <f t="shared" si="636"/>
        <v>-5.0000000000000044E-2</v>
      </c>
      <c r="FB86" s="246">
        <f t="shared" si="636"/>
        <v>-5.0000000000000044E-2</v>
      </c>
      <c r="FC86" s="246">
        <f t="shared" si="636"/>
        <v>-4.9999999999999933E-2</v>
      </c>
      <c r="FD86" s="246">
        <f t="shared" si="636"/>
        <v>-5.0000000000000044E-2</v>
      </c>
      <c r="FE86" s="246">
        <f t="shared" si="636"/>
        <v>-5.0000000000000044E-2</v>
      </c>
      <c r="FF86" s="246"/>
      <c r="FG86" s="246"/>
      <c r="FH86" s="246"/>
      <c r="FI86" s="246"/>
      <c r="FJ86" s="246"/>
      <c r="FM86" s="1" t="s">
        <v>1240</v>
      </c>
      <c r="FN86" s="295">
        <f>FN85/Main!L3</f>
        <v>145.91208892328871</v>
      </c>
      <c r="FQ86" s="290"/>
      <c r="FR86" s="290"/>
      <c r="FS86" s="291"/>
      <c r="FT86"/>
      <c r="FU86" s="290"/>
      <c r="FV86" s="290"/>
      <c r="FW86" s="290"/>
    </row>
    <row r="87" spans="1:179"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37">+BK4/BG4-1</f>
        <v>0.22105263157894739</v>
      </c>
      <c r="BL87" s="294">
        <f t="shared" si="637"/>
        <v>0.86567164179104483</v>
      </c>
      <c r="BM87" s="294">
        <f t="shared" si="637"/>
        <v>0.43410852713178305</v>
      </c>
      <c r="BN87" s="294">
        <f t="shared" si="637"/>
        <v>0.52100840336134446</v>
      </c>
      <c r="BO87" s="294">
        <f t="shared" si="637"/>
        <v>1.0431034482758621</v>
      </c>
      <c r="BP87" s="294">
        <f t="shared" si="637"/>
        <v>0.39999999999999991</v>
      </c>
      <c r="BQ87" s="294">
        <f t="shared" si="637"/>
        <v>0.43783783783783781</v>
      </c>
      <c r="BR87" s="294">
        <f t="shared" si="637"/>
        <v>0.40331491712707179</v>
      </c>
      <c r="BS87" s="294">
        <f t="shared" si="637"/>
        <v>9.2827004219409259E-2</v>
      </c>
      <c r="BT87" s="294">
        <f t="shared" si="637"/>
        <v>0.61142857142857143</v>
      </c>
      <c r="BU87" s="294">
        <f t="shared" si="637"/>
        <v>0.1278195488721805</v>
      </c>
      <c r="BV87" s="294">
        <f t="shared" si="637"/>
        <v>0.36220472440944884</v>
      </c>
      <c r="BW87" s="294">
        <f t="shared" si="637"/>
        <v>0.15830115830115821</v>
      </c>
      <c r="BX87" s="294">
        <f t="shared" si="637"/>
        <v>9.219858156028371E-2</v>
      </c>
      <c r="BY87" s="294">
        <f t="shared" si="637"/>
        <v>0.26666666666666661</v>
      </c>
      <c r="BZ87" s="294">
        <f t="shared" si="637"/>
        <v>-1.7341040462427793E-2</v>
      </c>
      <c r="CA87" s="294">
        <f t="shared" si="637"/>
        <v>0.30000000000000004</v>
      </c>
      <c r="CB87" s="294">
        <f t="shared" si="637"/>
        <v>0.45454545454545459</v>
      </c>
      <c r="CC87" s="294">
        <f t="shared" si="637"/>
        <v>0.26578947368421058</v>
      </c>
      <c r="CD87" s="294">
        <f t="shared" si="637"/>
        <v>0.25294117647058822</v>
      </c>
      <c r="CE87" s="294">
        <f t="shared" si="637"/>
        <v>9.7435897435897534E-2</v>
      </c>
      <c r="CF87" s="294">
        <f t="shared" si="637"/>
        <v>-2.0089285714285698E-2</v>
      </c>
      <c r="CG87" s="294">
        <f t="shared" si="637"/>
        <v>-1.039501039501034E-2</v>
      </c>
      <c r="CH87" s="294">
        <f t="shared" si="637"/>
        <v>0.15023474178403751</v>
      </c>
      <c r="CI87" s="294">
        <f t="shared" si="637"/>
        <v>0.21028037383177578</v>
      </c>
      <c r="CJ87" s="294">
        <f t="shared" si="637"/>
        <v>0.24829157175398642</v>
      </c>
      <c r="CK87" s="294">
        <f t="shared" si="637"/>
        <v>0.12605042016806722</v>
      </c>
      <c r="CL87" s="294">
        <f t="shared" si="637"/>
        <v>-1.6326530612244872E-2</v>
      </c>
      <c r="CM87" s="294">
        <f t="shared" si="633"/>
        <v>1.158301158301156E-2</v>
      </c>
      <c r="CN87" s="294">
        <f t="shared" si="633"/>
        <v>2.7372262773722733E-2</v>
      </c>
      <c r="CO87" s="294">
        <f t="shared" si="633"/>
        <v>9.3283582089552342E-2</v>
      </c>
      <c r="CP87" s="294">
        <f t="shared" si="633"/>
        <v>6.846473029045641E-2</v>
      </c>
      <c r="CQ87" s="294">
        <f t="shared" si="633"/>
        <v>9.5419847328244156E-3</v>
      </c>
      <c r="CR87" s="294">
        <f t="shared" si="633"/>
        <v>-3.0195381882770822E-2</v>
      </c>
      <c r="CS87" s="294">
        <f t="shared" si="633"/>
        <v>1.0238907849829282E-2</v>
      </c>
      <c r="CT87" s="294">
        <f t="shared" si="633"/>
        <v>0.11844660194174761</v>
      </c>
      <c r="CU87" s="294">
        <f t="shared" si="633"/>
        <v>6.2381852551984807E-2</v>
      </c>
      <c r="CV87" s="294">
        <f t="shared" si="633"/>
        <v>6.9597069597069572E-2</v>
      </c>
      <c r="CW87" s="294">
        <f t="shared" si="634"/>
        <v>-3.5472972972973027E-2</v>
      </c>
      <c r="CX87" s="294">
        <f t="shared" si="634"/>
        <v>-2.951388888888884E-2</v>
      </c>
      <c r="CY87" s="294">
        <f t="shared" si="634"/>
        <v>1.6014234875444844E-2</v>
      </c>
      <c r="CZ87" s="294">
        <f t="shared" si="634"/>
        <v>-3.082191780821919E-2</v>
      </c>
      <c r="DA87" s="294">
        <f t="shared" si="634"/>
        <v>-4.5534150612959734E-2</v>
      </c>
      <c r="DB87" s="294">
        <f t="shared" si="634"/>
        <v>-0.10375670840787121</v>
      </c>
      <c r="DC87" s="294">
        <f t="shared" si="634"/>
        <v>-5.9544658493870362E-2</v>
      </c>
      <c r="DD87" s="294">
        <f t="shared" si="634"/>
        <v>-6.5371024734982353E-2</v>
      </c>
      <c r="DE87" s="294">
        <f t="shared" si="634"/>
        <v>0.15486238532110086</v>
      </c>
      <c r="DF87" s="294">
        <f t="shared" si="634"/>
        <v>1.9960079840319889E-3</v>
      </c>
      <c r="DG87" s="294">
        <f t="shared" si="635"/>
        <v>3.165735567970196E-2</v>
      </c>
      <c r="DH87" s="294">
        <f t="shared" si="635"/>
        <v>1.512287334593565E-2</v>
      </c>
      <c r="DI87" s="294">
        <f t="shared" si="635"/>
        <v>-0.17969494756911353</v>
      </c>
      <c r="DJ87" s="294">
        <f t="shared" si="635"/>
        <v>0.16135458167330685</v>
      </c>
      <c r="DK87" s="294">
        <f t="shared" si="635"/>
        <v>0.18953068592057765</v>
      </c>
      <c r="DL87" s="294">
        <f t="shared" si="635"/>
        <v>-1.9925512104283172E-2</v>
      </c>
      <c r="DM87" s="294">
        <f t="shared" si="635"/>
        <v>-1.1911679256246366E-2</v>
      </c>
      <c r="DN87" s="294">
        <f t="shared" si="635"/>
        <v>-0.15868782161234996</v>
      </c>
      <c r="DP87" s="245"/>
      <c r="DQ87" s="245"/>
      <c r="DR87" s="245"/>
      <c r="DS87" s="245"/>
      <c r="DT87" s="245"/>
      <c r="DU87" s="245"/>
      <c r="DV87" s="245"/>
      <c r="DW87" s="245"/>
      <c r="DX87" s="245"/>
      <c r="DY87" s="245"/>
      <c r="DZ87" s="245"/>
      <c r="EA87" s="245"/>
      <c r="EB87" s="245"/>
      <c r="EC87" s="246"/>
      <c r="ED87" s="246"/>
      <c r="EE87" s="246"/>
      <c r="EF87" s="246"/>
      <c r="EG87" s="246"/>
      <c r="EH87" s="246"/>
      <c r="EI87" s="265" t="s">
        <v>1309</v>
      </c>
      <c r="EJ87" s="265" t="s">
        <v>1309</v>
      </c>
      <c r="EK87" s="265" t="s">
        <v>1309</v>
      </c>
      <c r="EL87" s="265" t="s">
        <v>1309</v>
      </c>
      <c r="EM87" s="246">
        <f t="shared" ref="EM87:EY87" si="638">EM4/EL4-1</f>
        <v>0.48048780487804876</v>
      </c>
      <c r="EN87" s="246">
        <f t="shared" si="638"/>
        <v>0.53542009884678743</v>
      </c>
      <c r="EO87" s="246">
        <f t="shared" si="638"/>
        <v>0.2736051502145922</v>
      </c>
      <c r="EP87" s="246">
        <f t="shared" si="638"/>
        <v>0.10000000000000009</v>
      </c>
      <c r="EQ87" s="246">
        <f t="shared" si="638"/>
        <v>5.0000000000000044E-2</v>
      </c>
      <c r="ER87" s="246">
        <f t="shared" si="638"/>
        <v>0.33699493429906213</v>
      </c>
      <c r="ES87" s="246">
        <f t="shared" si="638"/>
        <v>0.13693398799781775</v>
      </c>
      <c r="ET87" s="246">
        <f t="shared" si="638"/>
        <v>4.9904030710172798E-2</v>
      </c>
      <c r="EU87" s="246">
        <f t="shared" si="638"/>
        <v>2.5137111517367527E-2</v>
      </c>
      <c r="EV87" s="246">
        <f t="shared" si="638"/>
        <v>1.471243869817207E-2</v>
      </c>
      <c r="EW87" s="246">
        <f t="shared" si="638"/>
        <v>-4.0861159929701185E-2</v>
      </c>
      <c r="EX87" s="246">
        <f t="shared" si="638"/>
        <v>6.5964269354099603E-3</v>
      </c>
      <c r="EY87" s="246">
        <f t="shared" si="638"/>
        <v>-3.2310912897060007E-3</v>
      </c>
      <c r="EZ87" s="246"/>
      <c r="FA87" s="246"/>
      <c r="FB87" s="246"/>
      <c r="FC87" s="246"/>
      <c r="FD87" s="246"/>
      <c r="FE87" s="246"/>
      <c r="FF87" s="246"/>
      <c r="FG87" s="246"/>
      <c r="FH87" s="246"/>
      <c r="FI87" s="246"/>
      <c r="FJ87" s="246"/>
      <c r="FM87" t="s">
        <v>1239</v>
      </c>
      <c r="FN87" s="3">
        <f>FN86/170-1</f>
        <v>-0.14169359456888997</v>
      </c>
      <c r="FQ87" s="290"/>
      <c r="FR87" s="290"/>
      <c r="FS87" s="291"/>
      <c r="FT87"/>
      <c r="FU87" s="290"/>
      <c r="FV87" s="290"/>
      <c r="FW87" s="290"/>
    </row>
    <row r="88" spans="1:179"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39">+BK6/BG6-1</f>
        <v>0.33132530120481918</v>
      </c>
      <c r="BL88" s="294">
        <f t="shared" si="639"/>
        <v>0.40909090909090917</v>
      </c>
      <c r="BM88" s="294">
        <f t="shared" si="639"/>
        <v>0.5185185185185186</v>
      </c>
      <c r="BN88" s="294">
        <f t="shared" si="639"/>
        <v>0.29951690821256038</v>
      </c>
      <c r="BO88" s="294">
        <f t="shared" si="639"/>
        <v>0.56561085972850678</v>
      </c>
      <c r="BP88" s="294">
        <f t="shared" si="639"/>
        <v>0.49596774193548376</v>
      </c>
      <c r="BQ88" s="294">
        <f t="shared" si="639"/>
        <v>0.28919860627177707</v>
      </c>
      <c r="BR88" s="294">
        <f t="shared" si="639"/>
        <v>0.55018587360594795</v>
      </c>
      <c r="BS88" s="294">
        <f t="shared" si="639"/>
        <v>0.31791907514450868</v>
      </c>
      <c r="BT88" s="294">
        <f t="shared" si="639"/>
        <v>0.42318059299191368</v>
      </c>
      <c r="BU88" s="294">
        <f t="shared" si="639"/>
        <v>0.46756756756756768</v>
      </c>
      <c r="BV88" s="294">
        <f t="shared" si="639"/>
        <v>0.30695443645083942</v>
      </c>
      <c r="BW88" s="294">
        <f t="shared" si="639"/>
        <v>0.20394736842105265</v>
      </c>
      <c r="BX88" s="294">
        <f t="shared" si="639"/>
        <v>7.9545454545454586E-2</v>
      </c>
      <c r="BY88" s="294">
        <f t="shared" si="639"/>
        <v>0.1289134438305708</v>
      </c>
      <c r="BZ88" s="294">
        <f t="shared" si="639"/>
        <v>0.36146788990825685</v>
      </c>
      <c r="CA88" s="294">
        <f t="shared" si="639"/>
        <v>0.33879781420765021</v>
      </c>
      <c r="CB88" s="294">
        <f t="shared" si="639"/>
        <v>0.41052631578947363</v>
      </c>
      <c r="CC88" s="294">
        <f t="shared" si="639"/>
        <v>0.32789559543230018</v>
      </c>
      <c r="CD88" s="294">
        <f t="shared" si="639"/>
        <v>0.18463611859838269</v>
      </c>
      <c r="CE88" s="294">
        <f t="shared" si="639"/>
        <v>0.11972789115646254</v>
      </c>
      <c r="CF88" s="294">
        <f t="shared" si="639"/>
        <v>0.22263681592039797</v>
      </c>
      <c r="CG88" s="294">
        <f t="shared" si="639"/>
        <v>0.38083538083538082</v>
      </c>
      <c r="CH88" s="294">
        <f t="shared" si="639"/>
        <v>0.22980659840728102</v>
      </c>
      <c r="CI88" s="294">
        <f t="shared" si="639"/>
        <v>0.28918590522478738</v>
      </c>
      <c r="CJ88" s="294">
        <f t="shared" si="639"/>
        <v>0.36419125127161744</v>
      </c>
      <c r="CK88" s="294">
        <f t="shared" si="639"/>
        <v>0.16548042704626331</v>
      </c>
      <c r="CL88" s="294">
        <f t="shared" si="639"/>
        <v>0.3358001850138761</v>
      </c>
      <c r="CM88" s="294">
        <f t="shared" si="639"/>
        <v>0.32422243166823761</v>
      </c>
      <c r="CN88" s="294">
        <f t="shared" si="639"/>
        <v>0.16181953765846391</v>
      </c>
      <c r="CO88" s="294">
        <f t="shared" si="639"/>
        <v>0.29618320610687032</v>
      </c>
      <c r="CP88" s="294">
        <f t="shared" si="639"/>
        <v>0.17728531855955687</v>
      </c>
      <c r="CQ88" s="294">
        <f t="shared" ref="CQ88:DN88" si="640">+CQ6/CM6-1</f>
        <v>0.29466192170818495</v>
      </c>
      <c r="CR88" s="294">
        <f t="shared" si="640"/>
        <v>8.9216944801026932E-2</v>
      </c>
      <c r="CS88" s="294">
        <f t="shared" si="640"/>
        <v>0.14664310954063597</v>
      </c>
      <c r="CT88" s="294">
        <f t="shared" si="640"/>
        <v>0.32000000000000006</v>
      </c>
      <c r="CU88" s="294">
        <f t="shared" si="640"/>
        <v>0.18086860912589331</v>
      </c>
      <c r="CV88" s="294">
        <f t="shared" si="640"/>
        <v>0.34001178550383027</v>
      </c>
      <c r="CW88" s="294">
        <f t="shared" si="640"/>
        <v>0.2213662044170519</v>
      </c>
      <c r="CX88" s="294">
        <f t="shared" si="640"/>
        <v>4.0106951871657692E-2</v>
      </c>
      <c r="CY88" s="294">
        <f t="shared" si="640"/>
        <v>6.5176908752327734E-2</v>
      </c>
      <c r="CZ88" s="294">
        <f t="shared" si="640"/>
        <v>0.14291996481970104</v>
      </c>
      <c r="DA88" s="294">
        <f t="shared" si="640"/>
        <v>2.9857022708158043E-2</v>
      </c>
      <c r="DB88" s="294">
        <f t="shared" si="640"/>
        <v>2.227934875749793E-2</v>
      </c>
      <c r="DC88" s="294">
        <f t="shared" si="640"/>
        <v>6.8181818181818121E-2</v>
      </c>
      <c r="DD88" s="294">
        <f t="shared" si="640"/>
        <v>7.6183147364370818E-2</v>
      </c>
      <c r="DE88" s="294">
        <f t="shared" si="640"/>
        <v>0.16962025316455698</v>
      </c>
      <c r="DF88" s="294">
        <f t="shared" si="640"/>
        <v>0.15381391450125736</v>
      </c>
      <c r="DG88" s="294">
        <f t="shared" si="640"/>
        <v>2.864157119476296E-3</v>
      </c>
      <c r="DH88" s="294">
        <f t="shared" si="640"/>
        <v>3.1462281015373517E-2</v>
      </c>
      <c r="DI88" s="294">
        <f t="shared" si="640"/>
        <v>-6.5633291439743058E-2</v>
      </c>
      <c r="DJ88" s="294">
        <f t="shared" si="640"/>
        <v>-0.14674900108972033</v>
      </c>
      <c r="DK88" s="294">
        <f t="shared" si="640"/>
        <v>-0.33700530395756834</v>
      </c>
      <c r="DL88" s="294">
        <f t="shared" si="640"/>
        <v>-0.4</v>
      </c>
      <c r="DM88" s="294">
        <f t="shared" si="640"/>
        <v>-0.4</v>
      </c>
      <c r="DN88" s="294">
        <f t="shared" si="640"/>
        <v>-0.5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t="s">
        <v>1309</v>
      </c>
      <c r="EL88" s="265" t="s">
        <v>1309</v>
      </c>
      <c r="EM88" s="246">
        <f t="shared" ref="EM88:EY88" si="641">EM6/EL6-1</f>
        <v>0.38888888888888884</v>
      </c>
      <c r="EN88" s="246">
        <f t="shared" si="641"/>
        <v>0.46731707317073168</v>
      </c>
      <c r="EO88" s="246">
        <f t="shared" si="641"/>
        <v>0.37765957446808507</v>
      </c>
      <c r="EP88" s="246">
        <f t="shared" si="641"/>
        <v>0.14999999999999991</v>
      </c>
      <c r="EQ88" s="246">
        <f t="shared" si="641"/>
        <v>-1</v>
      </c>
      <c r="ER88" s="246" t="e">
        <f t="shared" si="641"/>
        <v>#DIV/0!</v>
      </c>
      <c r="ES88" s="246">
        <f t="shared" si="641"/>
        <v>0.28546497132884574</v>
      </c>
      <c r="ET88" s="246">
        <f t="shared" si="641"/>
        <v>0.23370830100853368</v>
      </c>
      <c r="EU88" s="246">
        <f t="shared" si="641"/>
        <v>0.21160194937902843</v>
      </c>
      <c r="EV88" s="246">
        <f t="shared" si="641"/>
        <v>0.18515635136888542</v>
      </c>
      <c r="EW88" s="246">
        <f t="shared" si="641"/>
        <v>6.4374863148675354E-2</v>
      </c>
      <c r="EX88" s="246">
        <f t="shared" si="641"/>
        <v>0.11688952890351767</v>
      </c>
      <c r="EY88" s="246">
        <f t="shared" si="641"/>
        <v>-4.5771015987622454E-2</v>
      </c>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42">+CL5/CH5-1</f>
        <v>2.7234042553191489</v>
      </c>
      <c r="CM89" s="294">
        <f t="shared" si="642"/>
        <v>2.0138888888888888</v>
      </c>
      <c r="CN89" s="294">
        <f t="shared" si="642"/>
        <v>0.86507936507936511</v>
      </c>
      <c r="CO89" s="294">
        <f t="shared" si="642"/>
        <v>0.69590643274853803</v>
      </c>
      <c r="CP89" s="294">
        <f t="shared" si="642"/>
        <v>0.54285714285714293</v>
      </c>
      <c r="CQ89" s="294">
        <f t="shared" si="642"/>
        <v>0.3640552995391706</v>
      </c>
      <c r="CR89" s="294">
        <f t="shared" si="642"/>
        <v>0.45531914893617031</v>
      </c>
      <c r="CS89" s="294">
        <f t="shared" si="642"/>
        <v>0.12758620689655165</v>
      </c>
      <c r="CT89" s="294">
        <f t="shared" si="642"/>
        <v>0.41481481481481475</v>
      </c>
      <c r="CU89" s="294">
        <f t="shared" si="642"/>
        <v>0.41216216216216206</v>
      </c>
      <c r="CV89" s="294">
        <f t="shared" si="642"/>
        <v>0.40058479532163749</v>
      </c>
      <c r="CW89" s="294">
        <f t="shared" si="642"/>
        <v>0.64220183486238525</v>
      </c>
      <c r="CX89" s="294">
        <f t="shared" si="642"/>
        <v>0.81413612565445037</v>
      </c>
      <c r="CY89" s="294">
        <f t="shared" si="642"/>
        <v>0.41148325358851667</v>
      </c>
      <c r="CZ89" s="294">
        <f t="shared" si="642"/>
        <v>0.24634655532359084</v>
      </c>
      <c r="DA89" s="294">
        <f t="shared" si="642"/>
        <v>0.35754189944134085</v>
      </c>
      <c r="DB89" s="294">
        <f t="shared" si="642"/>
        <v>8.5137085137085178E-2</v>
      </c>
      <c r="DC89" s="294">
        <f t="shared" si="642"/>
        <v>8.4745762711864403E-2</v>
      </c>
      <c r="DD89" s="294">
        <f t="shared" si="642"/>
        <v>0.18257956448911217</v>
      </c>
      <c r="DE89" s="294">
        <f t="shared" si="642"/>
        <v>0.22263374485596699</v>
      </c>
      <c r="DF89" s="294">
        <f t="shared" si="642"/>
        <v>0.21010638297872331</v>
      </c>
      <c r="DG89" s="294">
        <f t="shared" si="642"/>
        <v>0.26249999999999996</v>
      </c>
      <c r="DH89" s="294">
        <f t="shared" si="642"/>
        <v>0.28328611898016987</v>
      </c>
      <c r="DI89" s="294">
        <f t="shared" si="642"/>
        <v>0.13014697632671379</v>
      </c>
      <c r="DJ89" s="294">
        <f t="shared" si="642"/>
        <v>4.2857142857142927E-2</v>
      </c>
      <c r="DK89" s="294">
        <f t="shared" si="642"/>
        <v>0.18316831683168311</v>
      </c>
      <c r="DL89" s="294">
        <f t="shared" si="642"/>
        <v>0.25</v>
      </c>
      <c r="DM89" s="294">
        <f t="shared" si="642"/>
        <v>0.25</v>
      </c>
      <c r="DN89" s="294">
        <f t="shared" si="642"/>
        <v>0.25</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43">CF11/CB11-1</f>
        <v>-2.024922118380057E-2</v>
      </c>
      <c r="CG90" s="294">
        <f t="shared" si="643"/>
        <v>0</v>
      </c>
      <c r="CH90" s="294">
        <f t="shared" si="643"/>
        <v>8.1123244929797167E-2</v>
      </c>
      <c r="CI90" s="294">
        <f t="shared" si="643"/>
        <v>0.15231788079470188</v>
      </c>
      <c r="CJ90" s="294">
        <f t="shared" si="643"/>
        <v>0.14467408585055641</v>
      </c>
      <c r="CK90" s="294">
        <f t="shared" si="643"/>
        <v>0.16485225505443224</v>
      </c>
      <c r="CL90" s="294">
        <f t="shared" si="643"/>
        <v>0.10101010101010099</v>
      </c>
      <c r="CM90" s="294">
        <f t="shared" si="643"/>
        <v>0.13505747126436773</v>
      </c>
      <c r="CN90" s="294">
        <f t="shared" si="643"/>
        <v>0.13611111111111107</v>
      </c>
      <c r="CO90" s="294">
        <f t="shared" si="643"/>
        <v>0.13618157543391196</v>
      </c>
      <c r="CP90" s="294">
        <f t="shared" si="643"/>
        <v>0.1415465268676277</v>
      </c>
      <c r="CQ90" s="294">
        <f t="shared" si="643"/>
        <v>0.11772151898734173</v>
      </c>
      <c r="CR90" s="294">
        <f t="shared" si="643"/>
        <v>7.457212713936423E-2</v>
      </c>
      <c r="CS90" s="294">
        <f t="shared" si="643"/>
        <v>8.8131609870740313E-2</v>
      </c>
      <c r="CT90" s="294">
        <f t="shared" si="643"/>
        <v>0.10792192881745111</v>
      </c>
      <c r="CU90" s="294">
        <f t="shared" si="643"/>
        <v>9.2865232163080513E-2</v>
      </c>
      <c r="CV90" s="294">
        <f t="shared" si="643"/>
        <v>0.16496018202502838</v>
      </c>
      <c r="CW90" s="294">
        <f t="shared" si="643"/>
        <v>8.4233261339092813E-2</v>
      </c>
      <c r="CX90" s="294">
        <f t="shared" si="643"/>
        <v>6.6321243523316031E-2</v>
      </c>
      <c r="CY90" s="294">
        <f t="shared" si="643"/>
        <v>8.6010362694300513E-2</v>
      </c>
      <c r="CZ90" s="294">
        <f t="shared" si="643"/>
        <v>2.9296875E-2</v>
      </c>
      <c r="DA90" s="294">
        <f t="shared" si="643"/>
        <v>2.6892430278884438E-2</v>
      </c>
      <c r="DB90" s="294">
        <f t="shared" si="643"/>
        <v>-2.0408163265306145E-2</v>
      </c>
      <c r="DC90" s="294">
        <f t="shared" si="643"/>
        <v>-3.8167938931297218E-3</v>
      </c>
      <c r="DD90" s="294">
        <f t="shared" si="643"/>
        <v>-2.1821631878557901E-2</v>
      </c>
      <c r="DE90" s="294">
        <f t="shared" si="643"/>
        <v>-1.9398642095053154E-3</v>
      </c>
      <c r="DF90" s="294">
        <f t="shared" si="643"/>
        <v>2.9761904761904656E-3</v>
      </c>
      <c r="DG90" s="294">
        <f t="shared" si="643"/>
        <v>1.1494252873563315E-2</v>
      </c>
      <c r="DH90" s="294">
        <f t="shared" si="643"/>
        <v>2.2308438409311293E-2</v>
      </c>
      <c r="DI90" s="294">
        <f t="shared" si="643"/>
        <v>1.9825072886297423E-2</v>
      </c>
      <c r="DJ90" s="294">
        <f t="shared" si="643"/>
        <v>5.143422354104854E-2</v>
      </c>
      <c r="DK90" s="294">
        <f t="shared" si="643"/>
        <v>-0.14488636363636365</v>
      </c>
      <c r="DL90" s="294">
        <f t="shared" si="643"/>
        <v>1.0000000000000009E-2</v>
      </c>
      <c r="DM90" s="294">
        <f t="shared" si="643"/>
        <v>1.0000000000000009E-2</v>
      </c>
      <c r="DN90" s="294">
        <f t="shared" si="643"/>
        <v>1.0000000000000009E-2</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44">CF28/CB28-1</f>
        <v>1.7685185185185186</v>
      </c>
      <c r="CG91" s="294" t="e">
        <f t="shared" si="644"/>
        <v>#DIV/0!</v>
      </c>
      <c r="CH91" s="294">
        <f t="shared" si="644"/>
        <v>0.85499999999999998</v>
      </c>
      <c r="CI91" s="294">
        <f t="shared" si="644"/>
        <v>0.69411764705882351</v>
      </c>
      <c r="CJ91" s="294">
        <f t="shared" si="644"/>
        <v>0.70903010033444813</v>
      </c>
      <c r="CK91" s="294">
        <f t="shared" si="644"/>
        <v>0.57097791798107256</v>
      </c>
      <c r="CL91" s="294">
        <f t="shared" si="644"/>
        <v>0.57412398921832875</v>
      </c>
      <c r="CM91" s="294">
        <f t="shared" si="644"/>
        <v>0.4560185185185186</v>
      </c>
      <c r="CN91" s="294">
        <f t="shared" si="644"/>
        <v>0.51467710371819964</v>
      </c>
      <c r="CO91" s="294">
        <f t="shared" si="644"/>
        <v>0.53614457831325302</v>
      </c>
      <c r="CP91" s="294">
        <f t="shared" si="644"/>
        <v>0.42123287671232879</v>
      </c>
      <c r="CQ91" s="294">
        <f t="shared" si="644"/>
        <v>0.48966613672496018</v>
      </c>
      <c r="CR91" s="294">
        <f t="shared" si="644"/>
        <v>0.16408268733850129</v>
      </c>
      <c r="CS91" s="294">
        <f t="shared" si="644"/>
        <v>0.43660130718954249</v>
      </c>
      <c r="CT91" s="294">
        <f t="shared" si="644"/>
        <v>0.50963855421686755</v>
      </c>
      <c r="CU91" s="294">
        <f t="shared" si="644"/>
        <v>0.45677694770544286</v>
      </c>
      <c r="CV91" s="294">
        <f t="shared" si="644"/>
        <v>0.59045504994450604</v>
      </c>
      <c r="CW91" s="294">
        <f t="shared" si="644"/>
        <v>0.43767060964513194</v>
      </c>
      <c r="CX91" s="294">
        <f t="shared" si="644"/>
        <v>0.31284916201117308</v>
      </c>
      <c r="CY91" s="294">
        <f t="shared" si="644"/>
        <v>0.35970695970695976</v>
      </c>
      <c r="CZ91" s="294">
        <f t="shared" si="644"/>
        <v>0.38590369853454298</v>
      </c>
      <c r="DA91" s="294">
        <f t="shared" si="644"/>
        <v>0.29873417721518991</v>
      </c>
      <c r="DB91" s="294">
        <f t="shared" si="644"/>
        <v>0.2662613981762918</v>
      </c>
      <c r="DC91" s="294">
        <f t="shared" si="644"/>
        <v>0.21982758620689657</v>
      </c>
      <c r="DD91" s="294">
        <f t="shared" si="644"/>
        <v>0.22406847935548835</v>
      </c>
      <c r="DE91" s="294">
        <f t="shared" si="644"/>
        <v>0.21783625730994149</v>
      </c>
      <c r="DF91" s="294">
        <f t="shared" si="644"/>
        <v>0.22419587133941432</v>
      </c>
      <c r="DG91" s="294">
        <f t="shared" si="644"/>
        <v>0.18904593639575973</v>
      </c>
      <c r="DH91" s="294">
        <f t="shared" si="644"/>
        <v>0.18387494858083087</v>
      </c>
      <c r="DI91" s="294">
        <f t="shared" si="644"/>
        <v>0.2070428171268508</v>
      </c>
      <c r="DJ91" s="294">
        <f t="shared" si="644"/>
        <v>0.20941176470588241</v>
      </c>
      <c r="DK91" s="294">
        <f t="shared" si="644"/>
        <v>0.20245170876671614</v>
      </c>
      <c r="DL91" s="294">
        <f t="shared" si="644"/>
        <v>0.14999999999999991</v>
      </c>
      <c r="DM91" s="294">
        <f t="shared" si="644"/>
        <v>0.14999999999999991</v>
      </c>
      <c r="DN91" s="294">
        <f t="shared" si="644"/>
        <v>0.14999999999999991</v>
      </c>
      <c r="DP91" s="245"/>
      <c r="DQ91" s="245"/>
      <c r="DR91" s="245"/>
      <c r="DS91" s="245"/>
      <c r="DT91" s="245"/>
      <c r="DU91" s="245"/>
      <c r="DV91" s="245"/>
      <c r="DW91" s="245"/>
      <c r="DX91" s="245"/>
      <c r="DY91" s="245"/>
      <c r="DZ91" s="245"/>
      <c r="EA91" s="245"/>
      <c r="EB91" s="245"/>
      <c r="EC91" s="246"/>
      <c r="ED91" s="246"/>
      <c r="EE91" s="246"/>
      <c r="EF91" s="246"/>
      <c r="EG91" s="246"/>
      <c r="EH91" s="246"/>
      <c r="EI91" s="246"/>
      <c r="EJ91" s="246"/>
      <c r="EK91" s="265"/>
      <c r="EL91" s="265"/>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M91"/>
      <c r="FN91" s="292"/>
      <c r="FQ91" s="290"/>
      <c r="FR91" s="290"/>
      <c r="FS91" s="291"/>
      <c r="FT91"/>
      <c r="FU91" s="290"/>
      <c r="FV91" s="290"/>
      <c r="FW91" s="290"/>
    </row>
    <row r="92" spans="1:179"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45">+CF64/CB64-1</f>
        <v>1.7256507750804229E-2</v>
      </c>
      <c r="CG92" s="294">
        <f t="shared" ref="CG92" si="646">+CG64/CC64-1</f>
        <v>2.9132168046611451E-2</v>
      </c>
      <c r="CH92" s="294">
        <f t="shared" ref="CH92" si="647">+CH64/CD64-1</f>
        <v>3.1468531468531458E-2</v>
      </c>
      <c r="CI92" s="294">
        <f t="shared" ref="CI92" si="648">+CI64/CE64-1</f>
        <v>5.2664188351920771E-2</v>
      </c>
      <c r="CJ92" s="294">
        <f t="shared" ref="CJ92" si="649">+CJ64/CF64-1</f>
        <v>7.4755606670500185E-3</v>
      </c>
      <c r="CK92" s="294">
        <f t="shared" ref="CK92" si="650">+CK64/CG64-1</f>
        <v>1.7580452920143097E-2</v>
      </c>
      <c r="CL92" s="294">
        <f t="shared" ref="CL92" si="651">+CL64/CH64-1</f>
        <v>-1.1299435028248039E-3</v>
      </c>
      <c r="CM92" s="294">
        <f t="shared" ref="CM92:CT92" si="652">+CM64/CI64-1</f>
        <v>-2.3543260741612726E-2</v>
      </c>
      <c r="CN92" s="294">
        <f t="shared" si="652"/>
        <v>1.1415525114155223E-2</v>
      </c>
      <c r="CO92" s="294">
        <f t="shared" si="652"/>
        <v>1.5812591508052698E-2</v>
      </c>
      <c r="CP92" s="294">
        <f t="shared" si="652"/>
        <v>8.7669683257918241E-3</v>
      </c>
      <c r="CQ92" s="294">
        <f t="shared" si="652"/>
        <v>9.2525617842073471E-2</v>
      </c>
      <c r="CR92" s="294">
        <f t="shared" si="652"/>
        <v>-6.9977426636568807E-2</v>
      </c>
      <c r="CS92" s="294">
        <f t="shared" si="652"/>
        <v>1.2972038051311641E-2</v>
      </c>
      <c r="CT92" s="294">
        <f t="shared" si="652"/>
        <v>1.4297729184188368E-2</v>
      </c>
      <c r="CU92" s="294">
        <f t="shared" ref="CU92:DD92" si="653">+CU64/CQ64-1</f>
        <v>4.4137931034482492E-3</v>
      </c>
      <c r="CV92" s="294">
        <f t="shared" si="653"/>
        <v>0.16929611650485432</v>
      </c>
      <c r="CW92" s="294">
        <f t="shared" si="653"/>
        <v>5.2931132612407561E-2</v>
      </c>
      <c r="CX92" s="294">
        <f t="shared" si="653"/>
        <v>3.0403537866224406E-2</v>
      </c>
      <c r="CY92" s="294">
        <f t="shared" si="653"/>
        <v>-1.5105740181268867E-2</v>
      </c>
      <c r="CZ92" s="294">
        <f t="shared" si="653"/>
        <v>-1.2714063310845902E-2</v>
      </c>
      <c r="DA92" s="294">
        <f t="shared" si="653"/>
        <v>2.5675675675675746E-2</v>
      </c>
      <c r="DB92" s="294">
        <f t="shared" si="653"/>
        <v>1.046137339055786E-2</v>
      </c>
      <c r="DC92" s="294">
        <f t="shared" si="653"/>
        <v>7.4177356385945359E-2</v>
      </c>
      <c r="DD92" s="294">
        <f t="shared" si="653"/>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Q92" s="290"/>
      <c r="FR92" s="290"/>
      <c r="FS92" s="291"/>
      <c r="FT92"/>
      <c r="FU92" s="291"/>
      <c r="FV92" s="290"/>
      <c r="FW92" s="290"/>
    </row>
    <row r="93" spans="1:179"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54">AX51/AT51-1</f>
        <v>-0.16820276497695852</v>
      </c>
      <c r="AY93" s="297">
        <f t="shared" si="654"/>
        <v>-0.19999999999999996</v>
      </c>
      <c r="AZ93" s="297">
        <f t="shared" si="654"/>
        <v>-0.20892018779342725</v>
      </c>
      <c r="BA93" s="297">
        <f t="shared" si="654"/>
        <v>-0.11845730027548207</v>
      </c>
      <c r="BB93" s="297">
        <f t="shared" si="654"/>
        <v>-3.4626038781163437E-2</v>
      </c>
      <c r="BC93" s="297">
        <f t="shared" si="654"/>
        <v>5.9880239520957446E-3</v>
      </c>
      <c r="BD93" s="297">
        <f t="shared" si="654"/>
        <v>-2.8189910979228516E-2</v>
      </c>
      <c r="BE93" s="297">
        <f t="shared" si="654"/>
        <v>-6.8749999999999978E-2</v>
      </c>
      <c r="BF93" s="297">
        <f t="shared" si="654"/>
        <v>-9.7560975609756073E-2</v>
      </c>
      <c r="BG93" s="297">
        <f t="shared" si="654"/>
        <v>-5.5059523809523836E-2</v>
      </c>
      <c r="BH93" s="297">
        <f t="shared" si="654"/>
        <v>-0.10381679389312981</v>
      </c>
      <c r="BI93" s="297">
        <f t="shared" si="654"/>
        <v>-0.1174496644295302</v>
      </c>
      <c r="BJ93" s="297">
        <f t="shared" si="654"/>
        <v>-0.14149443561208264</v>
      </c>
      <c r="BK93" s="297">
        <f t="shared" si="654"/>
        <v>-0.24094488188976382</v>
      </c>
      <c r="BL93" s="297">
        <f t="shared" si="654"/>
        <v>-0.141396933560477</v>
      </c>
      <c r="BM93" s="297">
        <f t="shared" si="654"/>
        <v>-6.2737642585551368E-2</v>
      </c>
      <c r="BN93" s="297">
        <f t="shared" si="654"/>
        <v>-6.2962962962962998E-2</v>
      </c>
      <c r="BO93" s="297">
        <f t="shared" si="654"/>
        <v>6.4315352697095429E-2</v>
      </c>
      <c r="BP93" s="297">
        <f t="shared" si="654"/>
        <v>4.9603174603174649E-2</v>
      </c>
      <c r="BQ93" s="297">
        <f t="shared" si="654"/>
        <v>1.6227180527383478E-2</v>
      </c>
      <c r="BR93" s="297">
        <f t="shared" si="654"/>
        <v>5.5335968379446543E-2</v>
      </c>
      <c r="BS93" s="297">
        <f t="shared" si="654"/>
        <v>5.4580896686159841E-2</v>
      </c>
      <c r="BT93" s="297">
        <f t="shared" si="654"/>
        <v>7.1833648393194727E-2</v>
      </c>
      <c r="BU93" s="297">
        <f t="shared" si="654"/>
        <v>8.1836327345309323E-2</v>
      </c>
      <c r="BV93" s="297">
        <f t="shared" si="654"/>
        <v>4.4943820224719211E-2</v>
      </c>
      <c r="BW93" s="297">
        <f t="shared" si="654"/>
        <v>-2.2181146025877951E-2</v>
      </c>
      <c r="BX93" s="297">
        <f t="shared" si="654"/>
        <v>-4.0564373897707284E-2</v>
      </c>
      <c r="BY93" s="297">
        <f t="shared" si="654"/>
        <v>-3.3210332103321027E-2</v>
      </c>
      <c r="BZ93" s="297">
        <f t="shared" si="654"/>
        <v>-0.21326164874551967</v>
      </c>
      <c r="CA93" s="297"/>
      <c r="CB93" s="297"/>
      <c r="CC93" s="297"/>
      <c r="CD93" s="297"/>
      <c r="CE93" s="297"/>
      <c r="CF93" s="297"/>
      <c r="CG93" s="297"/>
      <c r="CH93" s="297"/>
      <c r="CI93" s="297"/>
      <c r="CJ93" s="297"/>
      <c r="CK93" s="297"/>
      <c r="CL93" s="297"/>
      <c r="CM93" s="297">
        <f t="shared" ref="CM93:CT93" si="655">+CM51/CI51-1</f>
        <v>0.14375000000000004</v>
      </c>
      <c r="CN93" s="297">
        <f t="shared" si="655"/>
        <v>0.12443778110944526</v>
      </c>
      <c r="CO93" s="297">
        <f t="shared" si="655"/>
        <v>0.13476263399693722</v>
      </c>
      <c r="CP93" s="297">
        <f t="shared" si="655"/>
        <v>0.12827988338192431</v>
      </c>
      <c r="CQ93" s="297">
        <f t="shared" si="655"/>
        <v>-6.8306010928961269E-3</v>
      </c>
      <c r="CR93" s="297">
        <f t="shared" si="655"/>
        <v>-0.21333333333333337</v>
      </c>
      <c r="CS93" s="297">
        <f t="shared" si="655"/>
        <v>0.12820512820512819</v>
      </c>
      <c r="CT93" s="297">
        <f t="shared" si="655"/>
        <v>0.1537467700258397</v>
      </c>
      <c r="CU93" s="297">
        <f t="shared" ref="CU93:DG93" si="656">+CU51/CQ51-1</f>
        <v>0.30536451169188439</v>
      </c>
      <c r="CV93" s="297">
        <f t="shared" si="656"/>
        <v>0.77288135593220342</v>
      </c>
      <c r="CW93" s="297">
        <f t="shared" si="656"/>
        <v>0.14473684210526305</v>
      </c>
      <c r="CX93" s="297">
        <f t="shared" si="656"/>
        <v>0.14109742441209416</v>
      </c>
      <c r="CY93" s="297">
        <f t="shared" si="656"/>
        <v>0.15068493150684925</v>
      </c>
      <c r="CZ93" s="297">
        <f t="shared" si="656"/>
        <v>2.8680688336519822E-3</v>
      </c>
      <c r="DA93" s="297">
        <f t="shared" si="656"/>
        <v>0.1076280041797284</v>
      </c>
      <c r="DB93" s="297">
        <f t="shared" si="656"/>
        <v>-2.4533856722276703E-2</v>
      </c>
      <c r="DC93" s="297">
        <f t="shared" si="656"/>
        <v>0</v>
      </c>
      <c r="DD93" s="297">
        <f t="shared" si="656"/>
        <v>0.54432793136320301</v>
      </c>
      <c r="DE93" s="297">
        <f t="shared" si="656"/>
        <v>9.5283018867924563E-2</v>
      </c>
      <c r="DF93" s="297">
        <f t="shared" si="656"/>
        <v>0.24647887323943651</v>
      </c>
      <c r="DG93" s="297">
        <f t="shared" si="656"/>
        <v>0.23076923076923084</v>
      </c>
      <c r="DH93" s="297">
        <f t="shared" ref="DH93" si="657">+DH51/DD51-1</f>
        <v>-0.18333333333333335</v>
      </c>
      <c r="DI93" s="297">
        <f t="shared" ref="DI93" si="658">+DI51/DE51-1</f>
        <v>0.10163652024117131</v>
      </c>
      <c r="DJ93" s="297">
        <f t="shared" ref="DJ93" si="659">+DJ51/DF51-1</f>
        <v>6.6182405165456037E-2</v>
      </c>
      <c r="DK93" s="297">
        <f t="shared" ref="DK93" si="660">+DK51/DG51-1</f>
        <v>-1.5625E-2</v>
      </c>
      <c r="DL93" s="297">
        <f t="shared" ref="DL93" si="661">+DL51/DH51-1</f>
        <v>3.0000000000000027E-2</v>
      </c>
      <c r="DM93" s="297">
        <f t="shared" ref="DM93" si="662">+DM51/DI51-1</f>
        <v>3.0000000000000027E-2</v>
      </c>
      <c r="DN93" s="297">
        <f t="shared" ref="DN93" si="663">+DN51/DJ51-1</f>
        <v>3.0000000000000027E-2</v>
      </c>
      <c r="DO93" s="296"/>
      <c r="DP93" s="245"/>
      <c r="DQ93" s="245"/>
      <c r="DR93" s="245"/>
      <c r="DS93" s="245"/>
      <c r="DT93" s="245"/>
      <c r="DU93" s="245"/>
      <c r="DV93" s="245"/>
      <c r="DW93" s="245"/>
      <c r="DX93" s="245"/>
      <c r="DY93" s="245"/>
      <c r="DZ93" s="245"/>
      <c r="EA93" s="245"/>
      <c r="EB93" s="245"/>
      <c r="EC93" s="245"/>
      <c r="ED93" s="245"/>
      <c r="EE93" s="245"/>
      <c r="EF93" s="245"/>
      <c r="EG93" s="245"/>
      <c r="EH93" s="245"/>
      <c r="EI93" s="246"/>
      <c r="EJ93" s="246"/>
      <c r="EK93" s="246"/>
      <c r="EL93" s="246"/>
      <c r="EM93" s="246"/>
      <c r="EN93" s="246"/>
      <c r="EO93" s="246"/>
      <c r="EP93" s="246"/>
      <c r="EQ93" s="246"/>
      <c r="ER93" s="246"/>
      <c r="ES93" s="246"/>
      <c r="ET93" s="246"/>
      <c r="EU93" s="246"/>
      <c r="FQ93" s="290"/>
      <c r="FR93" s="290"/>
      <c r="FS93" s="290"/>
      <c r="FT93"/>
      <c r="FU93" s="290"/>
      <c r="FV93" s="290"/>
      <c r="FW93" s="290"/>
    </row>
    <row r="94" spans="1:179"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64">AE55/AA55-1</f>
        <v>0.13531799729364002</v>
      </c>
      <c r="AF94" s="297">
        <f t="shared" si="664"/>
        <v>0.12165775401069512</v>
      </c>
      <c r="AG94" s="297">
        <f t="shared" si="664"/>
        <v>0.10027855153203347</v>
      </c>
      <c r="AH94" s="297">
        <f t="shared" si="664"/>
        <v>0.18703241895261846</v>
      </c>
      <c r="AI94" s="297">
        <f t="shared" si="664"/>
        <v>0.18355184743742559</v>
      </c>
      <c r="AJ94" s="297">
        <f t="shared" si="664"/>
        <v>0.16805721096543502</v>
      </c>
      <c r="AK94" s="297">
        <f t="shared" si="664"/>
        <v>0.1354430379746836</v>
      </c>
      <c r="AL94" s="297">
        <f t="shared" si="664"/>
        <v>2.6260504201680579E-2</v>
      </c>
      <c r="AM94" s="297">
        <f t="shared" si="664"/>
        <v>4.6324269889224556E-2</v>
      </c>
      <c r="AN94" s="297">
        <f t="shared" si="664"/>
        <v>5.6122448979591733E-2</v>
      </c>
      <c r="AO94" s="297">
        <f t="shared" ref="AO94:AW96" si="665">AO55/AK55-1</f>
        <v>8.2497212931995634E-2</v>
      </c>
      <c r="AP94" s="297">
        <f t="shared" si="665"/>
        <v>8.4953940634595604E-2</v>
      </c>
      <c r="AQ94" s="297">
        <f t="shared" si="665"/>
        <v>0.11357074109720888</v>
      </c>
      <c r="AR94" s="297">
        <f t="shared" si="665"/>
        <v>9.661835748792269E-2</v>
      </c>
      <c r="AS94" s="297">
        <f t="shared" si="665"/>
        <v>0.11843460350154489</v>
      </c>
      <c r="AT94" s="297">
        <f t="shared" si="665"/>
        <v>0.14056603773584908</v>
      </c>
      <c r="AU94" s="297">
        <f t="shared" si="665"/>
        <v>8.2973206568712099E-2</v>
      </c>
      <c r="AV94" s="297">
        <f t="shared" si="665"/>
        <v>0.13568281938325999</v>
      </c>
      <c r="AW94" s="297">
        <f t="shared" si="665"/>
        <v>0.10036832412523022</v>
      </c>
      <c r="AX94" s="297">
        <f t="shared" ref="AX94:BG94" si="666">AX55/AT55-1</f>
        <v>3.556658395368073E-2</v>
      </c>
      <c r="AY94" s="297">
        <f t="shared" si="666"/>
        <v>3.1125299281723917E-2</v>
      </c>
      <c r="AZ94" s="297">
        <f t="shared" si="666"/>
        <v>2.6377036462373882E-2</v>
      </c>
      <c r="BA94" s="297">
        <f t="shared" si="666"/>
        <v>7.4476987447698706E-2</v>
      </c>
      <c r="BB94" s="297">
        <f t="shared" si="666"/>
        <v>0.17651757188498407</v>
      </c>
      <c r="BC94" s="297">
        <f t="shared" si="666"/>
        <v>0.12538699690402466</v>
      </c>
      <c r="BD94" s="297">
        <f t="shared" si="666"/>
        <v>3.9304610733182255E-2</v>
      </c>
      <c r="BE94" s="297">
        <f t="shared" si="666"/>
        <v>1.947040498442365E-2</v>
      </c>
      <c r="BF94" s="297">
        <f t="shared" si="666"/>
        <v>-1.7651052274270218E-2</v>
      </c>
      <c r="BG94" s="297">
        <f t="shared" si="666"/>
        <v>3.3700137551581744E-2</v>
      </c>
      <c r="BH94" s="297">
        <f t="shared" ref="BH94:BQ94" si="667">BH55/BD55-1</f>
        <v>6.8363636363636404E-2</v>
      </c>
      <c r="BI94" s="297">
        <f t="shared" si="667"/>
        <v>5.7295645530939687E-2</v>
      </c>
      <c r="BJ94" s="297">
        <f t="shared" si="667"/>
        <v>4.146510020732519E-3</v>
      </c>
      <c r="BK94" s="297">
        <f t="shared" si="667"/>
        <v>-6.6533599467730742E-3</v>
      </c>
      <c r="BL94" s="297">
        <f t="shared" si="667"/>
        <v>0.10823689584751528</v>
      </c>
      <c r="BM94" s="297">
        <f t="shared" si="667"/>
        <v>0.65462427745664731</v>
      </c>
      <c r="BN94" s="297">
        <f t="shared" si="667"/>
        <v>0.64349621472814866</v>
      </c>
      <c r="BO94" s="297">
        <f t="shared" si="667"/>
        <v>0.59745478901540516</v>
      </c>
      <c r="BP94" s="297">
        <f t="shared" si="667"/>
        <v>0.46498771498771507</v>
      </c>
      <c r="BQ94" s="297">
        <f t="shared" si="667"/>
        <v>-3.0567685589519833E-3</v>
      </c>
      <c r="BR94" s="297">
        <f t="shared" ref="BR94:BZ94" si="668">BR55/BN55-1</f>
        <v>2.8475711892797406E-2</v>
      </c>
      <c r="BS94" s="297">
        <f t="shared" si="668"/>
        <v>1.5094339622641506E-2</v>
      </c>
      <c r="BT94" s="297">
        <f t="shared" si="668"/>
        <v>3.5220125786163514E-2</v>
      </c>
      <c r="BU94" s="297">
        <f t="shared" si="668"/>
        <v>2.6719229084537943E-2</v>
      </c>
      <c r="BV94" s="297">
        <f t="shared" si="668"/>
        <v>-6.1074918566774716E-3</v>
      </c>
      <c r="BW94" s="297">
        <f t="shared" si="668"/>
        <v>-3.8413878562577497E-2</v>
      </c>
      <c r="BX94" s="297">
        <f t="shared" si="668"/>
        <v>-5.62980963953017E-2</v>
      </c>
      <c r="BY94" s="297">
        <f t="shared" si="668"/>
        <v>-6.9539249146757687E-2</v>
      </c>
      <c r="BZ94" s="297">
        <f t="shared" si="668"/>
        <v>-7.3740270380990847E-3</v>
      </c>
      <c r="CA94" s="297"/>
      <c r="CB94" s="297"/>
      <c r="CC94" s="297"/>
      <c r="CD94" s="297"/>
      <c r="CE94" s="297"/>
      <c r="CF94" s="297"/>
      <c r="CG94" s="297"/>
      <c r="CH94" s="297"/>
      <c r="CI94" s="297"/>
      <c r="CJ94" s="297"/>
      <c r="CK94" s="297"/>
      <c r="CL94" s="297"/>
      <c r="CM94" s="297">
        <f t="shared" ref="CM94:CT94" si="669">+CM55/CI55-1</f>
        <v>-2.0444444444444487E-2</v>
      </c>
      <c r="CN94" s="297">
        <f t="shared" si="669"/>
        <v>-1.6799292661361598E-2</v>
      </c>
      <c r="CO94" s="297">
        <f t="shared" si="669"/>
        <v>1.279014684983415E-2</v>
      </c>
      <c r="CP94" s="297">
        <f t="shared" si="669"/>
        <v>4.8629531388151293E-3</v>
      </c>
      <c r="CQ94" s="297">
        <f t="shared" si="669"/>
        <v>-7.5317604355716883E-2</v>
      </c>
      <c r="CR94" s="297">
        <f t="shared" si="669"/>
        <v>-0.34757194244604317</v>
      </c>
      <c r="CS94" s="297">
        <f t="shared" si="669"/>
        <v>-2.572497661365758E-2</v>
      </c>
      <c r="CT94" s="297">
        <f t="shared" si="669"/>
        <v>-3.6075670919489711E-2</v>
      </c>
      <c r="CU94" s="297">
        <f t="shared" ref="CU94:DG94" si="670">+CU55/CQ55-1</f>
        <v>3.6800785083415111E-2</v>
      </c>
      <c r="CV94" s="297">
        <f t="shared" si="670"/>
        <v>0.53480358373535486</v>
      </c>
      <c r="CW94" s="297">
        <f t="shared" si="670"/>
        <v>4.8007681228996457E-3</v>
      </c>
      <c r="CX94" s="297">
        <f t="shared" si="670"/>
        <v>-1.6430853491556374E-2</v>
      </c>
      <c r="CY94" s="297">
        <f t="shared" si="670"/>
        <v>3.5494557501183133E-2</v>
      </c>
      <c r="CZ94" s="297">
        <f t="shared" si="670"/>
        <v>-3.143242029636284E-2</v>
      </c>
      <c r="DA94" s="297">
        <f t="shared" si="670"/>
        <v>9.5556617295744495E-4</v>
      </c>
      <c r="DB94" s="297">
        <f t="shared" si="670"/>
        <v>-3.2482598607889157E-3</v>
      </c>
      <c r="DC94" s="297">
        <f t="shared" si="670"/>
        <v>2.6051188299817118E-2</v>
      </c>
      <c r="DD94" s="297">
        <f t="shared" si="670"/>
        <v>5.0069541029207132E-2</v>
      </c>
      <c r="DE94" s="297">
        <f t="shared" si="670"/>
        <v>3.2935560859188584E-2</v>
      </c>
      <c r="DF94" s="297">
        <f t="shared" si="670"/>
        <v>5.5865921787709549E-2</v>
      </c>
      <c r="DG94" s="297">
        <f t="shared" si="670"/>
        <v>4.231625835189301E-2</v>
      </c>
      <c r="DH94" s="297">
        <f t="shared" ref="DH94" si="671">+DH55/DD55-1</f>
        <v>2.0750551876379753E-2</v>
      </c>
      <c r="DI94" s="297">
        <f t="shared" ref="DI94" si="672">+DI55/DE55-1</f>
        <v>1.2476894639556368E-2</v>
      </c>
      <c r="DJ94" s="297">
        <f t="shared" ref="DJ94" si="673">+DJ55/DF55-1</f>
        <v>2.0723104056437291E-2</v>
      </c>
      <c r="DK94" s="297">
        <f t="shared" ref="DK94" si="674">+DK55/DG55-1</f>
        <v>-4.2307692307692268E-2</v>
      </c>
      <c r="DL94" s="297">
        <f t="shared" ref="DL94" si="675">+DL55/DH55-1</f>
        <v>5.0000000000000044E-2</v>
      </c>
      <c r="DM94" s="297">
        <f t="shared" ref="DM94" si="676">+DM55/DI55-1</f>
        <v>5.0000000000000044E-2</v>
      </c>
      <c r="DN94" s="297">
        <f t="shared" ref="DN94" si="677">+DN55/DJ55-1</f>
        <v>5.0000000000000044E-2</v>
      </c>
      <c r="DO94" s="296"/>
      <c r="DP94" s="245"/>
      <c r="DQ94" s="245"/>
      <c r="DR94" s="245"/>
      <c r="DS94" s="245"/>
      <c r="DT94" s="245"/>
      <c r="DU94" s="245"/>
      <c r="DV94" s="245"/>
      <c r="DW94" s="245"/>
      <c r="DX94" s="245"/>
      <c r="DY94" s="245"/>
      <c r="DZ94" s="245"/>
      <c r="EA94" s="246">
        <f t="shared" ref="EA94:EJ94" si="678">EA55/DZ55-1</f>
        <v>3.7121644774414708E-2</v>
      </c>
      <c r="EB94" s="246">
        <f t="shared" si="678"/>
        <v>0.13105726872246692</v>
      </c>
      <c r="EC94" s="246">
        <f t="shared" si="678"/>
        <v>0.23515092502434265</v>
      </c>
      <c r="ED94" s="246">
        <f t="shared" si="678"/>
        <v>0.18525817895151753</v>
      </c>
      <c r="EE94" s="246">
        <f t="shared" si="678"/>
        <v>0.13734619221815758</v>
      </c>
      <c r="EF94" s="246">
        <f t="shared" si="678"/>
        <v>0.12485380116959055</v>
      </c>
      <c r="EG94" s="246">
        <f t="shared" si="678"/>
        <v>6.7065245645957949E-2</v>
      </c>
      <c r="EH94" s="246">
        <f t="shared" si="678"/>
        <v>0.1174177831912302</v>
      </c>
      <c r="EI94" s="246">
        <f t="shared" si="678"/>
        <v>8.7638979725310762E-2</v>
      </c>
      <c r="EJ94" s="246">
        <f t="shared" si="678"/>
        <v>7.6768891561435071E-2</v>
      </c>
      <c r="EK94" s="246"/>
      <c r="EL94" s="246"/>
      <c r="EM94" s="246"/>
      <c r="EN94" s="246"/>
      <c r="EO94" s="246"/>
      <c r="EP94" s="246"/>
      <c r="EQ94" s="246"/>
      <c r="ER94" s="246"/>
      <c r="ES94" s="246"/>
      <c r="ET94" s="246"/>
      <c r="EU94" s="246"/>
      <c r="FQ94" s="290"/>
      <c r="FR94" s="290"/>
      <c r="FS94" s="290"/>
      <c r="FT94"/>
      <c r="FU94" s="291"/>
      <c r="FV94" s="290"/>
      <c r="FW94" s="290"/>
    </row>
    <row r="95" spans="1:179" s="279" customFormat="1" ht="12.75" customHeight="1" x14ac:dyDescent="0.3">
      <c r="A95" s="1"/>
      <c r="B95" t="s">
        <v>122</v>
      </c>
      <c r="C95" s="293"/>
      <c r="D95" s="293"/>
      <c r="E95" s="293"/>
      <c r="F95" s="293"/>
      <c r="G95" s="297">
        <f t="shared" ref="G95:P96" si="679">G56/C56-1</f>
        <v>4.0000000000000036E-2</v>
      </c>
      <c r="H95" s="297">
        <f t="shared" si="679"/>
        <v>3.0000000000000027E-2</v>
      </c>
      <c r="I95" s="297">
        <f t="shared" si="679"/>
        <v>4.0000000000000036E-2</v>
      </c>
      <c r="J95" s="297">
        <f t="shared" si="679"/>
        <v>0.12698412698412698</v>
      </c>
      <c r="K95" s="297">
        <f t="shared" si="679"/>
        <v>0.20906801007556686</v>
      </c>
      <c r="L95" s="297">
        <f t="shared" si="679"/>
        <v>0.20253164556962022</v>
      </c>
      <c r="M95" s="297">
        <f t="shared" si="679"/>
        <v>0.2005141388174807</v>
      </c>
      <c r="N95" s="297">
        <f t="shared" si="679"/>
        <v>0.1619718309859155</v>
      </c>
      <c r="O95" s="297">
        <f t="shared" si="679"/>
        <v>4.1666666666666519E-3</v>
      </c>
      <c r="P95" s="297">
        <f t="shared" si="679"/>
        <v>7.1578947368420964E-2</v>
      </c>
      <c r="Q95" s="297">
        <f t="shared" ref="Q95:Z96" si="680">Q56/M56-1</f>
        <v>3.2119914346895095E-2</v>
      </c>
      <c r="R95" s="297">
        <f t="shared" si="680"/>
        <v>1.6161616161616266E-2</v>
      </c>
      <c r="S95" s="297">
        <f t="shared" si="680"/>
        <v>7.6763485477178373E-2</v>
      </c>
      <c r="T95" s="297">
        <f t="shared" si="680"/>
        <v>4.1257367387033339E-2</v>
      </c>
      <c r="U95" s="297">
        <f t="shared" si="680"/>
        <v>0.10373443983402497</v>
      </c>
      <c r="V95" s="297">
        <f t="shared" si="680"/>
        <v>0.22862823061630211</v>
      </c>
      <c r="W95" s="297">
        <f t="shared" si="680"/>
        <v>8.6705202312138629E-2</v>
      </c>
      <c r="X95" s="297">
        <f t="shared" si="680"/>
        <v>0.14339622641509431</v>
      </c>
      <c r="Y95" s="297">
        <f t="shared" si="680"/>
        <v>0.12030075187969924</v>
      </c>
      <c r="Z95" s="297">
        <f t="shared" si="680"/>
        <v>3.2362459546926292E-3</v>
      </c>
      <c r="AA95" s="297">
        <f t="shared" ref="AA95:AD96" si="681">AA56/W56-1</f>
        <v>0.11524822695035453</v>
      </c>
      <c r="AB95" s="297">
        <f t="shared" si="681"/>
        <v>0.11056105610561051</v>
      </c>
      <c r="AC95" s="297">
        <f t="shared" si="681"/>
        <v>7.3825503355704702E-2</v>
      </c>
      <c r="AD95" s="297">
        <f t="shared" si="681"/>
        <v>0.12419354838709684</v>
      </c>
      <c r="AE95" s="297">
        <f t="shared" si="664"/>
        <v>8.2670906200317917E-2</v>
      </c>
      <c r="AF95" s="297">
        <f t="shared" si="664"/>
        <v>6.3893016344725106E-2</v>
      </c>
      <c r="AG95" s="297">
        <f t="shared" si="664"/>
        <v>7.3437500000000044E-2</v>
      </c>
      <c r="AH95" s="297">
        <f t="shared" si="664"/>
        <v>8.0344332855093237E-2</v>
      </c>
      <c r="AI95" s="297">
        <f t="shared" si="664"/>
        <v>0.15565345080763593</v>
      </c>
      <c r="AJ95" s="297">
        <f t="shared" si="664"/>
        <v>0.11452513966480438</v>
      </c>
      <c r="AK95" s="297">
        <f t="shared" si="664"/>
        <v>8.4425036390101793E-2</v>
      </c>
      <c r="AL95" s="297">
        <f t="shared" si="664"/>
        <v>2.1248339973439556E-2</v>
      </c>
      <c r="AM95" s="297">
        <f t="shared" si="664"/>
        <v>-1.6518424396442133E-2</v>
      </c>
      <c r="AN95" s="297">
        <f t="shared" si="664"/>
        <v>2.2556390977443552E-2</v>
      </c>
      <c r="AO95" s="297">
        <f t="shared" si="665"/>
        <v>6.8456375838926276E-2</v>
      </c>
      <c r="AP95" s="297">
        <f t="shared" si="665"/>
        <v>7.5422626788036462E-2</v>
      </c>
      <c r="AQ95" s="297">
        <f t="shared" si="665"/>
        <v>0.12403100775193798</v>
      </c>
      <c r="AR95" s="297">
        <f t="shared" si="665"/>
        <v>0.10416666666666674</v>
      </c>
      <c r="AS95" s="297">
        <f t="shared" si="665"/>
        <v>0.10175879396984921</v>
      </c>
      <c r="AT95" s="297">
        <f t="shared" si="665"/>
        <v>0.14147521160822252</v>
      </c>
      <c r="AU95" s="297">
        <f t="shared" si="665"/>
        <v>8.6206896551724199E-2</v>
      </c>
      <c r="AV95" s="297">
        <f t="shared" si="665"/>
        <v>0.13207547169811318</v>
      </c>
      <c r="AW95" s="297">
        <f t="shared" si="665"/>
        <v>9.1220068415051259E-2</v>
      </c>
      <c r="AX95" s="297">
        <f t="shared" ref="AX95:BJ96" si="682">AX56/AT56-1</f>
        <v>-2.754237288135597E-2</v>
      </c>
      <c r="AY95" s="297">
        <f t="shared" si="682"/>
        <v>8.4656084656085095E-3</v>
      </c>
      <c r="AZ95" s="297">
        <f t="shared" si="682"/>
        <v>2.0588235294117574E-2</v>
      </c>
      <c r="BA95" s="297">
        <f t="shared" si="682"/>
        <v>6.478578892372E-2</v>
      </c>
      <c r="BB95" s="297">
        <f t="shared" si="682"/>
        <v>0.20806100217864931</v>
      </c>
      <c r="BC95" s="297">
        <f t="shared" si="682"/>
        <v>0.20356768100734524</v>
      </c>
      <c r="BD95" s="297">
        <f t="shared" si="682"/>
        <v>8.7415946205571471E-2</v>
      </c>
      <c r="BE95" s="297">
        <f t="shared" si="682"/>
        <v>5.201177625122666E-2</v>
      </c>
      <c r="BF95" s="297">
        <f t="shared" si="682"/>
        <v>3.8773669972948621E-2</v>
      </c>
      <c r="BG95" s="297">
        <f t="shared" si="682"/>
        <v>4.0104620749781938E-2</v>
      </c>
      <c r="BH95" s="297">
        <f t="shared" si="682"/>
        <v>0.11042402826855113</v>
      </c>
      <c r="BI95" s="297">
        <f t="shared" si="682"/>
        <v>0.10727611940298498</v>
      </c>
      <c r="BJ95" s="297">
        <f t="shared" si="682"/>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83">CM58/CI58-1</f>
        <v>6.9444444444444198E-3</v>
      </c>
      <c r="CN95" s="297">
        <f t="shared" si="683"/>
        <v>-8.2466567607726637E-2</v>
      </c>
      <c r="CO95" s="297">
        <f t="shared" si="683"/>
        <v>-6.6358024691357986E-2</v>
      </c>
      <c r="CP95" s="297">
        <f t="shared" si="683"/>
        <v>-9.6017069701280211E-2</v>
      </c>
      <c r="CQ95" s="297">
        <f t="shared" si="683"/>
        <v>-0.27356321839080455</v>
      </c>
      <c r="CR95" s="297">
        <f t="shared" si="683"/>
        <v>-0.37246963562753033</v>
      </c>
      <c r="CS95" s="297">
        <f t="shared" si="683"/>
        <v>-0.17355371900826444</v>
      </c>
      <c r="CT95" s="297">
        <f t="shared" si="683"/>
        <v>-0.12195121951219512</v>
      </c>
      <c r="CU95" s="297">
        <f t="shared" ref="CU95:DD96" si="684">CU58/CQ58-1</f>
        <v>0.17932489451476785</v>
      </c>
      <c r="CV95" s="297">
        <f t="shared" si="684"/>
        <v>0.50709677419354837</v>
      </c>
      <c r="CW95" s="297">
        <f t="shared" si="684"/>
        <v>0.14399999999999991</v>
      </c>
      <c r="CX95" s="297">
        <f t="shared" si="684"/>
        <v>6.8100358422939156E-2</v>
      </c>
      <c r="CY95" s="297">
        <f t="shared" si="684"/>
        <v>2.5044722719141266E-2</v>
      </c>
      <c r="CZ95" s="297">
        <f t="shared" si="684"/>
        <v>-1.0273972602739767E-2</v>
      </c>
      <c r="DA95" s="297">
        <f t="shared" si="684"/>
        <v>1.2237762237762295E-2</v>
      </c>
      <c r="DB95" s="297">
        <f t="shared" si="684"/>
        <v>-6.9630872483221529E-2</v>
      </c>
      <c r="DC95" s="297">
        <f t="shared" si="684"/>
        <v>-2.4432809773123898E-2</v>
      </c>
      <c r="DD95" s="297">
        <f t="shared" si="684"/>
        <v>5.709342560553643E-2</v>
      </c>
      <c r="DE95" s="297">
        <f t="shared" ref="DE95:DN96" si="685">DE58/DA58-1</f>
        <v>5.1813471502590858E-3</v>
      </c>
      <c r="DF95" s="297">
        <f t="shared" si="685"/>
        <v>5.2299368800721391E-2</v>
      </c>
      <c r="DG95" s="297">
        <f t="shared" si="685"/>
        <v>-2.7728085867620766E-2</v>
      </c>
      <c r="DH95" s="297">
        <f t="shared" si="685"/>
        <v>-6.6284779050736486E-2</v>
      </c>
      <c r="DI95" s="297">
        <f t="shared" si="685"/>
        <v>-4.7250859106529264E-2</v>
      </c>
      <c r="DJ95" s="297">
        <f t="shared" si="685"/>
        <v>-1.3710368466152478E-2</v>
      </c>
      <c r="DK95" s="297">
        <f t="shared" si="685"/>
        <v>-1.287948482060719E-2</v>
      </c>
      <c r="DL95" s="297">
        <f t="shared" si="685"/>
        <v>1.0000000000000009E-2</v>
      </c>
      <c r="DM95" s="297">
        <f t="shared" si="685"/>
        <v>1.0000000000000009E-2</v>
      </c>
      <c r="DN95" s="297">
        <f t="shared" si="685"/>
        <v>1.0000000000000009E-2</v>
      </c>
      <c r="DO95" s="296"/>
      <c r="DP95" s="245"/>
      <c r="DQ95" s="245"/>
      <c r="DR95" s="245"/>
      <c r="DS95" s="245"/>
      <c r="DT95" s="245"/>
      <c r="DU95" s="245"/>
      <c r="DV95" s="245"/>
      <c r="DW95" s="245"/>
      <c r="DX95" s="246">
        <f t="shared" ref="DX95:DZ96" si="686">DX56/DW56-1</f>
        <v>0</v>
      </c>
      <c r="DY95" s="246">
        <f t="shared" si="686"/>
        <v>5.3770491803278642E-2</v>
      </c>
      <c r="DZ95" s="246">
        <f t="shared" si="686"/>
        <v>0.20472930927193533</v>
      </c>
      <c r="EA95" s="246">
        <f t="shared" ref="EA95:EJ95" si="687">EA56/DZ56-1</f>
        <v>2.0661157024793431E-2</v>
      </c>
      <c r="EB95" s="246">
        <f t="shared" si="687"/>
        <v>0.11285425101214575</v>
      </c>
      <c r="EC95" s="246">
        <f t="shared" si="687"/>
        <v>8.5038653933606101E-2</v>
      </c>
      <c r="ED95" s="246">
        <f t="shared" si="687"/>
        <v>0.10603520536462696</v>
      </c>
      <c r="EE95" s="246">
        <f t="shared" si="687"/>
        <v>7.5028419856006057E-2</v>
      </c>
      <c r="EF95" s="246">
        <f t="shared" si="687"/>
        <v>9.2351075079309064E-2</v>
      </c>
      <c r="EG95" s="246">
        <f t="shared" si="687"/>
        <v>3.6786060019361022E-2</v>
      </c>
      <c r="EH95" s="246">
        <f t="shared" si="687"/>
        <v>0.11795829442888262</v>
      </c>
      <c r="EI95" s="246">
        <f t="shared" si="687"/>
        <v>6.9042316258351999E-2</v>
      </c>
      <c r="EJ95" s="246">
        <f t="shared" si="687"/>
        <v>7.3437500000000044E-2</v>
      </c>
      <c r="EK95" s="246">
        <f t="shared" ref="EK95:EQ96" si="688">EK56/EJ56-1</f>
        <v>9.243085880640467E-2</v>
      </c>
      <c r="EL95" s="246">
        <f t="shared" si="688"/>
        <v>8.1501221407950242E-2</v>
      </c>
      <c r="EM95" s="246">
        <f t="shared" si="688"/>
        <v>-1</v>
      </c>
      <c r="EN95" s="246" t="e">
        <f t="shared" si="688"/>
        <v>#DIV/0!</v>
      </c>
      <c r="EO95" s="246" t="e">
        <f t="shared" si="688"/>
        <v>#DIV/0!</v>
      </c>
      <c r="EP95" s="246" t="e">
        <f t="shared" si="688"/>
        <v>#DIV/0!</v>
      </c>
      <c r="EQ95" s="246" t="e">
        <f t="shared" si="688"/>
        <v>#DIV/0!</v>
      </c>
      <c r="ER95" s="246"/>
      <c r="ES95" s="246"/>
      <c r="ET95" s="246"/>
      <c r="EU95" s="246"/>
      <c r="FQ95" s="290"/>
      <c r="FR95" s="290"/>
      <c r="FS95" s="290"/>
      <c r="FT95"/>
      <c r="FU95" s="290"/>
      <c r="FV95" s="290"/>
      <c r="FW95" s="290"/>
    </row>
    <row r="96" spans="1:179" s="279" customFormat="1" ht="12.75" customHeight="1" x14ac:dyDescent="0.3">
      <c r="A96" s="1"/>
      <c r="B96" t="s">
        <v>121</v>
      </c>
      <c r="C96" s="293"/>
      <c r="D96" s="293"/>
      <c r="E96" s="293"/>
      <c r="F96" s="293"/>
      <c r="G96" s="297">
        <f t="shared" si="679"/>
        <v>0.15999999999999992</v>
      </c>
      <c r="H96" s="297">
        <f t="shared" si="679"/>
        <v>0.16999999999999993</v>
      </c>
      <c r="I96" s="297">
        <f t="shared" si="679"/>
        <v>0.16999999999999993</v>
      </c>
      <c r="J96" s="297">
        <f t="shared" si="679"/>
        <v>0.2234848484848484</v>
      </c>
      <c r="K96" s="297">
        <f t="shared" si="679"/>
        <v>0.50352112676056349</v>
      </c>
      <c r="L96" s="297">
        <f t="shared" si="679"/>
        <v>0.48620689655172411</v>
      </c>
      <c r="M96" s="297">
        <f t="shared" si="679"/>
        <v>0.46101694915254243</v>
      </c>
      <c r="N96" s="297">
        <f t="shared" si="679"/>
        <v>0.39318885448916419</v>
      </c>
      <c r="O96" s="297">
        <f t="shared" si="679"/>
        <v>4.9180327868852514E-2</v>
      </c>
      <c r="P96" s="297">
        <f t="shared" si="679"/>
        <v>7.4245939675174011E-2</v>
      </c>
      <c r="Q96" s="297">
        <f t="shared" si="680"/>
        <v>3.7122969837587005E-2</v>
      </c>
      <c r="R96" s="297">
        <f t="shared" si="680"/>
        <v>7.1111111111111125E-2</v>
      </c>
      <c r="S96" s="297">
        <f t="shared" si="680"/>
        <v>6.0267857142857206E-2</v>
      </c>
      <c r="T96" s="297">
        <f t="shared" si="680"/>
        <v>7.7753779697624203E-2</v>
      </c>
      <c r="U96" s="297">
        <f t="shared" si="680"/>
        <v>0.12527964205816544</v>
      </c>
      <c r="V96" s="297">
        <f t="shared" si="680"/>
        <v>8.5062240663900335E-2</v>
      </c>
      <c r="W96" s="297">
        <f t="shared" si="680"/>
        <v>9.6842105263157841E-2</v>
      </c>
      <c r="X96" s="297">
        <f t="shared" si="680"/>
        <v>0.1523046092184368</v>
      </c>
      <c r="Y96" s="297">
        <f t="shared" si="680"/>
        <v>0.13518886679920472</v>
      </c>
      <c r="Z96" s="297">
        <f t="shared" si="680"/>
        <v>0.19502868068833656</v>
      </c>
      <c r="AA96" s="297">
        <f t="shared" si="681"/>
        <v>0.19577735124760087</v>
      </c>
      <c r="AB96" s="297">
        <f t="shared" si="681"/>
        <v>0.1286956521739131</v>
      </c>
      <c r="AC96" s="297">
        <f t="shared" si="681"/>
        <v>8.9316987740805542E-2</v>
      </c>
      <c r="AD96" s="297">
        <f t="shared" si="681"/>
        <v>0.10880000000000001</v>
      </c>
      <c r="AE96" s="297">
        <f t="shared" si="664"/>
        <v>6.7415730337078594E-2</v>
      </c>
      <c r="AF96" s="297">
        <f t="shared" si="664"/>
        <v>9.3990755007704152E-2</v>
      </c>
      <c r="AG96" s="297">
        <f t="shared" si="664"/>
        <v>8.0385852090032239E-2</v>
      </c>
      <c r="AH96" s="297">
        <f t="shared" si="664"/>
        <v>0.15728715728715725</v>
      </c>
      <c r="AI96" s="297">
        <f t="shared" si="664"/>
        <v>0.15338345864661651</v>
      </c>
      <c r="AJ96" s="297">
        <f t="shared" si="664"/>
        <v>0.10563380281690149</v>
      </c>
      <c r="AK96" s="297">
        <f t="shared" si="664"/>
        <v>7.5892857142857206E-2</v>
      </c>
      <c r="AL96" s="297">
        <f t="shared" si="664"/>
        <v>2.6184538653366562E-2</v>
      </c>
      <c r="AM96" s="297">
        <f t="shared" si="664"/>
        <v>3.5202086049543668E-2</v>
      </c>
      <c r="AN96" s="297">
        <f t="shared" si="664"/>
        <v>9.1719745222929916E-2</v>
      </c>
      <c r="AO96" s="297">
        <f t="shared" si="665"/>
        <v>0.14246196403872746</v>
      </c>
      <c r="AP96" s="297">
        <f t="shared" si="665"/>
        <v>9.3560145808019524E-2</v>
      </c>
      <c r="AQ96" s="297">
        <f t="shared" si="665"/>
        <v>0.12216624685138533</v>
      </c>
      <c r="AR96" s="297">
        <f t="shared" si="665"/>
        <v>0.11668611435239207</v>
      </c>
      <c r="AS96" s="297">
        <f t="shared" si="665"/>
        <v>0.116222760290557</v>
      </c>
      <c r="AT96" s="297">
        <f t="shared" si="665"/>
        <v>0.18222222222222229</v>
      </c>
      <c r="AU96" s="297">
        <f t="shared" si="665"/>
        <v>0.12570145903479246</v>
      </c>
      <c r="AV96" s="297">
        <f t="shared" si="665"/>
        <v>0.17450365726227801</v>
      </c>
      <c r="AW96" s="297">
        <f t="shared" si="665"/>
        <v>0.13015184381778733</v>
      </c>
      <c r="AX96" s="297">
        <f t="shared" si="682"/>
        <v>4.9812030075187863E-2</v>
      </c>
      <c r="AY96" s="297">
        <f t="shared" si="682"/>
        <v>1.1964107676968982E-2</v>
      </c>
      <c r="AZ96" s="297">
        <f t="shared" si="682"/>
        <v>-8.0071174377224219E-3</v>
      </c>
      <c r="BA96" s="297">
        <f t="shared" si="682"/>
        <v>6.1420345489443307E-2</v>
      </c>
      <c r="BB96" s="297">
        <f t="shared" si="682"/>
        <v>0.12444046553267674</v>
      </c>
      <c r="BC96" s="297">
        <f t="shared" si="682"/>
        <v>0.15073891625615765</v>
      </c>
      <c r="BD96" s="297">
        <f t="shared" si="682"/>
        <v>7.2645739910313978E-2</v>
      </c>
      <c r="BE96" s="297">
        <f t="shared" si="682"/>
        <v>2.8028933092224317E-2</v>
      </c>
      <c r="BF96" s="297">
        <f t="shared" si="682"/>
        <v>7.9617834394896114E-4</v>
      </c>
      <c r="BG96" s="297">
        <f t="shared" si="682"/>
        <v>4.5376712328767166E-2</v>
      </c>
      <c r="BH96" s="297">
        <f t="shared" si="682"/>
        <v>8.2775919732441361E-2</v>
      </c>
      <c r="BI96" s="297">
        <f t="shared" si="682"/>
        <v>8.267370272647323E-2</v>
      </c>
      <c r="BJ96" s="297">
        <f t="shared" si="682"/>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89">CM59/CI59-1</f>
        <v>-3.3717834960070969E-2</v>
      </c>
      <c r="CN96" s="297">
        <f t="shared" si="689"/>
        <v>-4.2771599657827175E-2</v>
      </c>
      <c r="CO96" s="297">
        <f t="shared" si="689"/>
        <v>1.9444444444444375E-2</v>
      </c>
      <c r="CP96" s="297">
        <f t="shared" si="689"/>
        <v>-8.4674005080440651E-3</v>
      </c>
      <c r="CQ96" s="297">
        <f t="shared" si="689"/>
        <v>5.8769513314967936E-2</v>
      </c>
      <c r="CR96" s="297">
        <f t="shared" si="689"/>
        <v>-0.30741733690795348</v>
      </c>
      <c r="CS96" s="297">
        <f t="shared" si="689"/>
        <v>4.632152588555849E-2</v>
      </c>
      <c r="CT96" s="297">
        <f t="shared" si="689"/>
        <v>0.12040990606319379</v>
      </c>
      <c r="CU96" s="297">
        <f t="shared" si="684"/>
        <v>8.759757155247172E-2</v>
      </c>
      <c r="CV96" s="297">
        <f t="shared" si="684"/>
        <v>0.74709677419354836</v>
      </c>
      <c r="CW96" s="297">
        <f t="shared" si="684"/>
        <v>9.461805555555558E-2</v>
      </c>
      <c r="CX96" s="297">
        <f t="shared" si="684"/>
        <v>6.8597560975609539E-3</v>
      </c>
      <c r="CY96" s="297">
        <f t="shared" si="684"/>
        <v>2.7113237639553533E-2</v>
      </c>
      <c r="CZ96" s="297">
        <f t="shared" si="684"/>
        <v>-4.4313146233382561E-2</v>
      </c>
      <c r="DA96" s="297">
        <f t="shared" si="684"/>
        <v>2.3790642347343294E-3</v>
      </c>
      <c r="DB96" s="297">
        <f t="shared" si="684"/>
        <v>-3.4822104466313397E-2</v>
      </c>
      <c r="DC96" s="297">
        <f t="shared" si="684"/>
        <v>2.1739130434782705E-2</v>
      </c>
      <c r="DD96" s="297">
        <f t="shared" si="684"/>
        <v>6.0278207109737192E-2</v>
      </c>
      <c r="DE96" s="297">
        <f t="shared" si="685"/>
        <v>3.9556962025316444E-2</v>
      </c>
      <c r="DF96" s="297">
        <f t="shared" si="685"/>
        <v>6.9803921568627469E-2</v>
      </c>
      <c r="DG96" s="297">
        <f t="shared" si="685"/>
        <v>1.0638297872340496E-2</v>
      </c>
      <c r="DH96" s="297">
        <f t="shared" si="685"/>
        <v>-1.895043731778423E-2</v>
      </c>
      <c r="DI96" s="297">
        <f t="shared" si="685"/>
        <v>8.3713850837139336E-3</v>
      </c>
      <c r="DJ96" s="297">
        <f t="shared" si="685"/>
        <v>-5.1319648093841597E-3</v>
      </c>
      <c r="DK96" s="297">
        <f t="shared" si="685"/>
        <v>-5.2631578947368585E-3</v>
      </c>
      <c r="DL96" s="297">
        <f t="shared" si="685"/>
        <v>1.0000000000000009E-2</v>
      </c>
      <c r="DM96" s="297">
        <f t="shared" si="685"/>
        <v>1.0000000000000009E-2</v>
      </c>
      <c r="DN96" s="297">
        <f t="shared" si="685"/>
        <v>1.0000000000000009E-2</v>
      </c>
      <c r="DO96" s="296"/>
      <c r="DP96" s="245"/>
      <c r="DQ96" s="245"/>
      <c r="DR96" s="245"/>
      <c r="DS96" s="245"/>
      <c r="DT96" s="245"/>
      <c r="DU96" s="245"/>
      <c r="DV96" s="245"/>
      <c r="DW96" s="245"/>
      <c r="DX96" s="246">
        <f t="shared" si="686"/>
        <v>0.15999999999999992</v>
      </c>
      <c r="DY96" s="246">
        <f t="shared" si="686"/>
        <v>0.18156959256220939</v>
      </c>
      <c r="DZ96" s="246">
        <f t="shared" si="686"/>
        <v>0.45889261744966436</v>
      </c>
      <c r="EA96" s="246">
        <f t="shared" ref="EA96:EJ96" si="690">EA57/DZ57-1</f>
        <v>5.8079355951696332E-2</v>
      </c>
      <c r="EB96" s="246">
        <f t="shared" si="690"/>
        <v>8.6956521739130377E-2</v>
      </c>
      <c r="EC96" s="246">
        <f t="shared" si="690"/>
        <v>0.14599999999999991</v>
      </c>
      <c r="ED96" s="246">
        <f t="shared" si="690"/>
        <v>0.12870855148342053</v>
      </c>
      <c r="EE96" s="246">
        <f t="shared" si="690"/>
        <v>0.10127560881329734</v>
      </c>
      <c r="EF96" s="246">
        <f t="shared" si="690"/>
        <v>8.7399087399087305E-2</v>
      </c>
      <c r="EG96" s="246">
        <f t="shared" si="690"/>
        <v>9.0058102001291163E-2</v>
      </c>
      <c r="EH96" s="246">
        <f t="shared" si="690"/>
        <v>0.13532721350310917</v>
      </c>
      <c r="EI96" s="246">
        <f t="shared" si="690"/>
        <v>0.11789254042775177</v>
      </c>
      <c r="EJ96" s="246">
        <f t="shared" si="690"/>
        <v>4.8063462435837589E-2</v>
      </c>
      <c r="EK96" s="246">
        <f t="shared" si="688"/>
        <v>5.9216384683882461E-2</v>
      </c>
      <c r="EL96" s="246">
        <f t="shared" si="688"/>
        <v>6.767549390500216E-2</v>
      </c>
      <c r="EM96" s="246">
        <f t="shared" si="688"/>
        <v>-1</v>
      </c>
      <c r="EN96" s="246" t="e">
        <f t="shared" si="688"/>
        <v>#DIV/0!</v>
      </c>
      <c r="EO96" s="246" t="e">
        <f t="shared" si="688"/>
        <v>#DIV/0!</v>
      </c>
      <c r="EP96" s="246" t="e">
        <f t="shared" si="688"/>
        <v>#DIV/0!</v>
      </c>
      <c r="EQ96" s="246" t="e">
        <f t="shared" si="688"/>
        <v>#DIV/0!</v>
      </c>
      <c r="ER96" s="246"/>
      <c r="ES96" s="246"/>
      <c r="ET96" s="246"/>
      <c r="EU96" s="246"/>
      <c r="FQ96" s="290"/>
      <c r="FR96" s="290"/>
      <c r="FS96" s="291"/>
      <c r="FT96"/>
      <c r="FU96" s="291"/>
      <c r="FV96" s="290"/>
      <c r="FW96" s="290"/>
    </row>
    <row r="97" spans="1:179" s="279" customFormat="1" ht="12.75" customHeight="1" x14ac:dyDescent="0.3">
      <c r="A97" s="1"/>
      <c r="B97" t="s">
        <v>123</v>
      </c>
      <c r="C97" s="293"/>
      <c r="D97" s="293"/>
      <c r="E97" s="293"/>
      <c r="F97" s="293"/>
      <c r="G97" s="297">
        <f t="shared" ref="G97:AL97" si="691">G62/C62-1</f>
        <v>3.0000000000000027E-2</v>
      </c>
      <c r="H97" s="297">
        <f t="shared" si="691"/>
        <v>0</v>
      </c>
      <c r="I97" s="297">
        <f t="shared" si="691"/>
        <v>-1.8333333333333313E-2</v>
      </c>
      <c r="J97" s="297">
        <f t="shared" si="691"/>
        <v>6.7961165048543659E-2</v>
      </c>
      <c r="K97" s="297">
        <f t="shared" si="691"/>
        <v>6.7632850241545972E-2</v>
      </c>
      <c r="L97" s="297">
        <f t="shared" si="691"/>
        <v>0.11428571428571432</v>
      </c>
      <c r="M97" s="297">
        <f t="shared" si="691"/>
        <v>0.14746543778801846</v>
      </c>
      <c r="N97" s="297">
        <f t="shared" si="691"/>
        <v>5.9090909090909083E-2</v>
      </c>
      <c r="O97" s="297">
        <f t="shared" si="691"/>
        <v>9.5022624434389247E-2</v>
      </c>
      <c r="P97" s="297">
        <f t="shared" si="691"/>
        <v>8.9743589743589647E-2</v>
      </c>
      <c r="Q97" s="297">
        <f t="shared" si="691"/>
        <v>0.10040160642570273</v>
      </c>
      <c r="R97" s="297">
        <f t="shared" si="691"/>
        <v>0.11587982832618016</v>
      </c>
      <c r="S97" s="297">
        <f t="shared" si="691"/>
        <v>9.0909090909090828E-2</v>
      </c>
      <c r="T97" s="297">
        <f t="shared" si="691"/>
        <v>3.9215686274509887E-2</v>
      </c>
      <c r="U97" s="297">
        <f t="shared" si="691"/>
        <v>2.9197080291970767E-2</v>
      </c>
      <c r="V97" s="297">
        <f t="shared" si="691"/>
        <v>-3.0769230769230771E-2</v>
      </c>
      <c r="W97" s="297">
        <f t="shared" si="691"/>
        <v>2.2727272727272707E-2</v>
      </c>
      <c r="X97" s="297">
        <f t="shared" si="691"/>
        <v>8.679245283018866E-2</v>
      </c>
      <c r="Y97" s="297">
        <f t="shared" si="691"/>
        <v>0.1063829787234043</v>
      </c>
      <c r="Z97" s="297">
        <f t="shared" si="691"/>
        <v>0.18253968253968256</v>
      </c>
      <c r="AA97" s="297">
        <f t="shared" si="691"/>
        <v>0.11111111111111116</v>
      </c>
      <c r="AB97" s="297">
        <f t="shared" si="691"/>
        <v>0.10069444444444442</v>
      </c>
      <c r="AC97" s="297">
        <f t="shared" si="691"/>
        <v>9.6153846153846256E-2</v>
      </c>
      <c r="AD97" s="297">
        <f t="shared" si="691"/>
        <v>0.13758389261744974</v>
      </c>
      <c r="AE97" s="297">
        <f t="shared" si="691"/>
        <v>0.17999999999999994</v>
      </c>
      <c r="AF97" s="297">
        <f t="shared" si="691"/>
        <v>0.18927444794952675</v>
      </c>
      <c r="AG97" s="297">
        <f t="shared" si="691"/>
        <v>0.14619883040935666</v>
      </c>
      <c r="AH97" s="297">
        <f t="shared" si="691"/>
        <v>0.20058997050147487</v>
      </c>
      <c r="AI97" s="297">
        <f t="shared" si="691"/>
        <v>0.14971751412429368</v>
      </c>
      <c r="AJ97" s="297">
        <f t="shared" si="691"/>
        <v>0.12997347480106103</v>
      </c>
      <c r="AK97" s="297">
        <f t="shared" si="691"/>
        <v>0.13010204081632648</v>
      </c>
      <c r="AL97" s="297">
        <f t="shared" si="691"/>
        <v>2.7027027027026973E-2</v>
      </c>
      <c r="AM97" s="297">
        <f t="shared" ref="AM97:BR97" si="692">AM62/AI62-1</f>
        <v>8.3538083538083452E-2</v>
      </c>
      <c r="AN97" s="297">
        <f t="shared" si="692"/>
        <v>0.11267605633802824</v>
      </c>
      <c r="AO97" s="297">
        <f t="shared" si="692"/>
        <v>0.1128668171557563</v>
      </c>
      <c r="AP97" s="297">
        <f t="shared" si="692"/>
        <v>0.12679425837320579</v>
      </c>
      <c r="AQ97" s="297">
        <f t="shared" si="692"/>
        <v>0.16326530612244894</v>
      </c>
      <c r="AR97" s="297">
        <f t="shared" si="692"/>
        <v>0.16666666666666674</v>
      </c>
      <c r="AS97" s="297">
        <f t="shared" si="692"/>
        <v>0.17038539553752541</v>
      </c>
      <c r="AT97" s="297">
        <f t="shared" si="692"/>
        <v>0.20169851380042458</v>
      </c>
      <c r="AU97" s="297">
        <f t="shared" si="692"/>
        <v>0.18323586744639386</v>
      </c>
      <c r="AV97" s="297">
        <f t="shared" si="692"/>
        <v>0.15551537070524413</v>
      </c>
      <c r="AW97" s="297">
        <f t="shared" si="692"/>
        <v>0.12998266897746968</v>
      </c>
      <c r="AX97" s="297">
        <f t="shared" si="692"/>
        <v>6.360424028268552E-2</v>
      </c>
      <c r="AY97" s="297">
        <f t="shared" si="692"/>
        <v>-1.3179571663920919E-2</v>
      </c>
      <c r="AZ97" s="297">
        <f t="shared" si="692"/>
        <v>-1.4084507042253502E-2</v>
      </c>
      <c r="BA97" s="297">
        <f t="shared" si="692"/>
        <v>1.0736196319018454E-2</v>
      </c>
      <c r="BB97" s="297">
        <f t="shared" si="692"/>
        <v>2.6578073089700949E-2</v>
      </c>
      <c r="BC97" s="297">
        <f t="shared" si="692"/>
        <v>0.10851419031719534</v>
      </c>
      <c r="BD97" s="297">
        <f t="shared" si="692"/>
        <v>5.0793650793650835E-2</v>
      </c>
      <c r="BE97" s="297">
        <f t="shared" si="692"/>
        <v>5.4628224582701002E-2</v>
      </c>
      <c r="BF97" s="297">
        <f t="shared" si="692"/>
        <v>6.6343042071197456E-2</v>
      </c>
      <c r="BG97" s="297">
        <f t="shared" si="692"/>
        <v>8.7349397590361422E-2</v>
      </c>
      <c r="BH97" s="297">
        <f t="shared" si="692"/>
        <v>0.10574018126888207</v>
      </c>
      <c r="BI97" s="297">
        <f t="shared" si="692"/>
        <v>8.2014388489208612E-2</v>
      </c>
      <c r="BJ97" s="297">
        <f t="shared" si="692"/>
        <v>7.7389984825493086E-2</v>
      </c>
      <c r="BK97" s="297">
        <f t="shared" si="692"/>
        <v>4.8476454293628901E-2</v>
      </c>
      <c r="BL97" s="297">
        <f t="shared" si="692"/>
        <v>-2.732240437158473E-3</v>
      </c>
      <c r="BM97" s="297">
        <f t="shared" si="692"/>
        <v>1.5957446808510634E-2</v>
      </c>
      <c r="BN97" s="297">
        <f t="shared" si="692"/>
        <v>4.9295774647887258E-2</v>
      </c>
      <c r="BO97" s="297">
        <f t="shared" si="692"/>
        <v>-2.2457067371202122E-2</v>
      </c>
      <c r="BP97" s="297">
        <f t="shared" si="692"/>
        <v>0</v>
      </c>
      <c r="BQ97" s="297">
        <f t="shared" si="692"/>
        <v>-2.0942408376963373E-2</v>
      </c>
      <c r="BR97" s="297">
        <f t="shared" si="692"/>
        <v>-3.4899328859060441E-2</v>
      </c>
      <c r="BS97" s="297">
        <f t="shared" ref="BS97:BZ97" si="693">BS62/BO62-1</f>
        <v>2.8378378378378422E-2</v>
      </c>
      <c r="BT97" s="297">
        <f t="shared" si="693"/>
        <v>-3.150684931506853E-2</v>
      </c>
      <c r="BU97" s="297">
        <f t="shared" si="693"/>
        <v>-5.8823529411764719E-2</v>
      </c>
      <c r="BV97" s="297">
        <f t="shared" si="693"/>
        <v>-0.10152990264255912</v>
      </c>
      <c r="BW97" s="297">
        <f t="shared" si="693"/>
        <v>-0.17082785808147172</v>
      </c>
      <c r="BX97" s="297">
        <f t="shared" si="693"/>
        <v>-8.6280056577086262E-2</v>
      </c>
      <c r="BY97" s="297">
        <f t="shared" si="693"/>
        <v>-2.9829545454545414E-2</v>
      </c>
      <c r="BZ97" s="297">
        <f t="shared" si="693"/>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c r="DF97" s="297"/>
      <c r="DG97" s="297"/>
      <c r="DH97" s="297"/>
      <c r="DI97" s="297"/>
      <c r="DJ97" s="297"/>
      <c r="DK97" s="297"/>
      <c r="DL97" s="297"/>
      <c r="DM97" s="297"/>
      <c r="DN97" s="297"/>
      <c r="DO97" s="296"/>
      <c r="DP97" s="245"/>
      <c r="DQ97" s="245"/>
      <c r="DR97" s="245"/>
      <c r="DS97" s="245"/>
      <c r="DT97" s="245"/>
      <c r="DU97" s="245"/>
      <c r="DV97" s="245"/>
      <c r="DW97" s="245"/>
      <c r="DX97" s="246">
        <f t="shared" ref="DX97:EQ97" si="694">DX62/DW62-1</f>
        <v>0.16999999999999993</v>
      </c>
      <c r="DY97" s="246">
        <f t="shared" si="694"/>
        <v>9.4562647754137252E-3</v>
      </c>
      <c r="DZ97" s="246">
        <f t="shared" si="694"/>
        <v>0.11592505854800939</v>
      </c>
      <c r="EA97" s="246">
        <f t="shared" si="694"/>
        <v>8.1846799580272744E-2</v>
      </c>
      <c r="EB97" s="246">
        <f t="shared" si="694"/>
        <v>3.1037827352085268E-2</v>
      </c>
      <c r="EC97" s="246">
        <f t="shared" si="694"/>
        <v>9.8777046095954946E-2</v>
      </c>
      <c r="ED97" s="246">
        <f t="shared" si="694"/>
        <v>0.11130136986301364</v>
      </c>
      <c r="EE97" s="246">
        <f t="shared" si="694"/>
        <v>0.17873651771956856</v>
      </c>
      <c r="EF97" s="246">
        <f t="shared" si="694"/>
        <v>0.10718954248366019</v>
      </c>
      <c r="EG97" s="246">
        <f t="shared" si="694"/>
        <v>0.10920897284533648</v>
      </c>
      <c r="EH97" s="246">
        <f t="shared" si="694"/>
        <v>0.17562533262373603</v>
      </c>
      <c r="EI97" s="246">
        <f t="shared" si="694"/>
        <v>0.13173381620642832</v>
      </c>
      <c r="EJ97" s="246">
        <f t="shared" si="694"/>
        <v>2.3999999999999577E-3</v>
      </c>
      <c r="EK97" s="246">
        <f t="shared" si="694"/>
        <v>6.9433359936153183E-2</v>
      </c>
      <c r="EL97" s="246">
        <f t="shared" si="694"/>
        <v>8.8059701492537279E-2</v>
      </c>
      <c r="EM97" s="246">
        <f t="shared" si="694"/>
        <v>2.7434842249657088E-2</v>
      </c>
      <c r="EN97" s="246">
        <f t="shared" si="694"/>
        <v>-1.9692923898531389E-2</v>
      </c>
      <c r="EO97" s="246">
        <f t="shared" si="694"/>
        <v>-5.0000000000000044E-3</v>
      </c>
      <c r="EP97" s="246">
        <f t="shared" si="694"/>
        <v>-5.0000000000000044E-3</v>
      </c>
      <c r="EQ97" s="246">
        <f t="shared" si="694"/>
        <v>-5.0000000000000044E-3</v>
      </c>
      <c r="ER97" s="246"/>
      <c r="ES97" s="246"/>
      <c r="ET97" s="246"/>
      <c r="EU97" s="246"/>
      <c r="EW97" s="245">
        <f t="shared" ref="EW97:FE97" si="695">+EW62/EV62-1</f>
        <v>3.4343003412969253E-2</v>
      </c>
      <c r="EX97" s="245">
        <f t="shared" si="695"/>
        <v>-5.0000000000000044E-3</v>
      </c>
      <c r="EY97" s="245">
        <f t="shared" si="695"/>
        <v>-5.0000000000000044E-3</v>
      </c>
      <c r="EZ97" s="245">
        <f t="shared" si="695"/>
        <v>-5.0000000000000044E-3</v>
      </c>
      <c r="FA97" s="245">
        <f t="shared" si="695"/>
        <v>-4.9999999999998934E-3</v>
      </c>
      <c r="FB97" s="245">
        <f t="shared" si="695"/>
        <v>-5.0000000000000044E-3</v>
      </c>
      <c r="FC97" s="245">
        <f t="shared" si="695"/>
        <v>-5.0000000000000044E-3</v>
      </c>
      <c r="FD97" s="245">
        <f t="shared" si="695"/>
        <v>-5.0000000000001155E-3</v>
      </c>
      <c r="FE97" s="245">
        <f t="shared" si="695"/>
        <v>-5.0000000000000044E-3</v>
      </c>
      <c r="FF97" s="245"/>
      <c r="FG97" s="245"/>
      <c r="FH97" s="245"/>
      <c r="FI97" s="245"/>
      <c r="FJ97" s="245"/>
      <c r="FQ97" s="290"/>
      <c r="FR97" s="290"/>
      <c r="FS97" s="291"/>
      <c r="FT97"/>
      <c r="FU97" s="291"/>
      <c r="FV97" s="290"/>
      <c r="FW97" s="290"/>
    </row>
    <row r="98" spans="1:179"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P98" s="276"/>
      <c r="DQ98" s="276"/>
      <c r="DR98" s="276"/>
      <c r="DS98" s="276"/>
      <c r="DT98" s="276"/>
      <c r="DU98" s="276"/>
      <c r="DV98" s="276"/>
      <c r="DW98" s="276"/>
      <c r="DX98" s="276"/>
      <c r="DY98" s="276"/>
      <c r="DZ98" s="276"/>
      <c r="EA98" s="298"/>
      <c r="EB98" s="298"/>
      <c r="EC98" s="298"/>
      <c r="ED98" s="235"/>
      <c r="EE98" s="235"/>
      <c r="EF98" s="235"/>
      <c r="EG98" s="283"/>
      <c r="EH98" s="283"/>
      <c r="EI98" s="283"/>
      <c r="EJ98" s="283"/>
      <c r="EK98" s="283"/>
      <c r="EL98" s="276"/>
      <c r="EM98" s="276"/>
      <c r="EN98" s="276"/>
      <c r="EO98" s="276"/>
      <c r="EP98" s="276"/>
      <c r="EQ98" s="276"/>
      <c r="ER98" s="276"/>
      <c r="ES98" s="276"/>
      <c r="ET98" s="276"/>
      <c r="EU98" s="276"/>
    </row>
    <row r="99" spans="1:179" ht="12.75" customHeight="1" x14ac:dyDescent="0.3">
      <c r="B99" t="s">
        <v>350</v>
      </c>
      <c r="C99" s="240">
        <f t="shared" ref="C99:AH99" si="696">C67/C65</f>
        <v>0.68993875765529311</v>
      </c>
      <c r="D99" s="240">
        <f t="shared" si="696"/>
        <v>0.693050193050193</v>
      </c>
      <c r="E99" s="240">
        <f t="shared" si="696"/>
        <v>0.68671679197994984</v>
      </c>
      <c r="F99" s="240">
        <f t="shared" si="696"/>
        <v>0.66589698046181167</v>
      </c>
      <c r="G99" s="240">
        <f t="shared" si="696"/>
        <v>0.69272004150095101</v>
      </c>
      <c r="H99" s="240">
        <f t="shared" si="696"/>
        <v>0.68822410513574273</v>
      </c>
      <c r="I99" s="240">
        <f t="shared" si="696"/>
        <v>0.69287211740041932</v>
      </c>
      <c r="J99" s="240">
        <f t="shared" si="696"/>
        <v>0.67048845610177477</v>
      </c>
      <c r="K99" s="240">
        <f t="shared" si="696"/>
        <v>0.69297981319674595</v>
      </c>
      <c r="L99" s="240">
        <f t="shared" si="696"/>
        <v>0.69565217391304346</v>
      </c>
      <c r="M99" s="240">
        <f t="shared" si="696"/>
        <v>0.69921469847384798</v>
      </c>
      <c r="N99" s="240">
        <f t="shared" si="696"/>
        <v>0.68285589646648248</v>
      </c>
      <c r="O99" s="240">
        <f t="shared" si="696"/>
        <v>0.69381062986746822</v>
      </c>
      <c r="P99" s="241">
        <f t="shared" si="696"/>
        <v>0.6995205114544486</v>
      </c>
      <c r="Q99" s="240">
        <f t="shared" si="696"/>
        <v>0.69752915047196007</v>
      </c>
      <c r="R99" s="240">
        <f t="shared" si="696"/>
        <v>0.69259988745075973</v>
      </c>
      <c r="S99" s="240">
        <f t="shared" si="696"/>
        <v>0.70748299319727892</v>
      </c>
      <c r="T99" s="241">
        <f t="shared" si="696"/>
        <v>0.71685447134979619</v>
      </c>
      <c r="U99" s="240">
        <f t="shared" si="696"/>
        <v>0.71048798252002909</v>
      </c>
      <c r="V99" s="240">
        <f t="shared" si="696"/>
        <v>0.70379626323931932</v>
      </c>
      <c r="W99" s="241">
        <f t="shared" si="696"/>
        <v>0.71897518014411532</v>
      </c>
      <c r="X99" s="240">
        <f t="shared" si="696"/>
        <v>0.715419376171057</v>
      </c>
      <c r="Y99" s="240">
        <f t="shared" si="696"/>
        <v>0.7124132613723978</v>
      </c>
      <c r="Z99" s="240">
        <f t="shared" si="696"/>
        <v>0.70254174199723496</v>
      </c>
      <c r="AA99" s="241">
        <f t="shared" si="696"/>
        <v>0.72286703319079615</v>
      </c>
      <c r="AB99" s="240">
        <f t="shared" si="696"/>
        <v>0.71293070073557874</v>
      </c>
      <c r="AC99" s="240">
        <f t="shared" si="696"/>
        <v>0.71494164912951985</v>
      </c>
      <c r="AD99" s="240">
        <f t="shared" si="696"/>
        <v>0.6919834928439722</v>
      </c>
      <c r="AE99" s="288">
        <f t="shared" si="696"/>
        <v>0.71904205607476634</v>
      </c>
      <c r="AF99" s="289">
        <f t="shared" si="696"/>
        <v>0.73410696266397579</v>
      </c>
      <c r="AG99" s="289">
        <f t="shared" si="696"/>
        <v>0.72414091577945128</v>
      </c>
      <c r="AH99" s="288">
        <f t="shared" si="696"/>
        <v>0.70937892095357591</v>
      </c>
      <c r="AI99" s="289">
        <f t="shared" ref="AI99:BN99" si="697">AI67/AI65</f>
        <v>0.72755610972568574</v>
      </c>
      <c r="AJ99" s="289">
        <f t="shared" si="697"/>
        <v>0.7240244475787494</v>
      </c>
      <c r="AK99" s="289">
        <f t="shared" si="697"/>
        <v>0.72753858651502845</v>
      </c>
      <c r="AL99" s="288">
        <f t="shared" si="697"/>
        <v>0.71149881046788266</v>
      </c>
      <c r="AM99" s="288">
        <f t="shared" si="697"/>
        <v>0.72198275862068961</v>
      </c>
      <c r="AN99" s="288">
        <f t="shared" si="697"/>
        <v>0.71653071914989153</v>
      </c>
      <c r="AO99" s="289">
        <f t="shared" si="697"/>
        <v>0.72529540152028293</v>
      </c>
      <c r="AP99" s="288">
        <f t="shared" si="697"/>
        <v>0.70713346002046484</v>
      </c>
      <c r="AQ99" s="288">
        <f t="shared" si="697"/>
        <v>0.7093524226154968</v>
      </c>
      <c r="AR99" s="288">
        <f t="shared" si="697"/>
        <v>0.71219125610883638</v>
      </c>
      <c r="AS99" s="288">
        <f t="shared" si="697"/>
        <v>0.71519957353235153</v>
      </c>
      <c r="AT99" s="288">
        <f t="shared" si="697"/>
        <v>0.70332769317540889</v>
      </c>
      <c r="AU99" s="288">
        <f t="shared" si="697"/>
        <v>0.71507965913301219</v>
      </c>
      <c r="AV99" s="288">
        <f t="shared" si="697"/>
        <v>0.71118541033434646</v>
      </c>
      <c r="AW99" s="288">
        <f t="shared" si="697"/>
        <v>0.70014446328748192</v>
      </c>
      <c r="AX99" s="288">
        <f t="shared" si="697"/>
        <v>0.71202740086945071</v>
      </c>
      <c r="AY99" s="288">
        <f t="shared" si="697"/>
        <v>0.71709037668042064</v>
      </c>
      <c r="AZ99" s="288">
        <f t="shared" si="697"/>
        <v>0.70798608832600562</v>
      </c>
      <c r="BA99" s="288">
        <f t="shared" si="697"/>
        <v>0.70598766660035805</v>
      </c>
      <c r="BB99" s="288">
        <f t="shared" si="697"/>
        <v>0.68588000725031717</v>
      </c>
      <c r="BC99" s="288">
        <f t="shared" si="697"/>
        <v>0.71031923741283343</v>
      </c>
      <c r="BD99" s="288">
        <f t="shared" si="697"/>
        <v>0.69913574631230102</v>
      </c>
      <c r="BE99" s="288">
        <f t="shared" si="697"/>
        <v>0.69336537177946866</v>
      </c>
      <c r="BF99" s="288">
        <f t="shared" si="697"/>
        <v>0.67783175658399386</v>
      </c>
      <c r="BG99" s="288">
        <f t="shared" si="697"/>
        <v>0.71837793233525871</v>
      </c>
      <c r="BH99" s="288">
        <f t="shared" si="697"/>
        <v>0.68837741760559135</v>
      </c>
      <c r="BI99" s="288">
        <f t="shared" si="697"/>
        <v>0.68309903155263985</v>
      </c>
      <c r="BJ99" s="288">
        <f t="shared" si="697"/>
        <v>0.71638063864831836</v>
      </c>
      <c r="BK99" s="288">
        <f t="shared" si="697"/>
        <v>0.69545820682818016</v>
      </c>
      <c r="BL99" s="288">
        <f t="shared" si="697"/>
        <v>0.69066522314447254</v>
      </c>
      <c r="BM99" s="288">
        <f t="shared" si="697"/>
        <v>0.67442266302134835</v>
      </c>
      <c r="BN99" s="288">
        <f t="shared" si="697"/>
        <v>0.66258220448541394</v>
      </c>
      <c r="BO99" s="288">
        <f t="shared" ref="BO99:BT99" si="698">BO67/BO65</f>
        <v>0.68349669478003194</v>
      </c>
      <c r="BP99" s="288">
        <f t="shared" si="698"/>
        <v>0.69391624379635308</v>
      </c>
      <c r="BQ99" s="288">
        <f t="shared" si="698"/>
        <v>0.69703497930721692</v>
      </c>
      <c r="BR99" s="288">
        <f t="shared" si="698"/>
        <v>0.6772532654056691</v>
      </c>
      <c r="BS99" s="288">
        <f t="shared" si="698"/>
        <v>0.70058729897359895</v>
      </c>
      <c r="BT99" s="288">
        <f t="shared" si="698"/>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99">+CQ67/CQ65</f>
        <v>0.658675688738521</v>
      </c>
      <c r="CR99" s="288">
        <f t="shared" si="699"/>
        <v>0.64123677609335805</v>
      </c>
      <c r="CS99" s="288">
        <f t="shared" si="699"/>
        <v>0.6692913385826772</v>
      </c>
      <c r="CT99" s="288">
        <f t="shared" si="699"/>
        <v>0.65234027407011919</v>
      </c>
      <c r="CU99" s="288">
        <f t="shared" si="699"/>
        <v>0.68357152457327186</v>
      </c>
      <c r="CV99" s="288">
        <f t="shared" si="699"/>
        <v>0.72932042148372511</v>
      </c>
      <c r="CW99" s="288">
        <f t="shared" si="699"/>
        <v>0.68930790657810159</v>
      </c>
      <c r="CX99" s="288">
        <f t="shared" si="699"/>
        <v>0.6802395690971943</v>
      </c>
      <c r="CY99" s="288">
        <f t="shared" si="699"/>
        <v>0.67701071246386668</v>
      </c>
      <c r="CZ99" s="288">
        <f t="shared" si="699"/>
        <v>0.72647022255377347</v>
      </c>
      <c r="DA99" s="288">
        <f t="shared" si="699"/>
        <v>0.6739883910301917</v>
      </c>
      <c r="DB99" s="288">
        <f t="shared" si="699"/>
        <v>0.72896687465974286</v>
      </c>
      <c r="DC99" s="288">
        <f t="shared" si="699"/>
        <v>0.67995596822054183</v>
      </c>
      <c r="DD99" s="288">
        <f t="shared" si="699"/>
        <v>0.6795192007492975</v>
      </c>
      <c r="DE99" s="288">
        <f t="shared" si="699"/>
        <v>0.75621179831854057</v>
      </c>
      <c r="DF99" s="288">
        <f t="shared" si="699"/>
        <v>0.7415404748551131</v>
      </c>
      <c r="DG99" s="288">
        <f t="shared" ref="DG99:DN99" si="700">+DG67/DG65</f>
        <v>0.74726405387709283</v>
      </c>
      <c r="DH99" s="288">
        <f t="shared" si="700"/>
        <v>0.6940720616398699</v>
      </c>
      <c r="DI99" s="288">
        <f t="shared" si="700"/>
        <v>0.75025143965893215</v>
      </c>
      <c r="DJ99" s="288">
        <f t="shared" si="700"/>
        <v>0.74357266551218859</v>
      </c>
      <c r="DK99" s="288">
        <f t="shared" si="700"/>
        <v>0.71786790901616881</v>
      </c>
      <c r="DL99" s="288">
        <f t="shared" si="700"/>
        <v>0.75</v>
      </c>
      <c r="DM99" s="288">
        <f t="shared" si="700"/>
        <v>0.75</v>
      </c>
      <c r="DN99" s="288">
        <f t="shared" si="700"/>
        <v>0.75</v>
      </c>
      <c r="DP99" s="240">
        <f t="shared" ref="DP99:FC99" si="701">+DP67/DP65</f>
        <v>0.64333299169826796</v>
      </c>
      <c r="DQ99" s="240">
        <f t="shared" si="701"/>
        <v>0.64948361823361822</v>
      </c>
      <c r="DR99" s="240">
        <f t="shared" si="701"/>
        <v>0.66224793122840842</v>
      </c>
      <c r="DS99" s="240">
        <f t="shared" si="701"/>
        <v>0.65985603141132843</v>
      </c>
      <c r="DT99" s="240">
        <f t="shared" si="701"/>
        <v>0.66112604328759372</v>
      </c>
      <c r="DU99" s="240">
        <f t="shared" si="701"/>
        <v>0.66321342316003562</v>
      </c>
      <c r="DV99" s="240">
        <f t="shared" si="701"/>
        <v>0.6690903301135761</v>
      </c>
      <c r="DW99" s="240">
        <f t="shared" si="701"/>
        <v>0.67539315448658654</v>
      </c>
      <c r="DX99" s="240">
        <f t="shared" si="701"/>
        <v>0.68394537982235182</v>
      </c>
      <c r="DY99" s="240">
        <f t="shared" si="701"/>
        <v>0.68567443040114973</v>
      </c>
      <c r="DZ99" s="240">
        <f t="shared" si="701"/>
        <v>0.69269411379272683</v>
      </c>
      <c r="EA99" s="240">
        <f t="shared" si="701"/>
        <v>0.69590583067366762</v>
      </c>
      <c r="EB99" s="240">
        <f t="shared" si="701"/>
        <v>0.71106532541510115</v>
      </c>
      <c r="EC99" s="240">
        <f t="shared" si="701"/>
        <v>0.71697474256269655</v>
      </c>
      <c r="ED99" s="240">
        <f t="shared" si="701"/>
        <v>0.71259565588900375</v>
      </c>
      <c r="EE99" s="240">
        <f t="shared" si="701"/>
        <v>0.72105492861150944</v>
      </c>
      <c r="EF99" s="240">
        <f t="shared" si="701"/>
        <v>0.71808961978261743</v>
      </c>
      <c r="EG99" s="240">
        <f t="shared" si="701"/>
        <v>0.71763183557122501</v>
      </c>
      <c r="EH99" s="240">
        <f t="shared" si="701"/>
        <v>0.70945249202062366</v>
      </c>
      <c r="EI99" s="240">
        <f t="shared" si="701"/>
        <v>0.70961770749996078</v>
      </c>
      <c r="EJ99" s="240">
        <f t="shared" si="701"/>
        <v>0.70379824547231695</v>
      </c>
      <c r="EK99" s="240">
        <f t="shared" si="701"/>
        <v>0.69421527947278494</v>
      </c>
      <c r="EL99" s="240">
        <f t="shared" si="701"/>
        <v>0.73856681531600799</v>
      </c>
      <c r="EM99" s="240">
        <f t="shared" si="701"/>
        <v>0.68031056725759076</v>
      </c>
      <c r="EN99" s="240">
        <f t="shared" si="701"/>
        <v>0.68670069553511326</v>
      </c>
      <c r="EO99" s="240">
        <f t="shared" si="701"/>
        <v>0.69</v>
      </c>
      <c r="EP99" s="240">
        <f t="shared" si="701"/>
        <v>0.69</v>
      </c>
      <c r="EQ99" s="240">
        <f t="shared" si="701"/>
        <v>0.69</v>
      </c>
      <c r="ER99" s="240">
        <f t="shared" si="701"/>
        <v>0.69</v>
      </c>
      <c r="ES99" s="240">
        <f t="shared" si="701"/>
        <v>0.66792512962577066</v>
      </c>
      <c r="ET99" s="240">
        <f t="shared" si="701"/>
        <v>0.66418465213205458</v>
      </c>
      <c r="EU99" s="240">
        <f t="shared" si="701"/>
        <v>0.65578911679945751</v>
      </c>
      <c r="EV99" s="240">
        <f t="shared" si="701"/>
        <v>0.69624942939946288</v>
      </c>
      <c r="EW99" s="240">
        <f t="shared" si="701"/>
        <v>0.70141444643662254</v>
      </c>
      <c r="EX99" s="240">
        <f t="shared" si="701"/>
        <v>0.69</v>
      </c>
      <c r="EY99" s="240">
        <f t="shared" si="701"/>
        <v>0.69</v>
      </c>
      <c r="EZ99" s="240">
        <f t="shared" si="701"/>
        <v>0.69</v>
      </c>
      <c r="FA99" s="240">
        <f t="shared" si="701"/>
        <v>0.69</v>
      </c>
      <c r="FB99" s="240">
        <f t="shared" si="701"/>
        <v>0.69</v>
      </c>
      <c r="FC99" s="240">
        <f t="shared" si="701"/>
        <v>0.69</v>
      </c>
    </row>
    <row r="100" spans="1:179" ht="12.75" customHeight="1" x14ac:dyDescent="0.25">
      <c r="B100" t="s">
        <v>338</v>
      </c>
      <c r="C100" s="240">
        <f t="shared" ref="C100:AD100" si="702">+C68/C65</f>
        <v>0.37410323709536308</v>
      </c>
      <c r="D100" s="240">
        <f t="shared" si="702"/>
        <v>0.37592137592137592</v>
      </c>
      <c r="E100" s="240">
        <f t="shared" si="702"/>
        <v>0.38471177944862156</v>
      </c>
      <c r="F100" s="240">
        <f t="shared" si="702"/>
        <v>0.40603907637655418</v>
      </c>
      <c r="G100" s="240">
        <f t="shared" si="702"/>
        <v>0.3631333218052914</v>
      </c>
      <c r="H100" s="240">
        <f t="shared" si="702"/>
        <v>0.36555421061732662</v>
      </c>
      <c r="I100" s="240">
        <f t="shared" si="702"/>
        <v>0.37578616352201261</v>
      </c>
      <c r="J100" s="240">
        <f t="shared" si="702"/>
        <v>0.39924611276896499</v>
      </c>
      <c r="K100" s="240">
        <f t="shared" si="702"/>
        <v>0.36200662850256099</v>
      </c>
      <c r="L100" s="240">
        <f t="shared" si="702"/>
        <v>0.37189962065946891</v>
      </c>
      <c r="M100" s="240">
        <f t="shared" si="702"/>
        <v>0.37990813453845013</v>
      </c>
      <c r="N100" s="240">
        <f t="shared" si="702"/>
        <v>0.41602442925694344</v>
      </c>
      <c r="O100" s="240">
        <f t="shared" si="702"/>
        <v>0.35646946304139909</v>
      </c>
      <c r="P100" s="240">
        <f t="shared" si="702"/>
        <v>0.36561001598295151</v>
      </c>
      <c r="Q100" s="240">
        <f t="shared" si="702"/>
        <v>0.37132148806218768</v>
      </c>
      <c r="R100" s="240">
        <f t="shared" si="702"/>
        <v>0.40039392234102422</v>
      </c>
      <c r="S100" s="240">
        <f t="shared" si="702"/>
        <v>0.34924913361571042</v>
      </c>
      <c r="T100" s="240">
        <f t="shared" si="702"/>
        <v>0.35662910573004075</v>
      </c>
      <c r="U100" s="240">
        <f t="shared" si="702"/>
        <v>0.35129885894634622</v>
      </c>
      <c r="V100" s="240">
        <f t="shared" si="702"/>
        <v>0.3903367844817327</v>
      </c>
      <c r="W100" s="240">
        <f t="shared" si="702"/>
        <v>0.32517442525448931</v>
      </c>
      <c r="X100" s="240">
        <f t="shared" si="702"/>
        <v>0.3325250743965612</v>
      </c>
      <c r="Y100" s="240">
        <f t="shared" si="702"/>
        <v>0.33109373278995485</v>
      </c>
      <c r="Z100" s="240">
        <f t="shared" si="702"/>
        <v>0.35626927576305434</v>
      </c>
      <c r="AA100" s="240">
        <f t="shared" si="702"/>
        <v>0.33119527591121972</v>
      </c>
      <c r="AB100" s="240">
        <f t="shared" si="702"/>
        <v>0.32868757259001163</v>
      </c>
      <c r="AC100" s="240">
        <f t="shared" si="702"/>
        <v>0.32791276066577385</v>
      </c>
      <c r="AD100" s="240">
        <f t="shared" si="702"/>
        <v>0.3559575028536307</v>
      </c>
      <c r="AE100" s="288">
        <f t="shared" ref="AE100:BV100" si="703">AE68/AE65</f>
        <v>0.30373831775700932</v>
      </c>
      <c r="AF100" s="288">
        <f t="shared" si="703"/>
        <v>0.31205852674066598</v>
      </c>
      <c r="AG100" s="288">
        <f t="shared" si="703"/>
        <v>0.3335930061455899</v>
      </c>
      <c r="AH100" s="288">
        <f t="shared" si="703"/>
        <v>0.36504077791718947</v>
      </c>
      <c r="AI100" s="288">
        <f t="shared" si="703"/>
        <v>0.32161783042394015</v>
      </c>
      <c r="AJ100" s="288">
        <f t="shared" si="703"/>
        <v>0.32863187588152326</v>
      </c>
      <c r="AK100" s="288">
        <f t="shared" si="703"/>
        <v>0.33801787164906583</v>
      </c>
      <c r="AL100" s="288">
        <f t="shared" si="703"/>
        <v>0.36835844567803333</v>
      </c>
      <c r="AM100" s="288">
        <f t="shared" si="703"/>
        <v>0.31519396551724138</v>
      </c>
      <c r="AN100" s="288">
        <f t="shared" si="703"/>
        <v>0.32560053880116741</v>
      </c>
      <c r="AO100" s="288">
        <f t="shared" si="703"/>
        <v>0.32294724166478511</v>
      </c>
      <c r="AP100" s="288">
        <f t="shared" si="703"/>
        <v>0.34322467475515278</v>
      </c>
      <c r="AQ100" s="288">
        <f t="shared" si="703"/>
        <v>0.31828726718366807</v>
      </c>
      <c r="AR100" s="288">
        <f t="shared" si="703"/>
        <v>0.33212257297582881</v>
      </c>
      <c r="AS100" s="288">
        <f t="shared" si="703"/>
        <v>0.32644765775971213</v>
      </c>
      <c r="AT100" s="288">
        <f t="shared" si="703"/>
        <v>0.3585260387290844</v>
      </c>
      <c r="AU100" s="288">
        <f t="shared" si="703"/>
        <v>0.31635173521057181</v>
      </c>
      <c r="AV100" s="288">
        <f t="shared" si="703"/>
        <v>0.33477203647416415</v>
      </c>
      <c r="AW100" s="288">
        <f t="shared" si="703"/>
        <v>0.32629859933421268</v>
      </c>
      <c r="AX100" s="288">
        <f t="shared" si="703"/>
        <v>0.37313924384139113</v>
      </c>
      <c r="AY100" s="288">
        <f t="shared" si="703"/>
        <v>0.30666844136829496</v>
      </c>
      <c r="AZ100" s="288">
        <f t="shared" si="703"/>
        <v>0.3147844346741912</v>
      </c>
      <c r="BA100" s="288">
        <f t="shared" si="703"/>
        <v>0.31609309727471652</v>
      </c>
      <c r="BB100" s="288">
        <f t="shared" si="703"/>
        <v>0.34010029605461906</v>
      </c>
      <c r="BC100" s="288">
        <f t="shared" si="703"/>
        <v>0.30573859637899048</v>
      </c>
      <c r="BD100" s="288">
        <f t="shared" si="703"/>
        <v>0.30905192020274219</v>
      </c>
      <c r="BE100" s="288">
        <f t="shared" si="703"/>
        <v>0.31431050594046189</v>
      </c>
      <c r="BF100" s="288">
        <f t="shared" si="703"/>
        <v>0.33111736128867297</v>
      </c>
      <c r="BG100" s="288">
        <f t="shared" si="703"/>
        <v>0.29800778026641517</v>
      </c>
      <c r="BH100" s="288">
        <f t="shared" si="703"/>
        <v>0.31421341206242093</v>
      </c>
      <c r="BI100" s="288">
        <f t="shared" si="703"/>
        <v>0.32739768822243048</v>
      </c>
      <c r="BJ100" s="288">
        <f t="shared" si="703"/>
        <v>0.28999521810743317</v>
      </c>
      <c r="BK100" s="288">
        <f t="shared" si="703"/>
        <v>0.31073796393828612</v>
      </c>
      <c r="BL100" s="288">
        <f t="shared" si="703"/>
        <v>0.29862865391555393</v>
      </c>
      <c r="BM100" s="288">
        <f t="shared" si="703"/>
        <v>0.30411261706706999</v>
      </c>
      <c r="BN100" s="288">
        <f t="shared" si="703"/>
        <v>0.31819459277162609</v>
      </c>
      <c r="BO100" s="288">
        <f t="shared" si="703"/>
        <v>0.29764075678139956</v>
      </c>
      <c r="BP100" s="288">
        <f t="shared" si="703"/>
        <v>0.27887135448614286</v>
      </c>
      <c r="BQ100" s="288">
        <f t="shared" si="703"/>
        <v>0.30126424400476215</v>
      </c>
      <c r="BR100" s="288">
        <f t="shared" si="703"/>
        <v>0.32068722562462737</v>
      </c>
      <c r="BS100" s="288">
        <f t="shared" si="703"/>
        <v>0.28448323179098745</v>
      </c>
      <c r="BT100" s="288">
        <f t="shared" si="703"/>
        <v>0.28114901256732494</v>
      </c>
      <c r="BU100" s="288">
        <f t="shared" si="703"/>
        <v>0.29609573834407321</v>
      </c>
      <c r="BV100" s="288">
        <f t="shared" si="703"/>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704">+CQ68/CQ65</f>
        <v>0.25147414209763169</v>
      </c>
      <c r="CR100" s="288">
        <f t="shared" si="704"/>
        <v>0.27227614788962812</v>
      </c>
      <c r="CS100" s="288">
        <f t="shared" si="704"/>
        <v>0.25761312968409067</v>
      </c>
      <c r="CT100" s="288">
        <f t="shared" si="704"/>
        <v>0.28728421427300233</v>
      </c>
      <c r="CU100" s="288">
        <f t="shared" si="704"/>
        <v>0.2433582724788316</v>
      </c>
      <c r="CV100" s="288">
        <f t="shared" si="704"/>
        <v>0.2588200162109125</v>
      </c>
      <c r="CW100" s="288">
        <f t="shared" si="704"/>
        <v>0.25712449110777802</v>
      </c>
      <c r="CX100" s="288">
        <f t="shared" si="704"/>
        <v>0.28756330894766463</v>
      </c>
      <c r="CY100" s="288">
        <f t="shared" si="704"/>
        <v>0.25242305730317971</v>
      </c>
      <c r="CZ100" s="288">
        <f t="shared" si="704"/>
        <v>0.25778109329023169</v>
      </c>
      <c r="DA100" s="288">
        <f t="shared" si="704"/>
        <v>0.2542698459097173</v>
      </c>
      <c r="DB100" s="288">
        <f t="shared" si="704"/>
        <v>0.27053059173332217</v>
      </c>
      <c r="DC100" s="288">
        <f t="shared" si="704"/>
        <v>0.23480425002393032</v>
      </c>
      <c r="DD100" s="288">
        <f t="shared" si="704"/>
        <v>0.26010771152044959</v>
      </c>
      <c r="DE100" s="288">
        <f t="shared" si="704"/>
        <v>0.25264045338516661</v>
      </c>
      <c r="DF100" s="288">
        <f t="shared" si="704"/>
        <v>0.27117218171620866</v>
      </c>
      <c r="DG100" s="288">
        <f t="shared" ref="DG100:DN100" si="705">+DG68/DG65</f>
        <v>0.24567393134412122</v>
      </c>
      <c r="DH100" s="288">
        <f t="shared" si="705"/>
        <v>0.25301741415401058</v>
      </c>
      <c r="DI100" s="288">
        <f t="shared" si="705"/>
        <v>0.24365170489439536</v>
      </c>
      <c r="DJ100" s="288">
        <f t="shared" si="705"/>
        <v>0.28635495759513341</v>
      </c>
      <c r="DK100" s="288">
        <f t="shared" si="705"/>
        <v>0.23348862702110168</v>
      </c>
      <c r="DL100" s="288">
        <f t="shared" si="705"/>
        <v>0</v>
      </c>
      <c r="DM100" s="288">
        <f t="shared" si="705"/>
        <v>0</v>
      </c>
      <c r="DN100" s="288">
        <f t="shared" si="705"/>
        <v>0</v>
      </c>
      <c r="DP100" s="240">
        <f t="shared" ref="DP100:EJ100" si="706">+DP68/DP65</f>
        <v>0.39940555498616376</v>
      </c>
      <c r="DQ100" s="240">
        <f t="shared" si="706"/>
        <v>0.39788105413105412</v>
      </c>
      <c r="DR100" s="240">
        <f t="shared" si="706"/>
        <v>0.40965694544870251</v>
      </c>
      <c r="DS100" s="240">
        <f t="shared" si="706"/>
        <v>0.41234639714971277</v>
      </c>
      <c r="DT100" s="240">
        <f t="shared" si="706"/>
        <v>0.40819069175272316</v>
      </c>
      <c r="DU100" s="240">
        <f t="shared" si="706"/>
        <v>0.403584593873141</v>
      </c>
      <c r="DV100" s="240">
        <f t="shared" si="706"/>
        <v>0.3960301454198068</v>
      </c>
      <c r="DW100" s="240">
        <f t="shared" si="706"/>
        <v>0.38825161887141535</v>
      </c>
      <c r="DX100" s="240">
        <f t="shared" si="706"/>
        <v>0.3851252817181493</v>
      </c>
      <c r="DY100" s="240">
        <f t="shared" si="706"/>
        <v>0.376505896774739</v>
      </c>
      <c r="DZ100" s="240">
        <f t="shared" si="706"/>
        <v>0.38233045757344108</v>
      </c>
      <c r="EA100" s="240">
        <f t="shared" si="706"/>
        <v>0.37321116030062801</v>
      </c>
      <c r="EB100" s="240">
        <f t="shared" si="706"/>
        <v>0.36334989698218395</v>
      </c>
      <c r="EC100" s="240">
        <f t="shared" si="706"/>
        <v>0.33095018137782123</v>
      </c>
      <c r="ED100" s="240">
        <f t="shared" si="706"/>
        <v>0.3335504916748101</v>
      </c>
      <c r="EE100" s="240">
        <f t="shared" si="706"/>
        <v>0.32961323440779766</v>
      </c>
      <c r="EF100" s="240">
        <f t="shared" si="706"/>
        <v>0.34096327124328257</v>
      </c>
      <c r="EG100" s="240">
        <f t="shared" si="706"/>
        <v>0.32692596204335761</v>
      </c>
      <c r="EH100" s="240">
        <f t="shared" si="706"/>
        <v>0.33474097716670759</v>
      </c>
      <c r="EI100" s="240">
        <f t="shared" si="706"/>
        <v>0.33711390339937564</v>
      </c>
      <c r="EJ100" s="240">
        <f t="shared" si="706"/>
        <v>0.31990241853401619</v>
      </c>
      <c r="EK100" s="240">
        <f>EJ100-0.1%</f>
        <v>0.31890241853401619</v>
      </c>
      <c r="EL100" s="240">
        <v>0.32</v>
      </c>
      <c r="EM100" s="240">
        <v>0.32500000000000001</v>
      </c>
      <c r="EN100" s="240">
        <v>0.32500000000000001</v>
      </c>
      <c r="EO100" s="240">
        <v>0.33</v>
      </c>
      <c r="EP100" s="240">
        <f t="shared" ref="EP100:FC100" si="707">+EP68/EP65</f>
        <v>0</v>
      </c>
      <c r="EQ100" s="240">
        <f t="shared" si="707"/>
        <v>0</v>
      </c>
      <c r="ER100" s="240">
        <f t="shared" si="707"/>
        <v>0</v>
      </c>
      <c r="ES100" s="240">
        <f t="shared" si="707"/>
        <v>0.249837584731739</v>
      </c>
      <c r="ET100" s="240">
        <f t="shared" si="707"/>
        <v>0.24248997647976406</v>
      </c>
      <c r="EU100" s="240">
        <f t="shared" si="707"/>
        <v>0.26740609788584019</v>
      </c>
      <c r="EV100" s="240">
        <f t="shared" si="707"/>
        <v>0.26171190776972153</v>
      </c>
      <c r="EW100" s="240">
        <f t="shared" si="707"/>
        <v>0.25905654640202153</v>
      </c>
      <c r="EX100" s="240">
        <f t="shared" si="707"/>
        <v>0.26</v>
      </c>
      <c r="EY100" s="240">
        <f t="shared" si="707"/>
        <v>0.26</v>
      </c>
      <c r="EZ100" s="240">
        <f t="shared" si="707"/>
        <v>0.26</v>
      </c>
      <c r="FA100" s="240">
        <f t="shared" si="707"/>
        <v>0.26</v>
      </c>
      <c r="FB100" s="240">
        <f t="shared" si="707"/>
        <v>0.26</v>
      </c>
      <c r="FC100" s="240">
        <f t="shared" si="707"/>
        <v>0.26</v>
      </c>
    </row>
    <row r="101" spans="1:179" ht="12.75" customHeight="1" x14ac:dyDescent="0.25">
      <c r="B101" t="s">
        <v>339</v>
      </c>
      <c r="C101" s="240">
        <f t="shared" ref="C101:AD101" si="708">+C69/C$65</f>
        <v>8.3639545056867895E-2</v>
      </c>
      <c r="D101" s="240">
        <f t="shared" si="708"/>
        <v>9.1260091260091256E-2</v>
      </c>
      <c r="E101" s="240">
        <f t="shared" si="708"/>
        <v>9.2373791621911922E-2</v>
      </c>
      <c r="F101" s="240">
        <f t="shared" si="708"/>
        <v>0.11119005328596802</v>
      </c>
      <c r="G101" s="240">
        <f t="shared" si="708"/>
        <v>8.542279093895902E-2</v>
      </c>
      <c r="H101" s="240">
        <f t="shared" si="708"/>
        <v>9.1993774857340477E-2</v>
      </c>
      <c r="I101" s="240">
        <f t="shared" si="708"/>
        <v>8.9273235499650591E-2</v>
      </c>
      <c r="J101" s="240">
        <f t="shared" si="708"/>
        <v>0.11496780273284121</v>
      </c>
      <c r="K101" s="240">
        <f t="shared" si="708"/>
        <v>8.0747213015968669E-2</v>
      </c>
      <c r="L101" s="240">
        <f t="shared" si="708"/>
        <v>8.374671724540414E-2</v>
      </c>
      <c r="M101" s="240">
        <f t="shared" si="708"/>
        <v>9.0828270854941467E-2</v>
      </c>
      <c r="N101" s="240">
        <f t="shared" si="708"/>
        <v>0.11807474189326742</v>
      </c>
      <c r="O101" s="240">
        <f t="shared" si="708"/>
        <v>8.7033747779751328E-2</v>
      </c>
      <c r="P101" s="240">
        <f t="shared" si="708"/>
        <v>8.8838572189664358E-2</v>
      </c>
      <c r="Q101" s="240">
        <f t="shared" si="708"/>
        <v>9.605774569683509E-2</v>
      </c>
      <c r="R101" s="240">
        <f t="shared" si="708"/>
        <v>0.13083849184018007</v>
      </c>
      <c r="S101" s="240">
        <f t="shared" si="708"/>
        <v>8.99756128866641E-2</v>
      </c>
      <c r="T101" s="240">
        <f t="shared" si="708"/>
        <v>9.9376648285782784E-2</v>
      </c>
      <c r="U101" s="240">
        <f t="shared" si="708"/>
        <v>0.10912842923039573</v>
      </c>
      <c r="V101" s="240">
        <f t="shared" si="708"/>
        <v>0.13138164941092467</v>
      </c>
      <c r="W101" s="240">
        <f t="shared" si="708"/>
        <v>9.5047466544664297E-2</v>
      </c>
      <c r="X101" s="240">
        <f t="shared" si="708"/>
        <v>0.10272236305521878</v>
      </c>
      <c r="Y101" s="240">
        <f t="shared" si="708"/>
        <v>0.10485736314572089</v>
      </c>
      <c r="Z101" s="240">
        <f t="shared" si="708"/>
        <v>0.13208550462618313</v>
      </c>
      <c r="AA101" s="240">
        <f t="shared" si="708"/>
        <v>9.5296273671350032E-2</v>
      </c>
      <c r="AB101" s="240">
        <f t="shared" si="708"/>
        <v>0.10472319008904375</v>
      </c>
      <c r="AC101" s="240">
        <f t="shared" si="708"/>
        <v>0.11258848287736752</v>
      </c>
      <c r="AD101" s="240">
        <f t="shared" si="708"/>
        <v>0.13074018790060585</v>
      </c>
      <c r="AE101" s="288">
        <f t="shared" ref="AE101:BV101" si="709">AE69/AE65</f>
        <v>9.1371829105473965E-2</v>
      </c>
      <c r="AF101" s="288">
        <f t="shared" si="709"/>
        <v>9.9394550958627648E-2</v>
      </c>
      <c r="AG101" s="288">
        <f t="shared" si="709"/>
        <v>0.10369600969445165</v>
      </c>
      <c r="AH101" s="288">
        <f t="shared" si="709"/>
        <v>0.1354297365119197</v>
      </c>
      <c r="AI101" s="288">
        <f t="shared" si="709"/>
        <v>0.10785536159600997</v>
      </c>
      <c r="AJ101" s="288">
        <f t="shared" si="709"/>
        <v>0.11651778718069268</v>
      </c>
      <c r="AK101" s="288">
        <f t="shared" si="709"/>
        <v>0.12502030869212022</v>
      </c>
      <c r="AL101" s="288">
        <f t="shared" si="709"/>
        <v>0.15971451229183187</v>
      </c>
      <c r="AM101" s="288">
        <f t="shared" si="709"/>
        <v>0.11791871921182266</v>
      </c>
      <c r="AN101" s="288">
        <f t="shared" si="709"/>
        <v>0.12444810297088978</v>
      </c>
      <c r="AO101" s="288">
        <f t="shared" si="709"/>
        <v>0.1293745766538722</v>
      </c>
      <c r="AP101" s="288">
        <f t="shared" si="709"/>
        <v>0.14953954100277736</v>
      </c>
      <c r="AQ101" s="288">
        <f t="shared" si="709"/>
        <v>0.10949824352091204</v>
      </c>
      <c r="AR101" s="288">
        <f t="shared" si="709"/>
        <v>0.12323339056927751</v>
      </c>
      <c r="AS101" s="288">
        <f t="shared" si="709"/>
        <v>0.12220963550343174</v>
      </c>
      <c r="AT101" s="288">
        <f t="shared" si="709"/>
        <v>0.14589208497837938</v>
      </c>
      <c r="AU101" s="288">
        <f t="shared" si="709"/>
        <v>0.10571816722242806</v>
      </c>
      <c r="AV101" s="288">
        <f t="shared" si="709"/>
        <v>0.11525835866261398</v>
      </c>
      <c r="AW101" s="288">
        <f t="shared" si="709"/>
        <v>0.1168896426103888</v>
      </c>
      <c r="AX101" s="288">
        <f t="shared" si="709"/>
        <v>0.13884863654327492</v>
      </c>
      <c r="AY101" s="288">
        <f t="shared" si="709"/>
        <v>0.10102489019033675</v>
      </c>
      <c r="AZ101" s="288">
        <f t="shared" si="709"/>
        <v>0.10748736793752871</v>
      </c>
      <c r="BA101" s="288">
        <f t="shared" si="709"/>
        <v>0.10722100656455143</v>
      </c>
      <c r="BB101" s="288">
        <f t="shared" si="709"/>
        <v>0.13370793305540452</v>
      </c>
      <c r="BC101" s="288">
        <f t="shared" si="709"/>
        <v>9.960974985605528E-2</v>
      </c>
      <c r="BD101" s="288">
        <f t="shared" si="709"/>
        <v>0.10708947949834297</v>
      </c>
      <c r="BE101" s="288">
        <f t="shared" si="709"/>
        <v>0.11059938592978241</v>
      </c>
      <c r="BF101" s="288">
        <f t="shared" si="709"/>
        <v>0.12669394016875479</v>
      </c>
      <c r="BG101" s="288">
        <f t="shared" si="709"/>
        <v>0.10244017446658021</v>
      </c>
      <c r="BH101" s="288">
        <f t="shared" si="709"/>
        <v>0.11339398686509611</v>
      </c>
      <c r="BI101" s="288">
        <f t="shared" si="709"/>
        <v>0.11077788191190253</v>
      </c>
      <c r="BJ101" s="288">
        <f t="shared" si="709"/>
        <v>0.11449976090537166</v>
      </c>
      <c r="BK101" s="288">
        <f t="shared" si="709"/>
        <v>0.10192700910837103</v>
      </c>
      <c r="BL101" s="288">
        <f t="shared" si="709"/>
        <v>0.10621917478647901</v>
      </c>
      <c r="BM101" s="288">
        <f t="shared" si="709"/>
        <v>0.111860857425397</v>
      </c>
      <c r="BN101" s="288">
        <f t="shared" si="709"/>
        <v>0.1310213029059637</v>
      </c>
      <c r="BO101" s="288">
        <f t="shared" si="709"/>
        <v>0.10166400729427855</v>
      </c>
      <c r="BP101" s="288">
        <f t="shared" si="709"/>
        <v>0.10851502816037473</v>
      </c>
      <c r="BQ101" s="288">
        <f t="shared" si="709"/>
        <v>0.11576619989795339</v>
      </c>
      <c r="BR101" s="288">
        <f t="shared" si="709"/>
        <v>0.13067042436724297</v>
      </c>
      <c r="BS101" s="288">
        <f t="shared" si="709"/>
        <v>0.10049947856633185</v>
      </c>
      <c r="BT101" s="288">
        <f t="shared" si="709"/>
        <v>0.10284688381636317</v>
      </c>
      <c r="BU101" s="288">
        <f t="shared" si="709"/>
        <v>0.10954675908377105</v>
      </c>
      <c r="BV101" s="288">
        <f t="shared" si="709"/>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710">+CQ69/CQ65</f>
        <v>0.12469792170130498</v>
      </c>
      <c r="CR101" s="288">
        <f t="shared" si="710"/>
        <v>0.1476169702257607</v>
      </c>
      <c r="CS101" s="288">
        <f t="shared" si="710"/>
        <v>0.13471207665306897</v>
      </c>
      <c r="CT101" s="288">
        <f t="shared" si="710"/>
        <v>0.1793913507741591</v>
      </c>
      <c r="CU101" s="288">
        <f t="shared" si="710"/>
        <v>0.14237713364096591</v>
      </c>
      <c r="CV101" s="288">
        <f t="shared" si="710"/>
        <v>0.14350923595409751</v>
      </c>
      <c r="CW101" s="288">
        <f t="shared" si="710"/>
        <v>0.14664666809513607</v>
      </c>
      <c r="CX101" s="288">
        <f t="shared" si="710"/>
        <v>0.18972586220757295</v>
      </c>
      <c r="CY101" s="288">
        <f t="shared" si="710"/>
        <v>0.1471688488352321</v>
      </c>
      <c r="CZ101" s="288">
        <f t="shared" si="710"/>
        <v>0.14729164076422563</v>
      </c>
      <c r="DA101" s="288">
        <f t="shared" si="710"/>
        <v>0.15020670647680295</v>
      </c>
      <c r="DB101" s="288">
        <f t="shared" si="710"/>
        <v>0.15415218392730015</v>
      </c>
      <c r="DC101" s="288">
        <f t="shared" si="710"/>
        <v>0.1653584761175457</v>
      </c>
      <c r="DD101" s="288">
        <f t="shared" si="710"/>
        <v>0.149430221667187</v>
      </c>
      <c r="DE101" s="288">
        <f t="shared" si="710"/>
        <v>0.15821643521229012</v>
      </c>
      <c r="DF101" s="288">
        <f t="shared" si="710"/>
        <v>0.20681435782389232</v>
      </c>
      <c r="DG101" s="288">
        <f t="shared" ref="DG101:DN101" si="711">+DG69/DG65</f>
        <v>0.1632214011785614</v>
      </c>
      <c r="DH101" s="288">
        <f t="shared" si="711"/>
        <v>0.15320892531064892</v>
      </c>
      <c r="DI101" s="288">
        <f t="shared" si="711"/>
        <v>0.21784020008366489</v>
      </c>
      <c r="DJ101" s="288">
        <f t="shared" si="711"/>
        <v>0.23387060965321255</v>
      </c>
      <c r="DK101" s="288">
        <f t="shared" si="711"/>
        <v>0.14702658262537682</v>
      </c>
      <c r="DL101" s="288">
        <f t="shared" si="711"/>
        <v>0</v>
      </c>
      <c r="DM101" s="288">
        <f t="shared" si="711"/>
        <v>0</v>
      </c>
      <c r="DN101" s="288">
        <f t="shared" si="711"/>
        <v>0</v>
      </c>
      <c r="DP101" s="240">
        <f t="shared" ref="DP101:EJ101" si="712">+DP69/DP$65</f>
        <v>7.3690683611765909E-2</v>
      </c>
      <c r="DQ101" s="240">
        <f t="shared" si="712"/>
        <v>7.4252136752136752E-2</v>
      </c>
      <c r="DR101" s="240">
        <f t="shared" si="712"/>
        <v>7.8733831445328195E-2</v>
      </c>
      <c r="DS101" s="240">
        <f t="shared" si="712"/>
        <v>8.1945757289318688E-2</v>
      </c>
      <c r="DT101" s="240">
        <f t="shared" si="712"/>
        <v>8.360447022209648E-2</v>
      </c>
      <c r="DU101" s="240">
        <f t="shared" si="712"/>
        <v>8.1225371806279395E-2</v>
      </c>
      <c r="DV101" s="240">
        <f t="shared" si="712"/>
        <v>8.672115486678697E-2</v>
      </c>
      <c r="DW101" s="240">
        <f t="shared" si="712"/>
        <v>8.8112858464384824E-2</v>
      </c>
      <c r="DX101" s="240">
        <f t="shared" si="712"/>
        <v>9.4568915992752661E-2</v>
      </c>
      <c r="DY101" s="240">
        <f t="shared" si="712"/>
        <v>9.591241493004185E-2</v>
      </c>
      <c r="DZ101" s="240">
        <f t="shared" si="712"/>
        <v>9.4645262276582584E-2</v>
      </c>
      <c r="EA101" s="240">
        <f t="shared" si="712"/>
        <v>0.1004152510381276</v>
      </c>
      <c r="EB101" s="240">
        <f t="shared" si="712"/>
        <v>0.10880499333414131</v>
      </c>
      <c r="EC101" s="240">
        <f t="shared" si="712"/>
        <v>0.10720120069679426</v>
      </c>
      <c r="ED101" s="240">
        <f t="shared" si="712"/>
        <v>0.11056192081273869</v>
      </c>
      <c r="EE101" s="240">
        <f t="shared" si="712"/>
        <v>0.10813226094727435</v>
      </c>
      <c r="EF101" s="240">
        <f t="shared" si="712"/>
        <v>0.12752030385066063</v>
      </c>
      <c r="EG101" s="240">
        <f t="shared" si="712"/>
        <v>0.13052284149726201</v>
      </c>
      <c r="EH101" s="240">
        <f t="shared" si="712"/>
        <v>0.12570586791063099</v>
      </c>
      <c r="EI101" s="240">
        <f t="shared" si="712"/>
        <v>0.11886049539586177</v>
      </c>
      <c r="EJ101" s="240">
        <f t="shared" si="712"/>
        <v>0.11286492075544857</v>
      </c>
      <c r="EK101" s="240">
        <v>0.11</v>
      </c>
      <c r="EL101" s="240">
        <v>0.104</v>
      </c>
      <c r="EM101" s="240">
        <v>0.104</v>
      </c>
      <c r="EN101" s="240">
        <v>0.104</v>
      </c>
      <c r="EO101" s="240">
        <v>0.104</v>
      </c>
      <c r="EP101" s="240">
        <f t="shared" ref="EP101:FC101" si="713">+EP69/EP65</f>
        <v>3.9436373626081066E-2</v>
      </c>
      <c r="EQ101" s="240">
        <f t="shared" si="713"/>
        <v>4.2580405295819683E-2</v>
      </c>
      <c r="ER101" s="240">
        <f t="shared" si="713"/>
        <v>0</v>
      </c>
      <c r="ES101" s="240">
        <f t="shared" si="713"/>
        <v>0.13207732192544833</v>
      </c>
      <c r="ET101" s="240">
        <f t="shared" si="713"/>
        <v>0.13837941918422561</v>
      </c>
      <c r="EU101" s="240">
        <f t="shared" si="713"/>
        <v>0.14722834378708255</v>
      </c>
      <c r="EV101" s="240">
        <f t="shared" si="713"/>
        <v>0.1558827588403274</v>
      </c>
      <c r="EW101" s="240">
        <f t="shared" si="713"/>
        <v>0.1498747024839315</v>
      </c>
      <c r="EX101" s="240">
        <f t="shared" si="713"/>
        <v>3.0766468098172305E-2</v>
      </c>
      <c r="EY101" s="240">
        <f t="shared" si="713"/>
        <v>2.9779161128450981E-2</v>
      </c>
      <c r="EZ101" s="240">
        <f t="shared" si="713"/>
        <v>3.5069818008136223E-2</v>
      </c>
      <c r="FA101" s="240">
        <f t="shared" si="713"/>
        <v>3.748710888814661E-2</v>
      </c>
      <c r="FB101" s="240">
        <f t="shared" si="713"/>
        <v>3.6974304725369223E-2</v>
      </c>
      <c r="FC101" s="240">
        <f t="shared" si="713"/>
        <v>3.5784483017092972E-2</v>
      </c>
    </row>
    <row r="102" spans="1:179" ht="12.75" customHeight="1" x14ac:dyDescent="0.25">
      <c r="B102" t="s">
        <v>351</v>
      </c>
      <c r="C102" s="240">
        <f t="shared" ref="C102:AD102" si="714">+C71/C65</f>
        <v>0.23219597550306212</v>
      </c>
      <c r="D102" s="240">
        <f t="shared" si="714"/>
        <v>0.22586872586872586</v>
      </c>
      <c r="E102" s="240">
        <f t="shared" si="714"/>
        <v>0.20963122090941641</v>
      </c>
      <c r="F102" s="240">
        <f t="shared" si="714"/>
        <v>0.14866785079928951</v>
      </c>
      <c r="G102" s="240">
        <f t="shared" si="714"/>
        <v>0.24416392875670068</v>
      </c>
      <c r="H102" s="240">
        <f t="shared" si="714"/>
        <v>0.23067611966107557</v>
      </c>
      <c r="I102" s="240">
        <f t="shared" si="714"/>
        <v>0.22781271837875611</v>
      </c>
      <c r="J102" s="240">
        <f t="shared" si="714"/>
        <v>0.15627454059996859</v>
      </c>
      <c r="K102" s="240">
        <f t="shared" si="714"/>
        <v>0.25022597167821631</v>
      </c>
      <c r="L102" s="240">
        <f t="shared" si="714"/>
        <v>0.24000583600817041</v>
      </c>
      <c r="M102" s="240">
        <f t="shared" si="714"/>
        <v>0.22847829308045636</v>
      </c>
      <c r="N102" s="240">
        <f t="shared" si="714"/>
        <v>0.14875672531627163</v>
      </c>
      <c r="O102" s="240">
        <f t="shared" si="714"/>
        <v>0.25030741904631781</v>
      </c>
      <c r="P102" s="240">
        <f t="shared" si="714"/>
        <v>0.24507192328183272</v>
      </c>
      <c r="Q102" s="240">
        <f t="shared" si="714"/>
        <v>0.23014991671293725</v>
      </c>
      <c r="R102" s="240">
        <f t="shared" si="714"/>
        <v>0.16136747326955542</v>
      </c>
      <c r="S102" s="240">
        <f t="shared" si="714"/>
        <v>0.26825824669490439</v>
      </c>
      <c r="T102" s="240">
        <f t="shared" si="714"/>
        <v>0.26084871733397269</v>
      </c>
      <c r="U102" s="240">
        <f t="shared" si="714"/>
        <v>0.2500606943432872</v>
      </c>
      <c r="V102" s="240">
        <f t="shared" si="714"/>
        <v>0.18207782934666192</v>
      </c>
      <c r="W102" s="240">
        <f t="shared" si="714"/>
        <v>0.29875328834496168</v>
      </c>
      <c r="X102" s="240">
        <f t="shared" si="714"/>
        <v>0.28017193871927698</v>
      </c>
      <c r="Y102" s="240">
        <f t="shared" si="714"/>
        <v>0.27646216543672208</v>
      </c>
      <c r="Z102" s="240">
        <f t="shared" si="714"/>
        <v>0.21418696160799744</v>
      </c>
      <c r="AA102" s="240">
        <f t="shared" si="714"/>
        <v>0.29637548360822641</v>
      </c>
      <c r="AB102" s="240">
        <f t="shared" si="714"/>
        <v>0.27951993805652342</v>
      </c>
      <c r="AC102" s="240">
        <f t="shared" si="714"/>
        <v>0.27444040558637844</v>
      </c>
      <c r="AD102" s="240">
        <f t="shared" si="714"/>
        <v>0.20528580208973571</v>
      </c>
      <c r="AE102" s="288">
        <f t="shared" ref="AE102:BV102" si="715">AE71/AE65</f>
        <v>0.32393190921228304</v>
      </c>
      <c r="AF102" s="288">
        <f t="shared" si="715"/>
        <v>0.32265388496468211</v>
      </c>
      <c r="AG102" s="288">
        <f t="shared" si="715"/>
        <v>0.28685189993940968</v>
      </c>
      <c r="AH102" s="288">
        <f t="shared" si="715"/>
        <v>0.20890840652446674</v>
      </c>
      <c r="AI102" s="288">
        <f t="shared" si="715"/>
        <v>0.29808291770573564</v>
      </c>
      <c r="AJ102" s="288">
        <f t="shared" si="715"/>
        <v>0.27887478451653347</v>
      </c>
      <c r="AK102" s="288">
        <f t="shared" si="715"/>
        <v>0.26450040617384241</v>
      </c>
      <c r="AL102" s="288">
        <f t="shared" si="715"/>
        <v>0.18342585249801743</v>
      </c>
      <c r="AM102" s="288">
        <f t="shared" si="715"/>
        <v>0.28887007389162561</v>
      </c>
      <c r="AN102" s="288">
        <f t="shared" si="715"/>
        <v>0.2664820773778343</v>
      </c>
      <c r="AO102" s="288">
        <f t="shared" si="715"/>
        <v>0.27297358320162562</v>
      </c>
      <c r="AP102" s="288">
        <f t="shared" si="715"/>
        <v>0.21436924426253473</v>
      </c>
      <c r="AQ102" s="288">
        <f t="shared" si="715"/>
        <v>0.28156691191091671</v>
      </c>
      <c r="AR102" s="288">
        <f t="shared" si="715"/>
        <v>0.25683529256373</v>
      </c>
      <c r="AS102" s="288">
        <f t="shared" si="715"/>
        <v>0.26654228026920768</v>
      </c>
      <c r="AT102" s="288">
        <f t="shared" si="715"/>
        <v>0.19890956946794511</v>
      </c>
      <c r="AU102" s="288">
        <f t="shared" si="715"/>
        <v>0.29300975670001234</v>
      </c>
      <c r="AV102" s="288">
        <f t="shared" si="715"/>
        <v>0.2611550151975684</v>
      </c>
      <c r="AW102" s="288">
        <f t="shared" si="715"/>
        <v>0.25695622134288049</v>
      </c>
      <c r="AX102" s="288">
        <f t="shared" si="715"/>
        <v>0.2000395204847846</v>
      </c>
      <c r="AY102" s="288">
        <f t="shared" si="715"/>
        <v>0.30939704512178889</v>
      </c>
      <c r="AZ102" s="288">
        <f t="shared" si="715"/>
        <v>0.2857142857142857</v>
      </c>
      <c r="BA102" s="288">
        <f t="shared" si="715"/>
        <v>0.28267356276109012</v>
      </c>
      <c r="BB102" s="288">
        <f t="shared" si="715"/>
        <v>0.21207177814029363</v>
      </c>
      <c r="BC102" s="288">
        <f t="shared" si="715"/>
        <v>0.30497089117778775</v>
      </c>
      <c r="BD102" s="288">
        <f t="shared" si="715"/>
        <v>0.28299434661121581</v>
      </c>
      <c r="BE102" s="288">
        <f t="shared" si="715"/>
        <v>0.26845547990922441</v>
      </c>
      <c r="BF102" s="288">
        <f t="shared" si="715"/>
        <v>0.22002045512656609</v>
      </c>
      <c r="BG102" s="288">
        <f t="shared" si="715"/>
        <v>0.31792997760226333</v>
      </c>
      <c r="BH102" s="288">
        <f t="shared" si="715"/>
        <v>0.26077001867807437</v>
      </c>
      <c r="BI102" s="288">
        <f t="shared" si="715"/>
        <v>0.24492346141830679</v>
      </c>
      <c r="BJ102" s="288">
        <f t="shared" si="715"/>
        <v>0.31188565963551351</v>
      </c>
      <c r="BK102" s="288">
        <f t="shared" si="715"/>
        <v>0.28279323378152305</v>
      </c>
      <c r="BL102" s="288">
        <f t="shared" si="715"/>
        <v>0.28581739444243953</v>
      </c>
      <c r="BM102" s="288">
        <f t="shared" si="715"/>
        <v>0.25844918852888138</v>
      </c>
      <c r="BN102" s="288">
        <f t="shared" si="715"/>
        <v>0.21336630880782417</v>
      </c>
      <c r="BO102" s="288">
        <f t="shared" si="715"/>
        <v>0.28419193070435378</v>
      </c>
      <c r="BP102" s="288">
        <f t="shared" si="715"/>
        <v>0.30652986114983549</v>
      </c>
      <c r="BQ102" s="288">
        <f t="shared" si="715"/>
        <v>0.28000453540450138</v>
      </c>
      <c r="BR102" s="288">
        <f t="shared" si="715"/>
        <v>0.22589561541379871</v>
      </c>
      <c r="BS102" s="288">
        <f t="shared" si="715"/>
        <v>0.31560458861627971</v>
      </c>
      <c r="BT102" s="288">
        <f t="shared" si="715"/>
        <v>0.30623236727365993</v>
      </c>
      <c r="BU102" s="288">
        <f t="shared" si="715"/>
        <v>0.30199815887799858</v>
      </c>
      <c r="BV102" s="288">
        <f t="shared" si="715"/>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716">+CQ71/CQ65</f>
        <v>0.28250362493958436</v>
      </c>
      <c r="CR102" s="288">
        <f t="shared" si="716"/>
        <v>0.22134365797796923</v>
      </c>
      <c r="CS102" s="288">
        <f t="shared" si="716"/>
        <v>0.27696613224551753</v>
      </c>
      <c r="CT102" s="288">
        <f t="shared" si="716"/>
        <v>0.18566470902295781</v>
      </c>
      <c r="CU102" s="288">
        <f t="shared" si="716"/>
        <v>0.2978361184534743</v>
      </c>
      <c r="CV102" s="288">
        <f t="shared" si="716"/>
        <v>0.32699116931871508</v>
      </c>
      <c r="CW102" s="288">
        <f t="shared" si="716"/>
        <v>0.28553674737518747</v>
      </c>
      <c r="CX102" s="288">
        <f t="shared" si="716"/>
        <v>0.20295039794195674</v>
      </c>
      <c r="CY102" s="288">
        <f t="shared" si="716"/>
        <v>0.27741880632545485</v>
      </c>
      <c r="CZ102" s="288">
        <f t="shared" si="716"/>
        <v>0.32139748849931615</v>
      </c>
      <c r="DA102" s="288">
        <f t="shared" si="716"/>
        <v>0.26951183864367145</v>
      </c>
      <c r="DB102" s="288">
        <f t="shared" si="716"/>
        <v>0.30428409899912057</v>
      </c>
      <c r="DC102" s="288">
        <f t="shared" si="716"/>
        <v>0.27979324207906575</v>
      </c>
      <c r="DD102" s="288">
        <f t="shared" si="716"/>
        <v>0.26998126756166096</v>
      </c>
      <c r="DE102" s="288">
        <f t="shared" si="716"/>
        <v>0.34535490972108379</v>
      </c>
      <c r="DF102" s="288">
        <f t="shared" si="716"/>
        <v>0.26355393531501214</v>
      </c>
      <c r="DG102" s="288">
        <f t="shared" ref="DG102:DN102" si="717">+DG71/DG65</f>
        <v>0.33836872135441026</v>
      </c>
      <c r="DH102" s="288">
        <f t="shared" si="717"/>
        <v>0.28784572217521043</v>
      </c>
      <c r="DI102" s="288">
        <f t="shared" si="717"/>
        <v>0.28875953468087184</v>
      </c>
      <c r="DJ102" s="288">
        <f t="shared" si="717"/>
        <v>0.22334709826384264</v>
      </c>
      <c r="DK102" s="288">
        <f t="shared" si="717"/>
        <v>0.33735269936969031</v>
      </c>
      <c r="DL102" s="288">
        <f t="shared" si="717"/>
        <v>0.75</v>
      </c>
      <c r="DM102" s="288">
        <f t="shared" si="717"/>
        <v>0.75</v>
      </c>
      <c r="DN102" s="288">
        <f t="shared" si="717"/>
        <v>0.75</v>
      </c>
      <c r="DP102" s="240">
        <f t="shared" ref="DP102:FC102" si="718">+DP71/DP65</f>
        <v>0.17023675310033823</v>
      </c>
      <c r="DQ102" s="240">
        <f t="shared" si="718"/>
        <v>0.17735042735042736</v>
      </c>
      <c r="DR102" s="240">
        <f t="shared" si="718"/>
        <v>0.17385715433437776</v>
      </c>
      <c r="DS102" s="240">
        <f t="shared" si="718"/>
        <v>0.16556387697229696</v>
      </c>
      <c r="DT102" s="240">
        <f t="shared" si="718"/>
        <v>0.16933088131277407</v>
      </c>
      <c r="DU102" s="240">
        <f t="shared" si="718"/>
        <v>0.17840345748061523</v>
      </c>
      <c r="DV102" s="240">
        <f t="shared" si="718"/>
        <v>0.18633902982698228</v>
      </c>
      <c r="DW102" s="240">
        <f t="shared" si="718"/>
        <v>0.19902867715078632</v>
      </c>
      <c r="DX102" s="240">
        <f t="shared" si="718"/>
        <v>0.20425118211144991</v>
      </c>
      <c r="DY102" s="240">
        <f t="shared" si="718"/>
        <v>0.21325611869636893</v>
      </c>
      <c r="DZ102" s="240">
        <f t="shared" si="718"/>
        <v>0.2157183939427032</v>
      </c>
      <c r="EA102" s="240">
        <f t="shared" si="718"/>
        <v>0.22227941933491197</v>
      </c>
      <c r="EB102" s="240">
        <f t="shared" si="718"/>
        <v>0.23891043509877591</v>
      </c>
      <c r="EC102" s="240">
        <f t="shared" si="718"/>
        <v>0.2788233604880811</v>
      </c>
      <c r="ED102" s="240">
        <f t="shared" si="718"/>
        <v>0.26848324340145496</v>
      </c>
      <c r="EE102" s="240">
        <f t="shared" si="718"/>
        <v>0.28330943325643743</v>
      </c>
      <c r="EF102" s="240">
        <f t="shared" si="718"/>
        <v>0.24960604468867428</v>
      </c>
      <c r="EG102" s="240">
        <f t="shared" si="718"/>
        <v>0.26018303203060533</v>
      </c>
      <c r="EH102" s="240">
        <f t="shared" si="718"/>
        <v>0.24900564694328506</v>
      </c>
      <c r="EI102" s="240">
        <f t="shared" si="718"/>
        <v>0.25364330870472335</v>
      </c>
      <c r="EJ102" s="240">
        <f t="shared" si="718"/>
        <v>0.27103090618285214</v>
      </c>
      <c r="EK102" s="240">
        <f t="shared" si="718"/>
        <v>0.26678057114962167</v>
      </c>
      <c r="EL102" s="240">
        <f t="shared" si="718"/>
        <v>0.30004613255420576</v>
      </c>
      <c r="EM102" s="240">
        <f t="shared" si="718"/>
        <v>0.2591258653519713</v>
      </c>
      <c r="EN102" s="240">
        <f t="shared" si="718"/>
        <v>0.27109041956472962</v>
      </c>
      <c r="EO102" s="240">
        <f t="shared" si="718"/>
        <v>0.32013152609541112</v>
      </c>
      <c r="EP102" s="240">
        <f t="shared" si="718"/>
        <v>0.65056362637391885</v>
      </c>
      <c r="EQ102" s="240">
        <f t="shared" si="718"/>
        <v>0.6474195947041802</v>
      </c>
      <c r="ER102" s="240">
        <f t="shared" si="718"/>
        <v>0.69</v>
      </c>
      <c r="ES102" s="240">
        <f t="shared" si="718"/>
        <v>0.28601022296858336</v>
      </c>
      <c r="ET102" s="240">
        <f t="shared" si="718"/>
        <v>0.28331525646806488</v>
      </c>
      <c r="EU102" s="240">
        <f t="shared" si="718"/>
        <v>0.24115467512653477</v>
      </c>
      <c r="EV102" s="240">
        <f t="shared" si="718"/>
        <v>0.27865476278941392</v>
      </c>
      <c r="EW102" s="240">
        <f t="shared" si="718"/>
        <v>0.29248319755066948</v>
      </c>
      <c r="EX102" s="240">
        <f t="shared" si="718"/>
        <v>0.39923353190182764</v>
      </c>
      <c r="EY102" s="240">
        <f t="shared" si="718"/>
        <v>0.40022083887154902</v>
      </c>
      <c r="EZ102" s="240">
        <f t="shared" si="718"/>
        <v>0.39493018199186375</v>
      </c>
      <c r="FA102" s="240">
        <f t="shared" si="718"/>
        <v>0.39251289111185339</v>
      </c>
      <c r="FB102" s="240">
        <f t="shared" si="718"/>
        <v>0.39302569527463072</v>
      </c>
      <c r="FC102" s="240">
        <f t="shared" si="718"/>
        <v>0.39421551698290697</v>
      </c>
    </row>
    <row r="103" spans="1:179" ht="12.75" customHeight="1" x14ac:dyDescent="0.25">
      <c r="B103" t="s">
        <v>352</v>
      </c>
      <c r="C103" s="240">
        <f t="shared" ref="C103:AD103" si="719">+(C74)/C$65</f>
        <v>0.22782152230971128</v>
      </c>
      <c r="D103" s="240">
        <f t="shared" si="719"/>
        <v>0.2270972270972271</v>
      </c>
      <c r="E103" s="240">
        <f t="shared" si="719"/>
        <v>0.21428571428571427</v>
      </c>
      <c r="F103" s="240">
        <f t="shared" si="719"/>
        <v>0.13907637655417407</v>
      </c>
      <c r="G103" s="240">
        <f t="shared" si="719"/>
        <v>0.24796818260418468</v>
      </c>
      <c r="H103" s="240">
        <f t="shared" si="719"/>
        <v>0.23707418295002594</v>
      </c>
      <c r="I103" s="240">
        <f t="shared" si="719"/>
        <v>0.23008385744234802</v>
      </c>
      <c r="J103" s="240">
        <f t="shared" si="719"/>
        <v>0.14512329197424217</v>
      </c>
      <c r="K103" s="240">
        <f t="shared" si="719"/>
        <v>0.24178969569147332</v>
      </c>
      <c r="L103" s="240">
        <f t="shared" si="719"/>
        <v>0.23548292967610154</v>
      </c>
      <c r="M103" s="240">
        <f t="shared" si="719"/>
        <v>0.2238850200029634</v>
      </c>
      <c r="N103" s="240">
        <f t="shared" si="719"/>
        <v>0.14119528864330377</v>
      </c>
      <c r="O103" s="240">
        <f t="shared" si="719"/>
        <v>0.2585052602814592</v>
      </c>
      <c r="P103" s="240">
        <f t="shared" si="719"/>
        <v>0.24853489611081514</v>
      </c>
      <c r="Q103" s="240">
        <f t="shared" si="719"/>
        <v>0.24236535258189895</v>
      </c>
      <c r="R103" s="240">
        <f t="shared" si="719"/>
        <v>0.16488463702870004</v>
      </c>
      <c r="S103" s="240">
        <f t="shared" si="719"/>
        <v>0.27467590809908871</v>
      </c>
      <c r="T103" s="240">
        <f t="shared" si="719"/>
        <v>0.2552145768400863</v>
      </c>
      <c r="U103" s="240">
        <f t="shared" si="719"/>
        <v>0.25588735129885892</v>
      </c>
      <c r="V103" s="240">
        <f t="shared" si="719"/>
        <v>0.18433892657384268</v>
      </c>
      <c r="W103" s="240">
        <f t="shared" si="719"/>
        <v>0.29978268328948876</v>
      </c>
      <c r="X103" s="240">
        <f t="shared" si="719"/>
        <v>0.30111319299019068</v>
      </c>
      <c r="Y103" s="240">
        <f t="shared" si="719"/>
        <v>0.2635752836215442</v>
      </c>
      <c r="Z103" s="240">
        <f t="shared" si="719"/>
        <v>0.19663937041369775</v>
      </c>
      <c r="AA103" s="240">
        <f t="shared" si="719"/>
        <v>0.30014253716147427</v>
      </c>
      <c r="AB103" s="240">
        <f t="shared" si="719"/>
        <v>0.28610143244289588</v>
      </c>
      <c r="AC103" s="240">
        <f t="shared" si="719"/>
        <v>0.28199732159938778</v>
      </c>
      <c r="AD103" s="240">
        <f t="shared" si="719"/>
        <v>0.22030028975327071</v>
      </c>
      <c r="AE103" s="288">
        <f t="shared" ref="AE103:BV103" si="720">AE74/AE65</f>
        <v>0.32785380507343126</v>
      </c>
      <c r="AF103" s="288">
        <f t="shared" si="720"/>
        <v>0.32315842583249244</v>
      </c>
      <c r="AG103" s="288">
        <f t="shared" si="720"/>
        <v>0.28494763264952827</v>
      </c>
      <c r="AH103" s="288">
        <f t="shared" si="720"/>
        <v>0.20585006273525722</v>
      </c>
      <c r="AI103" s="288">
        <f t="shared" si="720"/>
        <v>0.30603179551122195</v>
      </c>
      <c r="AJ103" s="288">
        <f t="shared" si="720"/>
        <v>0.2931358721203573</v>
      </c>
      <c r="AK103" s="288">
        <f t="shared" si="720"/>
        <v>0.27782290820471162</v>
      </c>
      <c r="AL103" s="288">
        <f t="shared" si="720"/>
        <v>0.19920697858842187</v>
      </c>
      <c r="AM103" s="288">
        <f t="shared" si="720"/>
        <v>0.35806650246305421</v>
      </c>
      <c r="AN103" s="288">
        <f t="shared" si="720"/>
        <v>0.28848312504677093</v>
      </c>
      <c r="AO103" s="288">
        <f t="shared" si="720"/>
        <v>0.28418755174230453</v>
      </c>
      <c r="AP103" s="288">
        <f t="shared" si="720"/>
        <v>0.22131267358573309</v>
      </c>
      <c r="AQ103" s="288">
        <f t="shared" si="720"/>
        <v>0.29886657387154503</v>
      </c>
      <c r="AR103" s="288">
        <f t="shared" si="720"/>
        <v>0.26693963809272225</v>
      </c>
      <c r="AS103" s="288">
        <f t="shared" si="720"/>
        <v>0.27014060105284199</v>
      </c>
      <c r="AT103" s="288">
        <f t="shared" si="720"/>
        <v>0.20110296421633139</v>
      </c>
      <c r="AU103" s="288">
        <f t="shared" si="720"/>
        <v>0.29313325923181427</v>
      </c>
      <c r="AV103" s="288">
        <f t="shared" si="720"/>
        <v>0.26838905775075989</v>
      </c>
      <c r="AW103" s="288">
        <f t="shared" si="720"/>
        <v>0.26945543621631807</v>
      </c>
      <c r="AX103" s="288">
        <f t="shared" si="720"/>
        <v>0.21597944934791199</v>
      </c>
      <c r="AY103" s="288">
        <f t="shared" si="720"/>
        <v>0.30899773725542395</v>
      </c>
      <c r="AZ103" s="288">
        <f t="shared" si="720"/>
        <v>0.27974276527331188</v>
      </c>
      <c r="BA103" s="288">
        <f t="shared" si="720"/>
        <v>0.28148000795703204</v>
      </c>
      <c r="BB103" s="288">
        <f t="shared" si="720"/>
        <v>0.22898918494350795</v>
      </c>
      <c r="BC103" s="288">
        <f t="shared" si="720"/>
        <v>0.30599449811272472</v>
      </c>
      <c r="BD103" s="288">
        <f t="shared" si="720"/>
        <v>0.2780557541100786</v>
      </c>
      <c r="BE103" s="288">
        <f t="shared" si="720"/>
        <v>0.2816045921772794</v>
      </c>
      <c r="BF103" s="288">
        <f t="shared" si="720"/>
        <v>0.22059575556123753</v>
      </c>
      <c r="BG103" s="288">
        <f t="shared" si="720"/>
        <v>0.31256630908876576</v>
      </c>
      <c r="BH103" s="288">
        <f t="shared" si="720"/>
        <v>0.24167018135807677</v>
      </c>
      <c r="BI103" s="288">
        <f t="shared" si="720"/>
        <v>0.25685723211496408</v>
      </c>
      <c r="BJ103" s="288">
        <f t="shared" si="720"/>
        <v>0.33064130492534932</v>
      </c>
      <c r="BK103" s="288">
        <f t="shared" si="720"/>
        <v>0.31259681516822602</v>
      </c>
      <c r="BL103" s="288">
        <f t="shared" si="720"/>
        <v>0.27805846264886325</v>
      </c>
      <c r="BM103" s="288">
        <f t="shared" si="720"/>
        <v>0.25670408934907801</v>
      </c>
      <c r="BN103" s="288">
        <f t="shared" si="720"/>
        <v>0.19043336518464393</v>
      </c>
      <c r="BO103" s="288">
        <f t="shared" si="720"/>
        <v>0.24891725552769547</v>
      </c>
      <c r="BP103" s="288">
        <f t="shared" si="720"/>
        <v>0.3026822059889589</v>
      </c>
      <c r="BQ103" s="288">
        <f t="shared" si="720"/>
        <v>0.27751006292873748</v>
      </c>
      <c r="BR103" s="288">
        <f t="shared" si="720"/>
        <v>0.21706140588585984</v>
      </c>
      <c r="BS103" s="288">
        <f t="shared" si="720"/>
        <v>0.31384818047093693</v>
      </c>
      <c r="BT103" s="288">
        <f t="shared" si="720"/>
        <v>0.3021287509617851</v>
      </c>
      <c r="BU103" s="288">
        <f t="shared" si="720"/>
        <v>0.2959332864027725</v>
      </c>
      <c r="BV103" s="288">
        <f t="shared" si="720"/>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FC103" si="721">+(DP74)/DP$65</f>
        <v>0.15517064671517886</v>
      </c>
      <c r="DQ103" s="240">
        <f t="shared" si="721"/>
        <v>0.15375712250712251</v>
      </c>
      <c r="DR103" s="240">
        <f t="shared" si="721"/>
        <v>0.16373423314854985</v>
      </c>
      <c r="DS103" s="240">
        <f t="shared" si="721"/>
        <v>0.16047407838289829</v>
      </c>
      <c r="DT103" s="240">
        <f t="shared" si="721"/>
        <v>0.16494553685103974</v>
      </c>
      <c r="DU103" s="240">
        <f t="shared" si="721"/>
        <v>0.17039532223210882</v>
      </c>
      <c r="DV103" s="240">
        <f t="shared" si="721"/>
        <v>0.17604288292113363</v>
      </c>
      <c r="DW103" s="240">
        <f t="shared" si="721"/>
        <v>0.18654024051803886</v>
      </c>
      <c r="DX103" s="240">
        <f t="shared" si="721"/>
        <v>0.20221839232842811</v>
      </c>
      <c r="DY103" s="240">
        <f t="shared" si="721"/>
        <v>0.21329838948302829</v>
      </c>
      <c r="DZ103" s="240">
        <f t="shared" si="721"/>
        <v>0.20942084379891521</v>
      </c>
      <c r="EA103" s="240">
        <f t="shared" si="721"/>
        <v>0.22797625175881123</v>
      </c>
      <c r="EB103" s="240">
        <f t="shared" si="721"/>
        <v>0.2424857593019028</v>
      </c>
      <c r="EC103" s="240">
        <f t="shared" si="721"/>
        <v>0.27345923672311639</v>
      </c>
      <c r="ED103" s="240">
        <f t="shared" si="721"/>
        <v>0.27686272288235214</v>
      </c>
      <c r="EE103" s="240">
        <f t="shared" si="721"/>
        <v>0.28316395452750587</v>
      </c>
      <c r="EF103" s="240">
        <f t="shared" si="721"/>
        <v>0.26267727989009659</v>
      </c>
      <c r="EG103" s="240">
        <f t="shared" si="721"/>
        <v>0.28713149801215215</v>
      </c>
      <c r="EH103" s="240">
        <f t="shared" si="721"/>
        <v>0.25723872657336933</v>
      </c>
      <c r="EI103" s="240">
        <f t="shared" si="721"/>
        <v>0.26245940985458138</v>
      </c>
      <c r="EJ103" s="240">
        <f t="shared" si="721"/>
        <v>0.27107129586248124</v>
      </c>
      <c r="EK103" s="240">
        <f t="shared" si="721"/>
        <v>0.26915629322268325</v>
      </c>
      <c r="EL103" s="240">
        <f t="shared" si="721"/>
        <v>0.30213747501153315</v>
      </c>
      <c r="EM103" s="240">
        <f t="shared" si="721"/>
        <v>0.25310345845572496</v>
      </c>
      <c r="EN103" s="240">
        <f t="shared" si="721"/>
        <v>0.25853993717747364</v>
      </c>
      <c r="EO103" s="240">
        <f t="shared" si="721"/>
        <v>0.32013152609541112</v>
      </c>
      <c r="EP103" s="240">
        <f t="shared" si="721"/>
        <v>0.65056362637391885</v>
      </c>
      <c r="EQ103" s="240">
        <f t="shared" si="721"/>
        <v>0.6474195947041802</v>
      </c>
      <c r="ER103" s="240">
        <f t="shared" si="721"/>
        <v>0.69</v>
      </c>
      <c r="ES103" s="240">
        <f t="shared" si="721"/>
        <v>0.28195290570108233</v>
      </c>
      <c r="ET103" s="240">
        <f t="shared" si="721"/>
        <v>0.28125571249253567</v>
      </c>
      <c r="EU103" s="240">
        <f t="shared" si="721"/>
        <v>0.23875717433947644</v>
      </c>
      <c r="EV103" s="240">
        <f t="shared" si="721"/>
        <v>0.28938736080000849</v>
      </c>
      <c r="EW103" s="240">
        <f t="shared" si="721"/>
        <v>0.30362890964948153</v>
      </c>
      <c r="EX103" s="240">
        <f t="shared" si="721"/>
        <v>0.39923353190182764</v>
      </c>
      <c r="EY103" s="240">
        <f t="shared" si="721"/>
        <v>0.40022083887154902</v>
      </c>
      <c r="EZ103" s="240">
        <f t="shared" si="721"/>
        <v>0.397716381109678</v>
      </c>
      <c r="FA103" s="240">
        <f t="shared" si="721"/>
        <v>0.39867961342854241</v>
      </c>
      <c r="FB103" s="240">
        <f t="shared" si="721"/>
        <v>0.40205725416236598</v>
      </c>
      <c r="FC103" s="240">
        <f t="shared" si="721"/>
        <v>0.4058748369137099</v>
      </c>
    </row>
    <row r="104" spans="1:179" ht="12.75" customHeight="1" x14ac:dyDescent="0.25">
      <c r="B104" t="s">
        <v>353</v>
      </c>
      <c r="C104" s="240">
        <f t="shared" ref="C104:AD104" si="722">+C75/C74</f>
        <v>0.30184331797235026</v>
      </c>
      <c r="D104" s="240">
        <f t="shared" si="722"/>
        <v>0.2975270479134467</v>
      </c>
      <c r="E104" s="240">
        <f t="shared" si="722"/>
        <v>0.2857142857142857</v>
      </c>
      <c r="F104" s="240">
        <f t="shared" si="722"/>
        <v>0.19540229885057472</v>
      </c>
      <c r="G104" s="240">
        <f t="shared" si="722"/>
        <v>0.29567642956764295</v>
      </c>
      <c r="H104" s="240">
        <f t="shared" si="722"/>
        <v>0.26695842450765866</v>
      </c>
      <c r="I104" s="240">
        <f t="shared" si="722"/>
        <v>0.27031131359149585</v>
      </c>
      <c r="J104" s="240">
        <f t="shared" si="722"/>
        <v>0.25</v>
      </c>
      <c r="K104" s="240">
        <f t="shared" si="722"/>
        <v>0.297196261682243</v>
      </c>
      <c r="L104" s="240">
        <f t="shared" si="722"/>
        <v>0.28438661710037177</v>
      </c>
      <c r="M104" s="240">
        <f t="shared" si="722"/>
        <v>0.27266710787557907</v>
      </c>
      <c r="N104" s="240">
        <f t="shared" si="722"/>
        <v>0.22348094747682801</v>
      </c>
      <c r="O104" s="240">
        <f t="shared" si="722"/>
        <v>0.30549682875264272</v>
      </c>
      <c r="P104" s="240">
        <f t="shared" si="722"/>
        <v>0.28670953912111469</v>
      </c>
      <c r="Q104" s="240">
        <f t="shared" si="722"/>
        <v>0.27605956471935855</v>
      </c>
      <c r="R104" s="240">
        <f t="shared" si="722"/>
        <v>0.19368600682593856</v>
      </c>
      <c r="S104" s="240">
        <f t="shared" si="722"/>
        <v>0.29906542056074764</v>
      </c>
      <c r="T104" s="240">
        <f t="shared" si="722"/>
        <v>0.30389854391733206</v>
      </c>
      <c r="U104" s="240">
        <f t="shared" si="722"/>
        <v>0.27466793168880455</v>
      </c>
      <c r="V104" s="240">
        <f t="shared" si="722"/>
        <v>0.21885087153001936</v>
      </c>
      <c r="W104" s="240">
        <f t="shared" si="722"/>
        <v>0.30026707363601679</v>
      </c>
      <c r="X104" s="240">
        <f t="shared" si="722"/>
        <v>0.28330893118594436</v>
      </c>
      <c r="Y104" s="240">
        <f t="shared" si="722"/>
        <v>0.27914751358127871</v>
      </c>
      <c r="Z104" s="240">
        <f t="shared" si="722"/>
        <v>0.25148729042725798</v>
      </c>
      <c r="AA104" s="240">
        <f t="shared" si="722"/>
        <v>0.29138398914518315</v>
      </c>
      <c r="AB104" s="240">
        <f t="shared" si="722"/>
        <v>0.2861975642760487</v>
      </c>
      <c r="AC104" s="240">
        <f t="shared" si="722"/>
        <v>0.2974898236092266</v>
      </c>
      <c r="AD104" s="240">
        <f t="shared" si="722"/>
        <v>0.21084097249900358</v>
      </c>
      <c r="AE104" s="288">
        <f t="shared" ref="AE104:BV104" si="723">AE75/AE74</f>
        <v>0.25731738355815731</v>
      </c>
      <c r="AF104" s="288">
        <f t="shared" si="723"/>
        <v>0.25422846734322146</v>
      </c>
      <c r="AG104" s="288">
        <f t="shared" si="723"/>
        <v>0.28341433778857839</v>
      </c>
      <c r="AH104" s="288">
        <f t="shared" si="723"/>
        <v>0.2358095238095238</v>
      </c>
      <c r="AI104" s="288">
        <f t="shared" si="723"/>
        <v>0.27705627705627706</v>
      </c>
      <c r="AJ104" s="288">
        <f t="shared" si="723"/>
        <v>0.19406575781876503</v>
      </c>
      <c r="AK104" s="288">
        <f t="shared" si="723"/>
        <v>0.25789473684210529</v>
      </c>
      <c r="AL104" s="288">
        <f t="shared" si="723"/>
        <v>0.16361464968152867</v>
      </c>
      <c r="AM104" s="288">
        <f t="shared" si="723"/>
        <v>0.28159931212381772</v>
      </c>
      <c r="AN104" s="288">
        <f t="shared" si="723"/>
        <v>0.20311284046692607</v>
      </c>
      <c r="AO104" s="288">
        <f t="shared" si="723"/>
        <v>0.23861228813559321</v>
      </c>
      <c r="AP104" s="288">
        <f t="shared" si="723"/>
        <v>0.21235138705416115</v>
      </c>
      <c r="AQ104" s="288">
        <f t="shared" si="723"/>
        <v>0.23929917941893991</v>
      </c>
      <c r="AR104" s="288">
        <f t="shared" si="723"/>
        <v>0.23503216229589313</v>
      </c>
      <c r="AS104" s="288">
        <f t="shared" si="723"/>
        <v>0.23300000000000001</v>
      </c>
      <c r="AT104" s="288">
        <f t="shared" si="723"/>
        <v>0.153</v>
      </c>
      <c r="AU104" s="288">
        <f t="shared" si="723"/>
        <v>0.24204760901622077</v>
      </c>
      <c r="AV104" s="288">
        <f t="shared" si="723"/>
        <v>0.23737259343148359</v>
      </c>
      <c r="AW104" s="288">
        <f t="shared" si="723"/>
        <v>0.22843822843822845</v>
      </c>
      <c r="AX104" s="288">
        <f t="shared" si="723"/>
        <v>0.19914608112229337</v>
      </c>
      <c r="AY104" s="288">
        <f t="shared" si="723"/>
        <v>0.24466939478785268</v>
      </c>
      <c r="AZ104" s="288">
        <f t="shared" si="723"/>
        <v>0.24747830166549378</v>
      </c>
      <c r="BA104" s="288">
        <f t="shared" si="723"/>
        <v>0.21201413427561838</v>
      </c>
      <c r="BB104" s="288">
        <f t="shared" si="723"/>
        <v>0.23905013192612137</v>
      </c>
      <c r="BC104" s="288">
        <f t="shared" si="723"/>
        <v>0.24398912816224128</v>
      </c>
      <c r="BD104" s="288">
        <f t="shared" si="723"/>
        <v>0.195840149567656</v>
      </c>
      <c r="BE104" s="288">
        <f t="shared" si="723"/>
        <v>0.19009243896657976</v>
      </c>
      <c r="BF104" s="288">
        <f t="shared" si="723"/>
        <v>0.17009562445667922</v>
      </c>
      <c r="BG104" s="288">
        <f t="shared" si="723"/>
        <v>0.19498397133697906</v>
      </c>
      <c r="BH104" s="288">
        <f t="shared" si="723"/>
        <v>0.16105709299426577</v>
      </c>
      <c r="BI104" s="288">
        <f t="shared" si="723"/>
        <v>0.22111408416443687</v>
      </c>
      <c r="BJ104" s="288">
        <f t="shared" si="723"/>
        <v>8.4846537040012854E-2</v>
      </c>
      <c r="BK104" s="288">
        <f t="shared" si="723"/>
        <v>0.22497522299306244</v>
      </c>
      <c r="BL104" s="288">
        <f t="shared" si="723"/>
        <v>0.21674237508111616</v>
      </c>
      <c r="BM104" s="288">
        <f t="shared" si="723"/>
        <v>0.21889870836165873</v>
      </c>
      <c r="BN104" s="288">
        <f t="shared" si="723"/>
        <v>0.15731995277449823</v>
      </c>
      <c r="BO104" s="288">
        <f t="shared" si="723"/>
        <v>0.1749084249084249</v>
      </c>
      <c r="BP104" s="288">
        <f t="shared" si="723"/>
        <v>0.19952100221075902</v>
      </c>
      <c r="BQ104" s="288">
        <f t="shared" si="723"/>
        <v>0.18631256384065373</v>
      </c>
      <c r="BR104" s="288">
        <f t="shared" si="723"/>
        <v>8.8999999999999996E-2</v>
      </c>
      <c r="BS104" s="288">
        <f t="shared" si="723"/>
        <v>0.12189576775096188</v>
      </c>
      <c r="BT104" s="288">
        <f t="shared" si="723"/>
        <v>0.22071307300509338</v>
      </c>
      <c r="BU104" s="288">
        <f t="shared" si="723"/>
        <v>0.37712717291857273</v>
      </c>
      <c r="BV104" s="288">
        <f t="shared" si="723"/>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P104" s="240">
        <f t="shared" ref="DP104:EF104" si="724">+DP75/DP74</f>
        <v>0.28533685601056802</v>
      </c>
      <c r="DQ104" s="240">
        <f t="shared" si="724"/>
        <v>0.27793862188766649</v>
      </c>
      <c r="DR104" s="240">
        <f t="shared" si="724"/>
        <v>0.2831207065750736</v>
      </c>
      <c r="DS104" s="240">
        <f t="shared" si="724"/>
        <v>0.26370638876302671</v>
      </c>
      <c r="DT104" s="240">
        <f t="shared" si="724"/>
        <v>0.233704974271012</v>
      </c>
      <c r="DU104" s="240">
        <f t="shared" si="724"/>
        <v>0.2517717269675494</v>
      </c>
      <c r="DV104" s="240">
        <f t="shared" si="724"/>
        <v>0.27555019596020502</v>
      </c>
      <c r="DW104" s="240">
        <f t="shared" si="724"/>
        <v>0.28415571534837591</v>
      </c>
      <c r="DX104" s="240">
        <f t="shared" si="724"/>
        <v>0.27819055944055943</v>
      </c>
      <c r="DY104" s="240">
        <f t="shared" si="724"/>
        <v>0.23979389615537058</v>
      </c>
      <c r="DZ104" s="240">
        <f t="shared" si="724"/>
        <v>0.27568225273770208</v>
      </c>
      <c r="EA104" s="240">
        <f t="shared" si="724"/>
        <v>0.2742736715339455</v>
      </c>
      <c r="EB104" s="240">
        <f t="shared" si="724"/>
        <v>0.27864550793452453</v>
      </c>
      <c r="EC104" s="240">
        <f t="shared" si="724"/>
        <v>0.25</v>
      </c>
      <c r="ED104" s="240">
        <f t="shared" si="724"/>
        <v>0.26523095810527392</v>
      </c>
      <c r="EE104" s="240">
        <f t="shared" si="724"/>
        <v>0.31772477064220184</v>
      </c>
      <c r="EF104" s="240">
        <f t="shared" si="724"/>
        <v>0.24957698815566837</v>
      </c>
      <c r="EG104" s="240">
        <f t="shared" ref="EG104:EL104" si="725">EG75/EG74</f>
        <v>0.27287571027365948</v>
      </c>
      <c r="EH104" s="240">
        <f t="shared" si="725"/>
        <v>0.22044788750318148</v>
      </c>
      <c r="EI104" s="240">
        <f t="shared" si="725"/>
        <v>0.22891638276253662</v>
      </c>
      <c r="EJ104" s="240">
        <f t="shared" si="725"/>
        <v>0</v>
      </c>
      <c r="EK104" s="240">
        <f t="shared" si="725"/>
        <v>0.20518711081554925</v>
      </c>
      <c r="EL104" s="240">
        <f t="shared" si="725"/>
        <v>0.15864210097719869</v>
      </c>
      <c r="EM104" s="240">
        <f t="shared" ref="EM104:EO104" si="726">EL104+1%</f>
        <v>0.1686421009771987</v>
      </c>
      <c r="EN104" s="240">
        <f t="shared" si="726"/>
        <v>0.17864210097719871</v>
      </c>
      <c r="EO104" s="240">
        <f t="shared" si="726"/>
        <v>0.18864210097719872</v>
      </c>
      <c r="EP104" s="240">
        <f t="shared" ref="EP104:FC104" si="727">+EP75/EP74</f>
        <v>0</v>
      </c>
      <c r="EQ104" s="240">
        <f t="shared" si="727"/>
        <v>0</v>
      </c>
      <c r="ER104" s="240">
        <f t="shared" si="727"/>
        <v>0</v>
      </c>
      <c r="ES104" s="240">
        <f t="shared" si="727"/>
        <v>0.13420572124163116</v>
      </c>
      <c r="ET104" s="240">
        <f t="shared" si="727"/>
        <v>0.16083885783612809</v>
      </c>
      <c r="EU104" s="240">
        <f t="shared" si="727"/>
        <v>9.5040064915305811E-2</v>
      </c>
      <c r="EV104" s="240">
        <f t="shared" si="727"/>
        <v>9.7762289068231839E-2</v>
      </c>
      <c r="EW104" s="240">
        <f t="shared" si="727"/>
        <v>0.15664065197872781</v>
      </c>
      <c r="EX104" s="240">
        <f t="shared" si="727"/>
        <v>0.25</v>
      </c>
      <c r="EY104" s="240">
        <f t="shared" si="727"/>
        <v>0.25</v>
      </c>
      <c r="EZ104" s="240">
        <f t="shared" si="727"/>
        <v>0.25</v>
      </c>
      <c r="FA104" s="240">
        <f t="shared" si="727"/>
        <v>0.25</v>
      </c>
      <c r="FB104" s="240">
        <f t="shared" si="727"/>
        <v>0.25</v>
      </c>
      <c r="FC104" s="240">
        <f t="shared" si="727"/>
        <v>0.25</v>
      </c>
    </row>
    <row r="105" spans="1:179" ht="12.75" customHeight="1" x14ac:dyDescent="0.25">
      <c r="B105" s="299" t="s">
        <v>354</v>
      </c>
      <c r="C105" s="242">
        <f t="shared" ref="C105:AH105" si="728">C76/C65</f>
        <v>0.15905511811023623</v>
      </c>
      <c r="D105" s="242">
        <f t="shared" si="728"/>
        <v>0.15952965952965953</v>
      </c>
      <c r="E105" s="242">
        <f t="shared" si="728"/>
        <v>0.15306122448979592</v>
      </c>
      <c r="F105" s="242">
        <f t="shared" si="728"/>
        <v>0.11190053285968028</v>
      </c>
      <c r="G105" s="242">
        <f t="shared" si="728"/>
        <v>0.17464983572540205</v>
      </c>
      <c r="H105" s="242">
        <f t="shared" si="728"/>
        <v>0.17378523257824657</v>
      </c>
      <c r="I105" s="242">
        <f t="shared" si="728"/>
        <v>0.16788958770090845</v>
      </c>
      <c r="J105" s="242">
        <f t="shared" si="728"/>
        <v>0.10884246898068164</v>
      </c>
      <c r="K105" s="242">
        <f t="shared" si="728"/>
        <v>0.16993070201868032</v>
      </c>
      <c r="L105" s="242">
        <f t="shared" si="728"/>
        <v>0.16851473592063029</v>
      </c>
      <c r="M105" s="242">
        <f t="shared" si="728"/>
        <v>0.16283893910208919</v>
      </c>
      <c r="N105" s="242">
        <f t="shared" si="728"/>
        <v>0.10964083175803403</v>
      </c>
      <c r="O105" s="242">
        <f t="shared" si="728"/>
        <v>0.17953272304959694</v>
      </c>
      <c r="P105" s="242">
        <f t="shared" si="728"/>
        <v>0.1772775705913692</v>
      </c>
      <c r="Q105" s="242">
        <f t="shared" si="728"/>
        <v>0.17545807884508607</v>
      </c>
      <c r="R105" s="242">
        <f t="shared" si="728"/>
        <v>0.13294879009566685</v>
      </c>
      <c r="S105" s="242">
        <f t="shared" si="728"/>
        <v>0.19252984212552945</v>
      </c>
      <c r="T105" s="242">
        <f t="shared" si="728"/>
        <v>0.17765523855190601</v>
      </c>
      <c r="U105" s="242">
        <f t="shared" si="728"/>
        <v>0.18560330177227483</v>
      </c>
      <c r="V105" s="242">
        <f t="shared" si="728"/>
        <v>0.14399619183624895</v>
      </c>
      <c r="W105" s="242">
        <f t="shared" si="728"/>
        <v>0.20976781425140112</v>
      </c>
      <c r="X105" s="242">
        <f t="shared" si="728"/>
        <v>0.21580513611815277</v>
      </c>
      <c r="Y105" s="242">
        <f t="shared" si="728"/>
        <v>0.1899988985571098</v>
      </c>
      <c r="Z105" s="242">
        <f t="shared" si="728"/>
        <v>0.14718706795703498</v>
      </c>
      <c r="AA105" s="242">
        <f t="shared" si="728"/>
        <v>0.21268580737120749</v>
      </c>
      <c r="AB105" s="242">
        <f t="shared" si="728"/>
        <v>0.20421989934185056</v>
      </c>
      <c r="AC105" s="242">
        <f t="shared" si="728"/>
        <v>0.19810598813851157</v>
      </c>
      <c r="AD105" s="242">
        <f t="shared" si="728"/>
        <v>0.17385196241987882</v>
      </c>
      <c r="AE105" s="242">
        <f t="shared" si="728"/>
        <v>0.2434913217623498</v>
      </c>
      <c r="AF105" s="242">
        <f t="shared" si="728"/>
        <v>0.24100235452404978</v>
      </c>
      <c r="AG105" s="242">
        <f t="shared" si="728"/>
        <v>0.20418938803773912</v>
      </c>
      <c r="AH105" s="242">
        <f t="shared" si="728"/>
        <v>0.1573086574654956</v>
      </c>
      <c r="AI105" s="242">
        <f t="shared" ref="AI105:BN105" si="729">AI76/AI65</f>
        <v>0.22124376558603492</v>
      </c>
      <c r="AJ105" s="242">
        <f t="shared" si="729"/>
        <v>0.23624823695345556</v>
      </c>
      <c r="AK105" s="242">
        <f t="shared" si="729"/>
        <v>0.20617384240454914</v>
      </c>
      <c r="AL105" s="242">
        <f t="shared" si="729"/>
        <v>0.16661379857256145</v>
      </c>
      <c r="AM105" s="242">
        <f t="shared" si="729"/>
        <v>0.25723522167487683</v>
      </c>
      <c r="AN105" s="242">
        <f t="shared" si="729"/>
        <v>0.22988849809174586</v>
      </c>
      <c r="AO105" s="242">
        <f t="shared" si="729"/>
        <v>0.21637690976142093</v>
      </c>
      <c r="AP105" s="242">
        <f t="shared" si="729"/>
        <v>0.17431662037713785</v>
      </c>
      <c r="AQ105" s="242">
        <f t="shared" si="729"/>
        <v>0.22734804798833433</v>
      </c>
      <c r="AR105" s="242">
        <f t="shared" si="729"/>
        <v>0.20420023774930657</v>
      </c>
      <c r="AS105" s="242">
        <f t="shared" si="729"/>
        <v>0.2071978410075298</v>
      </c>
      <c r="AT105" s="242">
        <f t="shared" si="729"/>
        <v>0.18123851601178168</v>
      </c>
      <c r="AU105" s="242">
        <f t="shared" si="729"/>
        <v>0.22218105471162158</v>
      </c>
      <c r="AV105" s="242">
        <f t="shared" si="729"/>
        <v>0.2046808510638298</v>
      </c>
      <c r="AW105" s="242">
        <f t="shared" si="729"/>
        <v>0.2079015137240123</v>
      </c>
      <c r="AX105" s="242">
        <f t="shared" si="729"/>
        <v>0.17296798840732447</v>
      </c>
      <c r="AY105" s="242">
        <f t="shared" si="729"/>
        <v>0.23339544789032343</v>
      </c>
      <c r="AZ105" s="242">
        <f t="shared" si="729"/>
        <v>0.21051250082026379</v>
      </c>
      <c r="BA105" s="242">
        <f t="shared" si="729"/>
        <v>0.2218022677541277</v>
      </c>
      <c r="BB105" s="242">
        <f t="shared" si="729"/>
        <v>0.17424929007310735</v>
      </c>
      <c r="BC105" s="242">
        <f t="shared" si="729"/>
        <v>0.23133516729575843</v>
      </c>
      <c r="BD105" s="242">
        <f t="shared" si="729"/>
        <v>0.22360127363701346</v>
      </c>
      <c r="BE105" s="242">
        <f t="shared" si="729"/>
        <v>0.22807368842611134</v>
      </c>
      <c r="BF105" s="242">
        <f t="shared" si="729"/>
        <v>0.18307338276655588</v>
      </c>
      <c r="BG105" s="242">
        <f t="shared" si="729"/>
        <v>0.25162088883649653</v>
      </c>
      <c r="BH105" s="242">
        <f t="shared" si="729"/>
        <v>0.20274748448514793</v>
      </c>
      <c r="BI105" s="242">
        <f t="shared" si="729"/>
        <v>0.20006248047485162</v>
      </c>
      <c r="BJ105" s="242">
        <f t="shared" si="729"/>
        <v>0.3025875352000425</v>
      </c>
      <c r="BK105" s="242">
        <f t="shared" si="729"/>
        <v>0.24227027696883327</v>
      </c>
      <c r="BL105" s="242">
        <f t="shared" si="729"/>
        <v>0.21779141104294478</v>
      </c>
      <c r="BM105" s="242">
        <f t="shared" si="729"/>
        <v>0.200511895759409</v>
      </c>
      <c r="BN105" s="242">
        <f t="shared" si="729"/>
        <v>0.16047439716710696</v>
      </c>
      <c r="BO105" s="242">
        <f t="shared" ref="BO105:BV105" si="730">BO76/BO65</f>
        <v>0.20537953043081833</v>
      </c>
      <c r="BP105" s="242">
        <f t="shared" si="730"/>
        <v>0.24229074889867841</v>
      </c>
      <c r="BQ105" s="242">
        <f t="shared" si="730"/>
        <v>0.22580645161290322</v>
      </c>
      <c r="BR105" s="242">
        <f t="shared" si="730"/>
        <v>0.19774294076201832</v>
      </c>
      <c r="BS105" s="242">
        <f t="shared" si="730"/>
        <v>0.27559141555518962</v>
      </c>
      <c r="BT105" s="242">
        <f t="shared" si="730"/>
        <v>0.23544498589381893</v>
      </c>
      <c r="BU105" s="242">
        <f t="shared" si="730"/>
        <v>0.18432880272919261</v>
      </c>
      <c r="BV105" s="242">
        <f t="shared" si="730"/>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P105" s="242">
        <f t="shared" ref="DP105:FC105" si="731">DP76/DP65</f>
        <v>0.11089474223634314</v>
      </c>
      <c r="DQ105" s="242">
        <f t="shared" si="731"/>
        <v>0.11102207977207977</v>
      </c>
      <c r="DR105" s="242">
        <f t="shared" si="731"/>
        <v>0.11737768136900457</v>
      </c>
      <c r="DS105" s="242">
        <f t="shared" si="731"/>
        <v>0.11815603868246928</v>
      </c>
      <c r="DT105" s="242">
        <f t="shared" si="731"/>
        <v>0.12639694440514923</v>
      </c>
      <c r="DU105" s="242">
        <f t="shared" si="731"/>
        <v>0.1274945976865387</v>
      </c>
      <c r="DV105" s="242">
        <f t="shared" si="731"/>
        <v>0.12753423203481584</v>
      </c>
      <c r="DW105" s="242">
        <f t="shared" si="731"/>
        <v>0.13353376503237743</v>
      </c>
      <c r="DX105" s="242">
        <f t="shared" si="731"/>
        <v>0.14596314463741217</v>
      </c>
      <c r="DY105" s="242">
        <f t="shared" si="731"/>
        <v>0.16215073762522719</v>
      </c>
      <c r="DZ105" s="242">
        <f t="shared" si="731"/>
        <v>0.15168723381019986</v>
      </c>
      <c r="EA105" s="242">
        <f t="shared" si="731"/>
        <v>0.16544836816637495</v>
      </c>
      <c r="EB105" s="242">
        <f t="shared" si="731"/>
        <v>0.17491819173433523</v>
      </c>
      <c r="EC105" s="242">
        <f t="shared" si="731"/>
        <v>0.20509442754233731</v>
      </c>
      <c r="ED105" s="242">
        <f t="shared" si="731"/>
        <v>0.20343015762863093</v>
      </c>
      <c r="EE105" s="242">
        <f t="shared" si="731"/>
        <v>0.19319575202111519</v>
      </c>
      <c r="EF105" s="242">
        <f t="shared" si="731"/>
        <v>0.19711907551820276</v>
      </c>
      <c r="EG105" s="242">
        <f t="shared" si="731"/>
        <v>0.20878028655014627</v>
      </c>
      <c r="EH105" s="242">
        <f t="shared" si="731"/>
        <v>0.20053099271626154</v>
      </c>
      <c r="EI105" s="242">
        <f t="shared" si="731"/>
        <v>0.20237815112868057</v>
      </c>
      <c r="EJ105" s="242">
        <f t="shared" si="731"/>
        <v>0.27107129586248124</v>
      </c>
      <c r="EK105" s="242">
        <f t="shared" si="731"/>
        <v>0.21392889105849808</v>
      </c>
      <c r="EL105" s="242">
        <f t="shared" si="731"/>
        <v>0.25420575119175765</v>
      </c>
      <c r="EM105" s="242">
        <f t="shared" si="731"/>
        <v>0.19943318523329445</v>
      </c>
      <c r="EN105" s="242">
        <f t="shared" si="731"/>
        <v>0.21485240913170295</v>
      </c>
      <c r="EO105" s="242">
        <f t="shared" si="731"/>
        <v>0.25974124242373586</v>
      </c>
      <c r="EP105" s="242">
        <f t="shared" si="731"/>
        <v>0.65056362637391885</v>
      </c>
      <c r="EQ105" s="242">
        <f t="shared" si="731"/>
        <v>0.6474195947041802</v>
      </c>
      <c r="ER105" s="242">
        <f t="shared" si="731"/>
        <v>0.69</v>
      </c>
      <c r="ES105" s="242">
        <f t="shared" si="731"/>
        <v>0.24411321263529498</v>
      </c>
      <c r="ET105" s="242">
        <f t="shared" si="731"/>
        <v>0.23601886493534982</v>
      </c>
      <c r="EU105" s="242">
        <f t="shared" si="731"/>
        <v>0.21606567699125759</v>
      </c>
      <c r="EV105" s="242">
        <f t="shared" si="731"/>
        <v>0.26109618998078538</v>
      </c>
      <c r="EW105" s="242">
        <f t="shared" si="731"/>
        <v>0.2560682792823965</v>
      </c>
      <c r="EX105" s="242">
        <f t="shared" si="731"/>
        <v>0.29942514892637079</v>
      </c>
      <c r="EY105" s="242">
        <f t="shared" si="731"/>
        <v>0.30016562915366174</v>
      </c>
      <c r="EZ105" s="242">
        <f t="shared" si="731"/>
        <v>0.2982872858322585</v>
      </c>
      <c r="FA105" s="242">
        <f t="shared" si="731"/>
        <v>0.29900971007140681</v>
      </c>
      <c r="FB105" s="242">
        <f t="shared" si="731"/>
        <v>0.3015429406217745</v>
      </c>
      <c r="FC105" s="242">
        <f t="shared" si="731"/>
        <v>0.30440612768528241</v>
      </c>
    </row>
    <row r="107" spans="1:179"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32">SUM(AF8:AF50)</f>
        <v>5296</v>
      </c>
      <c r="AG107" s="243">
        <f t="shared" si="732"/>
        <v>4940</v>
      </c>
      <c r="AH107" s="243">
        <f t="shared" si="732"/>
        <v>5242</v>
      </c>
      <c r="AI107" s="243">
        <f t="shared" si="732"/>
        <v>5178</v>
      </c>
      <c r="AJ107" s="243">
        <f t="shared" si="732"/>
        <v>4986</v>
      </c>
      <c r="AK107" s="243">
        <f t="shared" si="732"/>
        <v>4833</v>
      </c>
      <c r="AL107" s="243">
        <f t="shared" si="732"/>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33">SUM(AV3:AV50)</f>
        <v>6340</v>
      </c>
      <c r="AW107" s="243">
        <f t="shared" si="733"/>
        <v>6113</v>
      </c>
      <c r="AX107" s="243">
        <f t="shared" si="733"/>
        <v>5685</v>
      </c>
      <c r="AY107" s="243">
        <f t="shared" si="733"/>
        <v>5780</v>
      </c>
      <c r="AZ107" s="243">
        <f t="shared" si="733"/>
        <v>5498</v>
      </c>
      <c r="BA107" s="243">
        <f t="shared" si="733"/>
        <v>5249</v>
      </c>
      <c r="BB107" s="243">
        <f t="shared" si="733"/>
        <v>5993</v>
      </c>
      <c r="BC107" s="243">
        <f t="shared" si="733"/>
        <v>5638</v>
      </c>
      <c r="BD107" s="243">
        <f t="shared" si="733"/>
        <v>5612</v>
      </c>
      <c r="BE107" s="243">
        <f t="shared" si="733"/>
        <v>5495</v>
      </c>
      <c r="BF107" s="243">
        <f t="shared" si="733"/>
        <v>5710</v>
      </c>
      <c r="BG107" s="243">
        <f t="shared" si="733"/>
        <v>6059</v>
      </c>
      <c r="BH107" s="243">
        <f t="shared" si="733"/>
        <v>6233</v>
      </c>
      <c r="BI107" s="243">
        <f t="shared" si="733"/>
        <v>5982</v>
      </c>
      <c r="BJ107" s="243">
        <f t="shared" si="733"/>
        <v>6094</v>
      </c>
      <c r="BK107" s="243">
        <f t="shared" si="733"/>
        <v>6133</v>
      </c>
      <c r="BL107" s="243">
        <f t="shared" si="733"/>
        <v>6442</v>
      </c>
      <c r="BM107" s="243">
        <f t="shared" si="733"/>
        <v>6541</v>
      </c>
      <c r="BN107" s="243">
        <f t="shared" si="733"/>
        <v>6758</v>
      </c>
      <c r="BO107" s="243">
        <f t="shared" si="733"/>
        <v>6811</v>
      </c>
      <c r="BP107" s="243">
        <f t="shared" si="733"/>
        <v>7081</v>
      </c>
      <c r="BQ107" s="243">
        <f t="shared" si="733"/>
        <v>7100</v>
      </c>
      <c r="BR107" s="243">
        <f t="shared" si="733"/>
        <v>7392</v>
      </c>
      <c r="BS107" s="243">
        <f t="shared" si="733"/>
        <v>7602</v>
      </c>
      <c r="BT107" s="243">
        <f t="shared" si="733"/>
        <v>8509</v>
      </c>
      <c r="BU107" s="243">
        <f t="shared" si="733"/>
        <v>8307</v>
      </c>
      <c r="BV107" s="243">
        <f t="shared" si="733"/>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S107" s="243">
        <v>4340</v>
      </c>
      <c r="DT107" s="243">
        <v>4490</v>
      </c>
      <c r="DU107" s="243">
        <v>5158</v>
      </c>
      <c r="DV107" s="243">
        <v>6274</v>
      </c>
      <c r="DW107" s="243">
        <v>7188</v>
      </c>
      <c r="DX107" s="243">
        <v>7696</v>
      </c>
      <c r="DY107" s="243">
        <v>8562</v>
      </c>
      <c r="DZ107" s="243">
        <v>10694</v>
      </c>
      <c r="EA107" s="243">
        <v>11954</v>
      </c>
      <c r="EB107" s="243">
        <v>14851</v>
      </c>
      <c r="EC107" s="243">
        <v>17151</v>
      </c>
      <c r="ED107" s="243">
        <v>19517</v>
      </c>
      <c r="EE107" s="243">
        <v>22128</v>
      </c>
      <c r="EF107" s="243">
        <v>22322</v>
      </c>
      <c r="EG107" s="243">
        <f t="shared" ref="EG107:EQ107" si="734">SUM(EG3:EG50)</f>
        <v>23267</v>
      </c>
      <c r="EH107" s="243">
        <f t="shared" si="734"/>
        <v>24866</v>
      </c>
      <c r="EI107" s="243">
        <f t="shared" si="734"/>
        <v>24567</v>
      </c>
      <c r="EJ107" s="243">
        <f t="shared" si="734"/>
        <v>22520</v>
      </c>
      <c r="EK107" s="243">
        <f t="shared" si="734"/>
        <v>22264</v>
      </c>
      <c r="EL107" s="243">
        <f t="shared" si="734"/>
        <v>24368</v>
      </c>
      <c r="EM107" s="243">
        <f t="shared" si="734"/>
        <v>25874</v>
      </c>
      <c r="EN107" s="243">
        <f t="shared" si="734"/>
        <v>28125</v>
      </c>
      <c r="EO107" s="243">
        <f t="shared" si="734"/>
        <v>31377.599999999999</v>
      </c>
      <c r="EP107" s="243">
        <f t="shared" si="734"/>
        <v>31502.829999999998</v>
      </c>
      <c r="EQ107" s="243">
        <f t="shared" si="734"/>
        <v>25169.797699999999</v>
      </c>
      <c r="ER107" s="243"/>
      <c r="ES107" s="243"/>
      <c r="ET107" s="243"/>
      <c r="EU107" s="243"/>
    </row>
    <row r="108" spans="1:179"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S108" s="243">
        <v>1364</v>
      </c>
      <c r="DT108" s="243">
        <v>1406</v>
      </c>
      <c r="DU108" s="243">
        <v>1669</v>
      </c>
      <c r="DV108" s="243">
        <v>2073</v>
      </c>
      <c r="DW108" s="243">
        <v>2477</v>
      </c>
      <c r="DX108" s="243">
        <v>2669</v>
      </c>
      <c r="DY108" s="243">
        <v>3081</v>
      </c>
      <c r="DZ108" s="243">
        <v>3595</v>
      </c>
      <c r="EA108" s="243">
        <v>4175</v>
      </c>
      <c r="EB108" s="243">
        <v>4928</v>
      </c>
      <c r="EC108" s="243">
        <v>5787</v>
      </c>
      <c r="ED108" s="243">
        <v>5896</v>
      </c>
      <c r="EE108" s="243">
        <v>7608</v>
      </c>
      <c r="EF108" s="243">
        <f>6610+302</f>
        <v>6912</v>
      </c>
      <c r="EG108" s="243"/>
      <c r="EH108" s="243"/>
      <c r="EI108" s="243"/>
      <c r="EJ108" s="243"/>
      <c r="EK108" s="243"/>
      <c r="EL108" s="243"/>
      <c r="EM108" s="243"/>
      <c r="EN108" s="243"/>
      <c r="EO108" s="243"/>
      <c r="EP108" s="243"/>
      <c r="EQ108" s="243"/>
      <c r="ER108" s="243"/>
      <c r="ES108" s="243"/>
      <c r="ET108" s="243"/>
      <c r="EU108" s="243"/>
    </row>
    <row r="109" spans="1:179" ht="12.75" customHeight="1" x14ac:dyDescent="0.25">
      <c r="B109" t="s">
        <v>357</v>
      </c>
      <c r="W109" s="294">
        <f t="shared" ref="W109:AN109" si="735">W108/W107</f>
        <v>0.39799091126524755</v>
      </c>
      <c r="X109" s="294">
        <f t="shared" si="735"/>
        <v>0.37036167214654769</v>
      </c>
      <c r="Y109" s="294">
        <f t="shared" si="735"/>
        <v>0.34019172317044655</v>
      </c>
      <c r="Z109" s="294">
        <f t="shared" si="735"/>
        <v>0.24599774520856821</v>
      </c>
      <c r="AA109" s="294">
        <f t="shared" si="735"/>
        <v>0.39841405915130734</v>
      </c>
      <c r="AB109" s="294">
        <f t="shared" si="735"/>
        <v>0.22338247338247338</v>
      </c>
      <c r="AC109" s="294">
        <f t="shared" si="735"/>
        <v>0.36215098241985522</v>
      </c>
      <c r="AD109" s="294">
        <f t="shared" si="735"/>
        <v>0.23276197896377093</v>
      </c>
      <c r="AE109" s="294">
        <f t="shared" si="735"/>
        <v>0.38783482142857145</v>
      </c>
      <c r="AF109" s="294">
        <f t="shared" si="735"/>
        <v>0.39803625377643503</v>
      </c>
      <c r="AG109" s="294">
        <f t="shared" si="735"/>
        <v>0.38906882591093117</v>
      </c>
      <c r="AH109" s="294">
        <f t="shared" si="735"/>
        <v>0.28481495612361696</v>
      </c>
      <c r="AI109" s="294">
        <f t="shared" si="735"/>
        <v>0.40092699884125144</v>
      </c>
      <c r="AJ109" s="294">
        <f t="shared" si="735"/>
        <v>0.31789009225832332</v>
      </c>
      <c r="AK109" s="294">
        <f t="shared" si="735"/>
        <v>0.37140492447755019</v>
      </c>
      <c r="AL109" s="294">
        <f t="shared" si="735"/>
        <v>0.22818371607515658</v>
      </c>
      <c r="AM109" s="294">
        <f t="shared" si="735"/>
        <v>0.34251688588695345</v>
      </c>
      <c r="AN109" s="294">
        <f t="shared" si="735"/>
        <v>0.3</v>
      </c>
      <c r="AO109" s="243"/>
      <c r="AP109" s="243"/>
      <c r="AQ109" s="243"/>
      <c r="AR109" s="243"/>
      <c r="AS109" s="243"/>
      <c r="AT109" s="243"/>
      <c r="AU109" s="243"/>
      <c r="AV109" s="243"/>
      <c r="AW109" s="243"/>
      <c r="AX109" s="243"/>
      <c r="BC109" s="294">
        <f>+BC108/BC107</f>
        <v>0.34941468605888615</v>
      </c>
      <c r="DS109" s="294">
        <f t="shared" ref="DS109:EF109" si="736">DS108/DS107</f>
        <v>0.31428571428571428</v>
      </c>
      <c r="DT109" s="294">
        <f t="shared" si="736"/>
        <v>0.31314031180400892</v>
      </c>
      <c r="DU109" s="294">
        <f t="shared" si="736"/>
        <v>0.32357502908103919</v>
      </c>
      <c r="DV109" s="294">
        <f t="shared" si="736"/>
        <v>0.33041122091169906</v>
      </c>
      <c r="DW109" s="294">
        <f t="shared" si="736"/>
        <v>0.34460211463550361</v>
      </c>
      <c r="DX109" s="294">
        <f t="shared" si="736"/>
        <v>0.34680353430353428</v>
      </c>
      <c r="DY109" s="294">
        <f t="shared" si="736"/>
        <v>0.3598458304134548</v>
      </c>
      <c r="DZ109" s="294">
        <f t="shared" si="736"/>
        <v>0.3361698148494483</v>
      </c>
      <c r="EA109" s="294">
        <f t="shared" si="736"/>
        <v>0.34925547933746026</v>
      </c>
      <c r="EB109" s="294">
        <f t="shared" si="736"/>
        <v>0.33182950643054338</v>
      </c>
      <c r="EC109" s="294">
        <f t="shared" si="736"/>
        <v>0.33741472800419803</v>
      </c>
      <c r="ED109" s="294">
        <f t="shared" si="736"/>
        <v>0.3020956089562945</v>
      </c>
      <c r="EE109" s="294">
        <f t="shared" si="736"/>
        <v>0.3438177874186551</v>
      </c>
      <c r="EF109" s="294">
        <f t="shared" si="736"/>
        <v>0.30964967296837204</v>
      </c>
      <c r="EG109" s="243"/>
      <c r="EH109" s="243"/>
      <c r="EI109" s="243"/>
      <c r="EJ109" s="243"/>
      <c r="EK109" s="243"/>
      <c r="EL109" s="243"/>
      <c r="EM109" s="243"/>
      <c r="EN109" s="243"/>
      <c r="EO109" s="243"/>
      <c r="EP109" s="243"/>
      <c r="EQ109" s="243"/>
      <c r="ER109" s="243"/>
      <c r="ES109" s="243"/>
      <c r="ET109" s="243"/>
      <c r="EU109" s="243"/>
    </row>
    <row r="110" spans="1:179" ht="12.75" customHeight="1" x14ac:dyDescent="0.3">
      <c r="B110" t="s">
        <v>358</v>
      </c>
      <c r="K110" s="294">
        <f t="shared" ref="K110:AP110" si="737">K107/K65</f>
        <v>0.40629707743296173</v>
      </c>
      <c r="L110" s="294">
        <f t="shared" si="737"/>
        <v>0.43142690399766559</v>
      </c>
      <c r="M110" s="294">
        <f t="shared" si="737"/>
        <v>0.43508667950807528</v>
      </c>
      <c r="N110" s="294">
        <f t="shared" si="737"/>
        <v>0.38380107605060348</v>
      </c>
      <c r="O110" s="294">
        <f t="shared" si="737"/>
        <v>0.43216286377920482</v>
      </c>
      <c r="P110" s="294">
        <f t="shared" si="737"/>
        <v>0.45058604155567394</v>
      </c>
      <c r="Q110" s="294">
        <f t="shared" si="737"/>
        <v>0.43975569128262076</v>
      </c>
      <c r="R110" s="294">
        <f t="shared" si="737"/>
        <v>0.41460326392796848</v>
      </c>
      <c r="S110" s="294">
        <f t="shared" si="737"/>
        <v>0.4478244127839815</v>
      </c>
      <c r="T110" s="294">
        <f t="shared" si="737"/>
        <v>0.46324622392711579</v>
      </c>
      <c r="U110" s="294">
        <f t="shared" si="737"/>
        <v>0.44639475600874001</v>
      </c>
      <c r="V110" s="294">
        <f t="shared" si="737"/>
        <v>0.45459954778055456</v>
      </c>
      <c r="W110" s="294">
        <f t="shared" si="737"/>
        <v>0.47821114034084411</v>
      </c>
      <c r="X110" s="294">
        <f t="shared" si="737"/>
        <v>0.46930452992395016</v>
      </c>
      <c r="Y110" s="294">
        <f t="shared" si="737"/>
        <v>0.47108712413261372</v>
      </c>
      <c r="Z110" s="294">
        <f t="shared" si="737"/>
        <v>0.47165798149526744</v>
      </c>
      <c r="AA110" s="294">
        <f t="shared" si="737"/>
        <v>0.47505599674200771</v>
      </c>
      <c r="AB110" s="294">
        <f t="shared" si="737"/>
        <v>0.4727061556329849</v>
      </c>
      <c r="AC110" s="294">
        <f t="shared" si="737"/>
        <v>0.46250239142911803</v>
      </c>
      <c r="AD110" s="294">
        <f t="shared" si="737"/>
        <v>0.45078584599174643</v>
      </c>
      <c r="AE110" s="294">
        <f t="shared" si="737"/>
        <v>0.44859813084112149</v>
      </c>
      <c r="AF110" s="294">
        <f t="shared" si="737"/>
        <v>0.44534140598721828</v>
      </c>
      <c r="AG110" s="294">
        <f t="shared" si="737"/>
        <v>0.42759456418246344</v>
      </c>
      <c r="AH110" s="294">
        <f t="shared" si="737"/>
        <v>0.41107277289836891</v>
      </c>
      <c r="AI110" s="294">
        <f t="shared" si="737"/>
        <v>0.40352244389027431</v>
      </c>
      <c r="AJ110" s="294">
        <f t="shared" si="737"/>
        <v>0.39069111424541608</v>
      </c>
      <c r="AK110" s="294">
        <f t="shared" si="737"/>
        <v>0.39260763606823723</v>
      </c>
      <c r="AL110" s="294">
        <f t="shared" si="737"/>
        <v>0.37985725614591592</v>
      </c>
      <c r="AM110" s="294">
        <f t="shared" si="737"/>
        <v>0.4330357142857143</v>
      </c>
      <c r="AN110" s="294">
        <f t="shared" si="737"/>
        <v>0.43478260869565216</v>
      </c>
      <c r="AO110" s="294">
        <f t="shared" si="737"/>
        <v>0.44261308045457964</v>
      </c>
      <c r="AP110" s="294">
        <f t="shared" si="737"/>
        <v>0.43487794182137113</v>
      </c>
      <c r="AQ110" s="294">
        <f t="shared" ref="AQ110:BV110" si="738">AQ107/AQ65</f>
        <v>0.33757539603632264</v>
      </c>
      <c r="AR110" s="294">
        <f t="shared" si="738"/>
        <v>0.33172632413155462</v>
      </c>
      <c r="AS110" s="294">
        <f t="shared" si="738"/>
        <v>0.3314453255147598</v>
      </c>
      <c r="AT110" s="294">
        <f t="shared" si="738"/>
        <v>0.32443441749702323</v>
      </c>
      <c r="AU110" s="294">
        <f t="shared" si="738"/>
        <v>0.39292330492775102</v>
      </c>
      <c r="AV110" s="294">
        <f t="shared" si="738"/>
        <v>0.38541033434650457</v>
      </c>
      <c r="AW110" s="294">
        <f t="shared" si="738"/>
        <v>0.38395829407700521</v>
      </c>
      <c r="AX110" s="294">
        <f t="shared" si="738"/>
        <v>0.37445659333421155</v>
      </c>
      <c r="AY110" s="294">
        <f t="shared" si="738"/>
        <v>0.38466657793158526</v>
      </c>
      <c r="AZ110" s="294">
        <f t="shared" si="738"/>
        <v>0.36078482840081372</v>
      </c>
      <c r="BA110" s="294">
        <f t="shared" si="738"/>
        <v>0.34805384258338307</v>
      </c>
      <c r="BB110" s="294">
        <f t="shared" si="738"/>
        <v>0.36209292489879763</v>
      </c>
      <c r="BC110" s="294">
        <f t="shared" si="738"/>
        <v>0.3606934936984198</v>
      </c>
      <c r="BD110" s="294">
        <f t="shared" si="738"/>
        <v>0.36467606732081359</v>
      </c>
      <c r="BE110" s="294">
        <f t="shared" si="738"/>
        <v>0.36677346148711787</v>
      </c>
      <c r="BF110" s="294">
        <f t="shared" si="738"/>
        <v>0.36499616466376883</v>
      </c>
      <c r="BG110" s="294">
        <f t="shared" si="738"/>
        <v>0.35712601673936106</v>
      </c>
      <c r="BH110" s="294">
        <f t="shared" si="738"/>
        <v>0.3755497981562933</v>
      </c>
      <c r="BI110" s="294">
        <f t="shared" si="738"/>
        <v>0.37375820056232428</v>
      </c>
      <c r="BJ110" s="294">
        <f t="shared" si="738"/>
        <v>0.32378725891291643</v>
      </c>
      <c r="BK110" s="294">
        <f t="shared" si="738"/>
        <v>0.38001115310737965</v>
      </c>
      <c r="BL110" s="294">
        <f t="shared" si="738"/>
        <v>0.38746541561409842</v>
      </c>
      <c r="BM110" s="294">
        <f t="shared" si="738"/>
        <v>0.38048979116979814</v>
      </c>
      <c r="BN110" s="294">
        <f t="shared" si="738"/>
        <v>0.37985498285650049</v>
      </c>
      <c r="BO110" s="294">
        <f t="shared" si="738"/>
        <v>0.38813540004558922</v>
      </c>
      <c r="BP110" s="294">
        <f t="shared" si="738"/>
        <v>0.39485864049517649</v>
      </c>
      <c r="BQ110" s="294">
        <f t="shared" si="738"/>
        <v>0.40251714949827089</v>
      </c>
      <c r="BR110" s="294">
        <f t="shared" si="738"/>
        <v>0.40062869221180425</v>
      </c>
      <c r="BS110" s="294">
        <f t="shared" si="738"/>
        <v>0.41725671002799275</v>
      </c>
      <c r="BT110" s="294">
        <f t="shared" si="738"/>
        <v>0.43647088997178762</v>
      </c>
      <c r="BU110" s="294">
        <f t="shared" si="738"/>
        <v>0.44982942546163429</v>
      </c>
      <c r="BV110" s="294">
        <f t="shared" si="738"/>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S110" s="287">
        <f t="shared" ref="DS110:EQ110" si="739">DS107/DS65</f>
        <v>0.31556751254271798</v>
      </c>
      <c r="DT110" s="287">
        <f t="shared" si="739"/>
        <v>0.31758381666430896</v>
      </c>
      <c r="DU110" s="287">
        <f t="shared" si="739"/>
        <v>0.32782509215711197</v>
      </c>
      <c r="DV110" s="287">
        <f t="shared" si="739"/>
        <v>0.33297951385203267</v>
      </c>
      <c r="DW110" s="287">
        <f t="shared" si="739"/>
        <v>0.3324699352451434</v>
      </c>
      <c r="DX110" s="287">
        <f t="shared" si="739"/>
        <v>0.34009456891599277</v>
      </c>
      <c r="DY110" s="287">
        <f t="shared" si="739"/>
        <v>0.36192247537726679</v>
      </c>
      <c r="DZ110" s="287">
        <f t="shared" si="739"/>
        <v>0.38928324414837467</v>
      </c>
      <c r="EA110" s="287">
        <f t="shared" si="739"/>
        <v>0.41024057105597311</v>
      </c>
      <c r="EB110" s="287">
        <f t="shared" si="739"/>
        <v>0.44997576051387711</v>
      </c>
      <c r="EC110" s="294">
        <f t="shared" si="739"/>
        <v>0.46464690248944107</v>
      </c>
      <c r="ED110" s="294">
        <f t="shared" si="739"/>
        <v>0.46068253810892851</v>
      </c>
      <c r="EE110" s="294">
        <f t="shared" si="739"/>
        <v>0.45987904482823116</v>
      </c>
      <c r="EF110" s="294">
        <f t="shared" si="739"/>
        <v>0.45096771586730777</v>
      </c>
      <c r="EG110" s="294">
        <f t="shared" si="739"/>
        <v>0.4363326082064361</v>
      </c>
      <c r="EH110" s="294">
        <f t="shared" si="739"/>
        <v>0.40700548326376956</v>
      </c>
      <c r="EI110" s="294">
        <f t="shared" si="739"/>
        <v>0.38538284154548447</v>
      </c>
      <c r="EJ110" s="294">
        <f t="shared" si="739"/>
        <v>0.36383023409858312</v>
      </c>
      <c r="EK110" s="294">
        <f t="shared" si="739"/>
        <v>0.36228134407289886</v>
      </c>
      <c r="EL110" s="294">
        <f t="shared" si="739"/>
        <v>0.37471936029524833</v>
      </c>
      <c r="EM110" s="294">
        <f t="shared" si="739"/>
        <v>0.38192097067028796</v>
      </c>
      <c r="EN110" s="294">
        <f t="shared" si="739"/>
        <v>0.39439365043751401</v>
      </c>
      <c r="EO110" s="294">
        <f t="shared" si="739"/>
        <v>0.41699234226287474</v>
      </c>
      <c r="EP110" s="294">
        <f t="shared" si="739"/>
        <v>0.41411912471963841</v>
      </c>
      <c r="EQ110" s="294">
        <f t="shared" si="739"/>
        <v>0.35724672909326338</v>
      </c>
      <c r="ER110" s="294"/>
      <c r="ES110" s="294"/>
      <c r="ET110" s="294"/>
      <c r="EU110" s="294"/>
    </row>
    <row r="111" spans="1:179" ht="12.75" customHeight="1" x14ac:dyDescent="0.25">
      <c r="B111" t="s">
        <v>359</v>
      </c>
      <c r="AE111" s="243"/>
      <c r="AF111" s="243"/>
      <c r="AG111" s="243"/>
      <c r="AH111" s="243"/>
      <c r="AI111" s="294"/>
      <c r="AJ111" s="294"/>
      <c r="AK111" s="294"/>
      <c r="AL111" s="294"/>
      <c r="AM111" s="294"/>
      <c r="AN111" s="294"/>
      <c r="AO111" s="288">
        <f t="shared" ref="AO111:BD111" si="740">AO107/AK107-1</f>
        <v>0.2168425408648873</v>
      </c>
      <c r="AP111" s="288">
        <f t="shared" si="740"/>
        <v>0.24217118997912324</v>
      </c>
      <c r="AQ111" s="288">
        <f t="shared" si="740"/>
        <v>-9.4738713117668016E-2</v>
      </c>
      <c r="AR111" s="288">
        <f t="shared" si="740"/>
        <v>-0.13545611015490533</v>
      </c>
      <c r="AS111" s="288">
        <f t="shared" si="740"/>
        <v>-0.15422547185852742</v>
      </c>
      <c r="AT111" s="288">
        <f t="shared" si="740"/>
        <v>-0.12991596638655467</v>
      </c>
      <c r="AU111" s="288">
        <f t="shared" si="740"/>
        <v>0.24936186923227965</v>
      </c>
      <c r="AV111" s="288">
        <f t="shared" si="740"/>
        <v>0.26219390802309372</v>
      </c>
      <c r="AW111" s="288">
        <f t="shared" si="740"/>
        <v>0.22899075190993168</v>
      </c>
      <c r="AX111" s="288">
        <f t="shared" si="740"/>
        <v>9.812632798918286E-2</v>
      </c>
      <c r="AY111" s="288">
        <f t="shared" si="740"/>
        <v>-9.1623448059091617E-2</v>
      </c>
      <c r="AZ111" s="288">
        <f t="shared" si="740"/>
        <v>-0.13280757097791795</v>
      </c>
      <c r="BA111" s="288">
        <f t="shared" si="740"/>
        <v>-0.14133813185015542</v>
      </c>
      <c r="BB111" s="288">
        <f t="shared" si="740"/>
        <v>5.4177660510114301E-2</v>
      </c>
      <c r="BC111" s="288">
        <f t="shared" si="740"/>
        <v>-2.456747404844295E-2</v>
      </c>
      <c r="BD111" s="288">
        <f t="shared" si="740"/>
        <v>2.0734812659148671E-2</v>
      </c>
      <c r="BE111" s="288">
        <f t="shared" ref="BE111" si="741">BE107/BA107-1</f>
        <v>4.6866069727567128E-2</v>
      </c>
      <c r="BF111" s="288">
        <f t="shared" ref="BF111" si="742">BF107/BB107-1</f>
        <v>-4.7221758718504869E-2</v>
      </c>
      <c r="BG111" s="288">
        <f t="shared" ref="BG111" si="743">BG107/BC107-1</f>
        <v>7.4671869457254347E-2</v>
      </c>
      <c r="BH111" s="288">
        <f t="shared" ref="BH111" si="744">BH107/BD107-1</f>
        <v>0.11065573770491799</v>
      </c>
      <c r="BI111" s="288">
        <f t="shared" ref="BI111" si="745">BI107/BE107-1</f>
        <v>8.8626023657870867E-2</v>
      </c>
      <c r="BJ111" s="288">
        <f t="shared" ref="BJ111" si="746">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T111" s="294">
        <f t="shared" ref="DT111:EP111" si="747">DT107/DS107-1</f>
        <v>3.4562211981566726E-2</v>
      </c>
      <c r="DU111" s="294">
        <f t="shared" si="747"/>
        <v>0.14877505567928728</v>
      </c>
      <c r="DV111" s="294">
        <f t="shared" si="747"/>
        <v>0.21636293136874762</v>
      </c>
      <c r="DW111" s="294">
        <f t="shared" si="747"/>
        <v>0.14568058654765692</v>
      </c>
      <c r="DX111" s="294">
        <f t="shared" si="747"/>
        <v>7.0673344462993892E-2</v>
      </c>
      <c r="DY111" s="294">
        <f t="shared" si="747"/>
        <v>0.11252598752598764</v>
      </c>
      <c r="DZ111" s="294">
        <f t="shared" si="747"/>
        <v>0.24900724129876206</v>
      </c>
      <c r="EA111" s="294">
        <f t="shared" si="747"/>
        <v>0.11782307836169825</v>
      </c>
      <c r="EB111" s="294">
        <f t="shared" si="747"/>
        <v>0.24234565835703537</v>
      </c>
      <c r="EC111" s="294">
        <f t="shared" si="747"/>
        <v>0.15487172580970987</v>
      </c>
      <c r="ED111" s="294">
        <f t="shared" si="747"/>
        <v>0.137951139875226</v>
      </c>
      <c r="EE111" s="294">
        <f t="shared" si="747"/>
        <v>0.13378080647640522</v>
      </c>
      <c r="EF111" s="294">
        <f t="shared" si="747"/>
        <v>8.7671728127258763E-3</v>
      </c>
      <c r="EG111" s="294">
        <f t="shared" si="747"/>
        <v>4.2334916226144603E-2</v>
      </c>
      <c r="EH111" s="294">
        <f t="shared" si="747"/>
        <v>6.8723943783040253E-2</v>
      </c>
      <c r="EI111" s="294">
        <f>EI107/EH107-1</f>
        <v>-1.2024451057669139E-2</v>
      </c>
      <c r="EJ111" s="288">
        <f t="shared" si="747"/>
        <v>-8.3323157080636645E-2</v>
      </c>
      <c r="EK111" s="294">
        <f t="shared" si="747"/>
        <v>-1.1367673179396132E-2</v>
      </c>
      <c r="EL111" s="294">
        <f t="shared" si="747"/>
        <v>9.4502335609055077E-2</v>
      </c>
      <c r="EM111" s="294">
        <f t="shared" si="747"/>
        <v>6.1802363755745215E-2</v>
      </c>
      <c r="EN111" s="294">
        <f t="shared" si="747"/>
        <v>8.6998531344206542E-2</v>
      </c>
      <c r="EO111" s="294">
        <f t="shared" si="747"/>
        <v>0.11564799999999997</v>
      </c>
      <c r="EP111" s="294">
        <f t="shared" si="747"/>
        <v>3.9910636887461326E-3</v>
      </c>
      <c r="EQ111" s="294">
        <f t="shared" ref="EQ111" si="748">EQ107/EP107-1</f>
        <v>-0.20103058360153669</v>
      </c>
      <c r="ER111" s="294"/>
      <c r="ES111" s="294"/>
      <c r="ET111" s="294"/>
      <c r="EU111" s="294"/>
    </row>
    <row r="112" spans="1:179"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T112" s="294"/>
      <c r="EF112" s="294"/>
      <c r="EG112" s="294"/>
      <c r="EH112" s="294"/>
      <c r="EI112" s="294"/>
      <c r="EJ112" s="288">
        <v>-6.0999999999999999E-2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66"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T113" s="294"/>
      <c r="EF113" s="294"/>
      <c r="EG113" s="294"/>
      <c r="EH113" s="294"/>
      <c r="EI113" s="294"/>
      <c r="EJ113" s="288">
        <f>EJ111-EJ112</f>
        <v>-2.2323157080636646E-2</v>
      </c>
      <c r="EK113" s="294"/>
      <c r="EL113" s="294"/>
      <c r="EM113" s="294"/>
      <c r="EN113" s="294"/>
      <c r="EO113" s="294"/>
      <c r="EP113" s="294"/>
      <c r="EQ113" s="294"/>
      <c r="ER113" s="294"/>
      <c r="ES113" s="294"/>
      <c r="ET113" s="294"/>
      <c r="EU113" s="294"/>
      <c r="EV113" s="3"/>
      <c r="EW113" s="3"/>
      <c r="EX113" s="3"/>
      <c r="EY113" s="3"/>
      <c r="EZ113" s="3"/>
      <c r="FA113" s="3"/>
      <c r="FB113" s="3"/>
      <c r="FC113" s="3"/>
      <c r="FD113" s="3"/>
      <c r="FE113" s="3"/>
      <c r="FF113" s="3"/>
      <c r="FG113" s="3"/>
      <c r="FH113" s="3"/>
      <c r="FI113" s="3"/>
      <c r="FJ113" s="3"/>
    </row>
    <row r="114" spans="2:166"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49">SUM(AF51:AF63)</f>
        <v>4057</v>
      </c>
      <c r="AG114" s="243">
        <f t="shared" si="749"/>
        <v>4044</v>
      </c>
      <c r="AH114" s="243">
        <f t="shared" si="749"/>
        <v>4650</v>
      </c>
      <c r="AI114" s="243">
        <f t="shared" si="749"/>
        <v>4797</v>
      </c>
      <c r="AJ114" s="243">
        <f t="shared" si="749"/>
        <v>4856</v>
      </c>
      <c r="AK114" s="243">
        <f t="shared" si="749"/>
        <v>4622</v>
      </c>
      <c r="AL114" s="243">
        <f t="shared" si="749"/>
        <v>4821</v>
      </c>
      <c r="AM114" s="243">
        <f t="shared" si="749"/>
        <v>5011</v>
      </c>
      <c r="AN114" s="243">
        <f t="shared" si="749"/>
        <v>5155</v>
      </c>
      <c r="AO114" s="243">
        <f t="shared" si="749"/>
        <v>4950</v>
      </c>
      <c r="AP114" s="243">
        <f t="shared" si="749"/>
        <v>5167</v>
      </c>
      <c r="AQ114" s="243">
        <f t="shared" si="749"/>
        <v>5320</v>
      </c>
      <c r="AR114" s="243">
        <f t="shared" si="749"/>
        <v>5418</v>
      </c>
      <c r="AS114" s="243">
        <f t="shared" si="749"/>
        <v>5248</v>
      </c>
      <c r="AT114" s="243">
        <f t="shared" si="749"/>
        <v>5750</v>
      </c>
      <c r="AU114" s="243">
        <f t="shared" si="749"/>
        <v>5701</v>
      </c>
      <c r="AV114" s="243">
        <f t="shared" si="749"/>
        <v>6074</v>
      </c>
      <c r="AW114" s="243">
        <f t="shared" si="749"/>
        <v>5709</v>
      </c>
      <c r="AX114" s="243">
        <f t="shared" si="749"/>
        <v>5642</v>
      </c>
      <c r="AY114" s="243">
        <f t="shared" si="749"/>
        <v>5535</v>
      </c>
      <c r="AZ114" s="243">
        <f t="shared" si="749"/>
        <v>5887</v>
      </c>
      <c r="BA114" s="243">
        <f t="shared" si="749"/>
        <v>5843</v>
      </c>
      <c r="BB114" s="243">
        <f t="shared" si="749"/>
        <v>6309</v>
      </c>
      <c r="BC114" s="243">
        <f t="shared" si="749"/>
        <v>6227</v>
      </c>
      <c r="BD114" s="243">
        <f t="shared" si="749"/>
        <v>6130</v>
      </c>
      <c r="BE114" s="243">
        <f t="shared" si="749"/>
        <v>5920</v>
      </c>
      <c r="BF114" s="243">
        <f t="shared" si="749"/>
        <v>6324</v>
      </c>
      <c r="BG114" s="243">
        <f t="shared" si="749"/>
        <v>7225</v>
      </c>
      <c r="BH114" s="243">
        <f t="shared" si="749"/>
        <v>6571</v>
      </c>
      <c r="BI114" s="243">
        <f t="shared" si="749"/>
        <v>8701</v>
      </c>
      <c r="BJ114" s="243">
        <f t="shared" si="749"/>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S114" s="243">
        <v>4633</v>
      </c>
      <c r="DT114" s="243">
        <v>4824</v>
      </c>
      <c r="DU114" s="243">
        <v>5325</v>
      </c>
      <c r="DV114" s="243">
        <v>6737</v>
      </c>
      <c r="DW114" s="243">
        <v>8068</v>
      </c>
      <c r="DX114" s="243">
        <v>8435</v>
      </c>
      <c r="DY114" s="243">
        <v>8569</v>
      </c>
      <c r="DZ114" s="243">
        <v>9913</v>
      </c>
      <c r="EA114" s="243">
        <v>10281</v>
      </c>
      <c r="EB114" s="243">
        <v>11191</v>
      </c>
      <c r="EC114" s="243">
        <f>SUM(EC51:EC63)</f>
        <v>12585</v>
      </c>
      <c r="ED114" s="243">
        <v>14914</v>
      </c>
      <c r="EE114" s="243">
        <f t="shared" ref="EE114:EQ114" si="750">SUM(EE51:EE63)</f>
        <v>16887</v>
      </c>
      <c r="EF114" s="243">
        <f t="shared" si="750"/>
        <v>19096</v>
      </c>
      <c r="EG114" s="243">
        <f t="shared" si="750"/>
        <v>20283</v>
      </c>
      <c r="EH114" s="243">
        <f t="shared" si="750"/>
        <v>21736</v>
      </c>
      <c r="EI114" s="243">
        <f t="shared" si="750"/>
        <v>23126</v>
      </c>
      <c r="EJ114" s="243">
        <f t="shared" si="750"/>
        <v>23574</v>
      </c>
      <c r="EK114" s="243">
        <f t="shared" si="750"/>
        <v>24601</v>
      </c>
      <c r="EL114" s="243">
        <f t="shared" si="750"/>
        <v>25779</v>
      </c>
      <c r="EM114" s="243">
        <f t="shared" si="750"/>
        <v>27426</v>
      </c>
      <c r="EN114" s="243">
        <f t="shared" si="750"/>
        <v>28490</v>
      </c>
      <c r="EO114" s="243">
        <f t="shared" si="750"/>
        <v>28878.885000000002</v>
      </c>
      <c r="EP114" s="243">
        <f t="shared" si="750"/>
        <v>29278.314474999999</v>
      </c>
      <c r="EQ114" s="243">
        <f t="shared" si="750"/>
        <v>29688.570665625008</v>
      </c>
      <c r="ER114" s="243"/>
      <c r="ES114" s="243"/>
      <c r="ET114" s="243"/>
      <c r="EU114" s="243"/>
    </row>
    <row r="115" spans="2:166"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S115" s="243">
        <v>598</v>
      </c>
      <c r="DT115" s="243">
        <v>655</v>
      </c>
      <c r="DU115" s="243">
        <v>843</v>
      </c>
      <c r="DV115" s="243">
        <v>1203</v>
      </c>
      <c r="DW115" s="243">
        <v>1416</v>
      </c>
      <c r="DX115" s="243">
        <v>1550</v>
      </c>
      <c r="DY115" s="243">
        <v>1409</v>
      </c>
      <c r="DZ115" s="243">
        <v>1632</v>
      </c>
      <c r="EA115" s="243">
        <v>1696</v>
      </c>
      <c r="EB115" s="243">
        <v>2001</v>
      </c>
      <c r="EC115" s="243">
        <v>2489</v>
      </c>
      <c r="ED115" s="243">
        <v>3370</v>
      </c>
      <c r="EE115" s="243">
        <v>4091</v>
      </c>
      <c r="EF115" s="243">
        <v>5418</v>
      </c>
      <c r="EG115" s="243"/>
      <c r="EH115" s="243"/>
      <c r="EI115" s="243"/>
      <c r="EJ115" s="243"/>
      <c r="EK115" s="243"/>
      <c r="EL115" s="243"/>
      <c r="EM115" s="243"/>
      <c r="EN115" s="243"/>
      <c r="EO115" s="243"/>
      <c r="EP115" s="243"/>
      <c r="EQ115" s="243"/>
      <c r="ER115" s="243"/>
      <c r="ES115" s="243"/>
      <c r="ET115" s="243"/>
      <c r="EU115" s="243"/>
    </row>
    <row r="116" spans="2:166" ht="12.75" customHeight="1" x14ac:dyDescent="0.25">
      <c r="B116" t="s">
        <v>357</v>
      </c>
      <c r="W116" s="294">
        <f t="shared" ref="W116:AN116" si="751">W115/W114</f>
        <v>0.22379986477349562</v>
      </c>
      <c r="X116" s="294">
        <f t="shared" si="751"/>
        <v>0.17814276689829439</v>
      </c>
      <c r="Y116" s="294">
        <f t="shared" si="751"/>
        <v>0.21553645335880292</v>
      </c>
      <c r="Z116" s="294">
        <f t="shared" si="751"/>
        <v>0.17661241711874623</v>
      </c>
      <c r="AA116" s="294">
        <f t="shared" si="751"/>
        <v>0.21730083234244946</v>
      </c>
      <c r="AB116" s="294">
        <f t="shared" si="751"/>
        <v>0.18489942132818959</v>
      </c>
      <c r="AC116" s="294">
        <f t="shared" si="751"/>
        <v>0.2463614712887007</v>
      </c>
      <c r="AD116" s="294">
        <f t="shared" si="751"/>
        <v>0.25042260323593335</v>
      </c>
      <c r="AE116" s="294">
        <f t="shared" si="751"/>
        <v>0.25797872340425532</v>
      </c>
      <c r="AF116" s="294">
        <f t="shared" si="751"/>
        <v>0.26004436775942813</v>
      </c>
      <c r="AG116" s="294">
        <f t="shared" si="751"/>
        <v>0.26013847675568746</v>
      </c>
      <c r="AH116" s="294">
        <f t="shared" si="751"/>
        <v>0.19720430107526882</v>
      </c>
      <c r="AI116" s="294">
        <f t="shared" si="751"/>
        <v>0.31019387116948094</v>
      </c>
      <c r="AJ116" s="294">
        <f t="shared" si="751"/>
        <v>0.29015650741350907</v>
      </c>
      <c r="AK116" s="294">
        <f t="shared" si="751"/>
        <v>0.29489398528775423</v>
      </c>
      <c r="AL116" s="294">
        <f t="shared" si="751"/>
        <v>0.2391619995851483</v>
      </c>
      <c r="AM116" s="294">
        <f t="shared" si="751"/>
        <v>0.30692476551586512</v>
      </c>
      <c r="AN116" s="294">
        <f t="shared" si="751"/>
        <v>0.25994180407371487</v>
      </c>
      <c r="AO116" s="243"/>
      <c r="AP116" s="243"/>
      <c r="AQ116" s="243"/>
      <c r="AR116" s="243"/>
      <c r="AS116" s="243"/>
      <c r="AT116" s="243"/>
      <c r="AU116" s="243"/>
      <c r="AV116" s="243"/>
      <c r="AW116" s="243"/>
      <c r="AX116" s="243"/>
      <c r="BC116" s="294">
        <f>+BC115/BC114</f>
        <v>0.59450778866227716</v>
      </c>
      <c r="DS116" s="294">
        <f t="shared" ref="DS116:EF116" si="752">DS115/DS114</f>
        <v>0.12907403410317289</v>
      </c>
      <c r="DT116" s="294">
        <f t="shared" si="752"/>
        <v>0.13577943615257049</v>
      </c>
      <c r="DU116" s="294">
        <f t="shared" si="752"/>
        <v>0.15830985915492957</v>
      </c>
      <c r="DV116" s="294">
        <f t="shared" si="752"/>
        <v>0.17856612735639008</v>
      </c>
      <c r="DW116" s="294">
        <f t="shared" si="752"/>
        <v>0.17550818046603867</v>
      </c>
      <c r="DX116" s="294">
        <f t="shared" si="752"/>
        <v>0.18375815056312983</v>
      </c>
      <c r="DY116" s="294">
        <f t="shared" si="752"/>
        <v>0.16442992181117982</v>
      </c>
      <c r="DZ116" s="294">
        <f t="shared" si="752"/>
        <v>0.16463230101886411</v>
      </c>
      <c r="EA116" s="294">
        <f t="shared" si="752"/>
        <v>0.16496449761696333</v>
      </c>
      <c r="EB116" s="294">
        <f t="shared" si="752"/>
        <v>0.17880439638995621</v>
      </c>
      <c r="EC116" s="294">
        <f t="shared" si="752"/>
        <v>0.19777512912197059</v>
      </c>
      <c r="ED116" s="294">
        <f t="shared" si="752"/>
        <v>0.22596218318358588</v>
      </c>
      <c r="EE116" s="294">
        <f t="shared" si="752"/>
        <v>0.24225735773079884</v>
      </c>
      <c r="EF116" s="294">
        <f t="shared" si="752"/>
        <v>0.2837243401759531</v>
      </c>
      <c r="EG116" s="243"/>
      <c r="EH116" s="243"/>
      <c r="EI116" s="243"/>
      <c r="EJ116" s="243"/>
      <c r="EK116" s="243"/>
      <c r="EL116" s="243"/>
      <c r="EM116" s="243"/>
      <c r="EN116" s="243"/>
      <c r="EO116" s="243"/>
      <c r="EP116" s="243"/>
      <c r="EQ116" s="243"/>
      <c r="ER116" s="243"/>
      <c r="ES116" s="243"/>
      <c r="ET116" s="243"/>
      <c r="EU116" s="243"/>
    </row>
    <row r="117" spans="2:166" ht="12.75" customHeight="1" x14ac:dyDescent="0.25">
      <c r="B117" t="s">
        <v>358</v>
      </c>
      <c r="Z117" s="294">
        <f t="shared" ref="Z117:BJ117" si="753">Z114/Z65</f>
        <v>0.35286610656173562</v>
      </c>
      <c r="AA117" s="294">
        <f t="shared" si="753"/>
        <v>0.34249643657096313</v>
      </c>
      <c r="AB117" s="294">
        <f t="shared" si="753"/>
        <v>0.35123886953155248</v>
      </c>
      <c r="AC117" s="294">
        <f t="shared" si="753"/>
        <v>0.3614884254830687</v>
      </c>
      <c r="AD117" s="294">
        <f t="shared" si="753"/>
        <v>0.36359645271753449</v>
      </c>
      <c r="AE117" s="294">
        <f t="shared" si="753"/>
        <v>0.34512683578104136</v>
      </c>
      <c r="AF117" s="294">
        <f t="shared" si="753"/>
        <v>0.34115371678439288</v>
      </c>
      <c r="AG117" s="294">
        <f t="shared" si="753"/>
        <v>0.35003895092183851</v>
      </c>
      <c r="AH117" s="294">
        <f t="shared" si="753"/>
        <v>0.36464868255959848</v>
      </c>
      <c r="AI117" s="294">
        <f t="shared" si="753"/>
        <v>0.37383104738154616</v>
      </c>
      <c r="AJ117" s="294">
        <f t="shared" si="753"/>
        <v>0.38050462309982763</v>
      </c>
      <c r="AK117" s="294">
        <f t="shared" si="753"/>
        <v>0.37546709991876526</v>
      </c>
      <c r="AL117" s="294">
        <f t="shared" si="753"/>
        <v>0.38231562252180806</v>
      </c>
      <c r="AM117" s="294">
        <f t="shared" si="753"/>
        <v>0.38569889162561577</v>
      </c>
      <c r="AN117" s="294">
        <f t="shared" si="753"/>
        <v>0.38576666916111652</v>
      </c>
      <c r="AO117" s="294">
        <f t="shared" si="753"/>
        <v>0.37254459245879429</v>
      </c>
      <c r="AP117" s="294">
        <f t="shared" si="753"/>
        <v>0.37764946645227304</v>
      </c>
      <c r="AQ117" s="294">
        <f t="shared" si="753"/>
        <v>0.35262146218598794</v>
      </c>
      <c r="AR117" s="294">
        <f t="shared" si="753"/>
        <v>0.35781270637960638</v>
      </c>
      <c r="AS117" s="294">
        <f t="shared" si="753"/>
        <v>0.34970347171320049</v>
      </c>
      <c r="AT117" s="294">
        <f t="shared" si="753"/>
        <v>0.36034342294917593</v>
      </c>
      <c r="AU117" s="294">
        <f t="shared" si="753"/>
        <v>0.3520439669013215</v>
      </c>
      <c r="AV117" s="294">
        <f t="shared" si="753"/>
        <v>0.36924012158054709</v>
      </c>
      <c r="AW117" s="294">
        <f t="shared" si="753"/>
        <v>0.35858300358017714</v>
      </c>
      <c r="AX117" s="294">
        <f t="shared" si="753"/>
        <v>0.37162429192464763</v>
      </c>
      <c r="AY117" s="294">
        <f t="shared" si="753"/>
        <v>0.36836150672168244</v>
      </c>
      <c r="AZ117" s="294">
        <f t="shared" si="753"/>
        <v>0.38631143775838311</v>
      </c>
      <c r="BA117" s="294">
        <f t="shared" si="753"/>
        <v>0.38744115111729993</v>
      </c>
      <c r="BB117" s="294">
        <f t="shared" si="753"/>
        <v>0.38118542686242524</v>
      </c>
      <c r="BC117" s="294">
        <f t="shared" si="753"/>
        <v>0.39837502399078756</v>
      </c>
      <c r="BD117" s="294">
        <f t="shared" si="753"/>
        <v>0.3983364741048801</v>
      </c>
      <c r="BE117" s="294">
        <f t="shared" si="753"/>
        <v>0.39514083566947</v>
      </c>
      <c r="BF117" s="294">
        <f t="shared" si="753"/>
        <v>0.40424443876246485</v>
      </c>
      <c r="BG117" s="294">
        <f t="shared" si="753"/>
        <v>0.42585170340681361</v>
      </c>
      <c r="BH117" s="294">
        <f t="shared" si="753"/>
        <v>0.39591492438392478</v>
      </c>
      <c r="BI117" s="294">
        <f t="shared" si="753"/>
        <v>0.54364261168384875</v>
      </c>
      <c r="BJ117" s="294">
        <f t="shared" si="753"/>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S117" s="294">
        <f t="shared" ref="DS117:EP117" si="754">DS114/DS65</f>
        <v>0.33687195520977242</v>
      </c>
      <c r="DT117" s="294">
        <f t="shared" si="754"/>
        <v>0.34120809166784555</v>
      </c>
      <c r="DU117" s="294">
        <f t="shared" si="754"/>
        <v>0.3384390491928308</v>
      </c>
      <c r="DV117" s="294">
        <f t="shared" si="754"/>
        <v>0.35755227682836216</v>
      </c>
      <c r="DW117" s="294">
        <f t="shared" si="754"/>
        <v>0.37317298797409804</v>
      </c>
      <c r="DX117" s="294">
        <f t="shared" si="754"/>
        <v>0.37275177869106013</v>
      </c>
      <c r="DY117" s="294">
        <f t="shared" si="754"/>
        <v>0.36221837088388215</v>
      </c>
      <c r="DZ117" s="294">
        <f t="shared" si="754"/>
        <v>0.36085326344144736</v>
      </c>
      <c r="EA117" s="294">
        <f t="shared" si="754"/>
        <v>0.35282610933800063</v>
      </c>
      <c r="EB117" s="294">
        <f t="shared" si="754"/>
        <v>0.33908011150163614</v>
      </c>
      <c r="EC117" s="294">
        <f t="shared" si="754"/>
        <v>0.34094695748525544</v>
      </c>
      <c r="ED117" s="294">
        <f t="shared" si="754"/>
        <v>0.35203255486788748</v>
      </c>
      <c r="EE117" s="294">
        <f t="shared" si="754"/>
        <v>0.35095704220961405</v>
      </c>
      <c r="EF117" s="294">
        <f t="shared" si="754"/>
        <v>0.38579336538850056</v>
      </c>
      <c r="EG117" s="294">
        <f t="shared" si="754"/>
        <v>0.38037281524266747</v>
      </c>
      <c r="EH117" s="294">
        <f t="shared" si="754"/>
        <v>0.35577379490956706</v>
      </c>
      <c r="EI117" s="294">
        <f t="shared" si="754"/>
        <v>0.36277785621284137</v>
      </c>
      <c r="EJ117" s="294">
        <f t="shared" si="754"/>
        <v>0.38085852303019535</v>
      </c>
      <c r="EK117" s="294">
        <f t="shared" si="754"/>
        <v>0.4003091693108779</v>
      </c>
      <c r="EL117" s="294">
        <f t="shared" si="754"/>
        <v>0.39641703829002001</v>
      </c>
      <c r="EM117" s="294">
        <f t="shared" si="754"/>
        <v>0.40482973415797008</v>
      </c>
      <c r="EN117" s="294">
        <f t="shared" si="754"/>
        <v>0.39951200358985867</v>
      </c>
      <c r="EO117" s="294">
        <f t="shared" si="754"/>
        <v>0.3837856910053733</v>
      </c>
      <c r="EP117" s="294">
        <f t="shared" si="754"/>
        <v>0.38487684959266583</v>
      </c>
      <c r="EQ117" s="294"/>
      <c r="ER117" s="294"/>
      <c r="ES117" s="294"/>
      <c r="ET117" s="294"/>
      <c r="EU117" s="294"/>
    </row>
    <row r="118" spans="2:166" ht="12.75" customHeight="1" x14ac:dyDescent="0.25">
      <c r="B118" t="s">
        <v>359</v>
      </c>
      <c r="AE118" s="243"/>
      <c r="AF118" s="243"/>
      <c r="AG118" s="243"/>
      <c r="AH118" s="288"/>
      <c r="AI118" s="288"/>
      <c r="AJ118" s="288">
        <f t="shared" ref="AJ118:BD118" si="755">AJ114/AF114-1</f>
        <v>0.19694355435050537</v>
      </c>
      <c r="AK118" s="288">
        <f t="shared" si="755"/>
        <v>0.14292779426310576</v>
      </c>
      <c r="AL118" s="288">
        <f t="shared" si="755"/>
        <v>3.677419354838718E-2</v>
      </c>
      <c r="AM118" s="288">
        <f t="shared" si="755"/>
        <v>4.4611215342922561E-2</v>
      </c>
      <c r="AN118" s="288">
        <f t="shared" si="755"/>
        <v>6.1573311367380645E-2</v>
      </c>
      <c r="AO118" s="288">
        <f t="shared" si="755"/>
        <v>7.0964950237992319E-2</v>
      </c>
      <c r="AP118" s="288">
        <f t="shared" si="755"/>
        <v>7.1769342460070495E-2</v>
      </c>
      <c r="AQ118" s="288">
        <f t="shared" si="755"/>
        <v>6.1664338455398093E-2</v>
      </c>
      <c r="AR118" s="288">
        <f t="shared" si="755"/>
        <v>5.1018428709990404E-2</v>
      </c>
      <c r="AS118" s="288">
        <f t="shared" si="755"/>
        <v>6.0202020202020146E-2</v>
      </c>
      <c r="AT118" s="288">
        <f t="shared" si="755"/>
        <v>0.11283143023030773</v>
      </c>
      <c r="AU118" s="288">
        <f t="shared" si="755"/>
        <v>7.1616541353383356E-2</v>
      </c>
      <c r="AV118" s="288">
        <f t="shared" si="755"/>
        <v>0.12107788851974899</v>
      </c>
      <c r="AW118" s="288">
        <f t="shared" si="755"/>
        <v>8.7842987804878092E-2</v>
      </c>
      <c r="AX118" s="288">
        <f t="shared" si="755"/>
        <v>-1.8782608695652181E-2</v>
      </c>
      <c r="AY118" s="288">
        <f t="shared" si="755"/>
        <v>-2.9117698649359758E-2</v>
      </c>
      <c r="AZ118" s="288">
        <f t="shared" si="755"/>
        <v>-3.0786960816595377E-2</v>
      </c>
      <c r="BA118" s="288">
        <f t="shared" si="755"/>
        <v>2.3471711332982981E-2</v>
      </c>
      <c r="BB118" s="288">
        <f t="shared" si="755"/>
        <v>0.11822048918823103</v>
      </c>
      <c r="BC118" s="288">
        <f t="shared" si="755"/>
        <v>0.12502258355916895</v>
      </c>
      <c r="BD118" s="288">
        <f t="shared" si="755"/>
        <v>4.1277390861219621E-2</v>
      </c>
      <c r="BE118" s="288">
        <f t="shared" ref="BE118" si="756">BE114/BA114-1</f>
        <v>1.3178161903131924E-2</v>
      </c>
      <c r="BF118" s="288">
        <f t="shared" ref="BF118" si="757">BF114/BB114-1</f>
        <v>2.377555872562942E-3</v>
      </c>
      <c r="BG118" s="288">
        <f t="shared" ref="BG118" si="758">BG114/BC114-1</f>
        <v>0.16026979283764242</v>
      </c>
      <c r="BH118" s="288">
        <f t="shared" ref="BH118" si="759">BH114/BD114-1</f>
        <v>7.1941272430668946E-2</v>
      </c>
      <c r="BI118" s="288">
        <f t="shared" ref="BI118" si="760">BI114/BE114-1</f>
        <v>0.46976351351351342</v>
      </c>
      <c r="BJ118" s="288">
        <f t="shared" ref="BJ118" si="761">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EG118" s="288">
        <f>EG114/EF114-1</f>
        <v>6.2159614578969347E-2</v>
      </c>
      <c r="EH118" s="288">
        <f t="shared" ref="EH118:EI118" si="762">EH114/EG114-1</f>
        <v>7.1636345708228522E-2</v>
      </c>
      <c r="EI118" s="288">
        <f t="shared" si="762"/>
        <v>6.3949208686050696E-2</v>
      </c>
      <c r="EJ118" s="288">
        <f>EJ114/EI114-1</f>
        <v>1.9372135259015932E-2</v>
      </c>
      <c r="EK118" s="243"/>
      <c r="EL118" s="243"/>
      <c r="EM118" s="243"/>
      <c r="EN118" s="243"/>
      <c r="EO118" s="243"/>
      <c r="EP118" s="243"/>
      <c r="EQ118" s="243"/>
      <c r="ER118" s="243"/>
      <c r="ES118" s="243"/>
      <c r="ET118" s="243"/>
      <c r="EU118" s="243"/>
    </row>
    <row r="119" spans="2:166"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G119" s="288">
        <v>6.4000000000000001E-2</v>
      </c>
      <c r="EH119" s="243"/>
      <c r="EI119" s="243"/>
      <c r="EJ119" s="288">
        <v>4.2000000000000003E-2</v>
      </c>
      <c r="EK119" s="243"/>
      <c r="EL119" s="243"/>
      <c r="EM119" s="243"/>
      <c r="EN119" s="243"/>
      <c r="EO119" s="243"/>
      <c r="EP119" s="243"/>
      <c r="EQ119" s="243"/>
      <c r="ER119" s="243"/>
      <c r="ES119" s="243"/>
      <c r="ET119" s="243"/>
      <c r="EU119" s="243"/>
    </row>
    <row r="120" spans="2:166"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G120" s="288"/>
      <c r="EH120" s="243"/>
      <c r="EI120" s="243"/>
      <c r="EJ120" s="288">
        <f>EJ118-EJ119</f>
        <v>-2.262786474098407E-2</v>
      </c>
      <c r="EK120" s="243"/>
      <c r="EL120" s="243"/>
      <c r="EM120" s="243"/>
      <c r="EN120" s="243"/>
      <c r="EO120" s="243"/>
      <c r="EP120" s="243"/>
      <c r="EQ120" s="243"/>
      <c r="ER120" s="243"/>
      <c r="ES120" s="243"/>
      <c r="ET120" s="243"/>
      <c r="EU120" s="243"/>
    </row>
    <row r="121" spans="2:166" ht="12.75" customHeight="1" x14ac:dyDescent="0.25">
      <c r="B121" t="s">
        <v>231</v>
      </c>
      <c r="K121" s="247">
        <v>1728</v>
      </c>
      <c r="L121" s="247">
        <v>1687</v>
      </c>
      <c r="M121" s="247">
        <v>1704</v>
      </c>
      <c r="N121" s="247">
        <v>1744</v>
      </c>
      <c r="O121" s="247">
        <v>1752</v>
      </c>
      <c r="P121" s="247">
        <v>1707</v>
      </c>
      <c r="Q121" s="247">
        <v>1722</v>
      </c>
      <c r="R121" s="247">
        <v>1723</v>
      </c>
      <c r="S121" s="243">
        <f t="shared" ref="S121:AN121" si="763">S257</f>
        <v>1631</v>
      </c>
      <c r="T121" s="243">
        <f t="shared" si="763"/>
        <v>1530</v>
      </c>
      <c r="U121" s="243">
        <f t="shared" si="763"/>
        <v>1609</v>
      </c>
      <c r="V121" s="243">
        <f t="shared" si="763"/>
        <v>1550</v>
      </c>
      <c r="W121" s="243">
        <f t="shared" si="763"/>
        <v>1604</v>
      </c>
      <c r="X121" s="243">
        <f t="shared" si="763"/>
        <v>1649</v>
      </c>
      <c r="Y121" s="243">
        <f t="shared" si="763"/>
        <v>1661</v>
      </c>
      <c r="Z121" s="243">
        <f t="shared" si="763"/>
        <v>1650</v>
      </c>
      <c r="AA121" s="243">
        <f t="shared" si="763"/>
        <v>1791</v>
      </c>
      <c r="AB121" s="243">
        <f t="shared" si="763"/>
        <v>1819</v>
      </c>
      <c r="AC121" s="243">
        <f t="shared" si="763"/>
        <v>1841</v>
      </c>
      <c r="AD121" s="243">
        <f t="shared" si="763"/>
        <v>1979</v>
      </c>
      <c r="AE121" s="243">
        <f t="shared" si="763"/>
        <v>2047</v>
      </c>
      <c r="AF121" s="243">
        <f t="shared" si="763"/>
        <v>2000</v>
      </c>
      <c r="AG121" s="243">
        <f t="shared" si="763"/>
        <v>2024</v>
      </c>
      <c r="AH121" s="243">
        <f t="shared" si="763"/>
        <v>2262</v>
      </c>
      <c r="AI121" s="243">
        <f t="shared" si="763"/>
        <v>2280</v>
      </c>
      <c r="AJ121" s="243">
        <f t="shared" si="763"/>
        <v>2278</v>
      </c>
      <c r="AK121" s="243">
        <f t="shared" si="763"/>
        <v>2231</v>
      </c>
      <c r="AL121" s="243">
        <f t="shared" si="763"/>
        <v>2307</v>
      </c>
      <c r="AM121" s="243">
        <f t="shared" si="763"/>
        <v>2355</v>
      </c>
      <c r="AN121" s="243">
        <f t="shared" si="763"/>
        <v>2398</v>
      </c>
      <c r="AO121" s="243">
        <f t="shared" ref="AO121:BJ121" si="764">AO64</f>
        <v>2456</v>
      </c>
      <c r="AP121" s="243">
        <f t="shared" si="764"/>
        <v>2565</v>
      </c>
      <c r="AQ121" s="243">
        <f t="shared" si="764"/>
        <v>3496</v>
      </c>
      <c r="AR121" s="243">
        <f t="shared" si="764"/>
        <v>3564</v>
      </c>
      <c r="AS121" s="243">
        <f t="shared" si="764"/>
        <v>3623</v>
      </c>
      <c r="AT121" s="243">
        <f t="shared" si="764"/>
        <v>3810</v>
      </c>
      <c r="AU121" s="243">
        <f t="shared" si="764"/>
        <v>4064</v>
      </c>
      <c r="AV121" s="243">
        <f t="shared" si="764"/>
        <v>4036</v>
      </c>
      <c r="AW121" s="243">
        <f t="shared" si="764"/>
        <v>4099</v>
      </c>
      <c r="AX121" s="243">
        <f t="shared" si="764"/>
        <v>3855</v>
      </c>
      <c r="AY121" s="243">
        <f t="shared" si="764"/>
        <v>3711</v>
      </c>
      <c r="AZ121" s="243">
        <f t="shared" si="764"/>
        <v>3854</v>
      </c>
      <c r="BA121" s="243">
        <f t="shared" si="764"/>
        <v>3989</v>
      </c>
      <c r="BB121" s="243">
        <f t="shared" si="764"/>
        <v>4249</v>
      </c>
      <c r="BC121" s="243">
        <f t="shared" si="764"/>
        <v>3766</v>
      </c>
      <c r="BD121" s="243">
        <f t="shared" si="764"/>
        <v>3647</v>
      </c>
      <c r="BE121" s="243">
        <f t="shared" si="764"/>
        <v>3567</v>
      </c>
      <c r="BF121" s="243">
        <f t="shared" si="764"/>
        <v>3610</v>
      </c>
      <c r="BG121" s="243">
        <f t="shared" si="764"/>
        <v>3682</v>
      </c>
      <c r="BH121" s="243">
        <f t="shared" si="764"/>
        <v>3793</v>
      </c>
      <c r="BI121" s="243">
        <f t="shared" si="764"/>
        <v>3740</v>
      </c>
      <c r="BJ121" s="243">
        <f t="shared" si="764"/>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S121" s="243">
        <v>4780</v>
      </c>
      <c r="DT121" s="243">
        <v>4824</v>
      </c>
      <c r="DU121" s="243">
        <v>5251</v>
      </c>
      <c r="DV121" s="243">
        <v>5831</v>
      </c>
      <c r="DW121" s="243">
        <v>6364</v>
      </c>
      <c r="DX121" s="243">
        <v>6498</v>
      </c>
      <c r="DY121" s="243">
        <v>6526</v>
      </c>
      <c r="DZ121" s="243">
        <v>6864</v>
      </c>
      <c r="EA121" s="243">
        <v>6904</v>
      </c>
      <c r="EB121" s="243">
        <v>6962</v>
      </c>
      <c r="EC121" s="243">
        <v>6564</v>
      </c>
      <c r="ED121" s="243">
        <v>7431</v>
      </c>
      <c r="EE121" s="243">
        <v>8333</v>
      </c>
      <c r="EF121" s="243">
        <f t="shared" ref="EF121:EQ121" si="765">EF64</f>
        <v>9096</v>
      </c>
      <c r="EG121" s="243">
        <f t="shared" si="765"/>
        <v>9774</v>
      </c>
      <c r="EH121" s="243">
        <f t="shared" si="765"/>
        <v>14493</v>
      </c>
      <c r="EI121" s="243">
        <f t="shared" si="765"/>
        <v>16054</v>
      </c>
      <c r="EJ121" s="243">
        <f t="shared" si="765"/>
        <v>15803</v>
      </c>
      <c r="EK121" s="243">
        <f t="shared" si="765"/>
        <v>14590</v>
      </c>
      <c r="EL121" s="243">
        <f t="shared" si="765"/>
        <v>14883</v>
      </c>
      <c r="EM121" s="243">
        <f t="shared" si="765"/>
        <v>14447</v>
      </c>
      <c r="EN121" s="243">
        <f t="shared" si="765"/>
        <v>14697</v>
      </c>
      <c r="EO121" s="243">
        <f t="shared" si="765"/>
        <v>14990.94</v>
      </c>
      <c r="EP121" s="243">
        <f t="shared" si="765"/>
        <v>15290.758800000001</v>
      </c>
      <c r="EQ121" s="243">
        <f t="shared" si="765"/>
        <v>15596.573976000001</v>
      </c>
      <c r="ER121" s="243"/>
      <c r="ES121" s="243"/>
      <c r="ET121" s="243"/>
      <c r="EU121" s="243"/>
    </row>
    <row r="122" spans="2:166"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S122" s="243">
        <v>501</v>
      </c>
      <c r="DT122" s="243">
        <v>521</v>
      </c>
      <c r="DU122" s="243">
        <v>443</v>
      </c>
      <c r="DV122" s="243">
        <v>298</v>
      </c>
      <c r="DW122" s="243">
        <v>361</v>
      </c>
      <c r="DX122" s="243">
        <v>558</v>
      </c>
      <c r="DY122" s="243">
        <v>658</v>
      </c>
      <c r="DZ122" s="243">
        <v>683</v>
      </c>
      <c r="EA122" s="243">
        <v>867</v>
      </c>
      <c r="EB122" s="243">
        <v>1004</v>
      </c>
      <c r="EC122" s="243">
        <v>1229</v>
      </c>
      <c r="ED122" s="243">
        <v>1393</v>
      </c>
      <c r="EE122" s="243">
        <v>1514</v>
      </c>
      <c r="EF122" s="243">
        <v>1667</v>
      </c>
      <c r="EG122" s="243"/>
      <c r="EH122" s="243"/>
      <c r="EI122" s="243"/>
      <c r="EJ122" s="243"/>
      <c r="EK122" s="243"/>
      <c r="EL122" s="243"/>
      <c r="EM122" s="243"/>
      <c r="EN122" s="243"/>
      <c r="EO122" s="243"/>
      <c r="EP122" s="243"/>
      <c r="EQ122" s="243"/>
      <c r="ER122" s="243"/>
      <c r="ES122" s="243"/>
      <c r="ET122" s="243"/>
      <c r="EU122" s="243"/>
    </row>
    <row r="123" spans="2:166" ht="12.75" customHeight="1" x14ac:dyDescent="0.25">
      <c r="B123" t="s">
        <v>357</v>
      </c>
      <c r="W123" s="294">
        <f t="shared" ref="W123:AN123" si="766">W122/W121</f>
        <v>0.19638403990024939</v>
      </c>
      <c r="X123" s="294">
        <f t="shared" si="766"/>
        <v>0.20557913887204365</v>
      </c>
      <c r="Y123" s="294">
        <f t="shared" si="766"/>
        <v>0.2028898254063817</v>
      </c>
      <c r="Z123" s="294">
        <f t="shared" si="766"/>
        <v>0.14424242424242426</v>
      </c>
      <c r="AA123" s="294">
        <f t="shared" si="766"/>
        <v>0.23059743160245672</v>
      </c>
      <c r="AB123" s="294">
        <f t="shared" si="766"/>
        <v>0.2045079714128642</v>
      </c>
      <c r="AC123" s="294">
        <f t="shared" si="766"/>
        <v>0.19771863117870722</v>
      </c>
      <c r="AD123" s="294">
        <f t="shared" si="766"/>
        <v>0.12329459322890349</v>
      </c>
      <c r="AE123" s="294">
        <f t="shared" si="766"/>
        <v>0.21494870542256961</v>
      </c>
      <c r="AF123" s="294">
        <f t="shared" si="766"/>
        <v>0.191</v>
      </c>
      <c r="AG123" s="294">
        <f t="shared" si="766"/>
        <v>0.17687747035573123</v>
      </c>
      <c r="AH123" s="294">
        <f t="shared" si="766"/>
        <v>0.14765694076038904</v>
      </c>
      <c r="AI123" s="294">
        <f t="shared" si="766"/>
        <v>0.19210526315789472</v>
      </c>
      <c r="AJ123" s="294">
        <f t="shared" si="766"/>
        <v>0.18349429323968394</v>
      </c>
      <c r="AK123" s="294">
        <f t="shared" si="766"/>
        <v>0.19094576423128642</v>
      </c>
      <c r="AL123" s="294">
        <f t="shared" si="766"/>
        <v>0.15864759427828348</v>
      </c>
      <c r="AM123" s="294">
        <f t="shared" si="766"/>
        <v>0.19745222929936307</v>
      </c>
      <c r="AN123" s="294">
        <f t="shared" si="766"/>
        <v>0.19724770642201836</v>
      </c>
      <c r="BC123" s="294">
        <f>+BC122/BC121</f>
        <v>0.20844397238449283</v>
      </c>
      <c r="DS123" s="294">
        <f t="shared" ref="DS123:EI123" si="767">DS122/DS121</f>
        <v>0.10481171548117155</v>
      </c>
      <c r="DT123" s="294">
        <f t="shared" si="767"/>
        <v>0.1080016583747927</v>
      </c>
      <c r="DU123" s="294">
        <f t="shared" si="767"/>
        <v>8.4364882879451528E-2</v>
      </c>
      <c r="DV123" s="294">
        <f t="shared" si="767"/>
        <v>5.110615674841365E-2</v>
      </c>
      <c r="DW123" s="294">
        <f t="shared" si="767"/>
        <v>5.6725329981143935E-2</v>
      </c>
      <c r="DX123" s="294">
        <f t="shared" si="767"/>
        <v>8.5872576177285317E-2</v>
      </c>
      <c r="DY123" s="294">
        <f t="shared" si="767"/>
        <v>0.10082745939319644</v>
      </c>
      <c r="DZ123" s="294">
        <f t="shared" si="767"/>
        <v>9.9504662004662001E-2</v>
      </c>
      <c r="EA123" s="294">
        <f t="shared" si="767"/>
        <v>0.12557937427578217</v>
      </c>
      <c r="EB123" s="294">
        <f t="shared" si="767"/>
        <v>0.14421143349612181</v>
      </c>
      <c r="EC123" s="294">
        <f t="shared" si="767"/>
        <v>0.18723339427178551</v>
      </c>
      <c r="ED123" s="294">
        <f t="shared" si="767"/>
        <v>0.18745794644058672</v>
      </c>
      <c r="EE123" s="294">
        <f t="shared" si="767"/>
        <v>0.18168726749069963</v>
      </c>
      <c r="EF123" s="294">
        <f t="shared" si="767"/>
        <v>0.18326737027264731</v>
      </c>
      <c r="EG123" s="294">
        <f t="shared" si="767"/>
        <v>0</v>
      </c>
      <c r="EH123" s="294">
        <f t="shared" si="767"/>
        <v>0</v>
      </c>
      <c r="EI123" s="294">
        <f t="shared" si="767"/>
        <v>0</v>
      </c>
    </row>
    <row r="124" spans="2:166" ht="12.75" customHeight="1" x14ac:dyDescent="0.25">
      <c r="B124" t="s">
        <v>358</v>
      </c>
      <c r="Z124" s="294">
        <f t="shared" ref="Z124:BJ124" si="768">Z121/Z65</f>
        <v>0.17547591194299691</v>
      </c>
      <c r="AA124" s="294">
        <f t="shared" si="768"/>
        <v>0.18234575442883322</v>
      </c>
      <c r="AB124" s="294">
        <f t="shared" si="768"/>
        <v>0.17605497483546265</v>
      </c>
      <c r="AC124" s="294">
        <f t="shared" si="768"/>
        <v>0.17610484025253492</v>
      </c>
      <c r="AD124" s="294">
        <f t="shared" si="768"/>
        <v>0.17376415839845466</v>
      </c>
      <c r="AE124" s="294">
        <f t="shared" si="768"/>
        <v>0.17081108144192256</v>
      </c>
      <c r="AF124" s="294">
        <f t="shared" si="768"/>
        <v>0.16818028927009754</v>
      </c>
      <c r="AG124" s="294">
        <f t="shared" si="768"/>
        <v>0.17519259066909029</v>
      </c>
      <c r="AH124" s="294">
        <f t="shared" si="768"/>
        <v>0.17738393977415307</v>
      </c>
      <c r="AI124" s="294">
        <f t="shared" si="768"/>
        <v>0.17768079800498754</v>
      </c>
      <c r="AJ124" s="294">
        <f t="shared" si="768"/>
        <v>0.17849866792038865</v>
      </c>
      <c r="AK124" s="294">
        <f t="shared" si="768"/>
        <v>0.18123476848090983</v>
      </c>
      <c r="AL124" s="294">
        <f t="shared" si="768"/>
        <v>0.18295003965107057</v>
      </c>
      <c r="AM124" s="294">
        <f t="shared" si="768"/>
        <v>0.18126539408866996</v>
      </c>
      <c r="AN124" s="294">
        <f t="shared" si="768"/>
        <v>0.17945072214323132</v>
      </c>
      <c r="AO124" s="294">
        <f t="shared" si="768"/>
        <v>0.18484232708662601</v>
      </c>
      <c r="AP124" s="294">
        <f t="shared" si="768"/>
        <v>0.1874725917263558</v>
      </c>
      <c r="AQ124" s="294">
        <f t="shared" si="768"/>
        <v>0.23172267515079206</v>
      </c>
      <c r="AR124" s="294">
        <f t="shared" si="768"/>
        <v>0.23537181349887729</v>
      </c>
      <c r="AS124" s="294">
        <f t="shared" si="768"/>
        <v>0.24142067035383488</v>
      </c>
      <c r="AT124" s="294">
        <f t="shared" si="768"/>
        <v>0.23876668546719307</v>
      </c>
      <c r="AU124" s="294">
        <f t="shared" si="768"/>
        <v>0.25095714462146473</v>
      </c>
      <c r="AV124" s="294">
        <f t="shared" si="768"/>
        <v>0.24534954407294832</v>
      </c>
      <c r="AW124" s="294">
        <f t="shared" si="768"/>
        <v>0.25745870234281765</v>
      </c>
      <c r="AX124" s="294">
        <f t="shared" si="768"/>
        <v>0.25391911474114082</v>
      </c>
      <c r="AY124" s="294">
        <f t="shared" si="768"/>
        <v>0.24697191534673232</v>
      </c>
      <c r="AZ124" s="294">
        <f t="shared" si="768"/>
        <v>0.25290373384080322</v>
      </c>
      <c r="BA124" s="294">
        <f t="shared" si="768"/>
        <v>0.264505006299317</v>
      </c>
      <c r="BB124" s="294">
        <f t="shared" si="768"/>
        <v>0.25672164823877713</v>
      </c>
      <c r="BC124" s="294">
        <f t="shared" si="768"/>
        <v>0.24093148231079264</v>
      </c>
      <c r="BD124" s="294">
        <f t="shared" si="768"/>
        <v>0.23698745857430631</v>
      </c>
      <c r="BE124" s="294">
        <f t="shared" si="768"/>
        <v>0.2380857028434121</v>
      </c>
      <c r="BF124" s="294">
        <f t="shared" si="768"/>
        <v>0.23075939657376629</v>
      </c>
      <c r="BG124" s="294">
        <f t="shared" si="768"/>
        <v>0.2170222798538253</v>
      </c>
      <c r="BH124" s="294">
        <f t="shared" si="768"/>
        <v>0.22853527745978189</v>
      </c>
      <c r="BI124" s="294">
        <f t="shared" si="768"/>
        <v>0.23367697594501718</v>
      </c>
      <c r="BJ124" s="294">
        <f t="shared" si="768"/>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S124" s="294">
        <f t="shared" ref="DS124:EP124" si="769">DS121/DS65</f>
        <v>0.34756053224750966</v>
      </c>
      <c r="DT124" s="294">
        <f t="shared" si="769"/>
        <v>0.34120809166784555</v>
      </c>
      <c r="DU124" s="294">
        <f t="shared" si="769"/>
        <v>0.33373585865005723</v>
      </c>
      <c r="DV124" s="294">
        <f t="shared" si="769"/>
        <v>0.30946820931960511</v>
      </c>
      <c r="DW124" s="294">
        <f t="shared" si="769"/>
        <v>0.29435707678075856</v>
      </c>
      <c r="DX124" s="294">
        <f t="shared" si="769"/>
        <v>0.2871536523929471</v>
      </c>
      <c r="DY124" s="294">
        <f t="shared" si="769"/>
        <v>0.27585915373885106</v>
      </c>
      <c r="DZ124" s="294">
        <f t="shared" si="769"/>
        <v>0.249863492410178</v>
      </c>
      <c r="EA124" s="294">
        <f t="shared" si="769"/>
        <v>0.23693331960602629</v>
      </c>
      <c r="EB124" s="294">
        <f t="shared" si="769"/>
        <v>0.21094412798448672</v>
      </c>
      <c r="EC124" s="294">
        <f t="shared" si="769"/>
        <v>0.17782883026882929</v>
      </c>
      <c r="ED124" s="294">
        <f t="shared" si="769"/>
        <v>0.17540256907759633</v>
      </c>
      <c r="EE124" s="294">
        <f t="shared" si="769"/>
        <v>0.17318203545524452</v>
      </c>
      <c r="EF124" s="294">
        <f t="shared" si="769"/>
        <v>0.18376500060608508</v>
      </c>
      <c r="EG124" s="294">
        <f t="shared" si="769"/>
        <v>0.1832945765508964</v>
      </c>
      <c r="EH124" s="294">
        <f t="shared" si="769"/>
        <v>0.2372207218266634</v>
      </c>
      <c r="EI124" s="294">
        <f t="shared" si="769"/>
        <v>0.25183930224167411</v>
      </c>
      <c r="EJ124" s="294">
        <f t="shared" si="769"/>
        <v>0.25531124287122153</v>
      </c>
      <c r="EK124" s="294">
        <f t="shared" si="769"/>
        <v>0.23740948661622324</v>
      </c>
      <c r="EL124" s="294">
        <f t="shared" si="769"/>
        <v>0.22886360141473167</v>
      </c>
      <c r="EM124" s="294">
        <f t="shared" si="769"/>
        <v>0.21324929517174193</v>
      </c>
      <c r="EN124" s="294">
        <f t="shared" si="769"/>
        <v>0.20609434597262732</v>
      </c>
      <c r="EO124" s="294">
        <f t="shared" si="769"/>
        <v>0.19922196673175194</v>
      </c>
      <c r="EP124" s="294">
        <f t="shared" si="769"/>
        <v>0.20100402568769568</v>
      </c>
      <c r="EQ124" s="294"/>
      <c r="ER124" s="294"/>
      <c r="ES124" s="294"/>
      <c r="ET124" s="294"/>
      <c r="EU124" s="294"/>
    </row>
    <row r="125" spans="2:166" ht="12.75" customHeight="1" x14ac:dyDescent="0.25">
      <c r="B125" t="s">
        <v>359</v>
      </c>
      <c r="AI125" s="294"/>
      <c r="AM125" s="294"/>
      <c r="AO125" s="288">
        <f t="shared" ref="AO125:BB125" si="770">AO121/AK121-1</f>
        <v>0.10085163603765124</v>
      </c>
      <c r="AP125" s="288">
        <f t="shared" si="770"/>
        <v>0.1118335500650196</v>
      </c>
      <c r="AQ125" s="288">
        <f t="shared" si="770"/>
        <v>0.48450106157112516</v>
      </c>
      <c r="AR125" s="288">
        <f t="shared" si="770"/>
        <v>0.48623853211009171</v>
      </c>
      <c r="AS125" s="288">
        <f t="shared" si="770"/>
        <v>0.47516286644951133</v>
      </c>
      <c r="AT125" s="288">
        <f t="shared" si="770"/>
        <v>0.48538011695906436</v>
      </c>
      <c r="AU125" s="288">
        <f t="shared" si="770"/>
        <v>0.1624713958810069</v>
      </c>
      <c r="AV125" s="288">
        <f t="shared" si="770"/>
        <v>0.13243546576879917</v>
      </c>
      <c r="AW125" s="288">
        <f t="shared" si="770"/>
        <v>0.13138283190725919</v>
      </c>
      <c r="AX125" s="288">
        <f t="shared" si="770"/>
        <v>1.1811023622047223E-2</v>
      </c>
      <c r="AY125" s="288">
        <f t="shared" si="770"/>
        <v>-8.6860236220472453E-2</v>
      </c>
      <c r="AZ125" s="288">
        <f>AZ121/AV121-1</f>
        <v>-4.5094152626362738E-2</v>
      </c>
      <c r="BA125" s="288">
        <f t="shared" si="770"/>
        <v>-2.6835813613076409E-2</v>
      </c>
      <c r="BB125" s="288">
        <f t="shared" si="770"/>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71">BH121/BD121-1</f>
        <v>4.0032903756512139E-2</v>
      </c>
      <c r="BI125" s="288">
        <f t="shared" si="771"/>
        <v>4.8500140173815431E-2</v>
      </c>
      <c r="BJ125" s="288">
        <f t="shared" ref="BJ125" si="772">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EG121/EF121-1</f>
        <v>7.4538258575197913E-2</v>
      </c>
      <c r="EH125" s="288">
        <f>EH121/EG121-1</f>
        <v>0.48281154082259059</v>
      </c>
      <c r="EI125" s="288">
        <f>EI121/EH121-1</f>
        <v>0.10770716897812727</v>
      </c>
      <c r="EJ125" s="288">
        <f>EJ121/EI121-1</f>
        <v>-1.5634732776877991E-2</v>
      </c>
    </row>
    <row r="126" spans="2:166"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v>6.4000000000000001E-2</v>
      </c>
      <c r="EJ126" s="288">
        <v>0.02</v>
      </c>
    </row>
    <row r="127" spans="2:166"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f>EG125-EG126</f>
        <v>1.0538258575197912E-2</v>
      </c>
      <c r="EJ127" s="288">
        <f>EJ125-EJ126</f>
        <v>-3.5634732776877995E-2</v>
      </c>
    </row>
    <row r="128" spans="2:166"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EG128" s="288"/>
      <c r="EJ128" s="288"/>
    </row>
    <row r="129" spans="2:153"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P129" s="166"/>
      <c r="DQ129" s="166"/>
      <c r="DR129" s="166"/>
      <c r="DS129" s="166"/>
      <c r="DT129" s="166"/>
      <c r="DU129" s="166"/>
      <c r="DV129" s="166"/>
      <c r="DW129" s="166"/>
      <c r="DX129" s="166"/>
      <c r="DY129" s="166"/>
      <c r="DZ129" s="166"/>
      <c r="EA129" s="166"/>
      <c r="EB129" s="289">
        <v>0.122</v>
      </c>
      <c r="EC129" s="289">
        <v>0.104</v>
      </c>
      <c r="ED129" s="289">
        <v>9.4E-2</v>
      </c>
      <c r="EE129" s="289">
        <v>8.6999999999999994E-2</v>
      </c>
      <c r="EF129" s="289">
        <v>5.3999999999999999E-2</v>
      </c>
      <c r="EG129" s="166"/>
      <c r="EH129" s="223">
        <v>0.10100000000000001</v>
      </c>
      <c r="EI129" s="223">
        <v>1.0999999999999999E-2</v>
      </c>
      <c r="EJ129" s="223">
        <v>-2E-3</v>
      </c>
      <c r="EK129" s="166"/>
      <c r="EL129" s="289">
        <v>2.8000000000000001E-2</v>
      </c>
      <c r="EM129" s="166"/>
      <c r="EN129" s="166"/>
      <c r="EO129" s="166"/>
      <c r="EP129" s="166"/>
      <c r="EQ129" s="166"/>
      <c r="ER129" s="166"/>
      <c r="ES129" s="166"/>
      <c r="ET129" s="166"/>
      <c r="EU129" s="166"/>
    </row>
    <row r="130" spans="2:153" ht="12.75" customHeight="1" x14ac:dyDescent="0.25">
      <c r="B130" t="s">
        <v>155</v>
      </c>
      <c r="AE130" s="288"/>
      <c r="EB130" s="288">
        <v>1.2E-2</v>
      </c>
      <c r="EC130" s="288">
        <v>1.7000000000000001E-2</v>
      </c>
      <c r="ED130" s="288">
        <v>1.2999999999999999E-2</v>
      </c>
      <c r="EE130" s="288">
        <v>0.01</v>
      </c>
      <c r="EF130" s="288">
        <v>6.0000000000000001E-3</v>
      </c>
      <c r="EH130" s="81">
        <v>1.4E-2</v>
      </c>
      <c r="EI130" s="81">
        <v>8.0000000000000002E-3</v>
      </c>
      <c r="EJ130" s="81">
        <v>-1E-3</v>
      </c>
      <c r="EL130" s="288">
        <v>0</v>
      </c>
    </row>
    <row r="131" spans="2:153"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DX131" s="288">
        <v>-0.04</v>
      </c>
      <c r="DY131" s="288">
        <v>-2.7558829638206016E-2</v>
      </c>
      <c r="DZ131" s="288">
        <v>-1.8336618644173741E-2</v>
      </c>
      <c r="EB131" s="288">
        <v>-2.5999999999999999E-2</v>
      </c>
      <c r="EC131" s="288">
        <v>2E-3</v>
      </c>
      <c r="ED131" s="288">
        <v>4.5999999999999999E-2</v>
      </c>
      <c r="EE131" s="288">
        <v>3.4000000000000002E-2</v>
      </c>
      <c r="EF131" s="288">
        <v>7.0000000000000001E-3</v>
      </c>
      <c r="EH131" s="288">
        <v>3.1E-2</v>
      </c>
      <c r="EI131" s="288">
        <v>2.4E-2</v>
      </c>
      <c r="EJ131" s="288">
        <v>-2.5999999999999999E-2</v>
      </c>
      <c r="EL131" s="288">
        <v>2.8000000000000001E-2</v>
      </c>
    </row>
    <row r="132" spans="2:153" ht="12.75" customHeight="1" x14ac:dyDescent="0.25">
      <c r="B132" t="s">
        <v>363</v>
      </c>
      <c r="AE132" s="288">
        <f t="shared" ref="AE132:AO132" si="773">AE81</f>
        <v>0.22011810221950734</v>
      </c>
      <c r="AF132" s="288">
        <f t="shared" si="773"/>
        <v>0.15098722415795596</v>
      </c>
      <c r="AG132" s="288">
        <f t="shared" si="773"/>
        <v>0.1051272240290797</v>
      </c>
      <c r="AH132" s="288">
        <f t="shared" si="773"/>
        <v>0.11967688120115905</v>
      </c>
      <c r="AI132" s="288">
        <f t="shared" si="773"/>
        <v>7.0761014686248291E-2</v>
      </c>
      <c r="AJ132" s="288">
        <f t="shared" si="773"/>
        <v>7.3158425832492435E-2</v>
      </c>
      <c r="AK132" s="288">
        <f t="shared" si="773"/>
        <v>6.552410629273786E-2</v>
      </c>
      <c r="AL132" s="288">
        <f t="shared" si="773"/>
        <v>-1.1135508155583396E-2</v>
      </c>
      <c r="AM132" s="288">
        <f t="shared" si="773"/>
        <v>1.2468827930174564E-2</v>
      </c>
      <c r="AN132" s="288">
        <f t="shared" si="773"/>
        <v>4.7092932142297483E-2</v>
      </c>
      <c r="AO132" s="288">
        <f t="shared" si="773"/>
        <v>7.9366368805848797E-2</v>
      </c>
      <c r="AR132" s="288">
        <f t="shared" ref="AR132:BE132" si="774">AR81</f>
        <v>0.13312878844570819</v>
      </c>
      <c r="AS132" s="288">
        <f t="shared" si="774"/>
        <v>0.12944983818770228</v>
      </c>
      <c r="AT132" s="288">
        <f t="shared" si="774"/>
        <v>0.16627686010817122</v>
      </c>
      <c r="AU132" s="288">
        <f t="shared" si="774"/>
        <v>7.3374428315768458E-2</v>
      </c>
      <c r="AV132" s="288">
        <f t="shared" si="774"/>
        <v>8.6382248051776411E-2</v>
      </c>
      <c r="AW132" s="288">
        <f t="shared" si="774"/>
        <v>6.0904911041513854E-2</v>
      </c>
      <c r="AX132" s="288">
        <f t="shared" si="774"/>
        <v>-4.8568026571410683E-2</v>
      </c>
      <c r="AY132" s="288">
        <f t="shared" si="774"/>
        <v>-7.2125478572310775E-2</v>
      </c>
      <c r="AZ132" s="288">
        <f t="shared" si="774"/>
        <v>-7.3617021276595751E-2</v>
      </c>
      <c r="BA132" s="288">
        <f t="shared" si="774"/>
        <v>-5.27605049934049E-2</v>
      </c>
      <c r="BB132" s="288">
        <f t="shared" si="774"/>
        <v>9.017257278355939E-2</v>
      </c>
      <c r="BC132" s="288">
        <f t="shared" si="774"/>
        <v>4.026354319180081E-2</v>
      </c>
      <c r="BD132" s="288">
        <f t="shared" si="774"/>
        <v>9.8431655620447867E-3</v>
      </c>
      <c r="BE132" s="288">
        <f t="shared" si="774"/>
        <v>-6.5645514223194867E-3</v>
      </c>
      <c r="BG132" s="288">
        <f>BG81</f>
        <v>8.5407203633804718E-2</v>
      </c>
      <c r="BI132" s="288">
        <f>BI81</f>
        <v>6.8281938325991165E-2</v>
      </c>
      <c r="BJ132" s="288">
        <f>BJ81</f>
        <v>0.20308105343901817</v>
      </c>
      <c r="EA132" s="288"/>
      <c r="EB132" s="288">
        <f>EB131+EB130+EB129</f>
        <v>0.108</v>
      </c>
      <c r="EC132" s="288">
        <f>EC131+EC130+EC129</f>
        <v>0.123</v>
      </c>
      <c r="ED132" s="288">
        <f>ED131+ED130+ED129</f>
        <v>0.153</v>
      </c>
      <c r="EE132" s="288">
        <f>EE131+EE130+EE129</f>
        <v>0.13100000000000001</v>
      </c>
      <c r="EF132" s="288">
        <f>EF131+EF130+EF129</f>
        <v>6.7000000000000004E-2</v>
      </c>
      <c r="EH132" s="288">
        <f>EH131+EH130+EH129</f>
        <v>0.14600000000000002</v>
      </c>
      <c r="EI132" s="288">
        <f>EI131+EI130+EI129</f>
        <v>4.2999999999999997E-2</v>
      </c>
      <c r="EJ132" s="288">
        <f>EJ131+EJ130+EJ129</f>
        <v>-2.8999999999999998E-2</v>
      </c>
      <c r="EL132" s="288">
        <f>EL131+EL130+EL129</f>
        <v>5.6000000000000001E-2</v>
      </c>
    </row>
    <row r="134" spans="2:153"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DZ134" s="247">
        <v>15919.8</v>
      </c>
      <c r="EA134" s="247">
        <v>17710.5</v>
      </c>
      <c r="EB134" s="247">
        <v>19825</v>
      </c>
      <c r="EC134" s="247">
        <v>22455</v>
      </c>
      <c r="ED134" s="247">
        <v>25273</v>
      </c>
      <c r="EE134" s="247">
        <v>27770</v>
      </c>
      <c r="EF134" s="247">
        <v>28376</v>
      </c>
    </row>
    <row r="135" spans="2:153"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DZ135" s="247"/>
      <c r="EA135" s="247"/>
      <c r="EB135" s="247"/>
      <c r="EC135" s="247"/>
      <c r="ED135" s="247"/>
      <c r="EE135" s="247"/>
      <c r="EF135" s="247"/>
    </row>
    <row r="136" spans="2:153"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DZ136" s="247"/>
      <c r="EA136" s="247"/>
      <c r="EB136" s="247"/>
      <c r="EC136" s="247"/>
      <c r="ED136" s="247"/>
      <c r="EE136" s="247"/>
      <c r="EF136" s="247"/>
    </row>
    <row r="137" spans="2:153"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DZ137" s="247"/>
      <c r="EA137" s="247"/>
      <c r="EB137" s="247"/>
      <c r="EC137" s="247"/>
      <c r="ED137" s="247"/>
      <c r="EE137" s="247"/>
      <c r="EF137" s="247"/>
    </row>
    <row r="138" spans="2:153"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DZ138" s="247">
        <v>12088</v>
      </c>
      <c r="EA138" s="247">
        <v>12135.5</v>
      </c>
      <c r="EB138" s="247">
        <v>12492</v>
      </c>
      <c r="EC138" s="247">
        <v>13843</v>
      </c>
      <c r="ED138" s="247">
        <v>16586</v>
      </c>
      <c r="EE138" s="247">
        <v>19578</v>
      </c>
      <c r="EF138" s="247">
        <v>22137</v>
      </c>
    </row>
    <row r="139" spans="2:153"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J139" s="288">
        <v>3.9E-2</v>
      </c>
    </row>
    <row r="140" spans="2:153"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J140" s="288">
        <v>-5.2999999999999999E-2</v>
      </c>
    </row>
    <row r="142" spans="2:153" ht="12.75" customHeight="1" x14ac:dyDescent="0.25">
      <c r="B142" t="s">
        <v>368</v>
      </c>
      <c r="AM142" s="76">
        <v>116000</v>
      </c>
      <c r="AO142" s="76">
        <v>115700</v>
      </c>
      <c r="AZ142" s="243">
        <v>117000</v>
      </c>
      <c r="CX142" s="243">
        <v>144300</v>
      </c>
      <c r="CY142" s="243"/>
      <c r="CZ142" s="243"/>
      <c r="DA142" s="243"/>
      <c r="DB142" s="243">
        <v>155800</v>
      </c>
      <c r="EF142" s="76">
        <v>115600</v>
      </c>
      <c r="EV142" s="79">
        <f>CX142</f>
        <v>144300</v>
      </c>
      <c r="EW142" s="79">
        <f>DB142</f>
        <v>155800</v>
      </c>
    </row>
    <row r="143" spans="2:153" ht="12.75" customHeight="1" x14ac:dyDescent="0.25">
      <c r="AZ143" s="243"/>
      <c r="CX143" s="243"/>
      <c r="CY143" s="243"/>
      <c r="CZ143" s="243"/>
      <c r="DA143" s="243"/>
      <c r="DB143" s="294">
        <f>DB142/CX142-1</f>
        <v>7.9695079695079718E-2</v>
      </c>
    </row>
    <row r="144" spans="2:153" ht="12.75" customHeight="1" x14ac:dyDescent="0.25">
      <c r="B144" t="s">
        <v>369</v>
      </c>
      <c r="EG144" s="243">
        <v>14200</v>
      </c>
      <c r="EH144" s="243">
        <v>15022</v>
      </c>
      <c r="EI144" s="243">
        <v>14972</v>
      </c>
      <c r="EJ144" s="243">
        <v>16571</v>
      </c>
    </row>
    <row r="145" spans="2:166" ht="12.75" customHeight="1" x14ac:dyDescent="0.25">
      <c r="B145" t="s">
        <v>370</v>
      </c>
      <c r="EG145" s="243">
        <v>11600</v>
      </c>
      <c r="EH145" s="243">
        <f>+EH144-2942</f>
        <v>12080</v>
      </c>
      <c r="EI145" s="243">
        <f>+EI144-3066</f>
        <v>11906</v>
      </c>
      <c r="EJ145" s="243">
        <f>+EJ144-2365</f>
        <v>14206</v>
      </c>
    </row>
    <row r="146" spans="2:166" ht="12.75" customHeight="1" x14ac:dyDescent="0.25">
      <c r="B146" t="s">
        <v>1234</v>
      </c>
      <c r="AP146" s="243">
        <f t="shared" ref="AP146:AY146" si="775">+AP150-AP162-AP169</f>
        <v>-2493</v>
      </c>
      <c r="AQ146" s="243">
        <f t="shared" si="775"/>
        <v>-1489</v>
      </c>
      <c r="AR146" s="243">
        <f t="shared" si="775"/>
        <v>-495</v>
      </c>
      <c r="AS146" s="243">
        <f t="shared" si="775"/>
        <v>431</v>
      </c>
      <c r="AT146" s="243">
        <f t="shared" si="775"/>
        <v>-220</v>
      </c>
      <c r="AU146" s="243">
        <f t="shared" si="775"/>
        <v>-269</v>
      </c>
      <c r="AV146" s="243">
        <f t="shared" si="775"/>
        <v>-865</v>
      </c>
      <c r="AW146" s="243">
        <f t="shared" si="775"/>
        <v>161</v>
      </c>
      <c r="AX146" s="243">
        <f t="shared" si="775"/>
        <v>961</v>
      </c>
      <c r="AY146" s="243">
        <f t="shared" si="775"/>
        <v>-124</v>
      </c>
      <c r="AZ146" s="243">
        <f t="shared" ref="AZ146:BF146" si="776">+AZ150-AZ162-AZ169</f>
        <v>1120</v>
      </c>
      <c r="BA146" s="243">
        <f t="shared" si="776"/>
        <v>2756</v>
      </c>
      <c r="BB146" s="243">
        <f t="shared" si="776"/>
        <v>4884</v>
      </c>
      <c r="BC146" s="243">
        <f t="shared" si="776"/>
        <v>5907</v>
      </c>
      <c r="BD146" s="243">
        <f t="shared" si="776"/>
        <v>7249</v>
      </c>
      <c r="BE146" s="243">
        <f t="shared" si="776"/>
        <v>10101</v>
      </c>
      <c r="BF146" s="243">
        <f t="shared" si="776"/>
        <v>10885</v>
      </c>
      <c r="BG146" s="243">
        <f t="shared" ref="BG146:BH146" si="777">+BG150-BG162-BG169</f>
        <v>9037</v>
      </c>
      <c r="BH146" s="243">
        <f t="shared" si="777"/>
        <v>10956</v>
      </c>
      <c r="BI146" s="243">
        <f t="shared" ref="BI146:BP146" si="778">+BI150-BI162-BI169</f>
        <v>12570</v>
      </c>
      <c r="BJ146" s="243">
        <f t="shared" si="778"/>
        <v>12634</v>
      </c>
      <c r="BK146" s="243">
        <f t="shared" si="778"/>
        <v>14398</v>
      </c>
      <c r="BL146" s="243">
        <f>+BL150-BL162-BL169</f>
        <v>-650</v>
      </c>
      <c r="BM146" s="243">
        <f t="shared" si="778"/>
        <v>2920</v>
      </c>
      <c r="BN146" s="243">
        <f t="shared" si="778"/>
        <v>4924</v>
      </c>
      <c r="BO146" s="243">
        <f t="shared" si="778"/>
        <v>5776</v>
      </c>
      <c r="BP146" s="243">
        <f t="shared" si="778"/>
        <v>10147</v>
      </c>
      <c r="BQ146" s="243">
        <f t="shared" ref="BQ146:BR146" si="779">+BQ150-BQ162-BQ169</f>
        <v>10121</v>
      </c>
      <c r="BR146" s="243">
        <f t="shared" si="779"/>
        <v>11026</v>
      </c>
      <c r="EJ146" s="243">
        <f>EJ150-EJ162-EJ169</f>
        <v>4884</v>
      </c>
    </row>
    <row r="147" spans="2:166" ht="12.75" customHeight="1" x14ac:dyDescent="0.25">
      <c r="B147" t="s">
        <v>383</v>
      </c>
      <c r="AM147" s="243"/>
      <c r="AN147" s="243"/>
      <c r="AO147" s="243"/>
      <c r="AP147" s="243">
        <f t="shared" ref="AP147:BR147" si="780">(AP151/AP65)*91.25</f>
        <v>58.103347463821081</v>
      </c>
      <c r="AQ147" s="243">
        <f t="shared" si="780"/>
        <v>56.206419433949755</v>
      </c>
      <c r="AR147" s="243">
        <f t="shared" si="780"/>
        <v>57.068914278166687</v>
      </c>
      <c r="AS147" s="243">
        <f t="shared" si="780"/>
        <v>57.059372292929972</v>
      </c>
      <c r="AT147" s="243">
        <f t="shared" si="780"/>
        <v>54.005452152660276</v>
      </c>
      <c r="AU147" s="243">
        <f t="shared" si="780"/>
        <v>58.511794491787086</v>
      </c>
      <c r="AV147" s="243">
        <f t="shared" si="780"/>
        <v>58.461018237082065</v>
      </c>
      <c r="AW147" s="243">
        <f t="shared" si="780"/>
        <v>58.208341184598957</v>
      </c>
      <c r="AX147" s="243">
        <f t="shared" si="780"/>
        <v>58.415146225793706</v>
      </c>
      <c r="AY147" s="243">
        <f t="shared" si="780"/>
        <v>59.701766937308669</v>
      </c>
      <c r="AZ147" s="243">
        <f t="shared" si="780"/>
        <v>60.675651289454684</v>
      </c>
      <c r="BA147" s="243">
        <f t="shared" si="780"/>
        <v>62.194731781712086</v>
      </c>
      <c r="BB147" s="243">
        <f t="shared" si="780"/>
        <v>53.180925623829374</v>
      </c>
      <c r="BC147" s="243">
        <f t="shared" si="780"/>
        <v>58.482662657539507</v>
      </c>
      <c r="BD147" s="243">
        <f t="shared" si="780"/>
        <v>57.09573396581974</v>
      </c>
      <c r="BE147" s="243">
        <f t="shared" si="780"/>
        <v>62.672707248698437</v>
      </c>
      <c r="BF147" s="243">
        <f t="shared" si="780"/>
        <v>57.010834824852978</v>
      </c>
      <c r="BG147" s="243">
        <f t="shared" si="780"/>
        <v>58.414844394671704</v>
      </c>
      <c r="BH147" s="243">
        <f t="shared" si="780"/>
        <v>60.378833524130869</v>
      </c>
      <c r="BI147" s="243">
        <f t="shared" si="780"/>
        <v>60.160574820368637</v>
      </c>
      <c r="BJ147" s="243">
        <f t="shared" si="780"/>
        <v>51.29994421125339</v>
      </c>
      <c r="BK147" s="243">
        <f t="shared" si="780"/>
        <v>62.092291963566517</v>
      </c>
      <c r="BL147" s="243">
        <f t="shared" si="780"/>
        <v>60.328401299169975</v>
      </c>
      <c r="BM147" s="243">
        <f t="shared" si="780"/>
        <v>59.317011808504446</v>
      </c>
      <c r="BN147" s="243">
        <f t="shared" si="780"/>
        <v>58.003836209319317</v>
      </c>
      <c r="BO147" s="243">
        <f t="shared" si="780"/>
        <v>59.878262480054708</v>
      </c>
      <c r="BP147" s="243">
        <f t="shared" si="780"/>
        <v>59.096498076172416</v>
      </c>
      <c r="BQ147" s="243">
        <f t="shared" si="780"/>
        <v>62.218025398265212</v>
      </c>
      <c r="BR147" s="243">
        <f t="shared" si="780"/>
        <v>57.927009376185573</v>
      </c>
      <c r="EF147" s="243"/>
      <c r="EG147" s="243"/>
      <c r="EJ147" s="243">
        <f>EJ151/EJ65*365</f>
        <v>56.881432056480932</v>
      </c>
    </row>
    <row r="148" spans="2:166"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F148" s="243"/>
      <c r="EG148" s="243"/>
      <c r="EJ148" s="243"/>
    </row>
    <row r="149" spans="2:166"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81">+CX150-CX162-CX169</f>
        <v>-2143</v>
      </c>
      <c r="CY149" s="243">
        <f t="shared" si="781"/>
        <v>-2760</v>
      </c>
      <c r="CZ149" s="243">
        <f t="shared" si="781"/>
        <v>-29</v>
      </c>
      <c r="DA149" s="243">
        <f t="shared" si="781"/>
        <v>2052</v>
      </c>
      <c r="DB149" s="243">
        <f t="shared" si="781"/>
        <v>-16140</v>
      </c>
      <c r="DC149" s="243">
        <f t="shared" si="781"/>
        <v>-20599</v>
      </c>
      <c r="DD149" s="243">
        <f t="shared" si="781"/>
        <v>-17097</v>
      </c>
      <c r="DE149" s="243">
        <f t="shared" si="781"/>
        <v>-6410</v>
      </c>
      <c r="DF149" s="243">
        <f t="shared" si="781"/>
        <v>-6405</v>
      </c>
      <c r="DG149" s="243">
        <f>+DG150-DG162-DG169</f>
        <v>-7414</v>
      </c>
      <c r="DH149" s="243">
        <f>+DH150-DH162-DH169</f>
        <v>-16016</v>
      </c>
      <c r="DI149" s="243">
        <f>+DI150-DI162-DI169</f>
        <v>-15454</v>
      </c>
      <c r="DJ149" s="243">
        <f t="shared" si="781"/>
        <v>-12112</v>
      </c>
      <c r="DK149" s="243">
        <f>+DK150-DK162-DK169</f>
        <v>-13471</v>
      </c>
      <c r="DL149" s="243">
        <f t="shared" si="781"/>
        <v>0</v>
      </c>
      <c r="DM149" s="243">
        <f t="shared" si="781"/>
        <v>0</v>
      </c>
      <c r="DN149" s="243">
        <f t="shared" si="781"/>
        <v>0</v>
      </c>
      <c r="EF149" s="243"/>
      <c r="EG149" s="243"/>
      <c r="EJ149" s="243"/>
      <c r="EW149" s="79">
        <f>DB149</f>
        <v>-16140</v>
      </c>
      <c r="EX149" s="79">
        <f>+DF149</f>
        <v>-6405</v>
      </c>
      <c r="EY149" s="79">
        <f>+EX149+EY76</f>
        <v>23834.162331562504</v>
      </c>
      <c r="EZ149" s="79">
        <f t="shared" ref="EZ149:FJ149" si="782">+EY149+EZ76</f>
        <v>49350.743492296409</v>
      </c>
      <c r="FA149" s="79">
        <f t="shared" si="782"/>
        <v>73279.746203355317</v>
      </c>
      <c r="FB149" s="79">
        <f t="shared" si="782"/>
        <v>97746.164938867863</v>
      </c>
      <c r="FC149" s="79">
        <f t="shared" si="782"/>
        <v>123266.11956891339</v>
      </c>
      <c r="FD149" s="79">
        <f t="shared" si="782"/>
        <v>149068.18500643031</v>
      </c>
      <c r="FE149" s="79">
        <f t="shared" si="782"/>
        <v>175411.31625793269</v>
      </c>
      <c r="FF149" s="79">
        <f t="shared" si="782"/>
        <v>200597.45306434206</v>
      </c>
      <c r="FG149" s="79">
        <f t="shared" si="782"/>
        <v>226155.39870420552</v>
      </c>
      <c r="FH149" s="79">
        <f t="shared" si="782"/>
        <v>252307.78548228776</v>
      </c>
      <c r="FI149" s="79">
        <f t="shared" si="782"/>
        <v>279132.44205024745</v>
      </c>
      <c r="FJ149" s="79">
        <f t="shared" si="782"/>
        <v>297399.05257549032</v>
      </c>
    </row>
    <row r="150" spans="2:166"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F150" s="243">
        <f>16055+83</f>
        <v>16138</v>
      </c>
      <c r="EG150" s="243">
        <f>4083+1+16</f>
        <v>4100</v>
      </c>
      <c r="EH150" s="243">
        <v>150</v>
      </c>
      <c r="EI150" s="243">
        <v>50</v>
      </c>
      <c r="EJ150" s="243">
        <f>15810+3615</f>
        <v>19425</v>
      </c>
      <c r="EK150" s="243">
        <f t="shared" ref="EK150" si="783">EJ150+EK76</f>
        <v>32572</v>
      </c>
      <c r="EL150" s="243"/>
      <c r="EM150" s="243"/>
      <c r="EN150" s="243"/>
      <c r="EO150" s="243"/>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row>
    <row r="151" spans="2:166"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F151" s="243"/>
      <c r="EG151" s="243">
        <v>8712</v>
      </c>
      <c r="EJ151" s="243">
        <v>9646</v>
      </c>
    </row>
    <row r="152" spans="2:166"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F152" s="243"/>
      <c r="EG152" s="243">
        <v>4889</v>
      </c>
      <c r="EJ152" s="243">
        <v>5180</v>
      </c>
    </row>
    <row r="153" spans="2:166"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F153" s="243"/>
      <c r="EG153" s="243">
        <v>2094</v>
      </c>
      <c r="EJ153" s="243">
        <v>2793</v>
      </c>
    </row>
    <row r="154" spans="2:166"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F154" s="243"/>
      <c r="EG154" s="243">
        <v>3196</v>
      </c>
      <c r="EJ154" s="243">
        <v>2497</v>
      </c>
    </row>
    <row r="155" spans="2:166"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84">SUM(AW150:AW154)</f>
        <v>36592</v>
      </c>
      <c r="AX155" s="243">
        <f t="shared" si="784"/>
        <v>34381</v>
      </c>
      <c r="AY155" s="243">
        <f t="shared" si="784"/>
        <v>34856</v>
      </c>
      <c r="AZ155" s="243">
        <f t="shared" si="784"/>
        <v>35512</v>
      </c>
      <c r="BA155" s="243">
        <f t="shared" si="784"/>
        <v>35621</v>
      </c>
      <c r="BB155" s="243">
        <f t="shared" si="784"/>
        <v>39541</v>
      </c>
      <c r="BC155" s="243">
        <f t="shared" ref="BC155:BF155" si="785">SUM(BC150:BC154)</f>
        <v>38861</v>
      </c>
      <c r="BD155" s="243">
        <f t="shared" ref="BD155" si="786">SUM(BD150:BD154)</f>
        <v>39023</v>
      </c>
      <c r="BE155" s="243">
        <f t="shared" si="785"/>
        <v>42717</v>
      </c>
      <c r="BF155" s="243">
        <f t="shared" si="785"/>
        <v>47307</v>
      </c>
      <c r="BG155" s="243">
        <f t="shared" ref="BG155:BH155" si="787">SUM(BG150:BG154)</f>
        <v>49221</v>
      </c>
      <c r="BH155" s="243">
        <f t="shared" si="787"/>
        <v>52673</v>
      </c>
      <c r="BI155" s="243">
        <f>SUM(BI150:BI154)</f>
        <v>53443</v>
      </c>
      <c r="BJ155" s="243">
        <f t="shared" ref="BJ155:BM155" si="788">SUM(BJ150:BJ154)</f>
        <v>54316</v>
      </c>
      <c r="BK155" s="243">
        <f t="shared" si="788"/>
        <v>57007</v>
      </c>
      <c r="BL155" s="243">
        <f t="shared" si="788"/>
        <v>41615</v>
      </c>
      <c r="BM155" s="243">
        <f t="shared" si="788"/>
        <v>44791</v>
      </c>
      <c r="BN155" s="243">
        <f>SUM(BN150:BN154)</f>
        <v>46116</v>
      </c>
      <c r="BO155" s="243">
        <f>SUM(BO150:BO154)</f>
        <v>47228</v>
      </c>
      <c r="BP155" s="243">
        <f>SUM(BP150:BP154)</f>
        <v>51273</v>
      </c>
      <c r="BQ155" s="243">
        <f>SUM(BQ150:BQ154)</f>
        <v>52176</v>
      </c>
      <c r="BR155" s="243">
        <f>SUM(BR150:BR154)</f>
        <v>56407</v>
      </c>
      <c r="CX155" s="243">
        <f t="shared" ref="CX155:DD155" si="789">SUM(CX150:CX154)</f>
        <v>60979</v>
      </c>
      <c r="CY155" s="243">
        <f t="shared" si="789"/>
        <v>60424</v>
      </c>
      <c r="CZ155" s="243">
        <f t="shared" si="789"/>
        <v>63847</v>
      </c>
      <c r="DA155" s="243">
        <f t="shared" si="789"/>
        <v>65236</v>
      </c>
      <c r="DB155" s="243">
        <f t="shared" si="789"/>
        <v>55294</v>
      </c>
      <c r="DC155" s="243">
        <f t="shared" si="789"/>
        <v>64388</v>
      </c>
      <c r="DD155" s="243">
        <f t="shared" si="789"/>
        <v>60567</v>
      </c>
      <c r="DE155" s="243"/>
      <c r="DF155" s="243"/>
      <c r="DG155" s="243"/>
      <c r="DH155" s="243"/>
      <c r="DI155" s="243"/>
      <c r="DJ155" s="243"/>
      <c r="DK155" s="243"/>
      <c r="EF155" s="243"/>
      <c r="EG155" s="243">
        <f>SUM(EG150:EG154)</f>
        <v>22991</v>
      </c>
      <c r="EJ155" s="243">
        <f>SUM(EJ150:EJ154)</f>
        <v>39541</v>
      </c>
    </row>
    <row r="156" spans="2:166"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F156" s="243"/>
      <c r="EG156" s="243">
        <v>13044</v>
      </c>
      <c r="EJ156" s="243">
        <v>14759</v>
      </c>
    </row>
    <row r="157" spans="2:166"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F157" s="243"/>
      <c r="EG157" s="243">
        <f>15348+13340</f>
        <v>28688</v>
      </c>
      <c r="EJ157" s="243">
        <f>16323+14862</f>
        <v>31185</v>
      </c>
    </row>
    <row r="158" spans="2:166"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F158" s="243"/>
      <c r="EG158" s="243">
        <v>3210</v>
      </c>
      <c r="EJ158" s="243">
        <v>5507</v>
      </c>
    </row>
    <row r="159" spans="2:166"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F159" s="243"/>
      <c r="EG159" s="243">
        <v>2623</v>
      </c>
      <c r="EJ159" s="243">
        <v>3690</v>
      </c>
    </row>
    <row r="160" spans="2:166"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90">SUM(AW155:AW159)</f>
        <v>87724</v>
      </c>
      <c r="AX160" s="243">
        <f t="shared" si="790"/>
        <v>84912</v>
      </c>
      <c r="AY160" s="243">
        <f t="shared" si="790"/>
        <v>86100</v>
      </c>
      <c r="AZ160" s="243">
        <f t="shared" si="790"/>
        <v>87438</v>
      </c>
      <c r="BA160" s="243">
        <f t="shared" si="790"/>
        <v>91558</v>
      </c>
      <c r="BB160" s="243">
        <f t="shared" si="790"/>
        <v>94682</v>
      </c>
      <c r="BC160" s="243">
        <f t="shared" ref="BC160:BF160" si="791">SUM(BC155:BC159)</f>
        <v>93441</v>
      </c>
      <c r="BD160" s="243">
        <f t="shared" ref="BD160" si="792">SUM(BD155:BD159)</f>
        <v>92300</v>
      </c>
      <c r="BE160" s="243">
        <f t="shared" si="791"/>
        <v>98247</v>
      </c>
      <c r="BF160" s="243">
        <f t="shared" si="791"/>
        <v>102908</v>
      </c>
      <c r="BG160" s="243">
        <f t="shared" ref="BG160:BH160" si="793">SUM(BG155:BG159)</f>
        <v>108150</v>
      </c>
      <c r="BH160" s="243">
        <f t="shared" si="793"/>
        <v>112114</v>
      </c>
      <c r="BI160" s="243">
        <f t="shared" ref="BI160:BJ160" si="794">SUM(BI155:BI159)</f>
        <v>111821</v>
      </c>
      <c r="BJ160" s="243">
        <f t="shared" si="794"/>
        <v>113644</v>
      </c>
      <c r="BK160" s="243">
        <f t="shared" ref="BK160:BL160" si="795">SUM(BK155:BK159)</f>
        <v>116194</v>
      </c>
      <c r="BL160" s="243">
        <f t="shared" si="795"/>
        <v>115750</v>
      </c>
      <c r="BM160" s="243">
        <f t="shared" ref="BM160:BN160" si="796">SUM(BM155:BM159)</f>
        <v>118951</v>
      </c>
      <c r="BN160" s="243">
        <f t="shared" si="796"/>
        <v>121347</v>
      </c>
      <c r="BO160" s="243">
        <f t="shared" ref="BO160:BQ160" si="797">SUM(BO155:BO159)</f>
        <v>121536</v>
      </c>
      <c r="BP160" s="243">
        <f t="shared" si="797"/>
        <v>124325</v>
      </c>
      <c r="BQ160" s="243">
        <f t="shared" si="797"/>
        <v>126933</v>
      </c>
      <c r="BR160" s="243">
        <f t="shared" ref="BR160" si="798">SUM(BR155:BR159)</f>
        <v>132683</v>
      </c>
      <c r="CX160" s="243">
        <f t="shared" ref="CX160:DD160" si="799">SUM(CX155:CX159)</f>
        <v>182018</v>
      </c>
      <c r="CY160" s="243">
        <f t="shared" si="799"/>
        <v>178355</v>
      </c>
      <c r="CZ160" s="243">
        <f t="shared" si="799"/>
        <v>177724</v>
      </c>
      <c r="DA160" s="243">
        <f t="shared" si="799"/>
        <v>175124</v>
      </c>
      <c r="DB160" s="243">
        <f t="shared" si="799"/>
        <v>187378</v>
      </c>
      <c r="DC160" s="243">
        <f t="shared" si="799"/>
        <v>195969</v>
      </c>
      <c r="DD160" s="243">
        <f t="shared" si="799"/>
        <v>191686</v>
      </c>
      <c r="DE160" s="243">
        <f t="shared" ref="DE160:DK160" si="800">SUM(DE150:DE159)</f>
        <v>166061</v>
      </c>
      <c r="DF160" s="243">
        <f t="shared" si="800"/>
        <v>167558</v>
      </c>
      <c r="DG160" s="243">
        <f t="shared" si="800"/>
        <v>171966</v>
      </c>
      <c r="DH160" s="243">
        <f t="shared" si="800"/>
        <v>181088</v>
      </c>
      <c r="DI160" s="243">
        <f t="shared" si="800"/>
        <v>178287</v>
      </c>
      <c r="DJ160" s="243">
        <f t="shared" si="800"/>
        <v>180104</v>
      </c>
      <c r="DK160" s="243">
        <f t="shared" si="800"/>
        <v>193671</v>
      </c>
      <c r="EF160" s="243"/>
      <c r="EG160" s="243">
        <f>SUM(EG155:EG159)</f>
        <v>70556</v>
      </c>
      <c r="EJ160" s="243">
        <f>SUM(EJ155:EJ159)</f>
        <v>94682</v>
      </c>
    </row>
    <row r="161" spans="2:140"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F161" s="243"/>
      <c r="EG161" s="243"/>
      <c r="EJ161" s="243"/>
    </row>
    <row r="162" spans="2:140"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F162" s="243"/>
      <c r="EG162" s="243">
        <v>4579</v>
      </c>
      <c r="EJ162" s="243">
        <v>6318</v>
      </c>
    </row>
    <row r="163" spans="2:140"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F163" s="243"/>
      <c r="EG163" s="243">
        <v>5691</v>
      </c>
      <c r="EJ163" s="243">
        <v>5541</v>
      </c>
    </row>
    <row r="164" spans="2:140"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F164" s="243"/>
      <c r="EG164" s="243">
        <v>4587</v>
      </c>
      <c r="EJ164" s="243">
        <v>5796</v>
      </c>
    </row>
    <row r="165" spans="2:140"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F165" s="243"/>
      <c r="EG165" s="243">
        <v>2189</v>
      </c>
      <c r="EJ165" s="243">
        <v>2028</v>
      </c>
    </row>
    <row r="166" spans="2:140"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F166" s="243"/>
      <c r="EG166" s="243">
        <v>1391</v>
      </c>
      <c r="EJ166" s="243">
        <v>1606</v>
      </c>
    </row>
    <row r="167" spans="2:140"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F167" s="243"/>
      <c r="EG167" s="243">
        <v>724</v>
      </c>
      <c r="EJ167" s="243">
        <v>442</v>
      </c>
    </row>
    <row r="168" spans="2:140"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801">SUM(AW162:AW167)</f>
        <v>22730</v>
      </c>
      <c r="AX168" s="243">
        <f t="shared" si="801"/>
        <v>20852</v>
      </c>
      <c r="AY168" s="243">
        <f t="shared" si="801"/>
        <v>21325</v>
      </c>
      <c r="AZ168" s="243">
        <f t="shared" si="801"/>
        <v>19886</v>
      </c>
      <c r="BA168" s="243">
        <f t="shared" si="801"/>
        <v>19245</v>
      </c>
      <c r="BB168" s="243">
        <f t="shared" si="801"/>
        <v>21731</v>
      </c>
      <c r="BC168" s="243">
        <f t="shared" ref="BC168:BF168" si="802">SUM(BC162:BC167)</f>
        <v>18499</v>
      </c>
      <c r="BD168" s="243">
        <f t="shared" ref="BD168" si="803">SUM(BD162:BD167)</f>
        <v>17164</v>
      </c>
      <c r="BE168" s="243">
        <f t="shared" si="802"/>
        <v>17414</v>
      </c>
      <c r="BF168" s="243">
        <f t="shared" si="802"/>
        <v>23072</v>
      </c>
      <c r="BG168" s="243">
        <f t="shared" ref="BG168" si="804">SUM(BG162:BG167)</f>
        <v>24011</v>
      </c>
      <c r="BH168" s="243">
        <f>SUM(BH162:BH167)</f>
        <v>20985</v>
      </c>
      <c r="BI168" s="243">
        <f t="shared" ref="BI168:BJ168" si="805">SUM(BI162:BI167)</f>
        <v>21686</v>
      </c>
      <c r="BJ168" s="243">
        <f t="shared" si="805"/>
        <v>22811</v>
      </c>
      <c r="BK168" s="243">
        <f t="shared" ref="BK168:BL168" si="806">SUM(BK162:BK167)</f>
        <v>21198</v>
      </c>
      <c r="BL168" s="243">
        <f t="shared" si="806"/>
        <v>23848</v>
      </c>
      <c r="BM168" s="243">
        <f t="shared" ref="BM168:BN168" si="807">SUM(BM162:BM167)</f>
        <v>23935</v>
      </c>
      <c r="BN168" s="243">
        <f t="shared" si="807"/>
        <v>24262</v>
      </c>
      <c r="BO168" s="243">
        <f t="shared" ref="BO168:BQ168" si="808">SUM(BO162:BO167)</f>
        <v>22524</v>
      </c>
      <c r="BP168" s="243">
        <f t="shared" si="808"/>
        <v>23767</v>
      </c>
      <c r="BQ168" s="243">
        <f t="shared" si="808"/>
        <v>25835</v>
      </c>
      <c r="BR168" s="243">
        <f t="shared" ref="BR168" si="809">SUM(BR162:BR167)</f>
        <v>25675</v>
      </c>
      <c r="CX168" s="243">
        <f t="shared" ref="CX168" si="810">SUM(CX162:CX167)</f>
        <v>45226</v>
      </c>
      <c r="CY168" s="243">
        <f t="shared" ref="CY168:DD168" si="811">SUM(CY162:CY167)</f>
        <v>43390</v>
      </c>
      <c r="CZ168" s="243">
        <f t="shared" si="811"/>
        <v>44821</v>
      </c>
      <c r="DA168" s="243">
        <f t="shared" si="811"/>
        <v>45543</v>
      </c>
      <c r="DB168" s="243">
        <f t="shared" si="811"/>
        <v>55802</v>
      </c>
      <c r="DC168" s="243">
        <f t="shared" si="811"/>
        <v>60373</v>
      </c>
      <c r="DD168" s="243">
        <f t="shared" si="811"/>
        <v>54170</v>
      </c>
      <c r="DE168" s="243"/>
      <c r="DF168" s="243"/>
      <c r="DG168" s="243"/>
      <c r="DH168" s="243"/>
      <c r="DI168" s="243"/>
      <c r="DJ168" s="243"/>
      <c r="DK168" s="243"/>
      <c r="EF168" s="243"/>
      <c r="EG168" s="243">
        <f>SUM(EG162:EG167)</f>
        <v>19161</v>
      </c>
      <c r="EJ168" s="243">
        <f>SUM(EJ162:EJ167)</f>
        <v>21731</v>
      </c>
    </row>
    <row r="169" spans="2:140"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F169" s="243"/>
      <c r="EG169" s="243">
        <v>2014</v>
      </c>
      <c r="EJ169" s="243">
        <v>8223</v>
      </c>
    </row>
    <row r="170" spans="2:140"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F170" s="243"/>
      <c r="EG170" s="243">
        <v>1319</v>
      </c>
      <c r="EJ170" s="243">
        <v>1424</v>
      </c>
    </row>
    <row r="171" spans="2:140"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F171" s="243"/>
      <c r="EG171" s="243">
        <v>5584</v>
      </c>
      <c r="EJ171" s="243">
        <v>6769</v>
      </c>
    </row>
    <row r="172" spans="2:140"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F172" s="243"/>
      <c r="EG172" s="243">
        <v>3160</v>
      </c>
      <c r="EJ172" s="243">
        <v>5947</v>
      </c>
    </row>
    <row r="173" spans="2:140"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812">SUM(AW168:AW172)</f>
        <v>41990</v>
      </c>
      <c r="AX173" s="243">
        <f t="shared" si="812"/>
        <v>42401</v>
      </c>
      <c r="AY173" s="243">
        <f t="shared" si="812"/>
        <v>42309</v>
      </c>
      <c r="AZ173" s="243">
        <f t="shared" si="812"/>
        <v>41191</v>
      </c>
      <c r="BA173" s="243">
        <f t="shared" si="812"/>
        <v>41174</v>
      </c>
      <c r="BB173" s="243">
        <f t="shared" si="812"/>
        <v>44094</v>
      </c>
      <c r="BC173" s="243">
        <f t="shared" ref="BC173:BF173" si="813">SUM(BC168:BC172)</f>
        <v>40527</v>
      </c>
      <c r="BD173" s="243">
        <f t="shared" ref="BD173" si="814">SUM(BD168:BD172)</f>
        <v>39449</v>
      </c>
      <c r="BE173" s="243">
        <f t="shared" si="813"/>
        <v>40956</v>
      </c>
      <c r="BF173" s="243">
        <f t="shared" si="813"/>
        <v>46329</v>
      </c>
      <c r="BG173" s="243">
        <f t="shared" ref="BG173" si="815">SUM(BG168:BG172)</f>
        <v>48287</v>
      </c>
      <c r="BH173" s="243">
        <f>SUM(BH168:BH172)</f>
        <v>49982</v>
      </c>
      <c r="BI173" s="243">
        <f t="shared" ref="BI173:BJ173" si="816">SUM(BI168:BI172)</f>
        <v>50294</v>
      </c>
      <c r="BJ173" s="243">
        <f t="shared" si="816"/>
        <v>56564</v>
      </c>
      <c r="BK173" s="243">
        <f t="shared" ref="BK173:BL173" si="817">SUM(BK168:BK172)</f>
        <v>54828</v>
      </c>
      <c r="BL173" s="243">
        <f t="shared" si="817"/>
        <v>55316</v>
      </c>
      <c r="BM173" s="243">
        <f t="shared" ref="BM173:BN173" si="818">SUM(BM168:BM172)</f>
        <v>55190</v>
      </c>
      <c r="BN173" s="243">
        <f t="shared" si="818"/>
        <v>56521</v>
      </c>
      <c r="BO173" s="243">
        <f t="shared" ref="BO173:BP173" si="819">SUM(BO168:BO172)</f>
        <v>54681</v>
      </c>
      <c r="BP173" s="243">
        <f t="shared" si="819"/>
        <v>54660</v>
      </c>
      <c r="BQ173" s="243">
        <f t="shared" ref="BQ173:BR173" si="820">SUM(BQ168:BQ172)</f>
        <v>57129</v>
      </c>
      <c r="BR173" s="243">
        <f t="shared" si="820"/>
        <v>58630</v>
      </c>
      <c r="CX173" s="243">
        <f t="shared" ref="CX173" si="821">SUM(CX168:CX172)</f>
        <v>107995</v>
      </c>
      <c r="CY173" s="243">
        <f t="shared" ref="CY173:DD173" si="822">SUM(CY168:CY172)</f>
        <v>103646</v>
      </c>
      <c r="CZ173" s="243">
        <f t="shared" si="822"/>
        <v>101367</v>
      </c>
      <c r="DA173" s="243">
        <f t="shared" si="822"/>
        <v>100525</v>
      </c>
      <c r="DB173" s="243">
        <f t="shared" si="822"/>
        <v>110574</v>
      </c>
      <c r="DC173" s="243">
        <f t="shared" si="822"/>
        <v>125100</v>
      </c>
      <c r="DD173" s="243">
        <f t="shared" si="822"/>
        <v>115277</v>
      </c>
      <c r="DE173" s="243">
        <f t="shared" ref="DE173:DK173" si="823">SUM(DE162:DE172)</f>
        <v>94833</v>
      </c>
      <c r="DF173" s="243">
        <f t="shared" si="823"/>
        <v>98784</v>
      </c>
      <c r="DG173" s="243">
        <f t="shared" si="823"/>
        <v>101946</v>
      </c>
      <c r="DH173" s="243">
        <f t="shared" si="823"/>
        <v>109550</v>
      </c>
      <c r="DI173" s="243">
        <f t="shared" si="823"/>
        <v>108129</v>
      </c>
      <c r="DJ173" s="243">
        <f t="shared" si="823"/>
        <v>108614</v>
      </c>
      <c r="DK173" s="243">
        <f t="shared" si="823"/>
        <v>115562</v>
      </c>
      <c r="EF173" s="243"/>
      <c r="EG173" s="243">
        <f>SUM(EG168:EG172)</f>
        <v>31238</v>
      </c>
      <c r="EJ173" s="243">
        <f>SUM(EJ168:EJ172)</f>
        <v>44094</v>
      </c>
    </row>
    <row r="174" spans="2:140"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F174" s="243"/>
      <c r="EG174" s="243"/>
      <c r="EJ174" s="243"/>
    </row>
    <row r="175" spans="2:140"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F175" s="243"/>
      <c r="EG175" s="243"/>
      <c r="EJ175" s="243"/>
    </row>
    <row r="176" spans="2:140"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F176" s="243"/>
      <c r="EG176" s="243"/>
      <c r="EJ176" s="243"/>
    </row>
    <row r="177" spans="2:169"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F177" s="243"/>
      <c r="EG177" s="243"/>
      <c r="EJ177" s="243"/>
    </row>
    <row r="178" spans="2:169"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24">SUM(BE174:BE177)</f>
        <v>57291</v>
      </c>
      <c r="BF178" s="243">
        <f t="shared" si="824"/>
        <v>56579</v>
      </c>
      <c r="BG178" s="243">
        <f t="shared" si="824"/>
        <v>59863</v>
      </c>
      <c r="BH178" s="243">
        <f t="shared" si="824"/>
        <v>62132</v>
      </c>
      <c r="BI178" s="243">
        <f t="shared" si="824"/>
        <v>61527</v>
      </c>
      <c r="BJ178" s="243">
        <f t="shared" si="824"/>
        <v>57080</v>
      </c>
      <c r="BK178" s="243">
        <f t="shared" si="824"/>
        <v>61366</v>
      </c>
      <c r="BL178" s="243">
        <f t="shared" si="824"/>
        <v>60434</v>
      </c>
      <c r="BM178" s="243">
        <f t="shared" si="824"/>
        <v>63761</v>
      </c>
      <c r="BN178" s="243">
        <f t="shared" si="824"/>
        <v>64826</v>
      </c>
      <c r="BO178" s="243">
        <f t="shared" si="824"/>
        <v>66855</v>
      </c>
      <c r="BP178" s="243">
        <f t="shared" si="824"/>
        <v>69665</v>
      </c>
      <c r="BQ178" s="243">
        <f t="shared" si="824"/>
        <v>69804</v>
      </c>
      <c r="BR178" s="243">
        <f t="shared" si="824"/>
        <v>74053</v>
      </c>
      <c r="CX178" s="243">
        <f t="shared" ref="CX178" si="825">+CX176-CX177+CX174+CX175</f>
        <v>74023</v>
      </c>
      <c r="CY178" s="243">
        <f>+CY176-CY177+CY174+CY175</f>
        <v>74709</v>
      </c>
      <c r="CZ178" s="243">
        <v>76357</v>
      </c>
      <c r="DA178" s="243">
        <v>74599</v>
      </c>
      <c r="DB178" s="243">
        <v>76804</v>
      </c>
      <c r="DC178" s="243">
        <v>70869</v>
      </c>
      <c r="DD178" s="243">
        <f>75149+1260</f>
        <v>76409</v>
      </c>
      <c r="DE178" s="243">
        <f t="shared" ref="DE178:DK178" si="826">+DE174+DE175+DE176-DE177</f>
        <v>71228</v>
      </c>
      <c r="DF178" s="243">
        <f t="shared" si="826"/>
        <v>68774</v>
      </c>
      <c r="DG178" s="243">
        <f t="shared" si="826"/>
        <v>70020</v>
      </c>
      <c r="DH178" s="243">
        <f t="shared" si="826"/>
        <v>71538</v>
      </c>
      <c r="DI178" s="243">
        <f t="shared" si="826"/>
        <v>70158</v>
      </c>
      <c r="DJ178" s="243">
        <f t="shared" si="826"/>
        <v>71490</v>
      </c>
      <c r="DK178" s="243">
        <f t="shared" si="826"/>
        <v>78109</v>
      </c>
      <c r="EF178" s="243"/>
      <c r="EG178" s="243">
        <f>EG160-EG173</f>
        <v>39318</v>
      </c>
      <c r="EJ178" s="243">
        <v>50558</v>
      </c>
    </row>
    <row r="179" spans="2:169"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27">AW178+AW173</f>
        <v>87724</v>
      </c>
      <c r="AX179" s="243">
        <f t="shared" si="827"/>
        <v>84912</v>
      </c>
      <c r="AY179" s="243">
        <f t="shared" si="827"/>
        <v>86100</v>
      </c>
      <c r="AZ179" s="243">
        <f t="shared" si="827"/>
        <v>87438</v>
      </c>
      <c r="BA179" s="243">
        <f t="shared" si="827"/>
        <v>91558</v>
      </c>
      <c r="BB179" s="243">
        <f t="shared" si="827"/>
        <v>94682</v>
      </c>
      <c r="BC179" s="243">
        <f>BC178+BC173</f>
        <v>93441</v>
      </c>
      <c r="BD179" s="243">
        <f t="shared" ref="BD179" si="828">BD178+BD173</f>
        <v>92300</v>
      </c>
      <c r="BE179" s="243">
        <f t="shared" ref="BE179:BR179" si="829">BE178+BE173</f>
        <v>98247</v>
      </c>
      <c r="BF179" s="243">
        <f t="shared" si="829"/>
        <v>102908</v>
      </c>
      <c r="BG179" s="243">
        <f t="shared" si="829"/>
        <v>108150</v>
      </c>
      <c r="BH179" s="243">
        <f t="shared" si="829"/>
        <v>112114</v>
      </c>
      <c r="BI179" s="243">
        <f t="shared" si="829"/>
        <v>111821</v>
      </c>
      <c r="BJ179" s="243">
        <f t="shared" si="829"/>
        <v>113644</v>
      </c>
      <c r="BK179" s="243">
        <f t="shared" si="829"/>
        <v>116194</v>
      </c>
      <c r="BL179" s="243">
        <f t="shared" si="829"/>
        <v>115750</v>
      </c>
      <c r="BM179" s="243">
        <f t="shared" si="829"/>
        <v>118951</v>
      </c>
      <c r="BN179" s="243">
        <f t="shared" si="829"/>
        <v>121347</v>
      </c>
      <c r="BO179" s="243">
        <f t="shared" si="829"/>
        <v>121536</v>
      </c>
      <c r="BP179" s="243">
        <f t="shared" si="829"/>
        <v>124325</v>
      </c>
      <c r="BQ179" s="243">
        <f t="shared" si="829"/>
        <v>126933</v>
      </c>
      <c r="BR179" s="243">
        <f t="shared" si="829"/>
        <v>132683</v>
      </c>
      <c r="CX179" s="243">
        <f t="shared" ref="CX179" si="830">+CX178+CX173</f>
        <v>182018</v>
      </c>
      <c r="CY179" s="243">
        <f t="shared" ref="CY179:DK179" si="831">+CY178+CY173</f>
        <v>178355</v>
      </c>
      <c r="CZ179" s="243">
        <f t="shared" si="831"/>
        <v>177724</v>
      </c>
      <c r="DA179" s="243">
        <f t="shared" si="831"/>
        <v>175124</v>
      </c>
      <c r="DB179" s="243">
        <f t="shared" si="831"/>
        <v>187378</v>
      </c>
      <c r="DC179" s="243">
        <f t="shared" si="831"/>
        <v>195969</v>
      </c>
      <c r="DD179" s="243">
        <f t="shared" si="831"/>
        <v>191686</v>
      </c>
      <c r="DE179" s="243">
        <f>+DE178+DE173</f>
        <v>166061</v>
      </c>
      <c r="DF179" s="243">
        <f t="shared" si="831"/>
        <v>167558</v>
      </c>
      <c r="DG179" s="243">
        <f t="shared" si="831"/>
        <v>171966</v>
      </c>
      <c r="DH179" s="243">
        <f t="shared" si="831"/>
        <v>181088</v>
      </c>
      <c r="DI179" s="243">
        <f t="shared" si="831"/>
        <v>178287</v>
      </c>
      <c r="DJ179" s="243">
        <f t="shared" si="831"/>
        <v>180104</v>
      </c>
      <c r="DK179" s="243">
        <f t="shared" si="831"/>
        <v>193671</v>
      </c>
      <c r="EF179" s="294"/>
      <c r="EG179" s="294">
        <f>EG76/EG178</f>
        <v>0.28315275446360444</v>
      </c>
      <c r="EJ179" s="294">
        <f>EJ76/EJ178</f>
        <v>0.33186637129633295</v>
      </c>
    </row>
    <row r="180" spans="2:169" ht="12.75" customHeight="1" x14ac:dyDescent="0.25">
      <c r="B180" t="s">
        <v>388</v>
      </c>
      <c r="AM180" s="294">
        <f>AM76/AM178*4</f>
        <v>0.32507355980837976</v>
      </c>
      <c r="AP180" s="294">
        <f t="shared" ref="AP180:BR180" si="832">AP76/AP178*4</f>
        <v>0.24263696017091407</v>
      </c>
      <c r="AQ180" s="294">
        <f t="shared" si="832"/>
        <v>0.33524740378741602</v>
      </c>
      <c r="AR180" s="294">
        <f t="shared" si="832"/>
        <v>0.28681415518760728</v>
      </c>
      <c r="AS180" s="294">
        <f t="shared" si="832"/>
        <v>0.28544447249443461</v>
      </c>
      <c r="AT180" s="294">
        <f t="shared" si="832"/>
        <v>0.26704429926821949</v>
      </c>
      <c r="AU180" s="294">
        <f t="shared" si="832"/>
        <v>0.31544109589041097</v>
      </c>
      <c r="AV180" s="294">
        <f t="shared" si="832"/>
        <v>0.2900398406374502</v>
      </c>
      <c r="AW180" s="294">
        <f t="shared" si="832"/>
        <v>0.28950015305899329</v>
      </c>
      <c r="AX180" s="294">
        <f t="shared" si="832"/>
        <v>0.2470889887323281</v>
      </c>
      <c r="AY180" s="294">
        <f t="shared" si="832"/>
        <v>0.32033979584846201</v>
      </c>
      <c r="AZ180" s="294">
        <f t="shared" si="832"/>
        <v>0.27746664648517744</v>
      </c>
      <c r="BA180" s="294">
        <f t="shared" si="832"/>
        <v>0.26556049539536358</v>
      </c>
      <c r="BB180" s="294">
        <f t="shared" si="832"/>
        <v>0.2280382699454416</v>
      </c>
      <c r="BC180" s="294">
        <f t="shared" si="832"/>
        <v>0.2733492081490721</v>
      </c>
      <c r="BD180" s="294">
        <f t="shared" si="832"/>
        <v>0.26043026622012827</v>
      </c>
      <c r="BE180" s="294">
        <f t="shared" si="832"/>
        <v>0.23857150337749386</v>
      </c>
      <c r="BF180" s="294">
        <f t="shared" si="832"/>
        <v>0.20247795118330122</v>
      </c>
      <c r="BG180" s="294">
        <f t="shared" si="832"/>
        <v>0.28525132385613816</v>
      </c>
      <c r="BH180" s="294">
        <f t="shared" si="832"/>
        <v>0.21663555011910127</v>
      </c>
      <c r="BI180" s="294">
        <f t="shared" si="832"/>
        <v>0.20816877143367951</v>
      </c>
      <c r="BJ180" s="294">
        <f t="shared" si="832"/>
        <v>0.39908899789768748</v>
      </c>
      <c r="BK180" s="294">
        <f t="shared" si="832"/>
        <v>0.254864257080468</v>
      </c>
      <c r="BL180" s="294">
        <f t="shared" si="832"/>
        <v>0.23966641294635471</v>
      </c>
      <c r="BM180" s="294">
        <f t="shared" si="832"/>
        <v>0.21624504007151707</v>
      </c>
      <c r="BN180" s="294">
        <f t="shared" si="832"/>
        <v>0.17616388486101256</v>
      </c>
      <c r="BO180" s="294">
        <f t="shared" si="832"/>
        <v>0.21563084286889536</v>
      </c>
      <c r="BP180" s="294">
        <f t="shared" si="832"/>
        <v>0.24947965262326849</v>
      </c>
      <c r="BQ180" s="294">
        <f t="shared" si="832"/>
        <v>0.22823906939430405</v>
      </c>
      <c r="BR180" s="294">
        <f t="shared" si="832"/>
        <v>0.19707803870201071</v>
      </c>
    </row>
    <row r="181" spans="2:169" ht="12.75" customHeight="1" x14ac:dyDescent="0.25">
      <c r="B181" t="s">
        <v>1439</v>
      </c>
      <c r="AM181" s="294"/>
      <c r="AP181" s="294"/>
      <c r="AQ181" s="294"/>
      <c r="AR181" s="294"/>
      <c r="AS181" s="294"/>
      <c r="AT181" s="294">
        <f t="shared" ref="AT181:BE181" si="833">AT178/AP178-1</f>
        <v>0.10176000813876596</v>
      </c>
      <c r="AU181" s="294">
        <f t="shared" si="833"/>
        <v>0.11484422724496035</v>
      </c>
      <c r="AV181" s="294">
        <f t="shared" si="833"/>
        <v>7.6828532999396959E-2</v>
      </c>
      <c r="AW181" s="294">
        <f t="shared" si="833"/>
        <v>4.9594932641773504E-2</v>
      </c>
      <c r="AX181" s="294">
        <f t="shared" si="833"/>
        <v>-1.8652323460837006E-2</v>
      </c>
      <c r="AY181" s="294">
        <f t="shared" si="833"/>
        <v>-4.0197260273972635E-2</v>
      </c>
      <c r="AZ181" s="294">
        <f t="shared" si="833"/>
        <v>-4.0486701841283557E-3</v>
      </c>
      <c r="BA181" s="294">
        <f t="shared" si="833"/>
        <v>0.10167490269821133</v>
      </c>
      <c r="BB181" s="294">
        <f t="shared" si="833"/>
        <v>0.18999788290089614</v>
      </c>
      <c r="BC181" s="294">
        <f t="shared" si="833"/>
        <v>0.20833047886552025</v>
      </c>
      <c r="BD181" s="294">
        <f t="shared" si="833"/>
        <v>0.14279845179146755</v>
      </c>
      <c r="BE181" s="294">
        <f t="shared" si="833"/>
        <v>0.13708717053032715</v>
      </c>
      <c r="BF181" s="294">
        <f t="shared" ref="BF181:BR181" si="834">BF178/BB178-1</f>
        <v>0.11842729501067439</v>
      </c>
      <c r="BG181" s="294">
        <f t="shared" si="834"/>
        <v>0.1313263030577918</v>
      </c>
      <c r="BH181" s="294">
        <f t="shared" si="834"/>
        <v>0.17560689485534797</v>
      </c>
      <c r="BI181" s="294">
        <f t="shared" si="834"/>
        <v>7.39383149185735E-2</v>
      </c>
      <c r="BJ181" s="294">
        <f t="shared" si="834"/>
        <v>8.8548754838366772E-3</v>
      </c>
      <c r="BK181" s="294">
        <f t="shared" si="834"/>
        <v>2.5107328399846418E-2</v>
      </c>
      <c r="BL181" s="294">
        <f t="shared" si="834"/>
        <v>-2.7328912637610281E-2</v>
      </c>
      <c r="BM181" s="294">
        <f t="shared" si="834"/>
        <v>3.630926260015932E-2</v>
      </c>
      <c r="BN181" s="294">
        <f t="shared" si="834"/>
        <v>0.13570427470217239</v>
      </c>
      <c r="BO181" s="294">
        <f t="shared" si="834"/>
        <v>8.9446925007333089E-2</v>
      </c>
      <c r="BP181" s="294">
        <f t="shared" si="834"/>
        <v>0.15274514346228951</v>
      </c>
      <c r="BQ181" s="294">
        <f t="shared" si="834"/>
        <v>9.4775803390787505E-2</v>
      </c>
      <c r="BR181" s="294">
        <f t="shared" si="834"/>
        <v>0.1423348656403296</v>
      </c>
      <c r="DB181" s="294">
        <f t="shared" ref="DB181:DH181" si="835">DB178/CX178-1</f>
        <v>3.75694041041299E-2</v>
      </c>
      <c r="DC181" s="294">
        <f t="shared" si="835"/>
        <v>-5.1399429787575834E-2</v>
      </c>
      <c r="DD181" s="294">
        <f t="shared" si="835"/>
        <v>6.8101156410027563E-4</v>
      </c>
      <c r="DE181" s="294">
        <f t="shared" si="835"/>
        <v>-4.5188273301250637E-2</v>
      </c>
      <c r="DF181" s="294">
        <f t="shared" si="835"/>
        <v>-0.1045518462580074</v>
      </c>
      <c r="DG181" s="294">
        <f t="shared" si="835"/>
        <v>-1.197985014604408E-2</v>
      </c>
      <c r="DH181" s="294">
        <f t="shared" si="835"/>
        <v>-6.3749034799565507E-2</v>
      </c>
      <c r="DI181" s="294">
        <f>DI178/DE178-1</f>
        <v>-1.5022182287864339E-2</v>
      </c>
      <c r="DJ181" s="294">
        <f>DJ178/DF178-1</f>
        <v>3.9491668363044186E-2</v>
      </c>
      <c r="DK181" s="294">
        <f>DK178/DG178-1</f>
        <v>0.11552413596115385</v>
      </c>
    </row>
    <row r="182" spans="2:169"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69"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69"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69"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36">+BJ183-BJ184</f>
        <v>2724.3629999999998</v>
      </c>
      <c r="BK185" s="243">
        <f t="shared" si="836"/>
        <v>2745.721</v>
      </c>
      <c r="BL185" s="243">
        <f t="shared" si="836"/>
        <v>2750.5589999999997</v>
      </c>
      <c r="BM185" s="243">
        <f t="shared" si="836"/>
        <v>2762.558</v>
      </c>
      <c r="BN185" s="243">
        <f t="shared" si="836"/>
        <v>2778.489</v>
      </c>
      <c r="BO185" s="243">
        <f t="shared" si="836"/>
        <v>2803.1639999999998</v>
      </c>
      <c r="BP185" s="243">
        <f t="shared" si="836"/>
        <v>2814.1880000000001</v>
      </c>
      <c r="BQ185" s="243">
        <f t="shared" si="836"/>
        <v>2820.6589999999997</v>
      </c>
      <c r="BR185" s="243">
        <f t="shared" si="836"/>
        <v>2820.6279999999997</v>
      </c>
      <c r="DA185" s="243">
        <f t="shared" ref="DA185:DK185" si="837">DA183-DA184</f>
        <v>2616.8819999999996</v>
      </c>
      <c r="DB185" s="243">
        <f t="shared" si="837"/>
        <v>2613.5969999999998</v>
      </c>
      <c r="DC185" s="243">
        <f t="shared" si="837"/>
        <v>2598.3239999999996</v>
      </c>
      <c r="DD185" s="243">
        <f t="shared" si="837"/>
        <v>2598.143</v>
      </c>
      <c r="DE185" s="243">
        <f t="shared" si="837"/>
        <v>2407.1779999999999</v>
      </c>
      <c r="DF185" s="243">
        <f t="shared" si="837"/>
        <v>2407.078</v>
      </c>
      <c r="DG185" s="243">
        <f t="shared" si="837"/>
        <v>2406.723</v>
      </c>
      <c r="DH185" s="243">
        <f t="shared" si="837"/>
        <v>2406.846</v>
      </c>
      <c r="DI185" s="243">
        <f t="shared" si="837"/>
        <v>2407.2979999999998</v>
      </c>
      <c r="DJ185" s="243">
        <f t="shared" si="837"/>
        <v>2406.9219999999996</v>
      </c>
      <c r="DK185" s="243">
        <f t="shared" si="837"/>
        <v>2405.625</v>
      </c>
    </row>
    <row r="186" spans="2:169" ht="12.75" customHeight="1" x14ac:dyDescent="0.25">
      <c r="AM186" s="243"/>
    </row>
    <row r="187" spans="2:169" ht="12.75" customHeight="1" x14ac:dyDescent="0.25">
      <c r="B187" t="s">
        <v>1488</v>
      </c>
      <c r="AM187" s="243"/>
      <c r="BD187" s="243">
        <f t="shared" ref="BD187:BG187" si="838">SUM(BA188:BD188)</f>
        <v>17908</v>
      </c>
      <c r="BE187" s="243">
        <f t="shared" si="838"/>
        <v>17848</v>
      </c>
      <c r="BF187" s="243">
        <f t="shared" si="838"/>
        <v>16385</v>
      </c>
      <c r="BG187" s="243">
        <f t="shared" si="838"/>
        <v>15011</v>
      </c>
      <c r="BH187" s="243">
        <f>SUM(BE188:BH188)</f>
        <v>15083</v>
      </c>
      <c r="BI187" s="243">
        <f>SUM(BF188:BI188)</f>
        <v>14671</v>
      </c>
      <c r="BJ187" s="243">
        <f t="shared" ref="BJ187:BR187" si="839">SUM(BG188:BJ188)</f>
        <v>10847</v>
      </c>
      <c r="BK187" s="243">
        <f t="shared" si="839"/>
        <v>8531</v>
      </c>
      <c r="BL187" s="243">
        <f t="shared" si="839"/>
        <v>4622</v>
      </c>
      <c r="BM187" s="243">
        <f t="shared" si="839"/>
        <v>0</v>
      </c>
      <c r="BN187" s="243">
        <f t="shared" si="839"/>
        <v>0</v>
      </c>
      <c r="BO187" s="243">
        <f t="shared" si="839"/>
        <v>2277</v>
      </c>
      <c r="BP187" s="243">
        <f t="shared" si="839"/>
        <v>7328</v>
      </c>
      <c r="BQ187" s="243">
        <f t="shared" si="839"/>
        <v>13275</v>
      </c>
      <c r="BR187" s="243">
        <f t="shared" si="839"/>
        <v>17414</v>
      </c>
      <c r="DG187" s="243">
        <f t="shared" ref="DG187" si="840">SUM(DD205:DG205)</f>
        <v>23191</v>
      </c>
      <c r="DH187" s="243">
        <f t="shared" ref="DH187:DJ187" si="841">SUM(DE205:DH205)</f>
        <v>24642</v>
      </c>
      <c r="DI187" s="243">
        <f t="shared" si="841"/>
        <v>25146</v>
      </c>
      <c r="DJ187" s="243">
        <f t="shared" si="841"/>
        <v>24266</v>
      </c>
      <c r="DK187" s="243">
        <f>SUM(DH205:DK205)</f>
        <v>24783</v>
      </c>
    </row>
    <row r="188" spans="2:169"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J188" si="842">+DG205</f>
        <v>3657</v>
      </c>
      <c r="DH188" s="243">
        <f t="shared" si="842"/>
        <v>5633</v>
      </c>
      <c r="DI188" s="243">
        <f t="shared" si="842"/>
        <v>7993</v>
      </c>
      <c r="DJ188" s="243">
        <f t="shared" si="842"/>
        <v>6983</v>
      </c>
      <c r="DK188" s="243">
        <f>+DK205</f>
        <v>4174</v>
      </c>
      <c r="DO188" s="300"/>
    </row>
    <row r="189" spans="2:169" ht="12.75" customHeight="1" x14ac:dyDescent="0.25">
      <c r="B189" t="s">
        <v>370</v>
      </c>
      <c r="AI189" s="243">
        <f>AI188+AI207</f>
        <v>2238</v>
      </c>
      <c r="AM189" s="243">
        <f>AM188+AM207</f>
        <v>3028</v>
      </c>
      <c r="AQ189" s="243">
        <f t="shared" ref="AQ189:AW189" si="843">AQ188+AQ207</f>
        <v>3391</v>
      </c>
      <c r="AR189" s="243">
        <f t="shared" si="843"/>
        <v>2298</v>
      </c>
      <c r="AS189" s="243">
        <f t="shared" si="843"/>
        <v>3532</v>
      </c>
      <c r="AT189" s="243">
        <f t="shared" si="843"/>
        <v>3086</v>
      </c>
      <c r="AU189" s="243">
        <f t="shared" si="843"/>
        <v>2757</v>
      </c>
      <c r="AV189" s="243">
        <f t="shared" si="843"/>
        <v>2155</v>
      </c>
      <c r="AW189" s="243">
        <f t="shared" si="843"/>
        <v>4121</v>
      </c>
      <c r="AX189" s="243">
        <f>AX188+AX207</f>
        <v>2873</v>
      </c>
      <c r="AY189" s="243">
        <f t="shared" ref="AY189:BB189" si="844">AY188+AY207</f>
        <v>2392</v>
      </c>
      <c r="AZ189" s="243">
        <f t="shared" si="844"/>
        <v>2796</v>
      </c>
      <c r="BA189" s="243">
        <f t="shared" si="844"/>
        <v>4575</v>
      </c>
      <c r="BB189" s="243">
        <f t="shared" si="844"/>
        <v>4443</v>
      </c>
      <c r="BC189" s="243">
        <f>BC188+BC207</f>
        <v>3293</v>
      </c>
      <c r="BD189" s="243">
        <f t="shared" ref="BD189:BE189" si="845">BD188+BD207</f>
        <v>3337</v>
      </c>
      <c r="BE189" s="243">
        <f t="shared" si="845"/>
        <v>4506</v>
      </c>
      <c r="BF189" s="243">
        <f>BF188+BF207</f>
        <v>2865</v>
      </c>
      <c r="BG189" s="243">
        <f>BG188+BG207</f>
        <v>2001</v>
      </c>
      <c r="BH189" s="243">
        <f t="shared" ref="BH189:BQ189" si="846">BH188+BH207</f>
        <v>3313</v>
      </c>
      <c r="BI189" s="243">
        <f t="shared" si="846"/>
        <v>4489</v>
      </c>
      <c r="BJ189" s="243">
        <f t="shared" si="846"/>
        <v>0</v>
      </c>
      <c r="BK189" s="243">
        <f t="shared" si="846"/>
        <v>0</v>
      </c>
      <c r="BL189" s="243">
        <f t="shared" si="846"/>
        <v>0</v>
      </c>
      <c r="BM189" s="243">
        <f t="shared" si="846"/>
        <v>0</v>
      </c>
      <c r="BN189" s="243">
        <f t="shared" si="846"/>
        <v>0</v>
      </c>
      <c r="BO189" s="243">
        <f t="shared" si="846"/>
        <v>1691</v>
      </c>
      <c r="BP189" s="243">
        <f t="shared" si="846"/>
        <v>4280</v>
      </c>
      <c r="BQ189" s="243">
        <f t="shared" si="846"/>
        <v>5138</v>
      </c>
      <c r="BR189" s="243">
        <f>BR188+BR207</f>
        <v>2710</v>
      </c>
      <c r="DG189" s="243">
        <f t="shared" ref="DG189:DI189" si="847">DG188+DG207</f>
        <v>2850</v>
      </c>
      <c r="DH189" s="243">
        <f t="shared" si="847"/>
        <v>4657</v>
      </c>
      <c r="DI189" s="243">
        <f t="shared" si="847"/>
        <v>6964</v>
      </c>
      <c r="DJ189" s="243">
        <f>DJ188+DJ207</f>
        <v>5371</v>
      </c>
      <c r="DK189" s="243">
        <f>DK188+DK207</f>
        <v>3379</v>
      </c>
      <c r="DO189" s="300"/>
    </row>
    <row r="190" spans="2:169" ht="12.75" customHeight="1" x14ac:dyDescent="0.25">
      <c r="B190" t="s">
        <v>1318</v>
      </c>
      <c r="AI190" s="243"/>
      <c r="AM190" s="243"/>
      <c r="AP190" s="243"/>
      <c r="AQ190" s="243">
        <f t="shared" ref="AQ190:AZ190" si="848">+AQ146-AP146</f>
        <v>1004</v>
      </c>
      <c r="AR190" s="243">
        <f t="shared" si="848"/>
        <v>994</v>
      </c>
      <c r="AS190" s="243">
        <f t="shared" si="848"/>
        <v>926</v>
      </c>
      <c r="AT190" s="243">
        <f t="shared" si="848"/>
        <v>-651</v>
      </c>
      <c r="AU190" s="243">
        <f t="shared" si="848"/>
        <v>-49</v>
      </c>
      <c r="AV190" s="243">
        <f t="shared" si="848"/>
        <v>-596</v>
      </c>
      <c r="AW190" s="243">
        <f t="shared" si="848"/>
        <v>1026</v>
      </c>
      <c r="AX190" s="243">
        <f t="shared" si="848"/>
        <v>800</v>
      </c>
      <c r="AY190" s="243">
        <f t="shared" si="848"/>
        <v>-1085</v>
      </c>
      <c r="AZ190" s="243">
        <f t="shared" si="848"/>
        <v>1244</v>
      </c>
      <c r="BA190" s="243">
        <f t="shared" ref="BA190:BI190" si="849">+BA146-AZ146</f>
        <v>1636</v>
      </c>
      <c r="BB190" s="243">
        <f t="shared" si="849"/>
        <v>2128</v>
      </c>
      <c r="BC190" s="243">
        <f t="shared" si="849"/>
        <v>1023</v>
      </c>
      <c r="BD190" s="243">
        <f t="shared" si="849"/>
        <v>1342</v>
      </c>
      <c r="BE190" s="243">
        <f t="shared" si="849"/>
        <v>2852</v>
      </c>
      <c r="BF190" s="243">
        <f t="shared" si="849"/>
        <v>784</v>
      </c>
      <c r="BG190" s="243">
        <f t="shared" si="849"/>
        <v>-1848</v>
      </c>
      <c r="BH190" s="243">
        <f t="shared" si="849"/>
        <v>1919</v>
      </c>
      <c r="BI190" s="243">
        <f t="shared" si="849"/>
        <v>1614</v>
      </c>
      <c r="BJ190" s="243">
        <f t="shared" ref="BJ190" si="850">+BJ146-BI146</f>
        <v>64</v>
      </c>
      <c r="BK190" s="243">
        <f t="shared" ref="BK190" si="851">+BK146-BJ146</f>
        <v>1764</v>
      </c>
      <c r="BL190" s="243">
        <f t="shared" ref="BL190" si="852">+BL146-BK146</f>
        <v>-15048</v>
      </c>
      <c r="BM190" s="243">
        <f t="shared" ref="BM190" si="853">+BM146-BL146</f>
        <v>3570</v>
      </c>
      <c r="BN190" s="243">
        <f t="shared" ref="BN190" si="854">+BN146-BM146</f>
        <v>2004</v>
      </c>
      <c r="BO190" s="243">
        <f t="shared" ref="BO190" si="855">+BO146-BN146</f>
        <v>852</v>
      </c>
      <c r="BP190" s="243">
        <f t="shared" ref="BP190" si="856">+BP146-BO146</f>
        <v>4371</v>
      </c>
      <c r="BQ190" s="243">
        <f t="shared" ref="BQ190" si="857">+BQ146-BP146</f>
        <v>-26</v>
      </c>
      <c r="BR190" s="243">
        <f t="shared" ref="BR190" si="858">+BR146-BQ146</f>
        <v>905</v>
      </c>
    </row>
    <row r="191" spans="2:169" ht="12.75" customHeight="1" x14ac:dyDescent="0.25">
      <c r="AM191" s="243"/>
      <c r="AQ191" s="243"/>
      <c r="AR191" s="243"/>
      <c r="AS191" s="243"/>
      <c r="AT191" s="243"/>
      <c r="AU191" s="243"/>
      <c r="AV191" s="243"/>
    </row>
    <row r="192" spans="2:169"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59">AQ76</f>
        <v>3430</v>
      </c>
      <c r="AR192" s="278">
        <f t="shared" si="859"/>
        <v>3092</v>
      </c>
      <c r="AS192" s="278">
        <f t="shared" si="859"/>
        <v>3109.4179999999997</v>
      </c>
      <c r="AT192" s="278">
        <f t="shared" si="859"/>
        <v>2892.0230000000001</v>
      </c>
      <c r="AU192" s="278">
        <f t="shared" si="859"/>
        <v>3598</v>
      </c>
      <c r="AV192" s="278">
        <f t="shared" si="859"/>
        <v>3367</v>
      </c>
      <c r="AW192" s="278">
        <f t="shared" si="859"/>
        <v>3310</v>
      </c>
      <c r="AX192" s="278">
        <f t="shared" si="859"/>
        <v>2626</v>
      </c>
      <c r="AY192" s="278">
        <f t="shared" si="859"/>
        <v>3507</v>
      </c>
      <c r="AZ192" s="278">
        <f t="shared" si="859"/>
        <v>3208</v>
      </c>
      <c r="BA192" s="278">
        <f t="shared" si="859"/>
        <v>3345</v>
      </c>
      <c r="BB192" s="278">
        <f t="shared" si="859"/>
        <v>2884</v>
      </c>
      <c r="BC192" s="278">
        <f t="shared" si="859"/>
        <v>3616</v>
      </c>
      <c r="BD192" s="278">
        <f t="shared" si="859"/>
        <v>3441</v>
      </c>
      <c r="BE192" s="278">
        <f t="shared" si="859"/>
        <v>3417</v>
      </c>
      <c r="BF192" s="278">
        <f t="shared" si="859"/>
        <v>2864</v>
      </c>
      <c r="BG192" s="278">
        <f t="shared" si="859"/>
        <v>4269</v>
      </c>
      <c r="BH192" s="278">
        <f t="shared" si="859"/>
        <v>3365</v>
      </c>
      <c r="BI192" s="278">
        <f t="shared" si="859"/>
        <v>3202</v>
      </c>
      <c r="BJ192" s="278">
        <f t="shared" si="859"/>
        <v>5695</v>
      </c>
      <c r="BK192" s="278">
        <f t="shared" si="859"/>
        <v>3910</v>
      </c>
      <c r="BL192" s="278">
        <f t="shared" si="859"/>
        <v>3621</v>
      </c>
      <c r="BM192" s="278">
        <f t="shared" si="859"/>
        <v>3447</v>
      </c>
      <c r="BN192" s="278">
        <f t="shared" si="859"/>
        <v>2855</v>
      </c>
      <c r="BO192" s="278">
        <f t="shared" si="859"/>
        <v>3604</v>
      </c>
      <c r="BP192" s="278">
        <f t="shared" si="859"/>
        <v>4345</v>
      </c>
      <c r="BQ192" s="278">
        <f t="shared" si="859"/>
        <v>3983</v>
      </c>
      <c r="BR192" s="278">
        <f t="shared" si="859"/>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60">+CZ76</f>
        <v>7021</v>
      </c>
      <c r="DA192" s="278">
        <f t="shared" si="860"/>
        <v>5189</v>
      </c>
      <c r="DB192" s="278">
        <f t="shared" si="860"/>
        <v>6391</v>
      </c>
      <c r="DC192" s="278">
        <f t="shared" si="860"/>
        <v>5036</v>
      </c>
      <c r="DD192" s="278">
        <f t="shared" si="860"/>
        <v>5383</v>
      </c>
      <c r="DE192" s="278">
        <f t="shared" si="860"/>
        <v>6776.5</v>
      </c>
      <c r="DF192" s="278">
        <f t="shared" si="860"/>
        <v>5772</v>
      </c>
      <c r="DG192" s="278">
        <f t="shared" si="860"/>
        <v>6579</v>
      </c>
      <c r="DH192" s="278">
        <f t="shared" si="860"/>
        <v>4873</v>
      </c>
      <c r="DI192" s="278">
        <f t="shared" si="860"/>
        <v>5875.5999999999985</v>
      </c>
      <c r="DJ192" s="278">
        <f t="shared" si="860"/>
        <v>4803</v>
      </c>
      <c r="DK192" s="278">
        <f t="shared" si="860"/>
        <v>6707</v>
      </c>
      <c r="DL192" s="278">
        <f t="shared" si="860"/>
        <v>16594.852499999997</v>
      </c>
      <c r="DM192" s="278">
        <f t="shared" si="860"/>
        <v>16621.454250000003</v>
      </c>
      <c r="DN192" s="278">
        <f t="shared" si="860"/>
        <v>16437.314999999995</v>
      </c>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69"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301"/>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FM193" s="301"/>
    </row>
    <row r="194" spans="2:169"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69"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69"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69"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69"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69"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69"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69"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69"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69"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69"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69"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61">SUM(AY193:AY204)</f>
        <v>2827</v>
      </c>
      <c r="AZ205" s="278">
        <f t="shared" si="861"/>
        <v>3363</v>
      </c>
      <c r="BA205" s="278">
        <f t="shared" si="861"/>
        <v>5094</v>
      </c>
      <c r="BB205" s="278">
        <f t="shared" si="861"/>
        <v>5287</v>
      </c>
      <c r="BC205" s="278">
        <f t="shared" si="861"/>
        <v>3690</v>
      </c>
      <c r="BD205" s="278">
        <f t="shared" si="861"/>
        <v>3837</v>
      </c>
      <c r="BE205" s="278">
        <f t="shared" si="861"/>
        <v>5034</v>
      </c>
      <c r="BF205" s="278">
        <f t="shared" si="861"/>
        <v>3824</v>
      </c>
      <c r="BG205" s="278">
        <f t="shared" si="861"/>
        <v>2316</v>
      </c>
      <c r="BH205" s="278">
        <f t="shared" si="861"/>
        <v>3909</v>
      </c>
      <c r="BI205" s="278">
        <f t="shared" si="861"/>
        <v>4622</v>
      </c>
      <c r="BJ205" s="278"/>
      <c r="BK205" s="166"/>
      <c r="BL205" s="166"/>
      <c r="BM205" s="166"/>
      <c r="BN205" s="166"/>
      <c r="BO205" s="278">
        <f t="shared" ref="BO205:BP205" si="862">SUM(BO193:BO204)</f>
        <v>2277</v>
      </c>
      <c r="BP205" s="278">
        <f t="shared" si="862"/>
        <v>5051</v>
      </c>
      <c r="BQ205" s="278">
        <f t="shared" ref="BQ205:BR205" si="863">SUM(BQ193:BQ204)</f>
        <v>5947</v>
      </c>
      <c r="BR205" s="278">
        <f t="shared" si="863"/>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64">SUM(CZ193:CZ204)</f>
        <v>5581</v>
      </c>
      <c r="DA205" s="278">
        <f t="shared" si="864"/>
        <v>6284</v>
      </c>
      <c r="DB205" s="278">
        <f t="shared" si="864"/>
        <v>5350</v>
      </c>
      <c r="DC205" s="278">
        <f t="shared" si="864"/>
        <v>3257</v>
      </c>
      <c r="DD205" s="278">
        <f t="shared" si="864"/>
        <v>4182</v>
      </c>
      <c r="DE205" s="278">
        <f t="shared" si="864"/>
        <v>7489</v>
      </c>
      <c r="DF205" s="278">
        <f t="shared" si="864"/>
        <v>7863</v>
      </c>
      <c r="DG205" s="278">
        <f t="shared" si="864"/>
        <v>3657</v>
      </c>
      <c r="DH205" s="278">
        <f t="shared" si="864"/>
        <v>5633</v>
      </c>
      <c r="DI205" s="278">
        <f t="shared" si="864"/>
        <v>7993</v>
      </c>
      <c r="DJ205" s="278">
        <f t="shared" si="864"/>
        <v>6983</v>
      </c>
      <c r="DK205" s="278">
        <f t="shared" si="864"/>
        <v>4174</v>
      </c>
      <c r="DL205" s="278">
        <f t="shared" si="864"/>
        <v>0</v>
      </c>
      <c r="DM205" s="278">
        <f t="shared" si="864"/>
        <v>0</v>
      </c>
      <c r="DN205" s="278">
        <f t="shared" si="864"/>
        <v>0</v>
      </c>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69"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row>
    <row r="207" spans="2:169"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69"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65">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1"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1"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66">SUM(CZ207:CZ212)</f>
        <v>-2639</v>
      </c>
      <c r="DA213" s="243">
        <f t="shared" si="866"/>
        <v>-1701</v>
      </c>
      <c r="DB213" s="243">
        <f t="shared" si="866"/>
        <v>-4151</v>
      </c>
      <c r="DC213" s="243">
        <f t="shared" si="866"/>
        <v>3315</v>
      </c>
      <c r="DD213" s="243">
        <f t="shared" si="866"/>
        <v>-3776</v>
      </c>
      <c r="DE213" s="243">
        <f t="shared" si="866"/>
        <v>2541</v>
      </c>
      <c r="DF213" s="243">
        <f t="shared" si="866"/>
        <v>-1202</v>
      </c>
      <c r="DG213" s="243">
        <f t="shared" ref="DG213:DN213" si="867">SUM(DG207:DG212)</f>
        <v>-464</v>
      </c>
      <c r="DH213" s="243">
        <f t="shared" si="867"/>
        <v>-13687</v>
      </c>
      <c r="DI213" s="243">
        <f t="shared" si="867"/>
        <v>-3128</v>
      </c>
      <c r="DJ213" s="243">
        <f t="shared" si="867"/>
        <v>-1320</v>
      </c>
      <c r="DK213" s="243">
        <f t="shared" si="867"/>
        <v>-297</v>
      </c>
      <c r="DL213" s="243">
        <f t="shared" si="867"/>
        <v>0</v>
      </c>
      <c r="DM213" s="243">
        <f t="shared" si="867"/>
        <v>0</v>
      </c>
      <c r="DN213" s="243">
        <f t="shared" si="867"/>
        <v>0</v>
      </c>
    </row>
    <row r="214" spans="2:151"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1"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P216" s="243"/>
      <c r="DQ216" s="243"/>
      <c r="DR216" s="243"/>
      <c r="DS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row>
    <row r="217" spans="2:151"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1"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1" ht="12.75" customHeight="1" x14ac:dyDescent="0.25">
      <c r="B219" t="s">
        <v>1891</v>
      </c>
      <c r="CY219" s="243">
        <f>SUM(CY215:CY218)</f>
        <v>-4385</v>
      </c>
      <c r="CZ219" s="243">
        <f t="shared" ref="CZ219:DC219" si="868">SUM(CZ215:CZ218)</f>
        <v>-2261</v>
      </c>
      <c r="DA219" s="243">
        <f t="shared" si="868"/>
        <v>-3925</v>
      </c>
      <c r="DB219" s="243">
        <f t="shared" si="868"/>
        <v>1700</v>
      </c>
      <c r="DC219" s="243">
        <f t="shared" si="868"/>
        <v>6138</v>
      </c>
      <c r="DD219" s="243">
        <f t="shared" ref="DD219:DN219" si="869">SUM(DD215:DD218)</f>
        <v>-5991</v>
      </c>
      <c r="DE219" s="243">
        <f t="shared" si="869"/>
        <v>-11317</v>
      </c>
      <c r="DF219" s="243">
        <f t="shared" si="869"/>
        <v>-4655</v>
      </c>
      <c r="DG219" s="243">
        <f t="shared" si="869"/>
        <v>546</v>
      </c>
      <c r="DH219" s="243">
        <f t="shared" si="869"/>
        <v>7544</v>
      </c>
      <c r="DI219" s="243">
        <f t="shared" si="869"/>
        <v>-9882</v>
      </c>
      <c r="DJ219" s="243">
        <f t="shared" si="869"/>
        <v>-1340</v>
      </c>
      <c r="DK219" s="243">
        <f>SUM(DK215:DK218)</f>
        <v>10422</v>
      </c>
      <c r="DL219" s="243">
        <f t="shared" si="869"/>
        <v>0</v>
      </c>
      <c r="DM219" s="243">
        <f t="shared" si="869"/>
        <v>0</v>
      </c>
      <c r="DN219" s="243">
        <f t="shared" si="869"/>
        <v>0</v>
      </c>
    </row>
    <row r="220" spans="2:151"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1" ht="12.75" customHeight="1" x14ac:dyDescent="0.25">
      <c r="B221" t="s">
        <v>1318</v>
      </c>
      <c r="CY221" s="243">
        <f t="shared" ref="CY221:DN221" si="870">+CY205+CY213+CY219+CY220</f>
        <v>-4024</v>
      </c>
      <c r="CZ221" s="243">
        <f t="shared" si="870"/>
        <v>520</v>
      </c>
      <c r="DA221" s="243">
        <f t="shared" si="870"/>
        <v>372</v>
      </c>
      <c r="DB221" s="243">
        <f t="shared" si="870"/>
        <v>3018</v>
      </c>
      <c r="DC221" s="243">
        <f t="shared" si="870"/>
        <v>12738</v>
      </c>
      <c r="DD221" s="243">
        <f t="shared" si="870"/>
        <v>-5682</v>
      </c>
      <c r="DE221" s="243">
        <f t="shared" si="870"/>
        <v>-1455</v>
      </c>
      <c r="DF221" s="243">
        <f t="shared" si="870"/>
        <v>2131</v>
      </c>
      <c r="DG221" s="243">
        <f t="shared" si="870"/>
        <v>3614</v>
      </c>
      <c r="DH221" s="243">
        <f t="shared" si="870"/>
        <v>-595</v>
      </c>
      <c r="DI221" s="243">
        <f t="shared" si="870"/>
        <v>-4898</v>
      </c>
      <c r="DJ221" s="243">
        <f t="shared" si="870"/>
        <v>4125</v>
      </c>
      <c r="DK221" s="243">
        <f t="shared" si="870"/>
        <v>14369</v>
      </c>
      <c r="DL221" s="243">
        <f t="shared" si="870"/>
        <v>0</v>
      </c>
      <c r="DM221" s="243">
        <f t="shared" si="870"/>
        <v>0</v>
      </c>
      <c r="DN221" s="243">
        <f t="shared" si="870"/>
        <v>0</v>
      </c>
    </row>
    <row r="222" spans="2:151"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71">+AY207+AY205</f>
        <v>2392</v>
      </c>
      <c r="AZ222" s="243">
        <f t="shared" si="871"/>
        <v>2796</v>
      </c>
      <c r="BA222" s="243">
        <f t="shared" si="871"/>
        <v>4575</v>
      </c>
      <c r="BB222" s="243">
        <f t="shared" si="871"/>
        <v>4443</v>
      </c>
      <c r="BC222" s="243">
        <f t="shared" si="871"/>
        <v>3293</v>
      </c>
      <c r="BD222" s="243">
        <f t="shared" si="871"/>
        <v>3337</v>
      </c>
      <c r="BE222" s="243">
        <f t="shared" si="871"/>
        <v>4506</v>
      </c>
      <c r="BF222" s="243">
        <f t="shared" si="871"/>
        <v>2865</v>
      </c>
      <c r="BG222" s="243">
        <f t="shared" si="871"/>
        <v>2001</v>
      </c>
      <c r="BH222" s="243">
        <f t="shared" si="871"/>
        <v>3313</v>
      </c>
      <c r="BI222" s="243">
        <f t="shared" si="871"/>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P222" s="243"/>
      <c r="DQ222" s="243"/>
      <c r="DR222" s="243"/>
      <c r="DS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row>
    <row r="223" spans="2:151" ht="12.75" customHeight="1" x14ac:dyDescent="0.25">
      <c r="DA223" s="243"/>
    </row>
    <row r="224" spans="2:151"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P224" s="303"/>
      <c r="DQ224" s="303"/>
      <c r="DR224" s="303"/>
      <c r="DS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row>
    <row r="225" spans="2:151" ht="12.75" customHeight="1" x14ac:dyDescent="0.25">
      <c r="B225" t="s">
        <v>470</v>
      </c>
      <c r="AS225" s="243">
        <v>14850</v>
      </c>
    </row>
    <row r="226" spans="2:151" ht="12.75" customHeight="1" x14ac:dyDescent="0.25">
      <c r="AS226" s="76" t="s">
        <v>471</v>
      </c>
    </row>
    <row r="227" spans="2:151" ht="12.75" customHeight="1" x14ac:dyDescent="0.25">
      <c r="B227" t="s">
        <v>472</v>
      </c>
    </row>
    <row r="228" spans="2:151" ht="12.75" customHeight="1" x14ac:dyDescent="0.25">
      <c r="B228" t="s">
        <v>473</v>
      </c>
      <c r="DS228" s="294">
        <v>0.85</v>
      </c>
      <c r="DT228" s="294">
        <v>0.85</v>
      </c>
      <c r="DU228" s="294">
        <v>0.85</v>
      </c>
      <c r="DV228" s="294">
        <v>0.85</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0.88</v>
      </c>
      <c r="EK228" s="294">
        <v>0.85</v>
      </c>
      <c r="EL228" s="294">
        <v>0.88</v>
      </c>
      <c r="EM228" s="294">
        <v>0.85</v>
      </c>
      <c r="EN228" s="294">
        <v>0.88</v>
      </c>
      <c r="EO228" s="294">
        <v>0.88</v>
      </c>
      <c r="EP228" s="294">
        <v>0.88</v>
      </c>
      <c r="EQ228" s="294">
        <v>0.88</v>
      </c>
      <c r="ER228" s="294"/>
      <c r="ES228" s="294"/>
      <c r="ET228" s="294"/>
      <c r="EU228" s="294"/>
    </row>
    <row r="229" spans="2:151" ht="12.75" customHeight="1" x14ac:dyDescent="0.25">
      <c r="B229" t="s">
        <v>474</v>
      </c>
      <c r="DS229" s="243">
        <f t="shared" ref="DS229:EQ229" si="872">DS228*DS107</f>
        <v>3689</v>
      </c>
      <c r="DT229" s="243">
        <f t="shared" si="872"/>
        <v>3816.5</v>
      </c>
      <c r="DU229" s="243">
        <f t="shared" si="872"/>
        <v>4384.3</v>
      </c>
      <c r="DV229" s="243">
        <f t="shared" si="872"/>
        <v>5332.9</v>
      </c>
      <c r="DW229" s="243">
        <f t="shared" si="872"/>
        <v>6109.8</v>
      </c>
      <c r="DX229" s="243">
        <f t="shared" si="872"/>
        <v>6541.5999999999995</v>
      </c>
      <c r="DY229" s="243">
        <f t="shared" si="872"/>
        <v>7277.7</v>
      </c>
      <c r="DZ229" s="243">
        <f t="shared" si="872"/>
        <v>9089.9</v>
      </c>
      <c r="EA229" s="243">
        <f t="shared" si="872"/>
        <v>10160.9</v>
      </c>
      <c r="EB229" s="243">
        <f t="shared" si="872"/>
        <v>12623.35</v>
      </c>
      <c r="EC229" s="243">
        <f t="shared" si="872"/>
        <v>14578.35</v>
      </c>
      <c r="ED229" s="243">
        <f t="shared" si="872"/>
        <v>16589.45</v>
      </c>
      <c r="EE229" s="243">
        <f t="shared" si="872"/>
        <v>18808.8</v>
      </c>
      <c r="EF229" s="243">
        <f t="shared" si="872"/>
        <v>18973.7</v>
      </c>
      <c r="EG229" s="243">
        <f t="shared" si="872"/>
        <v>19776.95</v>
      </c>
      <c r="EH229" s="243">
        <f t="shared" si="872"/>
        <v>21136.1</v>
      </c>
      <c r="EI229" s="243">
        <f t="shared" si="872"/>
        <v>20881.95</v>
      </c>
      <c r="EJ229" s="243">
        <f t="shared" si="872"/>
        <v>19817.599999999999</v>
      </c>
      <c r="EK229" s="243">
        <f t="shared" si="872"/>
        <v>18924.399999999998</v>
      </c>
      <c r="EL229" s="243">
        <f t="shared" si="872"/>
        <v>21443.84</v>
      </c>
      <c r="EM229" s="243">
        <f t="shared" si="872"/>
        <v>21992.899999999998</v>
      </c>
      <c r="EN229" s="243">
        <f t="shared" si="872"/>
        <v>24750</v>
      </c>
      <c r="EO229" s="243">
        <f t="shared" si="872"/>
        <v>27612.288</v>
      </c>
      <c r="EP229" s="243">
        <f t="shared" si="872"/>
        <v>27722.490399999999</v>
      </c>
      <c r="EQ229" s="243">
        <f t="shared" si="872"/>
        <v>22149.421975999998</v>
      </c>
      <c r="ER229" s="243"/>
      <c r="ES229" s="243"/>
      <c r="ET229" s="243"/>
      <c r="EU229" s="243"/>
    </row>
    <row r="230" spans="2:151" ht="12.75" customHeight="1" x14ac:dyDescent="0.25">
      <c r="B230" t="s">
        <v>475</v>
      </c>
      <c r="DS230" s="294">
        <v>0.68</v>
      </c>
      <c r="DT230" s="294">
        <v>0.68</v>
      </c>
      <c r="DU230" s="294">
        <v>0.68</v>
      </c>
      <c r="DV230" s="294">
        <v>0.68</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0.69</v>
      </c>
      <c r="EK230" s="294">
        <v>0.69</v>
      </c>
      <c r="EL230" s="294">
        <v>0.69</v>
      </c>
      <c r="EM230" s="294">
        <v>0.66</v>
      </c>
      <c r="EN230" s="294">
        <v>0.69</v>
      </c>
      <c r="EO230" s="294">
        <v>0.69</v>
      </c>
      <c r="EP230" s="294">
        <v>0.69</v>
      </c>
      <c r="EQ230" s="294">
        <v>0.69</v>
      </c>
      <c r="ER230" s="294"/>
      <c r="ES230" s="294"/>
      <c r="ET230" s="294"/>
      <c r="EU230" s="294"/>
    </row>
    <row r="231" spans="2:151" ht="12.75" customHeight="1" x14ac:dyDescent="0.25">
      <c r="B231" t="s">
        <v>476</v>
      </c>
      <c r="DS231" s="243">
        <f t="shared" ref="DS231:EQ231" si="873">DS230*DS114</f>
        <v>3150.44</v>
      </c>
      <c r="DT231" s="243">
        <f t="shared" si="873"/>
        <v>3280.32</v>
      </c>
      <c r="DU231" s="243">
        <f t="shared" si="873"/>
        <v>3621.0000000000005</v>
      </c>
      <c r="DV231" s="243">
        <f t="shared" si="873"/>
        <v>4581.1600000000008</v>
      </c>
      <c r="DW231" s="243">
        <f t="shared" si="873"/>
        <v>5486.2400000000007</v>
      </c>
      <c r="DX231" s="243">
        <f t="shared" si="873"/>
        <v>5735.8</v>
      </c>
      <c r="DY231" s="243">
        <f t="shared" si="873"/>
        <v>5826.92</v>
      </c>
      <c r="DZ231" s="243">
        <f t="shared" si="873"/>
        <v>6740.84</v>
      </c>
      <c r="EA231" s="243">
        <f t="shared" si="873"/>
        <v>6991.0800000000008</v>
      </c>
      <c r="EB231" s="243">
        <f t="shared" si="873"/>
        <v>7609.88</v>
      </c>
      <c r="EC231" s="243">
        <f t="shared" si="873"/>
        <v>8557.8000000000011</v>
      </c>
      <c r="ED231" s="243">
        <f t="shared" si="873"/>
        <v>10141.52</v>
      </c>
      <c r="EE231" s="243">
        <f t="shared" si="873"/>
        <v>11483.160000000002</v>
      </c>
      <c r="EF231" s="243">
        <f t="shared" si="873"/>
        <v>12985.28</v>
      </c>
      <c r="EG231" s="243">
        <f t="shared" si="873"/>
        <v>13792.44</v>
      </c>
      <c r="EH231" s="243">
        <f t="shared" si="873"/>
        <v>14780.480000000001</v>
      </c>
      <c r="EI231" s="243">
        <f t="shared" si="873"/>
        <v>15725.68</v>
      </c>
      <c r="EJ231" s="243">
        <f t="shared" si="873"/>
        <v>16266.06</v>
      </c>
      <c r="EK231" s="243">
        <f t="shared" si="873"/>
        <v>16974.689999999999</v>
      </c>
      <c r="EL231" s="243">
        <f t="shared" si="873"/>
        <v>17787.509999999998</v>
      </c>
      <c r="EM231" s="243">
        <f t="shared" si="873"/>
        <v>18101.16</v>
      </c>
      <c r="EN231" s="243">
        <f t="shared" si="873"/>
        <v>19658.099999999999</v>
      </c>
      <c r="EO231" s="243">
        <f t="shared" si="873"/>
        <v>19926.430649999998</v>
      </c>
      <c r="EP231" s="243">
        <f t="shared" si="873"/>
        <v>20202.036987749998</v>
      </c>
      <c r="EQ231" s="243">
        <f t="shared" si="873"/>
        <v>20485.113759281252</v>
      </c>
      <c r="ER231" s="243"/>
      <c r="ES231" s="243"/>
      <c r="ET231" s="243"/>
      <c r="EU231" s="243"/>
    </row>
    <row r="232" spans="2:151" ht="12.75" customHeight="1" x14ac:dyDescent="0.25">
      <c r="B232" t="s">
        <v>477</v>
      </c>
      <c r="DS232" s="294">
        <v>0.5</v>
      </c>
      <c r="DT232" s="294">
        <v>0.5</v>
      </c>
      <c r="DU232" s="294">
        <v>0.5</v>
      </c>
      <c r="DV232" s="294">
        <v>0.5</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0.52</v>
      </c>
      <c r="EK232" s="294">
        <v>0.51</v>
      </c>
      <c r="EL232" s="294">
        <v>0.52</v>
      </c>
      <c r="EM232" s="294">
        <v>0.53</v>
      </c>
      <c r="EN232" s="294">
        <v>0.52</v>
      </c>
      <c r="EO232" s="294">
        <v>0.52</v>
      </c>
      <c r="EP232" s="294">
        <v>0.52</v>
      </c>
      <c r="EQ232" s="294">
        <v>0.52</v>
      </c>
      <c r="ER232" s="294"/>
      <c r="ES232" s="294"/>
      <c r="ET232" s="294"/>
      <c r="EU232" s="294"/>
    </row>
    <row r="233" spans="2:151" ht="12.75" customHeight="1" x14ac:dyDescent="0.25">
      <c r="B233" t="s">
        <v>478</v>
      </c>
      <c r="DS233" s="243">
        <f t="shared" ref="DS233:EQ233" si="874">DS232*DS121</f>
        <v>2390</v>
      </c>
      <c r="DT233" s="243">
        <f t="shared" si="874"/>
        <v>2412</v>
      </c>
      <c r="DU233" s="243">
        <f t="shared" si="874"/>
        <v>2625.5</v>
      </c>
      <c r="DV233" s="243">
        <f t="shared" si="874"/>
        <v>2915.5</v>
      </c>
      <c r="DW233" s="243">
        <f t="shared" si="874"/>
        <v>3182</v>
      </c>
      <c r="DX233" s="243">
        <f t="shared" si="874"/>
        <v>3249</v>
      </c>
      <c r="DY233" s="243">
        <f t="shared" si="874"/>
        <v>3263</v>
      </c>
      <c r="DZ233" s="243">
        <f t="shared" si="874"/>
        <v>3432</v>
      </c>
      <c r="EA233" s="243">
        <f t="shared" si="874"/>
        <v>3452</v>
      </c>
      <c r="EB233" s="243">
        <f t="shared" si="874"/>
        <v>3481</v>
      </c>
      <c r="EC233" s="243">
        <f t="shared" si="874"/>
        <v>3282</v>
      </c>
      <c r="ED233" s="243">
        <f t="shared" si="874"/>
        <v>3715.5</v>
      </c>
      <c r="EE233" s="243">
        <f t="shared" si="874"/>
        <v>4166.5</v>
      </c>
      <c r="EF233" s="243">
        <f t="shared" si="874"/>
        <v>4548</v>
      </c>
      <c r="EG233" s="243">
        <f t="shared" si="874"/>
        <v>4887</v>
      </c>
      <c r="EH233" s="243">
        <f t="shared" si="874"/>
        <v>7246.5</v>
      </c>
      <c r="EI233" s="243">
        <f t="shared" si="874"/>
        <v>8027</v>
      </c>
      <c r="EJ233" s="243">
        <f t="shared" si="874"/>
        <v>8217.56</v>
      </c>
      <c r="EK233" s="243">
        <f t="shared" si="874"/>
        <v>7440.9000000000005</v>
      </c>
      <c r="EL233" s="243">
        <f t="shared" si="874"/>
        <v>7739.16</v>
      </c>
      <c r="EM233" s="243">
        <f t="shared" si="874"/>
        <v>7656.9100000000008</v>
      </c>
      <c r="EN233" s="243">
        <f t="shared" si="874"/>
        <v>7642.4400000000005</v>
      </c>
      <c r="EO233" s="243">
        <f t="shared" si="874"/>
        <v>7795.2888000000003</v>
      </c>
      <c r="EP233" s="243">
        <f t="shared" si="874"/>
        <v>7951.1945760000008</v>
      </c>
      <c r="EQ233" s="243">
        <f t="shared" si="874"/>
        <v>8110.2184675200015</v>
      </c>
      <c r="ER233" s="243"/>
      <c r="ES233" s="243"/>
      <c r="ET233" s="243"/>
      <c r="EU233" s="243"/>
    </row>
    <row r="234" spans="2:151" ht="12.75" customHeight="1" x14ac:dyDescent="0.25">
      <c r="B234" t="s">
        <v>479</v>
      </c>
      <c r="DS234" s="243">
        <f t="shared" ref="DS234:EP234" si="875">DS233+DS231+DS229</f>
        <v>9229.44</v>
      </c>
      <c r="DT234" s="243">
        <f t="shared" si="875"/>
        <v>9508.82</v>
      </c>
      <c r="DU234" s="243">
        <f t="shared" si="875"/>
        <v>10630.8</v>
      </c>
      <c r="DV234" s="243">
        <f t="shared" si="875"/>
        <v>12829.560000000001</v>
      </c>
      <c r="DW234" s="243">
        <f t="shared" si="875"/>
        <v>14778.04</v>
      </c>
      <c r="DX234" s="243">
        <f t="shared" si="875"/>
        <v>15526.399999999998</v>
      </c>
      <c r="DY234" s="243">
        <f t="shared" si="875"/>
        <v>16367.619999999999</v>
      </c>
      <c r="DZ234" s="243">
        <f t="shared" si="875"/>
        <v>19262.739999999998</v>
      </c>
      <c r="EA234" s="243">
        <f t="shared" si="875"/>
        <v>20603.980000000003</v>
      </c>
      <c r="EB234" s="243">
        <f t="shared" si="875"/>
        <v>23714.230000000003</v>
      </c>
      <c r="EC234" s="243">
        <f t="shared" si="875"/>
        <v>26418.15</v>
      </c>
      <c r="ED234" s="243">
        <f t="shared" si="875"/>
        <v>30446.47</v>
      </c>
      <c r="EE234" s="243">
        <f t="shared" si="875"/>
        <v>34458.46</v>
      </c>
      <c r="EF234" s="243">
        <f t="shared" si="875"/>
        <v>36506.979999999996</v>
      </c>
      <c r="EG234" s="243">
        <f t="shared" si="875"/>
        <v>38456.39</v>
      </c>
      <c r="EH234" s="243">
        <f t="shared" si="875"/>
        <v>43163.08</v>
      </c>
      <c r="EI234" s="243">
        <f>EI233+EI231+EI229</f>
        <v>44634.630000000005</v>
      </c>
      <c r="EJ234" s="243">
        <f>EJ233+EJ231+EJ229</f>
        <v>44301.22</v>
      </c>
      <c r="EK234" s="243">
        <f t="shared" si="875"/>
        <v>43339.99</v>
      </c>
      <c r="EL234" s="243">
        <f t="shared" si="875"/>
        <v>46970.509999999995</v>
      </c>
      <c r="EM234" s="243">
        <f t="shared" si="875"/>
        <v>47750.97</v>
      </c>
      <c r="EN234" s="243">
        <f t="shared" si="875"/>
        <v>52050.54</v>
      </c>
      <c r="EO234" s="243">
        <f t="shared" si="875"/>
        <v>55334.007449999997</v>
      </c>
      <c r="EP234" s="243">
        <f t="shared" si="875"/>
        <v>55875.721963749995</v>
      </c>
      <c r="EQ234" s="243">
        <f>EQ233+EQ231+EQ229</f>
        <v>50744.754202801254</v>
      </c>
      <c r="ER234" s="243"/>
      <c r="ES234" s="243"/>
      <c r="ET234" s="243"/>
      <c r="EU234" s="243"/>
    </row>
    <row r="235" spans="2:151" ht="12.75" customHeight="1" x14ac:dyDescent="0.25">
      <c r="B235" t="s">
        <v>480</v>
      </c>
      <c r="DS235" s="243">
        <f t="shared" ref="DS235:EQ235" si="876">DS67</f>
        <v>9075</v>
      </c>
      <c r="DT235" s="243">
        <f t="shared" si="876"/>
        <v>9347</v>
      </c>
      <c r="DU235" s="243">
        <f t="shared" si="876"/>
        <v>10435</v>
      </c>
      <c r="DV235" s="243">
        <f t="shared" si="876"/>
        <v>12607</v>
      </c>
      <c r="DW235" s="243">
        <f t="shared" si="876"/>
        <v>14602</v>
      </c>
      <c r="DX235" s="243">
        <f t="shared" si="876"/>
        <v>15477</v>
      </c>
      <c r="DY235" s="243">
        <f t="shared" si="876"/>
        <v>16221</v>
      </c>
      <c r="DZ235" s="243">
        <f t="shared" si="876"/>
        <v>19029</v>
      </c>
      <c r="EA235" s="243">
        <f t="shared" si="876"/>
        <v>20278</v>
      </c>
      <c r="EB235" s="243">
        <f t="shared" si="876"/>
        <v>23468</v>
      </c>
      <c r="EC235" s="243">
        <f t="shared" si="876"/>
        <v>26464.9</v>
      </c>
      <c r="ED235" s="243">
        <f t="shared" si="876"/>
        <v>30189.4</v>
      </c>
      <c r="EE235" s="243">
        <f t="shared" si="876"/>
        <v>34695</v>
      </c>
      <c r="EF235" s="243">
        <f t="shared" si="876"/>
        <v>35544</v>
      </c>
      <c r="EG235" s="243">
        <f t="shared" si="876"/>
        <v>38267</v>
      </c>
      <c r="EH235" s="243">
        <f t="shared" si="876"/>
        <v>43344</v>
      </c>
      <c r="EI235" s="243">
        <f t="shared" si="876"/>
        <v>45236</v>
      </c>
      <c r="EJ235" s="243">
        <f t="shared" si="876"/>
        <v>43563</v>
      </c>
      <c r="EK235" s="243">
        <f t="shared" si="876"/>
        <v>42663</v>
      </c>
      <c r="EL235" s="243">
        <f t="shared" si="876"/>
        <v>48029</v>
      </c>
      <c r="EM235" s="243">
        <f t="shared" si="876"/>
        <v>46089</v>
      </c>
      <c r="EN235" s="243">
        <f t="shared" si="876"/>
        <v>48970</v>
      </c>
      <c r="EO235" s="243">
        <f t="shared" si="876"/>
        <v>51920.723249999995</v>
      </c>
      <c r="EP235" s="243">
        <f t="shared" si="876"/>
        <v>52489.613259749996</v>
      </c>
      <c r="EQ235" s="243">
        <f t="shared" si="876"/>
        <v>48613.910215721247</v>
      </c>
      <c r="ER235" s="243"/>
      <c r="ES235" s="243"/>
      <c r="ET235" s="243"/>
      <c r="EU235" s="243"/>
    </row>
    <row r="236" spans="2:151" ht="12.75" customHeight="1" x14ac:dyDescent="0.25">
      <c r="DS236" s="294">
        <f t="shared" ref="DS236:EQ236" si="877">DS234/DS235-1</f>
        <v>1.7018181818181821E-2</v>
      </c>
      <c r="DT236" s="294">
        <f t="shared" si="877"/>
        <v>1.7312506686637308E-2</v>
      </c>
      <c r="DU236" s="294">
        <f t="shared" si="877"/>
        <v>1.8763775754671697E-2</v>
      </c>
      <c r="DV236" s="294">
        <f t="shared" si="877"/>
        <v>1.7653684461013786E-2</v>
      </c>
      <c r="DW236" s="294">
        <f t="shared" si="877"/>
        <v>1.205588275578684E-2</v>
      </c>
      <c r="DX236" s="294">
        <f t="shared" si="877"/>
        <v>3.1918330425790842E-3</v>
      </c>
      <c r="DY236" s="294">
        <f t="shared" si="877"/>
        <v>9.0389001911101996E-3</v>
      </c>
      <c r="DZ236" s="294">
        <f t="shared" si="877"/>
        <v>1.2283356981449334E-2</v>
      </c>
      <c r="EA236" s="294">
        <f t="shared" si="877"/>
        <v>1.6075549856988003E-2</v>
      </c>
      <c r="EB236" s="294">
        <f t="shared" si="877"/>
        <v>1.0492159536390044E-2</v>
      </c>
      <c r="EC236" s="294">
        <f t="shared" si="877"/>
        <v>-1.7664907103370764E-3</v>
      </c>
      <c r="ED236" s="294">
        <f t="shared" si="877"/>
        <v>8.5152404486343869E-3</v>
      </c>
      <c r="EE236" s="294">
        <f t="shared" si="877"/>
        <v>-6.8176970745064125E-3</v>
      </c>
      <c r="EF236" s="294">
        <f t="shared" si="877"/>
        <v>2.7092617600720015E-2</v>
      </c>
      <c r="EG236" s="294">
        <f t="shared" si="877"/>
        <v>4.9491729166122322E-3</v>
      </c>
      <c r="EH236" s="294">
        <f t="shared" si="877"/>
        <v>-4.1740494647470872E-3</v>
      </c>
      <c r="EI236" s="294">
        <f>EI234/EI235-1</f>
        <v>-1.3294057830046779E-2</v>
      </c>
      <c r="EJ236" s="294">
        <f t="shared" si="877"/>
        <v>1.694603218327484E-2</v>
      </c>
      <c r="EK236" s="294">
        <f t="shared" si="877"/>
        <v>1.5868316808475669E-2</v>
      </c>
      <c r="EL236" s="294">
        <f t="shared" si="877"/>
        <v>-2.2038560036644617E-2</v>
      </c>
      <c r="EM236" s="294">
        <f t="shared" si="877"/>
        <v>3.6060014320119738E-2</v>
      </c>
      <c r="EN236" s="294">
        <f t="shared" si="877"/>
        <v>6.2906677557688306E-2</v>
      </c>
      <c r="EO236" s="294">
        <f t="shared" si="877"/>
        <v>6.5740305341374539E-2</v>
      </c>
      <c r="EP236" s="294">
        <f t="shared" si="877"/>
        <v>6.4510071492497101E-2</v>
      </c>
      <c r="EQ236" s="294">
        <f t="shared" si="877"/>
        <v>4.3831980962331984E-2</v>
      </c>
      <c r="ER236" s="294"/>
      <c r="ES236" s="294"/>
      <c r="ET236" s="294"/>
      <c r="EU236" s="294"/>
    </row>
    <row r="238" spans="2:151" ht="12.75" customHeight="1" x14ac:dyDescent="0.25">
      <c r="DQ238" s="294">
        <f>DQ240/DP240-1</f>
        <v>0.25562659846547309</v>
      </c>
      <c r="DR238" s="294">
        <f>DR240/DQ240-1</f>
        <v>0.42657093390365608</v>
      </c>
      <c r="DS238" s="294">
        <f t="shared" ref="DS238:EK238" si="878">DS240/DR240-1</f>
        <v>0.10113332143494569</v>
      </c>
      <c r="DT238" s="294">
        <f t="shared" si="878"/>
        <v>-0.14917377809113974</v>
      </c>
      <c r="DU238" s="294">
        <f t="shared" si="878"/>
        <v>9.9994284952279466E-2</v>
      </c>
      <c r="DV238" s="294">
        <f t="shared" si="878"/>
        <v>0.48981677115444544</v>
      </c>
      <c r="DW238" s="294">
        <f t="shared" si="878"/>
        <v>0.41138041267073544</v>
      </c>
      <c r="DX238" s="294">
        <f t="shared" si="878"/>
        <v>0.22817796959164505</v>
      </c>
      <c r="DY238" s="294">
        <f t="shared" si="878"/>
        <v>0.25775560294531852</v>
      </c>
      <c r="DZ238" s="294">
        <f t="shared" si="878"/>
        <v>0.25347366625078638</v>
      </c>
      <c r="EA238" s="294">
        <f t="shared" si="878"/>
        <v>-5.0775434507048245E-2</v>
      </c>
      <c r="EB238" s="294">
        <f t="shared" si="878"/>
        <v>0.16366952414667701</v>
      </c>
      <c r="EC238" s="294">
        <f t="shared" si="878"/>
        <v>0.10976544298581725</v>
      </c>
      <c r="ED238" s="294">
        <f t="shared" si="878"/>
        <v>-8.7398719572496786E-2</v>
      </c>
      <c r="EE238" s="294">
        <f t="shared" si="878"/>
        <v>6.251758568506216E-2</v>
      </c>
      <c r="EF238" s="294">
        <f t="shared" si="878"/>
        <v>0.15754186945319226</v>
      </c>
      <c r="EG238" s="294">
        <f t="shared" si="878"/>
        <v>-3.8345903015332472E-2</v>
      </c>
      <c r="EH238" s="294">
        <f t="shared" si="878"/>
        <v>2.8381984183115661E-2</v>
      </c>
      <c r="EI238" s="294">
        <f t="shared" si="878"/>
        <v>1.4634786808528588E-2</v>
      </c>
      <c r="EJ238" s="294">
        <f t="shared" si="878"/>
        <v>-0.10975444434174453</v>
      </c>
      <c r="EK238" s="294">
        <f t="shared" si="878"/>
        <v>0.10686215811204125</v>
      </c>
      <c r="EL238" s="294">
        <f>RATE(20,0,DP240,-EK240)</f>
        <v>0.12326505798646253</v>
      </c>
    </row>
    <row r="239" spans="2:151" ht="12.75" customHeight="1" x14ac:dyDescent="0.25">
      <c r="B239" t="s">
        <v>1393</v>
      </c>
      <c r="DP239" s="283">
        <v>5.2266000000000004</v>
      </c>
      <c r="DQ239" s="283">
        <v>6.5</v>
      </c>
      <c r="DR239" s="283">
        <v>8.2030999999999992</v>
      </c>
      <c r="DS239" s="283">
        <v>10.7813</v>
      </c>
      <c r="DT239" s="283">
        <v>8.9062999999999999</v>
      </c>
      <c r="DU239" s="283">
        <v>9.1875</v>
      </c>
      <c r="DV239" s="283">
        <v>13.4375</v>
      </c>
      <c r="DW239" s="283">
        <v>20.9375</v>
      </c>
      <c r="DX239" s="283">
        <v>24.875</v>
      </c>
      <c r="DY239" s="283">
        <v>32</v>
      </c>
      <c r="DZ239" s="283">
        <v>39.031300000000002</v>
      </c>
      <c r="EA239" s="283">
        <v>34.25</v>
      </c>
      <c r="EB239" s="283">
        <v>41.625</v>
      </c>
      <c r="EC239" s="283">
        <v>41.85</v>
      </c>
      <c r="ED239" s="283">
        <v>48.73</v>
      </c>
      <c r="EE239" s="283">
        <v>49.5</v>
      </c>
      <c r="EF239" s="283">
        <v>60.04</v>
      </c>
      <c r="EG239" s="283">
        <v>56.8</v>
      </c>
      <c r="EH239" s="283">
        <v>59.77</v>
      </c>
      <c r="EI239" s="283">
        <v>55.33</v>
      </c>
      <c r="EJ239" s="283">
        <v>46.6</v>
      </c>
      <c r="EK239" s="283">
        <v>58.3</v>
      </c>
    </row>
    <row r="240" spans="2:151" ht="12.75" customHeight="1" x14ac:dyDescent="0.25">
      <c r="B240" t="s">
        <v>481</v>
      </c>
      <c r="DP240" s="283">
        <v>6.2560000000000002</v>
      </c>
      <c r="DQ240" s="283">
        <v>7.8552</v>
      </c>
      <c r="DR240" s="283">
        <v>11.206</v>
      </c>
      <c r="DS240" s="283">
        <v>12.3393</v>
      </c>
      <c r="DT240" s="283">
        <v>10.4986</v>
      </c>
      <c r="DU240" s="283">
        <v>11.548400000000001</v>
      </c>
      <c r="DV240" s="283">
        <v>17.204999999999998</v>
      </c>
      <c r="DW240" s="283">
        <v>24.282800000000002</v>
      </c>
      <c r="DX240" s="283">
        <v>29.823599999999999</v>
      </c>
      <c r="DY240" s="283">
        <v>37.510800000000003</v>
      </c>
      <c r="DZ240" s="283">
        <v>47.018799999999999</v>
      </c>
      <c r="EA240" s="283">
        <v>44.631399999999999</v>
      </c>
      <c r="EB240" s="283">
        <v>51.936199999999999</v>
      </c>
      <c r="EC240" s="283">
        <v>57.637</v>
      </c>
      <c r="ED240" s="283">
        <v>52.599600000000002</v>
      </c>
      <c r="EE240" s="283">
        <v>55.887999999999998</v>
      </c>
      <c r="EF240" s="283">
        <v>64.692700000000002</v>
      </c>
      <c r="EG240" s="283">
        <v>62.212000000000003</v>
      </c>
      <c r="EH240" s="283">
        <v>63.977699999999999</v>
      </c>
      <c r="EI240" s="283">
        <v>64.914000000000001</v>
      </c>
      <c r="EJ240" s="283">
        <v>57.789400000000001</v>
      </c>
      <c r="EK240" s="283">
        <v>63.9649</v>
      </c>
    </row>
    <row r="241" spans="2:141" ht="12.75" customHeight="1" x14ac:dyDescent="0.25">
      <c r="B241" t="s">
        <v>262</v>
      </c>
      <c r="DP241" s="243">
        <f t="shared" ref="DP241:EK241" si="879">DP240*DP78</f>
        <v>16670.988800000003</v>
      </c>
      <c r="DQ241" s="243">
        <f t="shared" si="879"/>
        <v>20772.29088</v>
      </c>
      <c r="DR241" s="243">
        <f t="shared" si="879"/>
        <v>34395.965343999997</v>
      </c>
      <c r="DS241" s="243">
        <f t="shared" si="879"/>
        <v>37875.0371352</v>
      </c>
      <c r="DT241" s="243">
        <f t="shared" si="879"/>
        <v>32225.326716799998</v>
      </c>
      <c r="DU241" s="243">
        <f t="shared" si="879"/>
        <v>35448.506703999999</v>
      </c>
      <c r="DV241" s="243">
        <f t="shared" si="879"/>
        <v>52813.293839999998</v>
      </c>
      <c r="DW241" s="243">
        <f t="shared" si="879"/>
        <v>74539.648454400012</v>
      </c>
      <c r="DX241" s="243">
        <f t="shared" si="879"/>
        <v>91547.954092800006</v>
      </c>
      <c r="DY241" s="243">
        <f t="shared" si="879"/>
        <v>115144.95219840002</v>
      </c>
      <c r="DZ241" s="243">
        <f t="shared" si="879"/>
        <v>144339.8168416</v>
      </c>
      <c r="EA241" s="243">
        <f t="shared" si="879"/>
        <v>137011.3462388</v>
      </c>
      <c r="EB241" s="243">
        <f t="shared" si="879"/>
        <v>162032.73808040001</v>
      </c>
      <c r="EC241" s="243">
        <f t="shared" si="879"/>
        <v>171083.618915</v>
      </c>
      <c r="ED241" s="243">
        <f t="shared" si="879"/>
        <v>156114.1926108</v>
      </c>
      <c r="EE241" s="243">
        <f t="shared" si="879"/>
        <v>166044.53342399999</v>
      </c>
      <c r="EF241" s="243">
        <f t="shared" si="879"/>
        <v>192427.01291060002</v>
      </c>
      <c r="EG241" s="243">
        <f t="shared" si="879"/>
        <v>184209.73200000002</v>
      </c>
      <c r="EH241" s="243">
        <f t="shared" si="879"/>
        <v>186317.45738250003</v>
      </c>
      <c r="EI241" s="243">
        <f t="shared" si="879"/>
        <v>184096.10400000002</v>
      </c>
      <c r="EJ241" s="243">
        <f t="shared" si="879"/>
        <v>161251.207555</v>
      </c>
      <c r="EK241" s="243">
        <f t="shared" si="879"/>
        <v>178482.85959250003</v>
      </c>
    </row>
    <row r="242" spans="2:141" ht="12.75" customHeight="1" x14ac:dyDescent="0.25">
      <c r="B242" t="s">
        <v>1394</v>
      </c>
      <c r="DP242" s="304">
        <f t="shared" ref="DP242:EK242" si="880">DP239/DP77</f>
        <v>12.872313937153422</v>
      </c>
      <c r="DQ242" s="304">
        <f t="shared" si="880"/>
        <v>13.783961507618285</v>
      </c>
      <c r="DR242" s="304">
        <f t="shared" si="880"/>
        <v>17.233943883915124</v>
      </c>
      <c r="DS242" s="304">
        <f t="shared" si="880"/>
        <v>20.364807521969229</v>
      </c>
      <c r="DT242" s="304">
        <f t="shared" si="880"/>
        <v>15.298142682932287</v>
      </c>
      <c r="DU242" s="304">
        <f t="shared" si="880"/>
        <v>14.058615403788634</v>
      </c>
      <c r="DV242" s="304">
        <f t="shared" si="880"/>
        <v>17.165374531835209</v>
      </c>
      <c r="DW242" s="304">
        <f t="shared" si="880"/>
        <v>22.262125043297541</v>
      </c>
      <c r="DX242" s="304">
        <f t="shared" si="880"/>
        <v>23.117618528610354</v>
      </c>
      <c r="DY242" s="304">
        <f t="shared" si="880"/>
        <v>25.607074035453596</v>
      </c>
      <c r="DZ242" s="304">
        <f t="shared" si="880"/>
        <v>28.754387746964241</v>
      </c>
      <c r="EA242" s="304">
        <f t="shared" si="880"/>
        <v>21.809186579547813</v>
      </c>
      <c r="EB242" s="304">
        <f t="shared" si="880"/>
        <v>22.494963320630522</v>
      </c>
      <c r="EC242" s="304">
        <f t="shared" si="880"/>
        <v>16.409005537998198</v>
      </c>
      <c r="ED242" s="304">
        <f t="shared" si="880"/>
        <v>16.781458773090129</v>
      </c>
      <c r="EE242" s="304">
        <f t="shared" si="880"/>
        <v>15.820313952237523</v>
      </c>
      <c r="EF242" s="304">
        <f t="shared" si="880"/>
        <v>18.303541982166649</v>
      </c>
      <c r="EG242" s="304">
        <f t="shared" si="880"/>
        <v>15.106871463217461</v>
      </c>
      <c r="EH242" s="304">
        <f t="shared" si="880"/>
        <v>14.207609394682637</v>
      </c>
      <c r="EI242" s="304">
        <f t="shared" si="880"/>
        <v>12.163078831098366</v>
      </c>
      <c r="EJ242" s="304">
        <f t="shared" si="880"/>
        <v>7.7497478916470488</v>
      </c>
      <c r="EK242" s="304">
        <f t="shared" si="880"/>
        <v>12.373617365178369</v>
      </c>
    </row>
    <row r="243" spans="2:141" ht="12.75" customHeight="1" x14ac:dyDescent="0.25">
      <c r="B243" t="s">
        <v>1395</v>
      </c>
      <c r="DP243" s="304">
        <f t="shared" ref="DP243:EK243" si="881">DP241/DP76</f>
        <v>15.407568207024033</v>
      </c>
      <c r="DQ243" s="304">
        <f t="shared" si="881"/>
        <v>16.65781145148356</v>
      </c>
      <c r="DR243" s="304">
        <f t="shared" si="881"/>
        <v>23.542755197809718</v>
      </c>
      <c r="DS243" s="304">
        <f t="shared" si="881"/>
        <v>23.307715160123077</v>
      </c>
      <c r="DT243" s="304">
        <f t="shared" si="881"/>
        <v>18.033199058086176</v>
      </c>
      <c r="DU243" s="304">
        <f t="shared" si="881"/>
        <v>17.671239633100697</v>
      </c>
      <c r="DV243" s="304">
        <f t="shared" si="881"/>
        <v>21.978066516853932</v>
      </c>
      <c r="DW243" s="304">
        <f t="shared" si="881"/>
        <v>25.819067701558716</v>
      </c>
      <c r="DX243" s="304">
        <f t="shared" si="881"/>
        <v>27.716607354768396</v>
      </c>
      <c r="DY243" s="304">
        <f t="shared" si="881"/>
        <v>30.016932272784153</v>
      </c>
      <c r="DZ243" s="304">
        <f t="shared" si="881"/>
        <v>34.638784939188866</v>
      </c>
      <c r="EA243" s="304">
        <f t="shared" si="881"/>
        <v>28.419694303837378</v>
      </c>
      <c r="EB243" s="304">
        <f t="shared" si="881"/>
        <v>28.067337273583927</v>
      </c>
      <c r="EC243" s="304">
        <f t="shared" si="881"/>
        <v>22.598945094231826</v>
      </c>
      <c r="ED243" s="304">
        <f t="shared" si="881"/>
        <v>18.114057436507935</v>
      </c>
      <c r="EE243" s="304">
        <f t="shared" si="881"/>
        <v>17.861933457831324</v>
      </c>
      <c r="EF243" s="304">
        <f t="shared" si="881"/>
        <v>19.721944543466233</v>
      </c>
      <c r="EG243" s="304">
        <f t="shared" si="881"/>
        <v>16.546279708973323</v>
      </c>
      <c r="EH243" s="304">
        <f t="shared" si="881"/>
        <v>15.207799423961642</v>
      </c>
      <c r="EI243" s="304">
        <f t="shared" si="881"/>
        <v>14.269909619409349</v>
      </c>
      <c r="EJ243" s="304">
        <f t="shared" si="881"/>
        <v>9.6105854250975948</v>
      </c>
      <c r="EK243" s="304">
        <f t="shared" si="881"/>
        <v>13.575938205864459</v>
      </c>
    </row>
    <row r="244" spans="2:141" ht="12.75" customHeight="1" x14ac:dyDescent="0.25">
      <c r="DP244" s="304"/>
      <c r="DQ244" s="304"/>
      <c r="DR244" s="304"/>
    </row>
    <row r="245" spans="2:141" ht="12.75" customHeight="1" x14ac:dyDescent="0.25">
      <c r="B245" t="s">
        <v>482</v>
      </c>
    </row>
    <row r="246" spans="2:141" ht="12.75" customHeight="1" x14ac:dyDescent="0.25">
      <c r="B246" t="s">
        <v>483</v>
      </c>
    </row>
    <row r="247" spans="2:141" ht="12.75" customHeight="1" x14ac:dyDescent="0.25">
      <c r="B247" t="s">
        <v>484</v>
      </c>
    </row>
    <row r="249" spans="2:141"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DY249" s="247">
        <v>6106</v>
      </c>
      <c r="DZ249" s="247">
        <v>6955</v>
      </c>
      <c r="EA249" s="247">
        <v>8445</v>
      </c>
      <c r="EB249" s="247">
        <v>10240</v>
      </c>
      <c r="EC249" s="247">
        <v>11919</v>
      </c>
      <c r="ED249" s="247">
        <v>13272</v>
      </c>
      <c r="EE249" s="247">
        <v>14960</v>
      </c>
      <c r="EF249" s="247">
        <v>14477</v>
      </c>
    </row>
    <row r="250" spans="2:141"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DY250" s="247">
        <v>3886</v>
      </c>
      <c r="DZ250" s="247">
        <v>4275</v>
      </c>
      <c r="EA250" s="247">
        <v>4217</v>
      </c>
      <c r="EB250" s="247">
        <v>4611</v>
      </c>
      <c r="EC250" s="247">
        <v>5232</v>
      </c>
      <c r="ED250" s="247">
        <v>6244</v>
      </c>
      <c r="EE250" s="247">
        <v>7168</v>
      </c>
      <c r="EF250" s="247">
        <v>7844</v>
      </c>
    </row>
    <row r="251" spans="2:141"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82">S107</f>
        <v>3489</v>
      </c>
      <c r="T251" s="247">
        <f t="shared" si="882"/>
        <v>3864.4</v>
      </c>
      <c r="U251" s="247">
        <f t="shared" si="882"/>
        <v>3677.4</v>
      </c>
      <c r="V251" s="247">
        <f t="shared" si="882"/>
        <v>3820</v>
      </c>
      <c r="W251" s="247">
        <f t="shared" si="882"/>
        <v>4181</v>
      </c>
      <c r="X251" s="247">
        <f t="shared" si="882"/>
        <v>4258</v>
      </c>
      <c r="Y251" s="247">
        <f t="shared" si="882"/>
        <v>4277</v>
      </c>
      <c r="Z251" s="247">
        <f t="shared" si="882"/>
        <v>4435</v>
      </c>
      <c r="AA251" s="247">
        <f t="shared" si="882"/>
        <v>4666</v>
      </c>
      <c r="AB251" s="247">
        <f t="shared" si="882"/>
        <v>4884</v>
      </c>
      <c r="AC251" s="247">
        <f t="shared" si="882"/>
        <v>4835</v>
      </c>
      <c r="AD251" s="247">
        <f t="shared" si="882"/>
        <v>5134</v>
      </c>
      <c r="AE251" s="247">
        <f t="shared" si="882"/>
        <v>5376</v>
      </c>
      <c r="AF251" s="247">
        <f t="shared" si="882"/>
        <v>5296</v>
      </c>
      <c r="AG251" s="247">
        <f t="shared" si="882"/>
        <v>4940</v>
      </c>
      <c r="AH251" s="247">
        <f t="shared" si="882"/>
        <v>5242</v>
      </c>
      <c r="AI251" s="247">
        <f t="shared" si="882"/>
        <v>5178</v>
      </c>
      <c r="AJ251" s="247">
        <f t="shared" si="882"/>
        <v>4986</v>
      </c>
      <c r="AK251" s="247">
        <f t="shared" si="882"/>
        <v>4833</v>
      </c>
      <c r="AL251" s="247">
        <f t="shared" si="882"/>
        <v>4790</v>
      </c>
      <c r="AM251" s="247">
        <f t="shared" si="882"/>
        <v>5626</v>
      </c>
      <c r="AN251" s="247">
        <f t="shared" si="882"/>
        <v>5810</v>
      </c>
      <c r="AU251" s="247">
        <f>AU107</f>
        <v>6363</v>
      </c>
      <c r="AV251" s="247">
        <f>AV107</f>
        <v>6340</v>
      </c>
      <c r="AY251" s="247">
        <f>AY107</f>
        <v>5780</v>
      </c>
      <c r="AZ251" s="247">
        <f>AZ107</f>
        <v>5498</v>
      </c>
      <c r="DY251" s="243">
        <f t="shared" ref="DY251:EF251" si="883">DY250+DY249</f>
        <v>9992</v>
      </c>
      <c r="DZ251" s="247">
        <f t="shared" si="883"/>
        <v>11230</v>
      </c>
      <c r="EA251" s="247">
        <f t="shared" si="883"/>
        <v>12662</v>
      </c>
      <c r="EB251" s="247">
        <f t="shared" si="883"/>
        <v>14851</v>
      </c>
      <c r="EC251" s="247">
        <f t="shared" si="883"/>
        <v>17151</v>
      </c>
      <c r="ED251" s="247">
        <f t="shared" si="883"/>
        <v>19516</v>
      </c>
      <c r="EE251" s="247">
        <f t="shared" si="883"/>
        <v>22128</v>
      </c>
      <c r="EF251" s="247">
        <f t="shared" si="883"/>
        <v>22321</v>
      </c>
    </row>
    <row r="252" spans="2:141"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DZ252" s="247">
        <v>5296</v>
      </c>
      <c r="EA252" s="247">
        <v>5506</v>
      </c>
      <c r="EB252" s="247">
        <v>6136</v>
      </c>
      <c r="EC252" s="247">
        <v>6931</v>
      </c>
      <c r="ED252" s="247">
        <v>8033</v>
      </c>
      <c r="EE252" s="247">
        <v>8585</v>
      </c>
      <c r="EF252" s="247">
        <v>9494</v>
      </c>
    </row>
    <row r="253" spans="2:141"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DZ253" s="247">
        <v>4619</v>
      </c>
      <c r="EA253" s="247">
        <v>4775</v>
      </c>
      <c r="EB253" s="247">
        <v>5010</v>
      </c>
      <c r="EC253" s="247">
        <v>5652</v>
      </c>
      <c r="ED253" s="247">
        <v>6880</v>
      </c>
      <c r="EE253" s="247">
        <v>8302</v>
      </c>
      <c r="EF253" s="247">
        <v>9602</v>
      </c>
    </row>
    <row r="254" spans="2:141" ht="12.75" customHeight="1" x14ac:dyDescent="0.25">
      <c r="B254" t="s">
        <v>101</v>
      </c>
      <c r="K254" s="247">
        <v>2434</v>
      </c>
      <c r="L254" s="247">
        <v>2455</v>
      </c>
      <c r="M254" s="247">
        <v>2445</v>
      </c>
      <c r="N254" s="247">
        <v>2581</v>
      </c>
      <c r="O254" s="247">
        <v>2525</v>
      </c>
      <c r="P254" s="247">
        <v>2580</v>
      </c>
      <c r="Q254" s="247">
        <v>2548</v>
      </c>
      <c r="R254" s="247">
        <v>2628</v>
      </c>
      <c r="S254" s="243">
        <f t="shared" ref="S254:AN254" si="884">S114</f>
        <v>2735.2</v>
      </c>
      <c r="T254" s="243">
        <f t="shared" si="884"/>
        <v>2785</v>
      </c>
      <c r="U254" s="243">
        <f t="shared" si="884"/>
        <v>2771</v>
      </c>
      <c r="V254" s="243">
        <f t="shared" si="884"/>
        <v>2855</v>
      </c>
      <c r="W254" s="243">
        <f t="shared" si="884"/>
        <v>2958</v>
      </c>
      <c r="X254" s="243">
        <f t="shared" si="884"/>
        <v>3166</v>
      </c>
      <c r="Y254" s="243">
        <f t="shared" si="884"/>
        <v>3141</v>
      </c>
      <c r="Z254" s="243">
        <f t="shared" si="884"/>
        <v>3318</v>
      </c>
      <c r="AA254" s="243">
        <f t="shared" si="884"/>
        <v>3364</v>
      </c>
      <c r="AB254" s="243">
        <f t="shared" si="884"/>
        <v>3629</v>
      </c>
      <c r="AC254" s="243">
        <f t="shared" si="884"/>
        <v>3779</v>
      </c>
      <c r="AD254" s="243">
        <f t="shared" si="884"/>
        <v>4141</v>
      </c>
      <c r="AE254" s="243">
        <f t="shared" si="884"/>
        <v>4136</v>
      </c>
      <c r="AF254" s="243">
        <f t="shared" si="884"/>
        <v>4057</v>
      </c>
      <c r="AG254" s="243">
        <f t="shared" si="884"/>
        <v>4044</v>
      </c>
      <c r="AH254" s="243">
        <f t="shared" si="884"/>
        <v>4650</v>
      </c>
      <c r="AI254" s="243">
        <f t="shared" si="884"/>
        <v>4797</v>
      </c>
      <c r="AJ254" s="243">
        <f t="shared" si="884"/>
        <v>4856</v>
      </c>
      <c r="AK254" s="243">
        <f t="shared" si="884"/>
        <v>4622</v>
      </c>
      <c r="AL254" s="243">
        <f t="shared" si="884"/>
        <v>4821</v>
      </c>
      <c r="AM254" s="243">
        <f t="shared" si="884"/>
        <v>5011</v>
      </c>
      <c r="AN254" s="243">
        <f t="shared" si="884"/>
        <v>5155</v>
      </c>
      <c r="AU254" s="243">
        <f>AU114</f>
        <v>5701</v>
      </c>
      <c r="AV254" s="243">
        <f>AV114</f>
        <v>6074</v>
      </c>
      <c r="AY254" s="243">
        <f>AY114</f>
        <v>5535</v>
      </c>
      <c r="AZ254" s="243">
        <f>AZ114</f>
        <v>5887</v>
      </c>
      <c r="DZ254" s="247">
        <v>9915</v>
      </c>
      <c r="EA254" s="247">
        <v>10281</v>
      </c>
      <c r="EB254" s="247">
        <f>EB253+EB252</f>
        <v>11146</v>
      </c>
      <c r="EC254" s="247">
        <f>EC253+EC252</f>
        <v>12583</v>
      </c>
      <c r="ED254" s="247">
        <f>ED253+ED252</f>
        <v>14913</v>
      </c>
      <c r="EE254" s="247">
        <f>EE253+EE252</f>
        <v>16887</v>
      </c>
      <c r="EF254" s="247">
        <f>EF253+EF252</f>
        <v>19096</v>
      </c>
    </row>
    <row r="255" spans="2:141"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DZ255" s="247">
        <v>3669</v>
      </c>
      <c r="EA255" s="247">
        <v>3760</v>
      </c>
      <c r="EB255" s="247">
        <v>3449</v>
      </c>
      <c r="EC255" s="247">
        <v>3605</v>
      </c>
      <c r="ED255" s="247">
        <v>3968</v>
      </c>
      <c r="EE255" s="247">
        <v>4225</v>
      </c>
      <c r="EF255" s="247">
        <v>4405</v>
      </c>
    </row>
    <row r="256" spans="2:141"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DZ256" s="247">
        <v>3194</v>
      </c>
      <c r="EA256" s="247">
        <v>3144</v>
      </c>
      <c r="EB256" s="247">
        <v>2872</v>
      </c>
      <c r="EC256" s="247">
        <v>2959</v>
      </c>
      <c r="ED256" s="247">
        <v>3462</v>
      </c>
      <c r="EE256" s="247">
        <v>4108</v>
      </c>
      <c r="EF256" s="247">
        <v>4691</v>
      </c>
    </row>
    <row r="257" spans="2:136"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85">AO121</f>
        <v>2456</v>
      </c>
      <c r="AP257" s="247">
        <f t="shared" si="885"/>
        <v>2565</v>
      </c>
      <c r="AQ257" s="247">
        <f t="shared" si="885"/>
        <v>3496</v>
      </c>
      <c r="AR257" s="247">
        <f t="shared" si="885"/>
        <v>3564</v>
      </c>
      <c r="AS257" s="247">
        <f t="shared" si="885"/>
        <v>3623</v>
      </c>
      <c r="AT257" s="247">
        <f t="shared" si="885"/>
        <v>3810</v>
      </c>
      <c r="AU257" s="247">
        <f t="shared" si="885"/>
        <v>4064</v>
      </c>
      <c r="AV257" s="247">
        <f t="shared" si="885"/>
        <v>4036</v>
      </c>
      <c r="AW257" s="247">
        <f t="shared" si="885"/>
        <v>4099</v>
      </c>
      <c r="AX257" s="247">
        <f t="shared" si="885"/>
        <v>3855</v>
      </c>
      <c r="AY257" s="247">
        <f t="shared" si="885"/>
        <v>3711</v>
      </c>
      <c r="AZ257" s="247">
        <f t="shared" si="885"/>
        <v>3854</v>
      </c>
      <c r="BA257" s="247">
        <f t="shared" si="885"/>
        <v>3989</v>
      </c>
      <c r="BB257" s="247">
        <f t="shared" si="885"/>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Z257" s="247">
        <v>6863</v>
      </c>
      <c r="EA257" s="247">
        <v>6904</v>
      </c>
      <c r="EB257" s="247">
        <f>EB256+EB255</f>
        <v>6321</v>
      </c>
      <c r="EC257" s="247">
        <f>EC256+EC255</f>
        <v>6564</v>
      </c>
      <c r="ED257" s="247">
        <f>ED256+ED255</f>
        <v>7430</v>
      </c>
      <c r="EE257" s="247">
        <f>EE256+EE255</f>
        <v>8333</v>
      </c>
      <c r="EF257" s="247">
        <f>EF256+EF255</f>
        <v>9096</v>
      </c>
    </row>
    <row r="260" spans="2:136"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36" ht="12.75" customHeight="1" x14ac:dyDescent="0.25">
      <c r="B261" t="s">
        <v>1360</v>
      </c>
      <c r="AU261" s="294">
        <f t="shared" ref="AU261:BC261" si="886">AU260/AQ260-1</f>
        <v>0.14300968652276724</v>
      </c>
      <c r="AV261" s="294">
        <f t="shared" si="886"/>
        <v>0.15953422828747299</v>
      </c>
      <c r="AW261" s="294">
        <f t="shared" si="886"/>
        <v>9.4936708860759556E-2</v>
      </c>
      <c r="AX261" s="294">
        <f t="shared" si="886"/>
        <v>-8.7613918806959457E-2</v>
      </c>
      <c r="AY261" s="294">
        <f t="shared" si="886"/>
        <v>-0.12738555985586542</v>
      </c>
      <c r="AZ261" s="294">
        <f t="shared" si="886"/>
        <v>-0.12850198285787373</v>
      </c>
      <c r="BA261" s="294">
        <f t="shared" si="886"/>
        <v>-5.002989834562499E-2</v>
      </c>
      <c r="BB261" s="294">
        <f t="shared" si="886"/>
        <v>0.11721528566023465</v>
      </c>
      <c r="BC261" s="294">
        <f t="shared" si="886"/>
        <v>5.8652596161199E-2</v>
      </c>
      <c r="BD261" s="294">
        <f>BD260/AZ260-1</f>
        <v>-2.9724770642201803E-2</v>
      </c>
    </row>
    <row r="262" spans="2:136" ht="12.75" customHeight="1" x14ac:dyDescent="0.25">
      <c r="B262" t="s">
        <v>1189</v>
      </c>
      <c r="AU262" s="294">
        <f t="shared" ref="AU262:BC262" si="887">+AU131</f>
        <v>5.0999999999999997E-2</v>
      </c>
      <c r="AV262" s="294">
        <f t="shared" si="887"/>
        <v>5.6000000000000001E-2</v>
      </c>
      <c r="AW262" s="294">
        <f t="shared" si="887"/>
        <v>3.1E-2</v>
      </c>
      <c r="AX262" s="294">
        <f t="shared" si="887"/>
        <v>-3.9E-2</v>
      </c>
      <c r="AY262" s="294">
        <f t="shared" si="887"/>
        <v>-0.06</v>
      </c>
      <c r="AZ262" s="294">
        <f t="shared" si="887"/>
        <v>-0.06</v>
      </c>
      <c r="BA262" s="294">
        <f t="shared" si="887"/>
        <v>-2.5000000000000001E-2</v>
      </c>
      <c r="BB262" s="294">
        <f t="shared" si="887"/>
        <v>4.4999999999999998E-2</v>
      </c>
      <c r="BC262" s="294">
        <f t="shared" si="887"/>
        <v>4.1000000000000002E-2</v>
      </c>
    </row>
    <row r="263" spans="2:136" ht="12.75" customHeight="1" x14ac:dyDescent="0.25">
      <c r="AU263" s="294"/>
      <c r="AV263" s="294"/>
      <c r="AW263" s="294"/>
      <c r="AX263" s="294"/>
      <c r="AY263" s="294"/>
      <c r="AZ263" s="294"/>
      <c r="BA263" s="294"/>
      <c r="BB263" s="294"/>
      <c r="BC263" s="294"/>
    </row>
    <row r="264" spans="2:136" ht="12.75" customHeight="1" x14ac:dyDescent="0.25">
      <c r="B264" t="s">
        <v>1362</v>
      </c>
      <c r="AQ264" s="243">
        <f t="shared" ref="AQ264:BD264" si="888">AQ65</f>
        <v>15087</v>
      </c>
      <c r="AR264" s="243">
        <f t="shared" si="888"/>
        <v>15142</v>
      </c>
      <c r="AS264" s="243">
        <f t="shared" si="888"/>
        <v>15007</v>
      </c>
      <c r="AT264" s="243">
        <f t="shared" si="888"/>
        <v>15957</v>
      </c>
      <c r="AU264" s="243">
        <f t="shared" si="888"/>
        <v>16194</v>
      </c>
      <c r="AV264" s="243">
        <f t="shared" si="888"/>
        <v>16450</v>
      </c>
      <c r="AW264" s="243">
        <f t="shared" si="888"/>
        <v>15921</v>
      </c>
      <c r="AX264" s="243">
        <f t="shared" si="888"/>
        <v>15182</v>
      </c>
      <c r="AY264" s="243">
        <f t="shared" si="888"/>
        <v>15026</v>
      </c>
      <c r="AZ264" s="243">
        <f t="shared" si="888"/>
        <v>15239</v>
      </c>
      <c r="BA264" s="243">
        <f t="shared" si="888"/>
        <v>15081</v>
      </c>
      <c r="BB264" s="243">
        <f t="shared" si="888"/>
        <v>16551</v>
      </c>
      <c r="BC264" s="243">
        <f t="shared" si="888"/>
        <v>15631</v>
      </c>
      <c r="BD264" s="243">
        <f t="shared" si="888"/>
        <v>15389</v>
      </c>
    </row>
    <row r="265" spans="2:136" ht="12.75" customHeight="1" x14ac:dyDescent="0.25">
      <c r="B265" t="s">
        <v>1363</v>
      </c>
      <c r="AU265" s="294">
        <f>AU264/AQ264-1</f>
        <v>7.3374428315768458E-2</v>
      </c>
      <c r="AV265" s="294">
        <f t="shared" ref="AV265:BD265" si="889">AV264/AR264-1</f>
        <v>8.6382248051776411E-2</v>
      </c>
      <c r="AW265" s="294">
        <f t="shared" si="889"/>
        <v>6.0904911041513854E-2</v>
      </c>
      <c r="AX265" s="294">
        <f t="shared" si="889"/>
        <v>-4.8568026571410683E-2</v>
      </c>
      <c r="AY265" s="294">
        <f t="shared" si="889"/>
        <v>-7.2125478572310775E-2</v>
      </c>
      <c r="AZ265" s="294">
        <f t="shared" si="889"/>
        <v>-7.3617021276595751E-2</v>
      </c>
      <c r="BA265" s="294">
        <f t="shared" si="889"/>
        <v>-5.27605049934049E-2</v>
      </c>
      <c r="BB265" s="294">
        <f t="shared" si="889"/>
        <v>9.017257278355939E-2</v>
      </c>
      <c r="BC265" s="294">
        <f t="shared" si="889"/>
        <v>4.026354319180081E-2</v>
      </c>
      <c r="BD265" s="294">
        <f t="shared" si="889"/>
        <v>9.8431655620447867E-3</v>
      </c>
    </row>
    <row r="266" spans="2:136" ht="12.75" customHeight="1" x14ac:dyDescent="0.25">
      <c r="B266" t="s">
        <v>1364</v>
      </c>
      <c r="AQ266" s="294">
        <f t="shared" ref="AQ266:AY266" si="890">+AQ129</f>
        <v>0</v>
      </c>
      <c r="AR266" s="294">
        <f t="shared" si="890"/>
        <v>0.108</v>
      </c>
      <c r="AS266" s="294">
        <f t="shared" si="890"/>
        <v>9.7000000000000003E-2</v>
      </c>
      <c r="AT266" s="294">
        <f t="shared" si="890"/>
        <v>0.11899999999999999</v>
      </c>
      <c r="AU266" s="294">
        <f t="shared" si="890"/>
        <v>2.5999999999999999E-2</v>
      </c>
      <c r="AV266" s="294">
        <f t="shared" si="890"/>
        <v>3.038224805177641E-2</v>
      </c>
      <c r="AW266" s="294">
        <f t="shared" si="890"/>
        <v>2.9904911041513854E-2</v>
      </c>
      <c r="AX266" s="294">
        <f t="shared" si="890"/>
        <v>-0.01</v>
      </c>
      <c r="AY266" s="294">
        <f t="shared" si="890"/>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2025-06-22T20:32:31Z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