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50966A97-FBFD-42F9-A814-6AE898C3474E}" xr6:coauthVersionLast="47" xr6:coauthVersionMax="47" xr10:uidLastSave="{00000000-0000-0000-0000-000000000000}"/>
  <bookViews>
    <workbookView xWindow="37000" yWindow="4170" windowWidth="32770" windowHeight="15380" xr2:uid="{0F7B74EE-26C4-43C0-8ED2-7F3AED04CA5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6" i="1"/>
  <c r="U30" i="2" l="1"/>
  <c r="U29" i="2"/>
  <c r="T29" i="2"/>
  <c r="S29" i="2"/>
  <c r="R29" i="2"/>
  <c r="Q29" i="2"/>
  <c r="P28" i="2"/>
  <c r="Q22" i="2"/>
  <c r="P17" i="2"/>
  <c r="P15" i="2"/>
  <c r="P12" i="2"/>
  <c r="P23" i="2" s="1"/>
  <c r="R22" i="2"/>
  <c r="Q17" i="2"/>
  <c r="Q15" i="2"/>
  <c r="Q28" i="2"/>
  <c r="Q12" i="2"/>
  <c r="Q14" i="2" s="1"/>
  <c r="Q16" i="2" s="1"/>
  <c r="Q18" i="2" s="1"/>
  <c r="Q19" i="2" s="1"/>
  <c r="R28" i="2"/>
  <c r="S22" i="2"/>
  <c r="R17" i="2"/>
  <c r="R15" i="2"/>
  <c r="R12" i="2"/>
  <c r="R23" i="2" s="1"/>
  <c r="S28" i="2"/>
  <c r="S17" i="2"/>
  <c r="S15" i="2"/>
  <c r="S12" i="2"/>
  <c r="U28" i="2"/>
  <c r="T28" i="2"/>
  <c r="T20" i="2"/>
  <c r="U20" i="2"/>
  <c r="V20" i="2"/>
  <c r="V13" i="2"/>
  <c r="U13" i="2"/>
  <c r="T13" i="2"/>
  <c r="V11" i="2"/>
  <c r="U11" i="2"/>
  <c r="T11" i="2"/>
  <c r="N10" i="2"/>
  <c r="N12" i="2" s="1"/>
  <c r="M10" i="2"/>
  <c r="M12" i="2" s="1"/>
  <c r="T10" i="2"/>
  <c r="T22" i="2" s="1"/>
  <c r="U3" i="2"/>
  <c r="V3" i="2" s="1"/>
  <c r="N17" i="2"/>
  <c r="M17" i="2"/>
  <c r="N15" i="2"/>
  <c r="M15" i="2"/>
  <c r="G22" i="2"/>
  <c r="C17" i="2"/>
  <c r="C15" i="2"/>
  <c r="H23" i="2"/>
  <c r="H22" i="2"/>
  <c r="D17" i="2"/>
  <c r="D15" i="2"/>
  <c r="D12" i="2"/>
  <c r="D14" i="2" s="1"/>
  <c r="D16" i="2" s="1"/>
  <c r="D18" i="2" s="1"/>
  <c r="D19" i="2" s="1"/>
  <c r="C12" i="2"/>
  <c r="C14" i="2" s="1"/>
  <c r="C16" i="2" s="1"/>
  <c r="C18" i="2" s="1"/>
  <c r="C19" i="2" s="1"/>
  <c r="E17" i="2"/>
  <c r="E15" i="2"/>
  <c r="I17" i="2"/>
  <c r="I15" i="2"/>
  <c r="I10" i="2"/>
  <c r="I22" i="2" s="1"/>
  <c r="E12" i="2"/>
  <c r="E14" i="2" s="1"/>
  <c r="E16" i="2" s="1"/>
  <c r="E18" i="2" s="1"/>
  <c r="E19" i="2" s="1"/>
  <c r="F17" i="2"/>
  <c r="F15" i="2"/>
  <c r="J17" i="2"/>
  <c r="J15" i="2"/>
  <c r="J10" i="2"/>
  <c r="J22" i="2" s="1"/>
  <c r="F12" i="2"/>
  <c r="F14" i="2" s="1"/>
  <c r="G12" i="2"/>
  <c r="G14" i="2" s="1"/>
  <c r="G17" i="2"/>
  <c r="G15" i="2"/>
  <c r="K17" i="2"/>
  <c r="K24" i="2" s="1"/>
  <c r="K15" i="2"/>
  <c r="K10" i="2"/>
  <c r="K12" i="2" s="1"/>
  <c r="K14" i="2" s="1"/>
  <c r="K16" i="2" s="1"/>
  <c r="M7" i="1"/>
  <c r="H17" i="2"/>
  <c r="L17" i="2"/>
  <c r="H15" i="2"/>
  <c r="L15" i="2"/>
  <c r="V15" i="2" s="1"/>
  <c r="H12" i="2"/>
  <c r="H14" i="2" s="1"/>
  <c r="L10" i="2"/>
  <c r="L12" i="2" s="1"/>
  <c r="P14" i="2" l="1"/>
  <c r="P16" i="2" s="1"/>
  <c r="P18" i="2" s="1"/>
  <c r="P19" i="2" s="1"/>
  <c r="D24" i="2"/>
  <c r="V17" i="2"/>
  <c r="T12" i="2"/>
  <c r="T14" i="2" s="1"/>
  <c r="T17" i="2"/>
  <c r="E24" i="2"/>
  <c r="T15" i="2"/>
  <c r="U15" i="2"/>
  <c r="F23" i="2"/>
  <c r="G23" i="2"/>
  <c r="Q24" i="2"/>
  <c r="Q23" i="2"/>
  <c r="T23" i="2"/>
  <c r="U17" i="2"/>
  <c r="F16" i="2"/>
  <c r="F18" i="2" s="1"/>
  <c r="F19" i="2" s="1"/>
  <c r="C24" i="2"/>
  <c r="U10" i="2"/>
  <c r="D23" i="2"/>
  <c r="E23" i="2"/>
  <c r="R14" i="2"/>
  <c r="R16" i="2" s="1"/>
  <c r="R18" i="2" s="1"/>
  <c r="R19" i="2" s="1"/>
  <c r="S23" i="2"/>
  <c r="S14" i="2"/>
  <c r="S16" i="2" s="1"/>
  <c r="S18" i="2" s="1"/>
  <c r="S19" i="2" s="1"/>
  <c r="V10" i="2"/>
  <c r="M23" i="2"/>
  <c r="M14" i="2"/>
  <c r="M16" i="2" s="1"/>
  <c r="N23" i="2"/>
  <c r="N14" i="2"/>
  <c r="N16" i="2" s="1"/>
  <c r="M22" i="2"/>
  <c r="N22" i="2"/>
  <c r="C23" i="2"/>
  <c r="H16" i="2"/>
  <c r="H18" i="2" s="1"/>
  <c r="H19" i="2" s="1"/>
  <c r="G16" i="2"/>
  <c r="G18" i="2" s="1"/>
  <c r="G19" i="2" s="1"/>
  <c r="I12" i="2"/>
  <c r="K18" i="2"/>
  <c r="K19" i="2" s="1"/>
  <c r="J12" i="2"/>
  <c r="L22" i="2"/>
  <c r="K22" i="2"/>
  <c r="K23" i="2"/>
  <c r="L23" i="2"/>
  <c r="L14" i="2"/>
  <c r="L16" i="2" s="1"/>
  <c r="P24" i="2" l="1"/>
  <c r="T16" i="2"/>
  <c r="N18" i="2"/>
  <c r="N19" i="2" s="1"/>
  <c r="N24" i="2"/>
  <c r="L18" i="2"/>
  <c r="L19" i="2" s="1"/>
  <c r="L24" i="2"/>
  <c r="R24" i="2"/>
  <c r="H24" i="2"/>
  <c r="F24" i="2"/>
  <c r="M18" i="2"/>
  <c r="M19" i="2" s="1"/>
  <c r="M24" i="2"/>
  <c r="V22" i="2"/>
  <c r="V12" i="2"/>
  <c r="U22" i="2"/>
  <c r="U12" i="2"/>
  <c r="G24" i="2"/>
  <c r="S24" i="2"/>
  <c r="I23" i="2"/>
  <c r="I14" i="2"/>
  <c r="I16" i="2" s="1"/>
  <c r="J23" i="2"/>
  <c r="J14" i="2"/>
  <c r="J16" i="2" s="1"/>
  <c r="T18" i="2" l="1"/>
  <c r="T19" i="2" s="1"/>
  <c r="T24" i="2"/>
  <c r="J18" i="2"/>
  <c r="J19" i="2" s="1"/>
  <c r="J24" i="2"/>
  <c r="V14" i="2"/>
  <c r="V16" i="2" s="1"/>
  <c r="V23" i="2"/>
  <c r="I18" i="2"/>
  <c r="I19" i="2" s="1"/>
  <c r="I24" i="2"/>
  <c r="U23" i="2"/>
  <c r="U14" i="2"/>
  <c r="U16" i="2" s="1"/>
  <c r="U18" i="2" l="1"/>
  <c r="U19" i="2" s="1"/>
  <c r="U24" i="2"/>
  <c r="V18" i="2"/>
  <c r="V24" i="2"/>
  <c r="V19" i="2" l="1"/>
  <c r="W18" i="2"/>
  <c r="X18" i="2" l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Z27" i="2" l="1"/>
  <c r="Z28" i="2" s="1"/>
</calcChain>
</file>

<file path=xl/sharedStrings.xml><?xml version="1.0" encoding="utf-8"?>
<sst xmlns="http://schemas.openxmlformats.org/spreadsheetml/2006/main" count="66" uniqueCount="60">
  <si>
    <t>Price</t>
  </si>
  <si>
    <t>Shares</t>
  </si>
  <si>
    <t>MC</t>
  </si>
  <si>
    <t>Cash</t>
  </si>
  <si>
    <t>Debt</t>
  </si>
  <si>
    <t>EV</t>
  </si>
  <si>
    <t>Main</t>
  </si>
  <si>
    <t>Beauty</t>
  </si>
  <si>
    <t>Grooming</t>
  </si>
  <si>
    <t>Health</t>
  </si>
  <si>
    <t>Fabric&amp;Home</t>
  </si>
  <si>
    <t>Baby, Feminine &amp; Family</t>
  </si>
  <si>
    <t>Corporate</t>
  </si>
  <si>
    <t>Revenue</t>
  </si>
  <si>
    <t>COGS</t>
  </si>
  <si>
    <t>Gross Profit</t>
  </si>
  <si>
    <t>SG&amp;A</t>
  </si>
  <si>
    <t>Operating Income</t>
  </si>
  <si>
    <t>Interest</t>
  </si>
  <si>
    <t>Pretax</t>
  </si>
  <si>
    <t>Taxes</t>
  </si>
  <si>
    <t>Net Income</t>
  </si>
  <si>
    <t>EPS</t>
  </si>
  <si>
    <t>Head &amp; Shoulders, Herbal Essences, Pantene, Olay, Old Spice, SK-II, Native</t>
  </si>
  <si>
    <t>Gillette, Venus, Braun</t>
  </si>
  <si>
    <t>Health Care</t>
  </si>
  <si>
    <t>Crest, Oral-B, Metamucil, Vicks, Pepto Bismol</t>
  </si>
  <si>
    <t>Fabric</t>
  </si>
  <si>
    <t>Tide, Cascade, Dawn, Febreze, Mr. Clean, Swiffer, Downy</t>
  </si>
  <si>
    <t>Tampax, Always, Bounty, Charmin, Puffs, Pampers</t>
  </si>
  <si>
    <t>Gross Margin %</t>
  </si>
  <si>
    <t>Revenue y/y</t>
  </si>
  <si>
    <t>FQ324</t>
  </si>
  <si>
    <t>FQ424</t>
  </si>
  <si>
    <t>FQ125</t>
  </si>
  <si>
    <t>FQ225</t>
  </si>
  <si>
    <t>FQ124</t>
  </si>
  <si>
    <t>FQ224</t>
  </si>
  <si>
    <t>FQ423</t>
  </si>
  <si>
    <t>FQ323</t>
  </si>
  <si>
    <t>FQ123</t>
  </si>
  <si>
    <t>FQ223</t>
  </si>
  <si>
    <t>FQ325</t>
  </si>
  <si>
    <t>FQ425</t>
  </si>
  <si>
    <t>F2023</t>
  </si>
  <si>
    <t>F2024</t>
  </si>
  <si>
    <t>F2025</t>
  </si>
  <si>
    <t>Tax Rate</t>
  </si>
  <si>
    <t>Maturity</t>
  </si>
  <si>
    <t>Discount</t>
  </si>
  <si>
    <t xml:space="preserve">NPV </t>
  </si>
  <si>
    <t>Share</t>
  </si>
  <si>
    <t>CFFO</t>
  </si>
  <si>
    <t>CX</t>
  </si>
  <si>
    <t>FCF</t>
  </si>
  <si>
    <t>F2022</t>
  </si>
  <si>
    <t>F2021</t>
  </si>
  <si>
    <t>F2020</t>
  </si>
  <si>
    <t>F2019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</si>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</sst>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27878</xdr:colOff>
      <xdr:row>0</xdr:row>
      <xdr:rowOff>51110</xdr:rowOff>
    </xdr:from>
    <xdr:to>
      <xdr:col>12</xdr:col>
      <xdr:colOff>27878</xdr:colOff>
      <xdr:row>34</xdr:row>
      <xdr:rowOff>13939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AD79E4-F7A8-1BFF-0275-6BCC026555FD}"/>
            </a:ext>
          </a:extLst>
        </xdr:cNvPr>
        <xdr:cNvCxnSpPr/>
      </xdr:nvCxnSpPr>
      <xdr:spPr>
        <a:xfrm>
          <a:off x="7861610" y="51110"/>
          <a:ext cx="0" cy="5491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3718</xdr:colOff>
      <xdr:row>0</xdr:row>
      <xdr:rowOff>0</xdr:rowOff>
    </xdr:from>
    <xdr:to>
      <xdr:col>21</xdr:col>
      <xdr:colOff>3718</xdr:colOff>
      <xdr:row>33</xdr:row>
      <xdr:rowOff>125451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20B4EE9-9E74-4FF4-BD63-1F937AE176A4}"/>
            </a:ext>
          </a:extLst>
        </xdr:cNvPr>
        <xdr:cNvCxnSpPr/>
      </xdr:nvCxnSpPr>
      <xdr:spPr>
        <a:xfrm>
          <a:off x="12005218" y="0"/>
          <a:ext cx="0" cy="5491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4179-C1EB-4454-8C02-B04DCE01CA01}">
  <dimension ref="B2:N7"/>
  <sheetViews>
    <sheetView tabSelected="1" zoomScale="145" zoomScaleNormal="145" workbookViewId="0">
      <selection activeCell="M6" sqref="M6"/>
    </sheetView>
  </sheetViews>
  <sheetFormatPr defaultColWidth="9.1796875" defaultRowHeight="12.5" x14ac:dyDescent="0.25"/>
  <cols>
    <col min="1" max="1" width="3.08984375" style="1" customWidth="1"/>
    <col min="2" max="2" width="10.7265625" style="1" bestFit="1" customWidth="1"/>
    <col min="3" max="16384" width="9.1796875" style="1"/>
  </cols>
  <sheetData>
    <row r="2" spans="2:14" x14ac:dyDescent="0.25">
      <c r="B2" s="1" t="s">
        <v>7</v>
      </c>
      <c r="C2" s="1" t="s">
        <v>23</v>
      </c>
      <c r="L2" s="1" t="s">
        <v>0</v>
      </c>
      <c r="M2" s="2">
        <v>159</v>
      </c>
    </row>
    <row r="3" spans="2:14" x14ac:dyDescent="0.25">
      <c r="B3" s="1" t="s">
        <v>8</v>
      </c>
      <c r="C3" s="1" t="s">
        <v>24</v>
      </c>
      <c r="L3" s="1" t="s">
        <v>1</v>
      </c>
      <c r="M3" s="4">
        <v>2344.5420340000001</v>
      </c>
      <c r="N3" s="7" t="s">
        <v>59</v>
      </c>
    </row>
    <row r="4" spans="2:14" x14ac:dyDescent="0.25">
      <c r="B4" s="1" t="s">
        <v>25</v>
      </c>
      <c r="C4" s="1" t="s">
        <v>26</v>
      </c>
      <c r="L4" s="1" t="s">
        <v>2</v>
      </c>
      <c r="M4" s="4">
        <f>+M2*M3</f>
        <v>372782.18340600003</v>
      </c>
      <c r="N4" s="7"/>
    </row>
    <row r="5" spans="2:14" x14ac:dyDescent="0.25">
      <c r="B5" s="1" t="s">
        <v>27</v>
      </c>
      <c r="C5" s="1" t="s">
        <v>28</v>
      </c>
      <c r="L5" s="1" t="s">
        <v>3</v>
      </c>
      <c r="M5" s="4">
        <v>9116</v>
      </c>
      <c r="N5" s="7" t="s">
        <v>59</v>
      </c>
    </row>
    <row r="6" spans="2:14" x14ac:dyDescent="0.25">
      <c r="B6" s="1" t="s">
        <v>11</v>
      </c>
      <c r="C6" s="1" t="s">
        <v>29</v>
      </c>
      <c r="L6" s="1" t="s">
        <v>4</v>
      </c>
      <c r="M6" s="4">
        <f>9889+24252</f>
        <v>34141</v>
      </c>
      <c r="N6" s="7" t="s">
        <v>59</v>
      </c>
    </row>
    <row r="7" spans="2:14" x14ac:dyDescent="0.25">
      <c r="L7" s="1" t="s">
        <v>5</v>
      </c>
      <c r="M7" s="4">
        <f>+M4-M5+M6</f>
        <v>397807.18340600003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FE65-C0ED-444A-9B0C-D803DA7CC682}">
  <dimension ref="A1:DZ30"/>
  <sheetViews>
    <sheetView zoomScale="190" zoomScaleNormal="190" workbookViewId="0">
      <pane xSplit="2" ySplit="3" topLeftCell="U4" activePane="bottomRight" state="frozen"/>
      <selection pane="topRight" activeCell="C1" sqref="C1"/>
      <selection pane="bottomLeft" activeCell="A3" sqref="A3"/>
      <selection pane="bottomRight" activeCell="V3" sqref="V3"/>
    </sheetView>
  </sheetViews>
  <sheetFormatPr defaultColWidth="9.1796875" defaultRowHeight="12.5" x14ac:dyDescent="0.25"/>
  <cols>
    <col min="1" max="1" width="5.453125" style="1" bestFit="1" customWidth="1"/>
    <col min="2" max="2" width="22.81640625" style="1" bestFit="1" customWidth="1"/>
    <col min="3" max="9" width="9.1796875" style="1"/>
    <col min="10" max="14" width="8.453125" style="1" customWidth="1"/>
    <col min="15" max="19" width="9.1796875" style="1"/>
    <col min="20" max="22" width="9.1796875" style="7"/>
    <col min="23" max="25" width="9.1796875" style="1"/>
    <col min="26" max="26" width="9.26953125" style="1" customWidth="1"/>
    <col min="27" max="16384" width="9.1796875" style="1"/>
  </cols>
  <sheetData>
    <row r="1" spans="1:22" x14ac:dyDescent="0.25">
      <c r="A1" s="8" t="s">
        <v>6</v>
      </c>
    </row>
    <row r="2" spans="1:22" x14ac:dyDescent="0.25">
      <c r="A2" s="8"/>
      <c r="C2" s="7" t="s">
        <v>40</v>
      </c>
      <c r="D2" s="7" t="s">
        <v>41</v>
      </c>
      <c r="E2" s="7" t="s">
        <v>39</v>
      </c>
      <c r="F2" s="7" t="s">
        <v>38</v>
      </c>
      <c r="G2" s="7" t="s">
        <v>36</v>
      </c>
      <c r="H2" s="7" t="s">
        <v>37</v>
      </c>
      <c r="I2" s="7" t="s">
        <v>32</v>
      </c>
      <c r="J2" s="7" t="s">
        <v>33</v>
      </c>
      <c r="K2" s="7" t="s">
        <v>34</v>
      </c>
      <c r="L2" s="7" t="s">
        <v>35</v>
      </c>
      <c r="M2" s="7" t="s">
        <v>42</v>
      </c>
      <c r="N2" s="7" t="s">
        <v>43</v>
      </c>
      <c r="P2" s="7" t="s">
        <v>58</v>
      </c>
      <c r="Q2" s="7" t="s">
        <v>57</v>
      </c>
      <c r="R2" s="7" t="s">
        <v>56</v>
      </c>
      <c r="S2" s="7" t="s">
        <v>55</v>
      </c>
      <c r="T2" s="7" t="s">
        <v>44</v>
      </c>
      <c r="U2" s="7" t="s">
        <v>45</v>
      </c>
      <c r="V2" s="7" t="s">
        <v>46</v>
      </c>
    </row>
    <row r="3" spans="1:22" x14ac:dyDescent="0.25">
      <c r="C3" s="3">
        <v>44834</v>
      </c>
      <c r="D3" s="3">
        <v>44926</v>
      </c>
      <c r="E3" s="3">
        <v>45016</v>
      </c>
      <c r="F3" s="3">
        <v>45107</v>
      </c>
      <c r="G3" s="3">
        <v>45199</v>
      </c>
      <c r="H3" s="3">
        <v>45291</v>
      </c>
      <c r="I3" s="3">
        <v>45382</v>
      </c>
      <c r="J3" s="3">
        <v>45473</v>
      </c>
      <c r="K3" s="3">
        <v>45565</v>
      </c>
      <c r="L3" s="3">
        <v>45657</v>
      </c>
      <c r="M3" s="3">
        <v>45747</v>
      </c>
      <c r="N3" s="3">
        <v>45838</v>
      </c>
      <c r="P3" s="11">
        <v>43646</v>
      </c>
      <c r="Q3" s="11">
        <v>44012</v>
      </c>
      <c r="R3" s="11">
        <v>44377</v>
      </c>
      <c r="S3" s="11">
        <v>44742</v>
      </c>
      <c r="T3" s="11">
        <v>45107</v>
      </c>
      <c r="U3" s="11">
        <f>+T3+366</f>
        <v>45473</v>
      </c>
      <c r="V3" s="11">
        <f>+U3+365</f>
        <v>45838</v>
      </c>
    </row>
    <row r="4" spans="1:22" s="4" customFormat="1" x14ac:dyDescent="0.25">
      <c r="B4" s="4" t="s">
        <v>7</v>
      </c>
      <c r="I4" s="4">
        <v>3550</v>
      </c>
      <c r="J4" s="4">
        <v>3724</v>
      </c>
      <c r="K4" s="4">
        <v>3892</v>
      </c>
      <c r="L4" s="4">
        <v>3848</v>
      </c>
      <c r="P4" s="9"/>
      <c r="Q4" s="9"/>
      <c r="R4" s="9"/>
      <c r="S4" s="9"/>
      <c r="T4" s="9"/>
      <c r="U4" s="9"/>
      <c r="V4" s="9"/>
    </row>
    <row r="5" spans="1:22" s="4" customFormat="1" x14ac:dyDescent="0.25">
      <c r="B5" s="4" t="s">
        <v>8</v>
      </c>
      <c r="I5" s="4">
        <v>1539</v>
      </c>
      <c r="J5" s="4">
        <v>1657</v>
      </c>
      <c r="K5" s="4">
        <v>1723</v>
      </c>
      <c r="L5" s="4">
        <v>1752</v>
      </c>
      <c r="P5" s="9"/>
      <c r="Q5" s="9"/>
      <c r="R5" s="9"/>
      <c r="S5" s="9"/>
      <c r="T5" s="9"/>
      <c r="U5" s="9"/>
      <c r="V5" s="9"/>
    </row>
    <row r="6" spans="1:22" s="4" customFormat="1" x14ac:dyDescent="0.25">
      <c r="B6" s="4" t="s">
        <v>9</v>
      </c>
      <c r="I6" s="4">
        <v>2873</v>
      </c>
      <c r="J6" s="4">
        <v>2674</v>
      </c>
      <c r="K6" s="4">
        <v>3147</v>
      </c>
      <c r="L6" s="4">
        <v>3249</v>
      </c>
      <c r="P6" s="9"/>
      <c r="Q6" s="9"/>
      <c r="R6" s="9"/>
      <c r="S6" s="9"/>
      <c r="T6" s="9"/>
      <c r="U6" s="9"/>
      <c r="V6" s="9"/>
    </row>
    <row r="7" spans="1:22" s="4" customFormat="1" x14ac:dyDescent="0.25">
      <c r="B7" s="4" t="s">
        <v>10</v>
      </c>
      <c r="I7" s="4">
        <v>7169</v>
      </c>
      <c r="J7" s="4">
        <v>7265</v>
      </c>
      <c r="K7" s="4">
        <v>7710</v>
      </c>
      <c r="L7" s="4">
        <v>7575</v>
      </c>
      <c r="P7" s="9"/>
      <c r="Q7" s="9"/>
      <c r="R7" s="9"/>
      <c r="S7" s="9"/>
      <c r="T7" s="9"/>
      <c r="U7" s="9"/>
      <c r="V7" s="9"/>
    </row>
    <row r="8" spans="1:22" s="4" customFormat="1" x14ac:dyDescent="0.25">
      <c r="B8" s="4" t="s">
        <v>11</v>
      </c>
      <c r="I8" s="4">
        <v>4936</v>
      </c>
      <c r="J8" s="4">
        <v>5009</v>
      </c>
      <c r="K8" s="4">
        <v>5102</v>
      </c>
      <c r="L8" s="4">
        <v>5298</v>
      </c>
      <c r="P8" s="9"/>
      <c r="Q8" s="9"/>
      <c r="R8" s="9"/>
      <c r="S8" s="9"/>
      <c r="T8" s="9"/>
      <c r="U8" s="9"/>
      <c r="V8" s="9"/>
    </row>
    <row r="9" spans="1:22" s="4" customFormat="1" x14ac:dyDescent="0.25">
      <c r="B9" s="4" t="s">
        <v>12</v>
      </c>
      <c r="I9" s="4">
        <v>128</v>
      </c>
      <c r="J9" s="4">
        <v>202</v>
      </c>
      <c r="K9" s="4">
        <v>163</v>
      </c>
      <c r="L9" s="4">
        <v>159</v>
      </c>
      <c r="P9" s="9"/>
      <c r="Q9" s="9"/>
      <c r="R9" s="9"/>
      <c r="S9" s="9"/>
      <c r="T9" s="9"/>
      <c r="U9" s="9"/>
      <c r="V9" s="9"/>
    </row>
    <row r="10" spans="1:22" s="5" customFormat="1" ht="13" x14ac:dyDescent="0.3">
      <c r="B10" s="5" t="s">
        <v>13</v>
      </c>
      <c r="C10" s="5">
        <v>20612</v>
      </c>
      <c r="D10" s="5">
        <v>20773</v>
      </c>
      <c r="E10" s="5">
        <v>20068</v>
      </c>
      <c r="F10" s="5">
        <v>20553</v>
      </c>
      <c r="G10" s="5">
        <v>21871</v>
      </c>
      <c r="H10" s="5">
        <v>21441</v>
      </c>
      <c r="I10" s="5">
        <f>SUM(I4:I9)</f>
        <v>20195</v>
      </c>
      <c r="J10" s="5">
        <f>SUM(J4:J9)</f>
        <v>20531</v>
      </c>
      <c r="K10" s="5">
        <f>SUM(K4:K9)</f>
        <v>21737</v>
      </c>
      <c r="L10" s="5">
        <f>SUM(L4:L9)</f>
        <v>21881</v>
      </c>
      <c r="M10" s="5">
        <f>+I10*1.03</f>
        <v>20800.850000000002</v>
      </c>
      <c r="N10" s="5">
        <f>+J10*1.03</f>
        <v>21146.93</v>
      </c>
      <c r="P10" s="10">
        <v>67684</v>
      </c>
      <c r="Q10" s="10">
        <v>70950</v>
      </c>
      <c r="R10" s="10">
        <v>76118</v>
      </c>
      <c r="S10" s="10">
        <v>80187</v>
      </c>
      <c r="T10" s="10">
        <f>SUM(C10:F10)</f>
        <v>82006</v>
      </c>
      <c r="U10" s="10">
        <f>SUM(G10:J10)</f>
        <v>84038</v>
      </c>
      <c r="V10" s="10">
        <f>SUM(K10:N10)</f>
        <v>85565.78</v>
      </c>
    </row>
    <row r="11" spans="1:22" s="4" customFormat="1" x14ac:dyDescent="0.25">
      <c r="B11" s="4" t="s">
        <v>14</v>
      </c>
      <c r="C11" s="4">
        <v>10846</v>
      </c>
      <c r="D11" s="4">
        <v>10897</v>
      </c>
      <c r="E11" s="4">
        <v>10404</v>
      </c>
      <c r="F11" s="4">
        <v>10613</v>
      </c>
      <c r="G11" s="4">
        <v>10501</v>
      </c>
      <c r="H11" s="4">
        <v>10144</v>
      </c>
      <c r="I11" s="4">
        <v>9855</v>
      </c>
      <c r="J11" s="4">
        <v>10348</v>
      </c>
      <c r="K11" s="4">
        <v>10421</v>
      </c>
      <c r="L11" s="4">
        <v>10418</v>
      </c>
      <c r="M11" s="4">
        <v>10421</v>
      </c>
      <c r="N11" s="4">
        <v>10418</v>
      </c>
      <c r="P11" s="9">
        <v>34768</v>
      </c>
      <c r="Q11" s="9">
        <v>35250</v>
      </c>
      <c r="R11" s="9">
        <v>37108</v>
      </c>
      <c r="S11" s="9">
        <v>42157</v>
      </c>
      <c r="T11" s="9">
        <f>SUM(C11:F11)</f>
        <v>42760</v>
      </c>
      <c r="U11" s="9">
        <f>SUM(G11:J11)</f>
        <v>40848</v>
      </c>
      <c r="V11" s="9">
        <f>SUM(K11:N11)</f>
        <v>41678</v>
      </c>
    </row>
    <row r="12" spans="1:22" s="4" customFormat="1" x14ac:dyDescent="0.25">
      <c r="B12" s="4" t="s">
        <v>15</v>
      </c>
      <c r="C12" s="4">
        <f t="shared" ref="C12:N12" si="0">+C10-C11</f>
        <v>9766</v>
      </c>
      <c r="D12" s="4">
        <f t="shared" si="0"/>
        <v>9876</v>
      </c>
      <c r="E12" s="4">
        <f t="shared" si="0"/>
        <v>9664</v>
      </c>
      <c r="F12" s="4">
        <f t="shared" si="0"/>
        <v>9940</v>
      </c>
      <c r="G12" s="4">
        <f t="shared" si="0"/>
        <v>11370</v>
      </c>
      <c r="H12" s="4">
        <f t="shared" si="0"/>
        <v>11297</v>
      </c>
      <c r="I12" s="4">
        <f t="shared" si="0"/>
        <v>10340</v>
      </c>
      <c r="J12" s="4">
        <f t="shared" si="0"/>
        <v>10183</v>
      </c>
      <c r="K12" s="4">
        <f t="shared" si="0"/>
        <v>11316</v>
      </c>
      <c r="L12" s="4">
        <f t="shared" si="0"/>
        <v>11463</v>
      </c>
      <c r="M12" s="4">
        <f t="shared" si="0"/>
        <v>10379.850000000002</v>
      </c>
      <c r="N12" s="4">
        <f t="shared" si="0"/>
        <v>10728.93</v>
      </c>
      <c r="P12" s="9">
        <f t="shared" ref="P12:V12" si="1">+P10-P11</f>
        <v>32916</v>
      </c>
      <c r="Q12" s="9">
        <f t="shared" si="1"/>
        <v>35700</v>
      </c>
      <c r="R12" s="9">
        <f t="shared" si="1"/>
        <v>39010</v>
      </c>
      <c r="S12" s="9">
        <f t="shared" si="1"/>
        <v>38030</v>
      </c>
      <c r="T12" s="9">
        <f t="shared" si="1"/>
        <v>39246</v>
      </c>
      <c r="U12" s="9">
        <f t="shared" si="1"/>
        <v>43190</v>
      </c>
      <c r="V12" s="9">
        <f t="shared" si="1"/>
        <v>43887.78</v>
      </c>
    </row>
    <row r="13" spans="1:22" s="4" customFormat="1" x14ac:dyDescent="0.25">
      <c r="B13" s="4" t="s">
        <v>16</v>
      </c>
      <c r="C13" s="4">
        <v>4827</v>
      </c>
      <c r="D13" s="4">
        <v>5091</v>
      </c>
      <c r="E13" s="4">
        <v>5416</v>
      </c>
      <c r="F13" s="4">
        <v>5778</v>
      </c>
      <c r="G13" s="4">
        <v>5604</v>
      </c>
      <c r="H13" s="4">
        <v>5522</v>
      </c>
      <c r="I13" s="4">
        <v>5880</v>
      </c>
      <c r="J13" s="4">
        <v>6299</v>
      </c>
      <c r="K13" s="4">
        <v>5519</v>
      </c>
      <c r="L13" s="4">
        <v>5723</v>
      </c>
      <c r="M13" s="4">
        <v>5519</v>
      </c>
      <c r="N13" s="4">
        <v>5723</v>
      </c>
      <c r="P13" s="9">
        <v>19084</v>
      </c>
      <c r="Q13" s="9">
        <v>19994</v>
      </c>
      <c r="R13" s="9">
        <v>21024</v>
      </c>
      <c r="S13" s="9">
        <v>20217</v>
      </c>
      <c r="T13" s="9">
        <f>SUM(C13:F13)</f>
        <v>21112</v>
      </c>
      <c r="U13" s="9">
        <f>SUM(G13:J13)</f>
        <v>23305</v>
      </c>
      <c r="V13" s="9">
        <f>SUM(K13:N13)</f>
        <v>22484</v>
      </c>
    </row>
    <row r="14" spans="1:22" s="4" customFormat="1" x14ac:dyDescent="0.25">
      <c r="B14" s="4" t="s">
        <v>17</v>
      </c>
      <c r="C14" s="4">
        <f t="shared" ref="C14:N14" si="2">+C12-C13</f>
        <v>4939</v>
      </c>
      <c r="D14" s="4">
        <f t="shared" si="2"/>
        <v>4785</v>
      </c>
      <c r="E14" s="4">
        <f t="shared" si="2"/>
        <v>4248</v>
      </c>
      <c r="F14" s="4">
        <f t="shared" si="2"/>
        <v>4162</v>
      </c>
      <c r="G14" s="4">
        <f t="shared" si="2"/>
        <v>5766</v>
      </c>
      <c r="H14" s="4">
        <f t="shared" si="2"/>
        <v>5775</v>
      </c>
      <c r="I14" s="4">
        <f t="shared" si="2"/>
        <v>4460</v>
      </c>
      <c r="J14" s="4">
        <f t="shared" si="2"/>
        <v>3884</v>
      </c>
      <c r="K14" s="4">
        <f t="shared" si="2"/>
        <v>5797</v>
      </c>
      <c r="L14" s="4">
        <f t="shared" si="2"/>
        <v>5740</v>
      </c>
      <c r="M14" s="4">
        <f t="shared" si="2"/>
        <v>4860.8500000000022</v>
      </c>
      <c r="N14" s="4">
        <f t="shared" si="2"/>
        <v>5005.93</v>
      </c>
      <c r="P14" s="9">
        <f t="shared" ref="P14:V14" si="3">+P12-P13</f>
        <v>13832</v>
      </c>
      <c r="Q14" s="9">
        <f t="shared" si="3"/>
        <v>15706</v>
      </c>
      <c r="R14" s="9">
        <f t="shared" si="3"/>
        <v>17986</v>
      </c>
      <c r="S14" s="9">
        <f t="shared" si="3"/>
        <v>17813</v>
      </c>
      <c r="T14" s="9">
        <f t="shared" si="3"/>
        <v>18134</v>
      </c>
      <c r="U14" s="9">
        <f t="shared" si="3"/>
        <v>19885</v>
      </c>
      <c r="V14" s="9">
        <f t="shared" si="3"/>
        <v>21403.78</v>
      </c>
    </row>
    <row r="15" spans="1:22" x14ac:dyDescent="0.25">
      <c r="B15" s="1" t="s">
        <v>18</v>
      </c>
      <c r="C15" s="1">
        <f>-123+42+139</f>
        <v>58</v>
      </c>
      <c r="D15" s="1">
        <f>-171+66+155</f>
        <v>50</v>
      </c>
      <c r="E15" s="1">
        <f>-222+83+179</f>
        <v>40</v>
      </c>
      <c r="F15" s="1">
        <f>-240+116+195</f>
        <v>71</v>
      </c>
      <c r="G15" s="1">
        <f>-225+128+132</f>
        <v>35</v>
      </c>
      <c r="H15" s="1">
        <f>-248+133+77</f>
        <v>-38</v>
      </c>
      <c r="I15" s="1">
        <f>-233+104+260</f>
        <v>131</v>
      </c>
      <c r="J15" s="1">
        <f>-220+107+98</f>
        <v>-15</v>
      </c>
      <c r="K15" s="1">
        <f>-238+135-554</f>
        <v>-657</v>
      </c>
      <c r="L15" s="1">
        <f>-240+119+224</f>
        <v>103</v>
      </c>
      <c r="M15" s="1">
        <f>-238+135-554</f>
        <v>-657</v>
      </c>
      <c r="N15" s="1">
        <f>-240+119+224</f>
        <v>103</v>
      </c>
      <c r="P15" s="9">
        <f>-509+220+871</f>
        <v>582</v>
      </c>
      <c r="Q15" s="9">
        <f>-465+155+438</f>
        <v>128</v>
      </c>
      <c r="R15" s="9">
        <f>-502+45+86</f>
        <v>-371</v>
      </c>
      <c r="S15" s="9">
        <f>-439+51+570</f>
        <v>182</v>
      </c>
      <c r="T15" s="9">
        <f>SUM(C15:F15)</f>
        <v>219</v>
      </c>
      <c r="U15" s="9">
        <f>SUM(G15:J15)</f>
        <v>113</v>
      </c>
      <c r="V15" s="9">
        <f>SUM(K15:N15)</f>
        <v>-1108</v>
      </c>
    </row>
    <row r="16" spans="1:22" x14ac:dyDescent="0.25">
      <c r="B16" s="1" t="s">
        <v>19</v>
      </c>
      <c r="C16" s="4">
        <f t="shared" ref="C16:N16" si="4">+C14+C15</f>
        <v>4997</v>
      </c>
      <c r="D16" s="4">
        <f t="shared" si="4"/>
        <v>4835</v>
      </c>
      <c r="E16" s="4">
        <f t="shared" si="4"/>
        <v>4288</v>
      </c>
      <c r="F16" s="4">
        <f t="shared" si="4"/>
        <v>4233</v>
      </c>
      <c r="G16" s="4">
        <f t="shared" si="4"/>
        <v>5801</v>
      </c>
      <c r="H16" s="4">
        <f t="shared" si="4"/>
        <v>5737</v>
      </c>
      <c r="I16" s="4">
        <f t="shared" si="4"/>
        <v>4591</v>
      </c>
      <c r="J16" s="4">
        <f t="shared" si="4"/>
        <v>3869</v>
      </c>
      <c r="K16" s="4">
        <f t="shared" si="4"/>
        <v>5140</v>
      </c>
      <c r="L16" s="4">
        <f t="shared" si="4"/>
        <v>5843</v>
      </c>
      <c r="M16" s="4">
        <f t="shared" si="4"/>
        <v>4203.8500000000022</v>
      </c>
      <c r="N16" s="4">
        <f t="shared" si="4"/>
        <v>5108.93</v>
      </c>
      <c r="P16" s="9">
        <f>+P14+P15</f>
        <v>14414</v>
      </c>
      <c r="Q16" s="9">
        <f>+Q14+Q15</f>
        <v>15834</v>
      </c>
      <c r="R16" s="9">
        <f>+R14+R15</f>
        <v>17615</v>
      </c>
      <c r="S16" s="9">
        <f>+S14+S15</f>
        <v>17995</v>
      </c>
      <c r="T16" s="9">
        <f>+T14+T15</f>
        <v>18353</v>
      </c>
      <c r="U16" s="9">
        <f t="shared" ref="U16:V16" si="5">+U14+U15</f>
        <v>19998</v>
      </c>
      <c r="V16" s="9">
        <f t="shared" si="5"/>
        <v>20295.78</v>
      </c>
    </row>
    <row r="17" spans="2:130" x14ac:dyDescent="0.25">
      <c r="B17" s="1" t="s">
        <v>20</v>
      </c>
      <c r="C17" s="4">
        <f>1034+24</f>
        <v>1058</v>
      </c>
      <c r="D17" s="4">
        <f>876+26</f>
        <v>902</v>
      </c>
      <c r="E17" s="4">
        <f>864+27</f>
        <v>891</v>
      </c>
      <c r="F17" s="4">
        <f>841+8</f>
        <v>849</v>
      </c>
      <c r="G17" s="4">
        <f>1246+35</f>
        <v>1281</v>
      </c>
      <c r="H17" s="4">
        <f>1003+25</f>
        <v>1028</v>
      </c>
      <c r="I17" s="4">
        <f>812+27</f>
        <v>839</v>
      </c>
      <c r="J17" s="4">
        <f>726+7</f>
        <v>733</v>
      </c>
      <c r="K17" s="4">
        <f>1152+28</f>
        <v>1180</v>
      </c>
      <c r="L17" s="4">
        <f>1187+29</f>
        <v>1216</v>
      </c>
      <c r="M17" s="4">
        <f>1152+28</f>
        <v>1180</v>
      </c>
      <c r="N17" s="4">
        <f>1187+29</f>
        <v>1216</v>
      </c>
      <c r="P17" s="9">
        <f>2103+69</f>
        <v>2172</v>
      </c>
      <c r="Q17" s="9">
        <f>2731+76</f>
        <v>2807</v>
      </c>
      <c r="R17" s="9">
        <f>3263+46</f>
        <v>3309</v>
      </c>
      <c r="S17" s="9">
        <f>3202+51</f>
        <v>3253</v>
      </c>
      <c r="T17" s="9">
        <f>SUM(C17:F17)</f>
        <v>3700</v>
      </c>
      <c r="U17" s="9">
        <f>SUM(G17:J17)</f>
        <v>3881</v>
      </c>
      <c r="V17" s="9">
        <f>SUM(K17:N17)</f>
        <v>4792</v>
      </c>
    </row>
    <row r="18" spans="2:130" x14ac:dyDescent="0.25">
      <c r="B18" s="1" t="s">
        <v>21</v>
      </c>
      <c r="C18" s="4">
        <f t="shared" ref="C18:N18" si="6">+C16-C17</f>
        <v>3939</v>
      </c>
      <c r="D18" s="4">
        <f t="shared" si="6"/>
        <v>3933</v>
      </c>
      <c r="E18" s="4">
        <f t="shared" si="6"/>
        <v>3397</v>
      </c>
      <c r="F18" s="4">
        <f t="shared" si="6"/>
        <v>3384</v>
      </c>
      <c r="G18" s="4">
        <f t="shared" si="6"/>
        <v>4520</v>
      </c>
      <c r="H18" s="4">
        <f t="shared" si="6"/>
        <v>4709</v>
      </c>
      <c r="I18" s="4">
        <f t="shared" si="6"/>
        <v>3752</v>
      </c>
      <c r="J18" s="4">
        <f t="shared" si="6"/>
        <v>3136</v>
      </c>
      <c r="K18" s="4">
        <f t="shared" si="6"/>
        <v>3960</v>
      </c>
      <c r="L18" s="4">
        <f t="shared" si="6"/>
        <v>4627</v>
      </c>
      <c r="M18" s="4">
        <f t="shared" si="6"/>
        <v>3023.8500000000022</v>
      </c>
      <c r="N18" s="4">
        <f t="shared" si="6"/>
        <v>3892.9300000000003</v>
      </c>
      <c r="P18" s="9">
        <f t="shared" ref="P18:V18" si="7">+P16-P17</f>
        <v>12242</v>
      </c>
      <c r="Q18" s="9">
        <f t="shared" si="7"/>
        <v>13027</v>
      </c>
      <c r="R18" s="9">
        <f t="shared" si="7"/>
        <v>14306</v>
      </c>
      <c r="S18" s="9">
        <f t="shared" si="7"/>
        <v>14742</v>
      </c>
      <c r="T18" s="9">
        <f t="shared" si="7"/>
        <v>14653</v>
      </c>
      <c r="U18" s="9">
        <f t="shared" si="7"/>
        <v>16117</v>
      </c>
      <c r="V18" s="9">
        <f t="shared" si="7"/>
        <v>15503.779999999999</v>
      </c>
      <c r="W18" s="4">
        <f>+V18*(1+$Z$25)</f>
        <v>15813.855599999999</v>
      </c>
      <c r="X18" s="4">
        <f t="shared" ref="X18:CI18" si="8">+W18*(1+$Z$25)</f>
        <v>16130.132711999999</v>
      </c>
      <c r="Y18" s="4">
        <f t="shared" si="8"/>
        <v>16452.735366239998</v>
      </c>
      <c r="Z18" s="4">
        <f t="shared" si="8"/>
        <v>16781.7900735648</v>
      </c>
      <c r="AA18" s="4">
        <f t="shared" si="8"/>
        <v>17117.425875036097</v>
      </c>
      <c r="AB18" s="4">
        <f t="shared" si="8"/>
        <v>17459.77439253682</v>
      </c>
      <c r="AC18" s="4">
        <f t="shared" si="8"/>
        <v>17808.969880387554</v>
      </c>
      <c r="AD18" s="4">
        <f t="shared" si="8"/>
        <v>18165.149277995304</v>
      </c>
      <c r="AE18" s="4">
        <f t="shared" si="8"/>
        <v>18528.452263555209</v>
      </c>
      <c r="AF18" s="4">
        <f t="shared" si="8"/>
        <v>18899.021308826315</v>
      </c>
      <c r="AG18" s="4">
        <f t="shared" si="8"/>
        <v>19277.001735002843</v>
      </c>
      <c r="AH18" s="4">
        <f t="shared" si="8"/>
        <v>19662.541769702901</v>
      </c>
      <c r="AI18" s="4">
        <f t="shared" si="8"/>
        <v>20055.792605096958</v>
      </c>
      <c r="AJ18" s="4">
        <f t="shared" si="8"/>
        <v>20456.908457198897</v>
      </c>
      <c r="AK18" s="4">
        <f t="shared" si="8"/>
        <v>20866.046626342875</v>
      </c>
      <c r="AL18" s="4">
        <f t="shared" si="8"/>
        <v>21283.367558869733</v>
      </c>
      <c r="AM18" s="4">
        <f t="shared" si="8"/>
        <v>21709.034910047129</v>
      </c>
      <c r="AN18" s="4">
        <f t="shared" si="8"/>
        <v>22143.215608248072</v>
      </c>
      <c r="AO18" s="4">
        <f t="shared" si="8"/>
        <v>22586.079920413034</v>
      </c>
      <c r="AP18" s="4">
        <f t="shared" si="8"/>
        <v>23037.801518821296</v>
      </c>
      <c r="AQ18" s="4">
        <f t="shared" si="8"/>
        <v>23498.557549197722</v>
      </c>
      <c r="AR18" s="4">
        <f t="shared" si="8"/>
        <v>23968.528700181676</v>
      </c>
      <c r="AS18" s="4">
        <f t="shared" si="8"/>
        <v>24447.899274185311</v>
      </c>
      <c r="AT18" s="4">
        <f t="shared" si="8"/>
        <v>24936.857259669017</v>
      </c>
      <c r="AU18" s="4">
        <f t="shared" si="8"/>
        <v>25435.594404862397</v>
      </c>
      <c r="AV18" s="4">
        <f t="shared" si="8"/>
        <v>25944.306292959645</v>
      </c>
      <c r="AW18" s="4">
        <f t="shared" si="8"/>
        <v>26463.192418818839</v>
      </c>
      <c r="AX18" s="4">
        <f t="shared" si="8"/>
        <v>26992.456267195215</v>
      </c>
      <c r="AY18" s="4">
        <f t="shared" si="8"/>
        <v>27532.305392539121</v>
      </c>
      <c r="AZ18" s="4">
        <f t="shared" si="8"/>
        <v>28082.951500389903</v>
      </c>
      <c r="BA18" s="4">
        <f t="shared" si="8"/>
        <v>28644.610530397702</v>
      </c>
      <c r="BB18" s="4">
        <f t="shared" si="8"/>
        <v>29217.502741005657</v>
      </c>
      <c r="BC18" s="4">
        <f t="shared" si="8"/>
        <v>29801.852795825773</v>
      </c>
      <c r="BD18" s="4">
        <f t="shared" si="8"/>
        <v>30397.889851742289</v>
      </c>
      <c r="BE18" s="4">
        <f t="shared" si="8"/>
        <v>31005.847648777137</v>
      </c>
      <c r="BF18" s="4">
        <f t="shared" si="8"/>
        <v>31625.964601752679</v>
      </c>
      <c r="BG18" s="4">
        <f t="shared" si="8"/>
        <v>32258.483893787732</v>
      </c>
      <c r="BH18" s="4">
        <f t="shared" si="8"/>
        <v>32903.65357166349</v>
      </c>
      <c r="BI18" s="4">
        <f t="shared" si="8"/>
        <v>33561.726643096757</v>
      </c>
      <c r="BJ18" s="4">
        <f t="shared" si="8"/>
        <v>34232.961175958691</v>
      </c>
      <c r="BK18" s="4">
        <f t="shared" si="8"/>
        <v>34917.620399477863</v>
      </c>
      <c r="BL18" s="4">
        <f t="shared" si="8"/>
        <v>35615.97280746742</v>
      </c>
      <c r="BM18" s="4">
        <f t="shared" si="8"/>
        <v>36328.292263616771</v>
      </c>
      <c r="BN18" s="4">
        <f t="shared" si="8"/>
        <v>37054.858108889108</v>
      </c>
      <c r="BO18" s="4">
        <f t="shared" si="8"/>
        <v>37795.955271066894</v>
      </c>
      <c r="BP18" s="4">
        <f t="shared" si="8"/>
        <v>38551.874376488231</v>
      </c>
      <c r="BQ18" s="4">
        <f t="shared" si="8"/>
        <v>39322.911864017995</v>
      </c>
      <c r="BR18" s="4">
        <f t="shared" si="8"/>
        <v>40109.370101298358</v>
      </c>
      <c r="BS18" s="4">
        <f t="shared" si="8"/>
        <v>40911.557503324329</v>
      </c>
      <c r="BT18" s="4">
        <f t="shared" si="8"/>
        <v>41729.788653390817</v>
      </c>
      <c r="BU18" s="4">
        <f t="shared" si="8"/>
        <v>42564.384426458637</v>
      </c>
      <c r="BV18" s="4">
        <f t="shared" si="8"/>
        <v>43415.672114987814</v>
      </c>
      <c r="BW18" s="4">
        <f t="shared" si="8"/>
        <v>44283.985557287568</v>
      </c>
      <c r="BX18" s="4">
        <f t="shared" si="8"/>
        <v>45169.665268433317</v>
      </c>
      <c r="BY18" s="4">
        <f t="shared" si="8"/>
        <v>46073.058573801987</v>
      </c>
      <c r="BZ18" s="4">
        <f t="shared" si="8"/>
        <v>46994.519745278027</v>
      </c>
      <c r="CA18" s="4">
        <f t="shared" si="8"/>
        <v>47934.410140183587</v>
      </c>
      <c r="CB18" s="4">
        <f t="shared" si="8"/>
        <v>48893.098342987258</v>
      </c>
      <c r="CC18" s="4">
        <f t="shared" si="8"/>
        <v>49870.960309847003</v>
      </c>
      <c r="CD18" s="4">
        <f t="shared" si="8"/>
        <v>50868.379516043948</v>
      </c>
      <c r="CE18" s="4">
        <f t="shared" si="8"/>
        <v>51885.747106364826</v>
      </c>
      <c r="CF18" s="4">
        <f t="shared" si="8"/>
        <v>52923.462048492125</v>
      </c>
      <c r="CG18" s="4">
        <f t="shared" si="8"/>
        <v>53981.931289461965</v>
      </c>
      <c r="CH18" s="4">
        <f t="shared" si="8"/>
        <v>55061.569915251202</v>
      </c>
      <c r="CI18" s="4">
        <f t="shared" si="8"/>
        <v>56162.801313556229</v>
      </c>
      <c r="CJ18" s="4">
        <f t="shared" ref="CJ18:DZ18" si="9">+CI18*(1+$Z$25)</f>
        <v>57286.057339827355</v>
      </c>
      <c r="CK18" s="4">
        <f t="shared" si="9"/>
        <v>58431.778486623902</v>
      </c>
      <c r="CL18" s="4">
        <f t="shared" si="9"/>
        <v>59600.414056356378</v>
      </c>
      <c r="CM18" s="4">
        <f t="shared" si="9"/>
        <v>60792.422337483506</v>
      </c>
      <c r="CN18" s="4">
        <f t="shared" si="9"/>
        <v>62008.27078423318</v>
      </c>
      <c r="CO18" s="4">
        <f t="shared" si="9"/>
        <v>63248.436199917844</v>
      </c>
      <c r="CP18" s="4">
        <f t="shared" si="9"/>
        <v>64513.404923916205</v>
      </c>
      <c r="CQ18" s="4">
        <f t="shared" si="9"/>
        <v>65803.673022394534</v>
      </c>
      <c r="CR18" s="4">
        <f t="shared" si="9"/>
        <v>67119.746482842427</v>
      </c>
      <c r="CS18" s="4">
        <f t="shared" si="9"/>
        <v>68462.141412499273</v>
      </c>
      <c r="CT18" s="4">
        <f t="shared" si="9"/>
        <v>69831.384240749263</v>
      </c>
      <c r="CU18" s="4">
        <f t="shared" si="9"/>
        <v>71228.011925564249</v>
      </c>
      <c r="CV18" s="4">
        <f t="shared" si="9"/>
        <v>72652.572164075536</v>
      </c>
      <c r="CW18" s="4">
        <f t="shared" si="9"/>
        <v>74105.623607357047</v>
      </c>
      <c r="CX18" s="4">
        <f t="shared" si="9"/>
        <v>75587.73607950419</v>
      </c>
      <c r="CY18" s="4">
        <f t="shared" si="9"/>
        <v>77099.490801094275</v>
      </c>
      <c r="CZ18" s="4">
        <f t="shared" si="9"/>
        <v>78641.480617116162</v>
      </c>
      <c r="DA18" s="4">
        <f t="shared" si="9"/>
        <v>80214.310229458482</v>
      </c>
      <c r="DB18" s="4">
        <f t="shared" si="9"/>
        <v>81818.596434047649</v>
      </c>
      <c r="DC18" s="4">
        <f t="shared" si="9"/>
        <v>83454.968362728599</v>
      </c>
      <c r="DD18" s="4">
        <f t="shared" si="9"/>
        <v>85124.067729983173</v>
      </c>
      <c r="DE18" s="4">
        <f t="shared" si="9"/>
        <v>86826.549084582832</v>
      </c>
      <c r="DF18" s="4">
        <f t="shared" si="9"/>
        <v>88563.080066274488</v>
      </c>
      <c r="DG18" s="4">
        <f t="shared" si="9"/>
        <v>90334.341667599976</v>
      </c>
      <c r="DH18" s="4">
        <f t="shared" si="9"/>
        <v>92141.028500951972</v>
      </c>
      <c r="DI18" s="4">
        <f t="shared" si="9"/>
        <v>93983.849070971017</v>
      </c>
      <c r="DJ18" s="4">
        <f t="shared" si="9"/>
        <v>95863.526052390444</v>
      </c>
      <c r="DK18" s="4">
        <f t="shared" si="9"/>
        <v>97780.79657343826</v>
      </c>
      <c r="DL18" s="4">
        <f t="shared" si="9"/>
        <v>99736.412504907028</v>
      </c>
      <c r="DM18" s="4">
        <f t="shared" si="9"/>
        <v>101731.14075500517</v>
      </c>
      <c r="DN18" s="4">
        <f t="shared" si="9"/>
        <v>103765.76357010528</v>
      </c>
      <c r="DO18" s="4">
        <f t="shared" si="9"/>
        <v>105841.07884150739</v>
      </c>
      <c r="DP18" s="4">
        <f t="shared" si="9"/>
        <v>107957.90041833754</v>
      </c>
      <c r="DQ18" s="4">
        <f t="shared" si="9"/>
        <v>110117.05842670429</v>
      </c>
      <c r="DR18" s="4">
        <f t="shared" si="9"/>
        <v>112319.39959523837</v>
      </c>
      <c r="DS18" s="4">
        <f t="shared" si="9"/>
        <v>114565.78758714315</v>
      </c>
      <c r="DT18" s="4">
        <f t="shared" si="9"/>
        <v>116857.10333888601</v>
      </c>
      <c r="DU18" s="4">
        <f t="shared" si="9"/>
        <v>119194.24540566374</v>
      </c>
      <c r="DV18" s="4">
        <f t="shared" si="9"/>
        <v>121578.13031377702</v>
      </c>
      <c r="DW18" s="4">
        <f t="shared" si="9"/>
        <v>124009.69292005256</v>
      </c>
      <c r="DX18" s="4">
        <f t="shared" si="9"/>
        <v>126489.88677845361</v>
      </c>
      <c r="DY18" s="4">
        <f t="shared" si="9"/>
        <v>129019.68451402268</v>
      </c>
      <c r="DZ18" s="4">
        <f t="shared" si="9"/>
        <v>131600.07820430314</v>
      </c>
    </row>
    <row r="19" spans="2:130" x14ac:dyDescent="0.25">
      <c r="B19" s="1" t="s">
        <v>22</v>
      </c>
      <c r="C19" s="2">
        <f t="shared" ref="C19:N19" si="10">+C18/C20</f>
        <v>1.5733343984662087</v>
      </c>
      <c r="D19" s="2">
        <f t="shared" si="10"/>
        <v>1.5851201031758828</v>
      </c>
      <c r="E19" s="2">
        <f t="shared" si="10"/>
        <v>1.3735241792010351</v>
      </c>
      <c r="F19" s="2">
        <f t="shared" si="10"/>
        <v>1.3658930373360243</v>
      </c>
      <c r="G19" s="2">
        <f t="shared" si="10"/>
        <v>1.8261150614091792</v>
      </c>
      <c r="H19" s="2">
        <f t="shared" si="10"/>
        <v>1.9077134986225894</v>
      </c>
      <c r="I19" s="2">
        <f t="shared" si="10"/>
        <v>1.5176765633848395</v>
      </c>
      <c r="J19" s="2">
        <f t="shared" si="10"/>
        <v>1.2685057843216569</v>
      </c>
      <c r="K19" s="2">
        <f t="shared" si="10"/>
        <v>1.6058394160583942</v>
      </c>
      <c r="L19" s="2">
        <f t="shared" si="10"/>
        <v>1.8823481550791261</v>
      </c>
      <c r="M19" s="2">
        <f t="shared" si="10"/>
        <v>1.2262165450121663</v>
      </c>
      <c r="N19" s="2">
        <f t="shared" si="10"/>
        <v>1.5837150644806965</v>
      </c>
      <c r="P19" s="2">
        <f t="shared" ref="P19:V19" si="11">+P18/P20</f>
        <v>4.8206339830675331</v>
      </c>
      <c r="Q19" s="2">
        <f t="shared" si="11"/>
        <v>4.9611546957117829</v>
      </c>
      <c r="R19" s="2">
        <f t="shared" si="11"/>
        <v>5.5001922337562474</v>
      </c>
      <c r="S19" s="2">
        <f t="shared" si="11"/>
        <v>5.8057655954631384</v>
      </c>
      <c r="T19" s="2">
        <f t="shared" si="11"/>
        <v>5.9144298688193739</v>
      </c>
      <c r="U19" s="2">
        <f t="shared" si="11"/>
        <v>6.5192945554566784</v>
      </c>
      <c r="V19" s="2">
        <f t="shared" si="11"/>
        <v>6.3072210243684141</v>
      </c>
    </row>
    <row r="20" spans="2:130" s="4" customFormat="1" x14ac:dyDescent="0.25">
      <c r="B20" s="4" t="s">
        <v>1</v>
      </c>
      <c r="C20" s="4">
        <v>2503.6</v>
      </c>
      <c r="D20" s="4">
        <v>2481.1999999999998</v>
      </c>
      <c r="E20" s="4">
        <v>2473.1999999999998</v>
      </c>
      <c r="F20" s="4">
        <v>2477.5</v>
      </c>
      <c r="G20" s="4">
        <v>2475.1999999999998</v>
      </c>
      <c r="H20" s="4">
        <v>2468.4</v>
      </c>
      <c r="I20" s="4">
        <v>2472.1999999999998</v>
      </c>
      <c r="J20" s="4">
        <v>2472.1999999999998</v>
      </c>
      <c r="K20" s="4">
        <v>2466</v>
      </c>
      <c r="L20" s="4">
        <v>2458.1</v>
      </c>
      <c r="M20" s="4">
        <v>2466</v>
      </c>
      <c r="N20" s="4">
        <v>2458.1</v>
      </c>
      <c r="P20" s="9">
        <v>2539.5</v>
      </c>
      <c r="Q20" s="9">
        <v>2625.8</v>
      </c>
      <c r="R20" s="9">
        <v>2601</v>
      </c>
      <c r="S20" s="9">
        <v>2539.1999999999998</v>
      </c>
      <c r="T20" s="9">
        <f>+F20</f>
        <v>2477.5</v>
      </c>
      <c r="U20" s="9">
        <f>+J20</f>
        <v>2472.1999999999998</v>
      </c>
      <c r="V20" s="9">
        <f>+N20</f>
        <v>2458.1</v>
      </c>
    </row>
    <row r="21" spans="2:130" x14ac:dyDescent="0.25">
      <c r="P21" s="7"/>
      <c r="Q21" s="7"/>
      <c r="R21" s="7"/>
      <c r="S21" s="7"/>
    </row>
    <row r="22" spans="2:130" x14ac:dyDescent="0.25">
      <c r="B22" s="1" t="s">
        <v>31</v>
      </c>
      <c r="G22" s="6">
        <f t="shared" ref="G22:N22" si="12">+G10/C10-1</f>
        <v>6.1080923733747294E-2</v>
      </c>
      <c r="H22" s="6">
        <f t="shared" si="12"/>
        <v>3.2157127039907474E-2</v>
      </c>
      <c r="I22" s="6">
        <f t="shared" si="12"/>
        <v>6.3284831572651967E-3</v>
      </c>
      <c r="J22" s="6">
        <f t="shared" si="12"/>
        <v>-1.0704033474432384E-3</v>
      </c>
      <c r="K22" s="6">
        <f t="shared" si="12"/>
        <v>-6.1268346211879043E-3</v>
      </c>
      <c r="L22" s="6">
        <f t="shared" si="12"/>
        <v>2.052143090340941E-2</v>
      </c>
      <c r="M22" s="6">
        <f t="shared" si="12"/>
        <v>3.0000000000000027E-2</v>
      </c>
      <c r="N22" s="6">
        <f t="shared" si="12"/>
        <v>3.0000000000000027E-2</v>
      </c>
      <c r="P22" s="7"/>
      <c r="Q22" s="12">
        <f t="shared" ref="Q22:V22" si="13">+Q10/P10-1</f>
        <v>4.8253649311506441E-2</v>
      </c>
      <c r="R22" s="12">
        <f t="shared" si="13"/>
        <v>7.284002818886548E-2</v>
      </c>
      <c r="S22" s="12">
        <f t="shared" si="13"/>
        <v>5.3456475472293041E-2</v>
      </c>
      <c r="T22" s="12">
        <f t="shared" si="13"/>
        <v>2.268447503959492E-2</v>
      </c>
      <c r="U22" s="12">
        <f t="shared" si="13"/>
        <v>2.4778674731117167E-2</v>
      </c>
      <c r="V22" s="12">
        <f t="shared" si="13"/>
        <v>1.8179633023156283E-2</v>
      </c>
    </row>
    <row r="23" spans="2:130" x14ac:dyDescent="0.25">
      <c r="B23" s="1" t="s">
        <v>30</v>
      </c>
      <c r="C23" s="6">
        <f t="shared" ref="C23:G23" si="14">+C12/C10</f>
        <v>0.47380166893071995</v>
      </c>
      <c r="D23" s="6">
        <f t="shared" si="14"/>
        <v>0.47542483030857363</v>
      </c>
      <c r="E23" s="6">
        <f t="shared" si="14"/>
        <v>0.48156268686466014</v>
      </c>
      <c r="F23" s="6">
        <f t="shared" si="14"/>
        <v>0.48362769425388019</v>
      </c>
      <c r="G23" s="6">
        <f t="shared" si="14"/>
        <v>0.51986648987243378</v>
      </c>
      <c r="H23" s="6">
        <f t="shared" ref="H23:N23" si="15">+H12/H10</f>
        <v>0.52688773844503523</v>
      </c>
      <c r="I23" s="6">
        <f t="shared" si="15"/>
        <v>0.51200792275315676</v>
      </c>
      <c r="J23" s="6">
        <f t="shared" si="15"/>
        <v>0.49598168623057814</v>
      </c>
      <c r="K23" s="6">
        <f t="shared" si="15"/>
        <v>0.52058701752771774</v>
      </c>
      <c r="L23" s="6">
        <f t="shared" si="15"/>
        <v>0.52387916457200312</v>
      </c>
      <c r="M23" s="6">
        <f t="shared" si="15"/>
        <v>0.4990108577293717</v>
      </c>
      <c r="N23" s="6">
        <f t="shared" si="15"/>
        <v>0.50735165813666572</v>
      </c>
      <c r="P23" s="6">
        <f t="shared" ref="P23:Q23" si="16">+P12/P10</f>
        <v>0.48631877548608238</v>
      </c>
      <c r="Q23" s="6">
        <f t="shared" si="16"/>
        <v>0.5031712473572939</v>
      </c>
      <c r="R23" s="6">
        <f t="shared" ref="R23:S23" si="17">+R12/R10</f>
        <v>0.51249375968890409</v>
      </c>
      <c r="S23" s="6">
        <f t="shared" si="17"/>
        <v>0.47426640228465961</v>
      </c>
      <c r="T23" s="6">
        <f t="shared" ref="T23:V23" si="18">+T12/T10</f>
        <v>0.47857473843377313</v>
      </c>
      <c r="U23" s="6">
        <f t="shared" si="18"/>
        <v>0.51393417263618835</v>
      </c>
      <c r="V23" s="6">
        <f t="shared" si="18"/>
        <v>0.51291275554316218</v>
      </c>
    </row>
    <row r="24" spans="2:130" x14ac:dyDescent="0.25">
      <c r="B24" s="1" t="s">
        <v>47</v>
      </c>
      <c r="C24" s="6">
        <f>+C17/C16</f>
        <v>0.21172703622173303</v>
      </c>
      <c r="D24" s="6">
        <f t="shared" ref="D24:N24" si="19">+D17/D16</f>
        <v>0.18655635987590485</v>
      </c>
      <c r="E24" s="6">
        <f t="shared" si="19"/>
        <v>0.20778917910447761</v>
      </c>
      <c r="F24" s="6">
        <f t="shared" si="19"/>
        <v>0.2005669737774628</v>
      </c>
      <c r="G24" s="6">
        <f t="shared" si="19"/>
        <v>0.22082399586278229</v>
      </c>
      <c r="H24" s="6">
        <f t="shared" si="19"/>
        <v>0.17918772877810701</v>
      </c>
      <c r="I24" s="6">
        <f t="shared" si="19"/>
        <v>0.18274885645828795</v>
      </c>
      <c r="J24" s="6">
        <f t="shared" si="19"/>
        <v>0.1894546394417162</v>
      </c>
      <c r="K24" s="6">
        <f t="shared" si="19"/>
        <v>0.22957198443579765</v>
      </c>
      <c r="L24" s="6">
        <f t="shared" si="19"/>
        <v>0.2081122710936163</v>
      </c>
      <c r="M24" s="6">
        <f t="shared" si="19"/>
        <v>0.2806950771316768</v>
      </c>
      <c r="N24" s="6">
        <f t="shared" si="19"/>
        <v>0.23801461362751103</v>
      </c>
      <c r="P24" s="6">
        <f t="shared" ref="P24:Q24" si="20">+P17/P16</f>
        <v>0.15068683224642709</v>
      </c>
      <c r="Q24" s="6">
        <f t="shared" si="20"/>
        <v>0.17727674624226347</v>
      </c>
      <c r="R24" s="6">
        <f t="shared" ref="R24:S24" si="21">+R17/R16</f>
        <v>0.18785126312801589</v>
      </c>
      <c r="S24" s="6">
        <f t="shared" si="21"/>
        <v>0.18077243678799668</v>
      </c>
      <c r="T24" s="6">
        <f t="shared" ref="T24:V24" si="22">+T17/T16</f>
        <v>0.20160191794257071</v>
      </c>
      <c r="U24" s="6">
        <f t="shared" si="22"/>
        <v>0.19406940694069408</v>
      </c>
      <c r="V24" s="6">
        <f t="shared" si="22"/>
        <v>0.23610819589096849</v>
      </c>
    </row>
    <row r="25" spans="2:130" x14ac:dyDescent="0.25">
      <c r="Y25" s="1" t="s">
        <v>48</v>
      </c>
      <c r="Z25" s="6">
        <v>0.02</v>
      </c>
    </row>
    <row r="26" spans="2:130" x14ac:dyDescent="0.25">
      <c r="B26" s="1" t="s">
        <v>52</v>
      </c>
      <c r="P26" s="4">
        <v>15242</v>
      </c>
      <c r="Q26" s="4">
        <v>17403</v>
      </c>
      <c r="R26" s="4">
        <v>18371</v>
      </c>
      <c r="S26" s="9">
        <v>16723</v>
      </c>
      <c r="T26" s="9">
        <v>16848</v>
      </c>
      <c r="U26" s="9">
        <v>19846</v>
      </c>
      <c r="Y26" s="1" t="s">
        <v>49</v>
      </c>
      <c r="Z26" s="6">
        <v>0.06</v>
      </c>
    </row>
    <row r="27" spans="2:130" x14ac:dyDescent="0.25">
      <c r="B27" s="1" t="s">
        <v>53</v>
      </c>
      <c r="P27" s="4">
        <v>3347</v>
      </c>
      <c r="Q27" s="4">
        <v>3073</v>
      </c>
      <c r="R27" s="4">
        <v>2787</v>
      </c>
      <c r="S27" s="9">
        <v>3156</v>
      </c>
      <c r="T27" s="9">
        <v>3062</v>
      </c>
      <c r="U27" s="9">
        <v>3322</v>
      </c>
      <c r="Y27" s="1" t="s">
        <v>50</v>
      </c>
      <c r="Z27" s="4">
        <f>NPV(Z26,W18:DZ18)-Main!M5+Main!M6</f>
        <v>414166.08862037852</v>
      </c>
    </row>
    <row r="28" spans="2:130" x14ac:dyDescent="0.25">
      <c r="B28" s="1" t="s">
        <v>54</v>
      </c>
      <c r="P28" s="4">
        <f t="shared" ref="P28:U28" si="23">+P26-P27</f>
        <v>11895</v>
      </c>
      <c r="Q28" s="4">
        <f t="shared" si="23"/>
        <v>14330</v>
      </c>
      <c r="R28" s="4">
        <f t="shared" si="23"/>
        <v>15584</v>
      </c>
      <c r="S28" s="9">
        <f t="shared" si="23"/>
        <v>13567</v>
      </c>
      <c r="T28" s="9">
        <f t="shared" si="23"/>
        <v>13786</v>
      </c>
      <c r="U28" s="9">
        <f t="shared" si="23"/>
        <v>16524</v>
      </c>
      <c r="Y28" s="1" t="s">
        <v>51</v>
      </c>
      <c r="Z28" s="2">
        <f>Z27/Main!M3</f>
        <v>176.65116795273397</v>
      </c>
    </row>
    <row r="29" spans="2:130" x14ac:dyDescent="0.25">
      <c r="Q29" s="6">
        <f>+Q28/P28-1</f>
        <v>0.20470786044556544</v>
      </c>
      <c r="R29" s="6">
        <f>+R28/Q28-1</f>
        <v>8.7508722958827612E-2</v>
      </c>
      <c r="S29" s="6">
        <f>+S28/R28-1</f>
        <v>-0.12942761806981518</v>
      </c>
      <c r="T29" s="6">
        <f>+T28/S28-1</f>
        <v>1.6142109530478344E-2</v>
      </c>
      <c r="U29" s="6">
        <f>+U28/T28-1</f>
        <v>0.19860728275061668</v>
      </c>
    </row>
    <row r="30" spans="2:130" x14ac:dyDescent="0.25">
      <c r="U30" s="12">
        <f>RATE(5,0,-P28,U28)</f>
        <v>6.7948101392961174E-2</v>
      </c>
    </row>
  </sheetData>
  <hyperlinks>
    <hyperlink ref="A1" location="Main!A1" display="Main" xr:uid="{B703EA52-736D-4A16-9F90-352F4A7593C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2025-03-10T18:09:09Z</dcterms:created>
  <dcterms:modified xsi:type="dcterms:W3CDTF">2025-06-22T20:32:39Z</dcterms:modified>
</cp:coreProperties>
</file>