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A63F8EC4-4E6C-4126-A072-8239F5A37FED}" xr6:coauthVersionLast="47" xr6:coauthVersionMax="47" xr10:uidLastSave="{00000000-0000-0000-0000-000000000000}"/>
  <bookViews>
    <workbookView xWindow="41680" yWindow="5090" windowWidth="25050" windowHeight="15270" xr2:uid="{AB3C49AB-D501-4FD3-A043-98BB663A0B7E}"/>
  </bookViews>
  <sheets>
    <sheet name="Main" sheetId="1" r:id="rId1"/>
    <sheet name="Model" sheetId="2" r:id="rId2"/>
    <sheet name="Presentation" sheetId="3" r:id="rId3"/>
    <sheet name="Papers" sheetId="4" r:id="rId4"/>
    <sheet name="Glossary"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 l="1"/>
  <c r="T4" i="2"/>
  <c r="S4" i="2"/>
  <c r="T12" i="2"/>
  <c r="T8" i="2"/>
  <c r="T10" i="2" s="1"/>
  <c r="T7" i="2"/>
  <c r="T20" i="2"/>
  <c r="T19" i="2" s="1"/>
  <c r="W27" i="2"/>
  <c r="T17" i="2"/>
  <c r="T60" i="2" l="1"/>
  <c r="T59" i="2"/>
  <c r="T65" i="2" s="1"/>
  <c r="T53" i="2"/>
  <c r="T48" i="2"/>
  <c r="T55" i="2" s="1"/>
  <c r="T29" i="2"/>
  <c r="T43" i="2" s="1"/>
  <c r="R4" i="2"/>
  <c r="Z15" i="2"/>
  <c r="Y15" i="2"/>
  <c r="X15" i="2"/>
  <c r="W15" i="2"/>
  <c r="V15" i="2"/>
  <c r="U15" i="2"/>
  <c r="T15" i="2"/>
  <c r="Q4" i="2"/>
  <c r="P4" i="2"/>
  <c r="O4" i="2"/>
  <c r="N4" i="2"/>
  <c r="AI23" i="2"/>
  <c r="AI22" i="2"/>
  <c r="AI26" i="2"/>
  <c r="AI25" i="2"/>
  <c r="AH8" i="2"/>
  <c r="Z7" i="2"/>
  <c r="Y7" i="2"/>
  <c r="X7" i="2"/>
  <c r="W7" i="2"/>
  <c r="V7" i="2"/>
  <c r="U7" i="2"/>
  <c r="S7" i="2"/>
  <c r="R7" i="2"/>
  <c r="AH7" i="2" s="1"/>
  <c r="Y8" i="2"/>
  <c r="X8" i="2"/>
  <c r="W8" i="2"/>
  <c r="V8" i="2"/>
  <c r="U8" i="2"/>
  <c r="S8" i="2"/>
  <c r="AI8" i="2" s="1"/>
  <c r="R8" i="2"/>
  <c r="Q8" i="2"/>
  <c r="P8" i="2"/>
  <c r="O8" i="2"/>
  <c r="N8" i="2"/>
  <c r="J35" i="2"/>
  <c r="J32" i="2"/>
  <c r="J31" i="2"/>
  <c r="J30" i="2"/>
  <c r="J28" i="2"/>
  <c r="J29" i="2" s="1"/>
  <c r="J20" i="2"/>
  <c r="J19" i="2" s="1"/>
  <c r="K18" i="2" s="1"/>
  <c r="M11" i="2"/>
  <c r="L11" i="2"/>
  <c r="M10" i="2"/>
  <c r="M12" i="2" s="1"/>
  <c r="L10" i="2"/>
  <c r="K11" i="2"/>
  <c r="K10" i="2"/>
  <c r="M42" i="2"/>
  <c r="L42" i="2"/>
  <c r="K42" i="2"/>
  <c r="K12" i="2"/>
  <c r="N20" i="2"/>
  <c r="N19" i="2" s="1"/>
  <c r="O18" i="2" s="1"/>
  <c r="M20" i="2"/>
  <c r="M19" i="2" s="1"/>
  <c r="I29" i="2"/>
  <c r="L20" i="2"/>
  <c r="L19" i="2" s="1"/>
  <c r="M18" i="2" s="1"/>
  <c r="H29" i="2"/>
  <c r="I33" i="2"/>
  <c r="H33" i="2"/>
  <c r="G33" i="2"/>
  <c r="G29" i="2"/>
  <c r="G23" i="2"/>
  <c r="G22" i="2" s="1"/>
  <c r="K23" i="2"/>
  <c r="N23" i="2" s="1"/>
  <c r="K20" i="2"/>
  <c r="K19" i="2" s="1"/>
  <c r="L18" i="2" s="1"/>
  <c r="O20" i="2"/>
  <c r="O19" i="2" s="1"/>
  <c r="P18" i="2" s="1"/>
  <c r="P20" i="2"/>
  <c r="P19" i="2" s="1"/>
  <c r="Q18" i="2" s="1"/>
  <c r="Q20" i="2"/>
  <c r="Q19" i="2" s="1"/>
  <c r="R18" i="2" s="1"/>
  <c r="O11" i="2"/>
  <c r="O10" i="2"/>
  <c r="O12" i="2" s="1"/>
  <c r="S11" i="2"/>
  <c r="S10" i="2"/>
  <c r="S20" i="2"/>
  <c r="S17" i="2" s="1"/>
  <c r="R11" i="2"/>
  <c r="R10" i="2"/>
  <c r="N15" i="2"/>
  <c r="R15" i="2"/>
  <c r="AH15" i="2" s="1"/>
  <c r="R20" i="2"/>
  <c r="R19" i="2" s="1"/>
  <c r="S18" i="2" s="1"/>
  <c r="R22" i="2"/>
  <c r="AH22" i="2" s="1"/>
  <c r="R23" i="2"/>
  <c r="AH23" i="2" s="1"/>
  <c r="N26" i="2"/>
  <c r="N25" i="2"/>
  <c r="R26" i="2"/>
  <c r="AH26" i="2" s="1"/>
  <c r="R25" i="2"/>
  <c r="AH25" i="2" s="1"/>
  <c r="Q11" i="2"/>
  <c r="Q10" i="2"/>
  <c r="P11" i="2"/>
  <c r="P10" i="2"/>
  <c r="P61" i="2"/>
  <c r="P60" i="2"/>
  <c r="P59" i="2"/>
  <c r="P53" i="2"/>
  <c r="P48" i="2"/>
  <c r="S59" i="2"/>
  <c r="S65" i="2" s="1"/>
  <c r="S53" i="2"/>
  <c r="S48" i="2"/>
  <c r="R59" i="2"/>
  <c r="R65" i="2"/>
  <c r="R53" i="2"/>
  <c r="R48" i="2"/>
  <c r="R55" i="2" s="1"/>
  <c r="V42" i="2"/>
  <c r="U42" i="2"/>
  <c r="U40" i="2"/>
  <c r="V40" i="2" s="1"/>
  <c r="U35" i="2"/>
  <c r="V32" i="2"/>
  <c r="U32" i="2"/>
  <c r="V31" i="2"/>
  <c r="U31" i="2"/>
  <c r="V30" i="2"/>
  <c r="V33" i="2" s="1"/>
  <c r="U30" i="2"/>
  <c r="V29" i="2"/>
  <c r="V28" i="2" s="1"/>
  <c r="U29" i="2"/>
  <c r="U28" i="2" s="1"/>
  <c r="O42" i="2"/>
  <c r="P42" i="2"/>
  <c r="Q42" i="2"/>
  <c r="N35" i="2"/>
  <c r="R35" i="2"/>
  <c r="R29" i="2"/>
  <c r="R43" i="2" s="1"/>
  <c r="S33" i="2"/>
  <c r="T42" i="2"/>
  <c r="S42" i="2"/>
  <c r="S29" i="2"/>
  <c r="S43" i="2" s="1"/>
  <c r="AL13" i="2"/>
  <c r="AK13" i="2"/>
  <c r="AJ13" i="2"/>
  <c r="AI13" i="2"/>
  <c r="AH13" i="2"/>
  <c r="AG13" i="2"/>
  <c r="AG12" i="2" s="1"/>
  <c r="AF11" i="2"/>
  <c r="AF10" i="2"/>
  <c r="AD33" i="2"/>
  <c r="AD29" i="2"/>
  <c r="AE33" i="2"/>
  <c r="AE29" i="2"/>
  <c r="U43" i="2" l="1"/>
  <c r="AI15" i="2"/>
  <c r="V43" i="2"/>
  <c r="AI7" i="2"/>
  <c r="P12" i="2"/>
  <c r="AI10" i="2"/>
  <c r="AI11" i="2"/>
  <c r="AH11" i="2"/>
  <c r="AH10" i="2"/>
  <c r="S12" i="2"/>
  <c r="J33" i="2"/>
  <c r="S55" i="2"/>
  <c r="L12" i="2"/>
  <c r="G34" i="2"/>
  <c r="G36" i="2" s="1"/>
  <c r="G38" i="2" s="1"/>
  <c r="G39" i="2" s="1"/>
  <c r="O17" i="2"/>
  <c r="I34" i="2"/>
  <c r="I36" i="2" s="1"/>
  <c r="I38" i="2" s="1"/>
  <c r="I39" i="2" s="1"/>
  <c r="S19" i="2"/>
  <c r="T18" i="2" s="1"/>
  <c r="P17" i="2"/>
  <c r="Q17" i="2"/>
  <c r="R17" i="2"/>
  <c r="K22" i="2"/>
  <c r="N22" i="2" s="1"/>
  <c r="N17" i="2"/>
  <c r="J34" i="2"/>
  <c r="J36" i="2" s="1"/>
  <c r="J38" i="2" s="1"/>
  <c r="J39" i="2" s="1"/>
  <c r="H34" i="2"/>
  <c r="H36" i="2" s="1"/>
  <c r="H38" i="2" s="1"/>
  <c r="H39" i="2" s="1"/>
  <c r="U12" i="2"/>
  <c r="V12" i="2" s="1"/>
  <c r="Q12" i="2"/>
  <c r="R12" i="2"/>
  <c r="P55" i="2"/>
  <c r="U33" i="2"/>
  <c r="U34" i="2" s="1"/>
  <c r="U36" i="2" s="1"/>
  <c r="U38" i="2" s="1"/>
  <c r="U39" i="2" s="1"/>
  <c r="T33" i="2"/>
  <c r="T34" i="2" s="1"/>
  <c r="T36" i="2" s="1"/>
  <c r="T38" i="2" s="1"/>
  <c r="T39" i="2" s="1"/>
  <c r="V34" i="2"/>
  <c r="P65" i="2"/>
  <c r="V35" i="2"/>
  <c r="S34" i="2"/>
  <c r="S36" i="2" s="1"/>
  <c r="S38" i="2" s="1"/>
  <c r="S39" i="2" s="1"/>
  <c r="AF13" i="2"/>
  <c r="AE34" i="2"/>
  <c r="AE36" i="2" s="1"/>
  <c r="AE38" i="2" s="1"/>
  <c r="AE39" i="2" s="1"/>
  <c r="AD34" i="2"/>
  <c r="AD36" i="2" s="1"/>
  <c r="AD38" i="2" s="1"/>
  <c r="AD39" i="2" s="1"/>
  <c r="AJ2" i="2"/>
  <c r="AK2" i="2" s="1"/>
  <c r="AL2" i="2" s="1"/>
  <c r="AM2" i="2" s="1"/>
  <c r="AN2" i="2" s="1"/>
  <c r="AO2" i="2" s="1"/>
  <c r="AP2" i="2" s="1"/>
  <c r="AQ2" i="2" s="1"/>
  <c r="AR2" i="2" s="1"/>
  <c r="AS2" i="2" s="1"/>
  <c r="AT2" i="2" s="1"/>
  <c r="AU2" i="2" s="1"/>
  <c r="AV2" i="2" s="1"/>
  <c r="AW2" i="2" s="1"/>
  <c r="AX2" i="2" s="1"/>
  <c r="AY2" i="2" s="1"/>
  <c r="AZ2" i="2" s="1"/>
  <c r="BA2" i="2" s="1"/>
  <c r="BB2" i="2" s="1"/>
  <c r="BC2" i="2" s="1"/>
  <c r="BD2" i="2" s="1"/>
  <c r="BE2" i="2" s="1"/>
  <c r="BF2" i="2" s="1"/>
  <c r="BG2" i="2" s="1"/>
  <c r="BH2" i="2" s="1"/>
  <c r="BI2" i="2" s="1"/>
  <c r="BJ2" i="2" s="1"/>
  <c r="BK2" i="2" s="1"/>
  <c r="BL2" i="2" s="1"/>
  <c r="BM2" i="2" s="1"/>
  <c r="BN2" i="2" s="1"/>
  <c r="BO2" i="2" s="1"/>
  <c r="BP2" i="2" s="1"/>
  <c r="BQ2" i="2" s="1"/>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P2" i="2" s="1"/>
  <c r="CQ2" i="2" s="1"/>
  <c r="CR2" i="2" s="1"/>
  <c r="CS2" i="2" s="1"/>
  <c r="CT2" i="2" s="1"/>
  <c r="CU2" i="2" s="1"/>
  <c r="CV2" i="2" s="1"/>
  <c r="CW2" i="2" s="1"/>
  <c r="CX2" i="2" s="1"/>
  <c r="CY2" i="2" s="1"/>
  <c r="CZ2" i="2" s="1"/>
  <c r="DA2" i="2" s="1"/>
  <c r="DB2" i="2" s="1"/>
  <c r="DC2" i="2" s="1"/>
  <c r="DD2" i="2" s="1"/>
  <c r="DE2" i="2" s="1"/>
  <c r="DF2" i="2" s="1"/>
  <c r="DG2" i="2" s="1"/>
  <c r="DH2" i="2" s="1"/>
  <c r="DI2" i="2" s="1"/>
  <c r="DJ2" i="2" s="1"/>
  <c r="DK2" i="2" s="1"/>
  <c r="DL2" i="2" s="1"/>
  <c r="DM2" i="2" s="1"/>
  <c r="DN2" i="2" s="1"/>
  <c r="DO2" i="2" s="1"/>
  <c r="DP2" i="2" s="1"/>
  <c r="DQ2" i="2" s="1"/>
  <c r="DR2" i="2" s="1"/>
  <c r="DS2" i="2" s="1"/>
  <c r="DT2" i="2" s="1"/>
  <c r="DU2" i="2" s="1"/>
  <c r="DV2" i="2" s="1"/>
  <c r="DW2" i="2" s="1"/>
  <c r="DX2" i="2" s="1"/>
  <c r="DY2" i="2" s="1"/>
  <c r="DZ2" i="2" s="1"/>
  <c r="EA2" i="2" s="1"/>
  <c r="EB2" i="2" s="1"/>
  <c r="EC2" i="2" s="1"/>
  <c r="AH37" i="2"/>
  <c r="AH31" i="2"/>
  <c r="AI31" i="2" s="1"/>
  <c r="AJ31" i="2" s="1"/>
  <c r="AK31" i="2" s="1"/>
  <c r="AL31" i="2" s="1"/>
  <c r="AM31" i="2" s="1"/>
  <c r="AN31" i="2" s="1"/>
  <c r="AO31" i="2" s="1"/>
  <c r="AP31" i="2" s="1"/>
  <c r="AQ31" i="2" s="1"/>
  <c r="AR31" i="2" s="1"/>
  <c r="AS31" i="2" s="1"/>
  <c r="AH30" i="2"/>
  <c r="AH32" i="2"/>
  <c r="AI32" i="2" s="1"/>
  <c r="AJ32" i="2" s="1"/>
  <c r="AK32" i="2" s="1"/>
  <c r="AL32" i="2" s="1"/>
  <c r="AM32" i="2" s="1"/>
  <c r="AN32" i="2" s="1"/>
  <c r="AO32" i="2" s="1"/>
  <c r="AP32" i="2" s="1"/>
  <c r="AQ32" i="2" s="1"/>
  <c r="AR32" i="2" s="1"/>
  <c r="AS32" i="2" s="1"/>
  <c r="AH40" i="2"/>
  <c r="AI40" i="2" s="1"/>
  <c r="AJ40" i="2" s="1"/>
  <c r="AK40" i="2" s="1"/>
  <c r="AL40" i="2" s="1"/>
  <c r="AM40" i="2" s="1"/>
  <c r="AN40" i="2" s="1"/>
  <c r="AO40" i="2" s="1"/>
  <c r="AP40" i="2" s="1"/>
  <c r="AQ40" i="2" s="1"/>
  <c r="AR40" i="2" s="1"/>
  <c r="AS40" i="2" s="1"/>
  <c r="AG40" i="2"/>
  <c r="AG33" i="2"/>
  <c r="AF33" i="2"/>
  <c r="N32" i="2"/>
  <c r="N31" i="2"/>
  <c r="N30" i="2"/>
  <c r="N28" i="2"/>
  <c r="N27" i="2"/>
  <c r="K33" i="2"/>
  <c r="K29" i="2"/>
  <c r="K43" i="2" s="1"/>
  <c r="O29" i="2"/>
  <c r="O43" i="2" s="1"/>
  <c r="L33" i="2"/>
  <c r="L29" i="2"/>
  <c r="L43" i="2" s="1"/>
  <c r="O33" i="2"/>
  <c r="M33" i="2"/>
  <c r="P33" i="2"/>
  <c r="P29" i="2"/>
  <c r="P43" i="2" s="1"/>
  <c r="Q35" i="2"/>
  <c r="M29" i="2"/>
  <c r="M43" i="2" s="1"/>
  <c r="Q33" i="2"/>
  <c r="Q29" i="2"/>
  <c r="Q43" i="2" s="1"/>
  <c r="Q61" i="2"/>
  <c r="Q60" i="2"/>
  <c r="Q59" i="2"/>
  <c r="Q53" i="2"/>
  <c r="Q48" i="2"/>
  <c r="AH2" i="2"/>
  <c r="J4" i="1"/>
  <c r="J7" i="1" s="1"/>
  <c r="AG29" i="2"/>
  <c r="AF29" i="2"/>
  <c r="V36" i="2" l="1"/>
  <c r="V38" i="2" s="1"/>
  <c r="V39" i="2" s="1"/>
  <c r="AI12" i="2"/>
  <c r="L17" i="2"/>
  <c r="N42" i="2"/>
  <c r="N11" i="2"/>
  <c r="M17" i="2"/>
  <c r="J17" i="2"/>
  <c r="K17" i="2"/>
  <c r="N10" i="2"/>
  <c r="N12" i="2" s="1"/>
  <c r="N18" i="2"/>
  <c r="N29" i="2"/>
  <c r="N43" i="2" s="1"/>
  <c r="R42" i="2"/>
  <c r="M34" i="2"/>
  <c r="M36" i="2" s="1"/>
  <c r="M38" i="2" s="1"/>
  <c r="M39" i="2" s="1"/>
  <c r="P34" i="2"/>
  <c r="P36" i="2" s="1"/>
  <c r="P38" i="2" s="1"/>
  <c r="P39" i="2" s="1"/>
  <c r="AI30" i="2"/>
  <c r="AH33" i="2"/>
  <c r="R33" i="2"/>
  <c r="AH35" i="2"/>
  <c r="L34" i="2"/>
  <c r="L36" i="2" s="1"/>
  <c r="L38" i="2" s="1"/>
  <c r="L39" i="2" s="1"/>
  <c r="AH27" i="2"/>
  <c r="AI27" i="2" s="1"/>
  <c r="AH28" i="2"/>
  <c r="K34" i="2"/>
  <c r="K36" i="2" s="1"/>
  <c r="K38" i="2" s="1"/>
  <c r="K39" i="2" s="1"/>
  <c r="N33" i="2"/>
  <c r="N34" i="2" s="1"/>
  <c r="N36" i="2" s="1"/>
  <c r="N38" i="2" s="1"/>
  <c r="N39" i="2" s="1"/>
  <c r="AF34" i="2"/>
  <c r="AF36" i="2" s="1"/>
  <c r="AF38" i="2" s="1"/>
  <c r="AG34" i="2"/>
  <c r="AG36" i="2" s="1"/>
  <c r="AG38" i="2" s="1"/>
  <c r="AG39" i="2" s="1"/>
  <c r="O34" i="2"/>
  <c r="O36" i="2" s="1"/>
  <c r="O38" i="2" s="1"/>
  <c r="O39" i="2" s="1"/>
  <c r="Q34" i="2"/>
  <c r="Q36" i="2" s="1"/>
  <c r="Q38" i="2" s="1"/>
  <c r="Q39" i="2" s="1"/>
  <c r="Q55" i="2"/>
  <c r="Q65" i="2"/>
  <c r="AH12" i="2" l="1"/>
  <c r="AJ27" i="2"/>
  <c r="AI29" i="2"/>
  <c r="AI28" i="2" s="1"/>
  <c r="AJ30" i="2"/>
  <c r="AI33" i="2"/>
  <c r="AH29" i="2"/>
  <c r="AH34" i="2" s="1"/>
  <c r="AH36" i="2" s="1"/>
  <c r="AH38" i="2" s="1"/>
  <c r="AH39" i="2" s="1"/>
  <c r="R34" i="2"/>
  <c r="R36" i="2" s="1"/>
  <c r="R38" i="2" s="1"/>
  <c r="R39" i="2" s="1"/>
  <c r="AI34" i="2" l="1"/>
  <c r="AI36" i="2" s="1"/>
  <c r="AI38" i="2" s="1"/>
  <c r="AI39" i="2" s="1"/>
  <c r="AK30" i="2"/>
  <c r="AJ33" i="2"/>
  <c r="AJ29" i="2"/>
  <c r="AJ28" i="2" s="1"/>
  <c r="AK27" i="2"/>
  <c r="AL27" i="2" l="1"/>
  <c r="AK29" i="2"/>
  <c r="AK28" i="2" s="1"/>
  <c r="AJ34" i="2"/>
  <c r="AJ36" i="2" s="1"/>
  <c r="AJ38" i="2" s="1"/>
  <c r="AL30" i="2"/>
  <c r="AK33" i="2"/>
  <c r="AK34" i="2" l="1"/>
  <c r="AK36" i="2" s="1"/>
  <c r="AK38" i="2" s="1"/>
  <c r="AK39" i="2" s="1"/>
  <c r="AM30" i="2"/>
  <c r="AL33" i="2"/>
  <c r="AJ39" i="2"/>
  <c r="AM27" i="2"/>
  <c r="AL29" i="2"/>
  <c r="AL28" i="2" s="1"/>
  <c r="AN27" i="2" l="1"/>
  <c r="AM29" i="2"/>
  <c r="AM28" i="2" s="1"/>
  <c r="AL34" i="2"/>
  <c r="AL36" i="2" s="1"/>
  <c r="AN30" i="2"/>
  <c r="AM33" i="2"/>
  <c r="AM34" i="2" s="1"/>
  <c r="AM36" i="2" s="1"/>
  <c r="AO30" i="2" l="1"/>
  <c r="AN33" i="2"/>
  <c r="AM37" i="2"/>
  <c r="AM38" i="2" s="1"/>
  <c r="AM39" i="2" s="1"/>
  <c r="AL37" i="2"/>
  <c r="AL38" i="2" s="1"/>
  <c r="AO27" i="2"/>
  <c r="AN29" i="2"/>
  <c r="AN28" i="2" l="1"/>
  <c r="AN34" i="2"/>
  <c r="AN36" i="2" s="1"/>
  <c r="AP27" i="2"/>
  <c r="AO29" i="2"/>
  <c r="AO28" i="2"/>
  <c r="AL39" i="2"/>
  <c r="AP30" i="2"/>
  <c r="AO33" i="2"/>
  <c r="AQ30" i="2" l="1"/>
  <c r="AP33" i="2"/>
  <c r="AO34" i="2"/>
  <c r="AO36" i="2" s="1"/>
  <c r="AQ27" i="2"/>
  <c r="AP29" i="2"/>
  <c r="AP28" i="2" s="1"/>
  <c r="AN37" i="2"/>
  <c r="AN38" i="2" s="1"/>
  <c r="AP34" i="2" l="1"/>
  <c r="AP36" i="2" s="1"/>
  <c r="AP37" i="2" s="1"/>
  <c r="AP38" i="2" s="1"/>
  <c r="AP39" i="2" s="1"/>
  <c r="AN39" i="2"/>
  <c r="AR27" i="2"/>
  <c r="AQ29" i="2"/>
  <c r="AQ28" i="2" s="1"/>
  <c r="AO37" i="2"/>
  <c r="AO38" i="2" s="1"/>
  <c r="AO39" i="2" s="1"/>
  <c r="AR30" i="2"/>
  <c r="AQ33" i="2"/>
  <c r="AS30" i="2" l="1"/>
  <c r="AS33" i="2" s="1"/>
  <c r="AR33" i="2"/>
  <c r="AQ34" i="2"/>
  <c r="AQ36" i="2" s="1"/>
  <c r="AS27" i="2"/>
  <c r="AT27" i="2" s="1"/>
  <c r="AU27" i="2" s="1"/>
  <c r="AV27" i="2" s="1"/>
  <c r="AW27" i="2" s="1"/>
  <c r="AX27" i="2" s="1"/>
  <c r="AY27" i="2" s="1"/>
  <c r="AZ27" i="2" s="1"/>
  <c r="BA27" i="2" s="1"/>
  <c r="BB27" i="2" s="1"/>
  <c r="BC27" i="2" s="1"/>
  <c r="BD27" i="2" s="1"/>
  <c r="BE27" i="2" s="1"/>
  <c r="BF27" i="2" s="1"/>
  <c r="BG27" i="2" s="1"/>
  <c r="BH27" i="2" s="1"/>
  <c r="BI27" i="2" s="1"/>
  <c r="BJ27" i="2" s="1"/>
  <c r="BK27" i="2" s="1"/>
  <c r="BL27" i="2" s="1"/>
  <c r="BM27" i="2" s="1"/>
  <c r="BN27" i="2" s="1"/>
  <c r="BO27" i="2" s="1"/>
  <c r="BP27" i="2" s="1"/>
  <c r="BQ27" i="2" s="1"/>
  <c r="BR27" i="2" s="1"/>
  <c r="BS27" i="2" s="1"/>
  <c r="BT27" i="2" s="1"/>
  <c r="BU27" i="2" s="1"/>
  <c r="BV27" i="2" s="1"/>
  <c r="BW27" i="2" s="1"/>
  <c r="BX27" i="2" s="1"/>
  <c r="BY27" i="2" s="1"/>
  <c r="BZ27" i="2" s="1"/>
  <c r="CA27" i="2" s="1"/>
  <c r="CB27" i="2" s="1"/>
  <c r="CC27" i="2" s="1"/>
  <c r="CD27" i="2" s="1"/>
  <c r="CE27" i="2" s="1"/>
  <c r="CF27" i="2" s="1"/>
  <c r="CG27" i="2" s="1"/>
  <c r="CH27" i="2" s="1"/>
  <c r="CI27" i="2" s="1"/>
  <c r="CJ27" i="2" s="1"/>
  <c r="CK27" i="2" s="1"/>
  <c r="CL27" i="2" s="1"/>
  <c r="CM27" i="2" s="1"/>
  <c r="CN27" i="2" s="1"/>
  <c r="CO27" i="2" s="1"/>
  <c r="CP27" i="2" s="1"/>
  <c r="CQ27" i="2" s="1"/>
  <c r="CR27" i="2" s="1"/>
  <c r="CS27" i="2" s="1"/>
  <c r="CT27" i="2" s="1"/>
  <c r="CU27" i="2" s="1"/>
  <c r="CV27" i="2" s="1"/>
  <c r="CW27" i="2" s="1"/>
  <c r="CX27" i="2" s="1"/>
  <c r="CY27" i="2" s="1"/>
  <c r="CZ27" i="2" s="1"/>
  <c r="DA27" i="2" s="1"/>
  <c r="DB27" i="2" s="1"/>
  <c r="DC27" i="2" s="1"/>
  <c r="DD27" i="2" s="1"/>
  <c r="DE27" i="2" s="1"/>
  <c r="DF27" i="2" s="1"/>
  <c r="AR29" i="2"/>
  <c r="AR34" i="2" s="1"/>
  <c r="AR36" i="2" s="1"/>
  <c r="AR28" i="2" l="1"/>
  <c r="AR37" i="2"/>
  <c r="AR38" i="2" s="1"/>
  <c r="AR39" i="2" s="1"/>
  <c r="AS29" i="2"/>
  <c r="AS34" i="2" s="1"/>
  <c r="AS36" i="2" s="1"/>
  <c r="AQ37" i="2"/>
  <c r="AQ38" i="2" s="1"/>
  <c r="AQ39" i="2" s="1"/>
  <c r="AS28" i="2" l="1"/>
  <c r="AS37" i="2"/>
  <c r="AS38" i="2" s="1"/>
  <c r="AS39" i="2" l="1"/>
  <c r="AT38" i="2"/>
  <c r="AU38" i="2" s="1"/>
  <c r="AV38" i="2" s="1"/>
  <c r="AW38" i="2" s="1"/>
  <c r="AX38" i="2" s="1"/>
  <c r="AY38" i="2" s="1"/>
  <c r="AZ38" i="2" s="1"/>
  <c r="BA38" i="2" s="1"/>
  <c r="BB38" i="2" s="1"/>
  <c r="BC38" i="2" s="1"/>
  <c r="BD38" i="2" s="1"/>
  <c r="BE38" i="2" s="1"/>
  <c r="BF38" i="2" s="1"/>
  <c r="BG38" i="2" s="1"/>
  <c r="BH38" i="2" s="1"/>
  <c r="BI38" i="2" s="1"/>
  <c r="BJ38" i="2" s="1"/>
  <c r="BK38" i="2" s="1"/>
  <c r="BL38" i="2" s="1"/>
  <c r="BM38" i="2" s="1"/>
  <c r="BN38" i="2" s="1"/>
  <c r="BO38" i="2" s="1"/>
  <c r="BP38" i="2" s="1"/>
  <c r="BQ38" i="2" s="1"/>
  <c r="BR38" i="2" s="1"/>
  <c r="BS38" i="2" s="1"/>
  <c r="BT38" i="2" s="1"/>
  <c r="BU38" i="2" s="1"/>
  <c r="BV38" i="2" s="1"/>
  <c r="BW38" i="2" s="1"/>
  <c r="BX38" i="2" s="1"/>
  <c r="BY38" i="2" s="1"/>
  <c r="BZ38" i="2" s="1"/>
  <c r="CA38" i="2" s="1"/>
  <c r="CB38" i="2" s="1"/>
  <c r="CC38" i="2" s="1"/>
  <c r="CD38" i="2" s="1"/>
  <c r="AT46" i="2" s="1"/>
  <c r="AT4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tc={5F4D892F-8EE7-4A57-8773-FC47BA737F6C}</author>
    <author>tc={0ACF6560-A3D8-DB4B-9A39-3B07A923B357}</author>
    <author>tc={6707AD3A-1559-47A6-B18F-CACC2391A66B}</author>
    <author>tc={755B8D05-5951-4091-A2B0-B6641D79741A}</author>
    <author>tc={F11558BA-B1F6-40F4-AC66-34B2963119DF}</author>
    <author>tc={8C07DA94-F2DA-4DD2-871F-7C525412C5A7}</author>
    <author>tc={A4016D45-78AD-44B8-88A3-BF489FEF1812}</author>
    <author>tc={FAE1E3E2-407E-4753-8D78-8EB8932F4A0B}</author>
    <author>tc={BD11E110-CD05-4C3D-86A6-5FC743366F0D}</author>
    <author>tc={FFA193FF-5AD3-4912-B81F-6849603BFE55}</author>
    <author>tc={CCD2BDA9-A64A-4B3B-B538-BAE0B9C2DA58}</author>
    <author>tc={570D6212-29EC-4936-85A5-0C5D3CAB8233}</author>
    <author>tc={607E49BF-C060-4CB0-AF77-18A06334AC35}</author>
    <author>tc={5947D9AF-E117-7546-888C-09B56A94889F}</author>
    <author>tc={053A4414-A51A-45B9-B016-DD6EE962A9D8}</author>
    <author>tc={77484200-1FBE-43A6-8894-D778E607D613}</author>
    <author>tc={23C5B095-8E6F-4C1F-86D9-C212FE3E6F4D}</author>
    <author>tc={D464E2DE-90EF-474F-B04E-42365CFFD3EC}</author>
    <author>tc={6FD4C426-31B6-4D62-943F-4388146ADBBE}</author>
    <author>tc={1A0A1B49-65D0-4998-B407-2792C10D6299}</author>
    <author>tc={A6E9DABB-1376-4112-A26B-944B948407A8}</author>
    <author>tc={C126CAEF-E2E0-4E27-89FF-07FBEE96CB7E}</author>
    <author>tc={52746AA8-06E3-4D64-87ED-D1AB9D96C22E}</author>
  </authors>
  <commentList>
    <comment ref="Q5" authorId="0" shapeId="0" xr:uid="{5F4D892F-8EE7-4A57-8773-FC47BA737F6C}">
      <text>
        <t>[Threaded comment]
Your version of Excel allows you to read this threaded comment; however, any edits to it will get removed if the file is opened in a newer version of Excel. Learn more: https://go.microsoft.com/fwlink/?linkid=870924
Comment:
    54.5m AFRIL
9m UMD</t>
      </text>
    </comment>
    <comment ref="AH5" authorId="1" shapeId="0" xr:uid="{0ACF6560-A3D8-DB4B-9A39-3B07A923B357}">
      <text>
        <t>[Threaded comment]
Your version of Excel allows you to read this threaded comment; however, any edits to it will get removed if the file is opened in a newer version of Excel. Learn more: https://go.microsoft.com/fwlink/?linkid=870924
Comment:
    Q1: 70-90m
Q2: raised to 75-95m
Reiterated on Q3 call</t>
      </text>
    </comment>
    <comment ref="Q12" authorId="2" shapeId="0" xr:uid="{6707AD3A-1559-47A6-B18F-CACC2391A66B}">
      <text>
        <t>[Threaded comment]
Your version of Excel allows you to read this threaded comment; however, any edits to it will get removed if the file is opened in a newer version of Excel. Learn more: https://go.microsoft.com/fwlink/?linkid=870924
Comment:
    Assembly of Forte at QuantumBasel
Two more Forte enterprise being constructed</t>
      </text>
    </comment>
    <comment ref="K21" authorId="3" shapeId="0" xr:uid="{755B8D05-5951-4091-A2B0-B6641D79741A}">
      <text>
        <t>[Threaded comment]
Your version of Excel allows you to read this threaded comment; however, any edits to it will get removed if the file is opened in a newer version of Excel. Learn more: https://go.microsoft.com/fwlink/?linkid=870924
Comment:
    60% NTM</t>
      </text>
    </comment>
    <comment ref="O21" authorId="4" shapeId="0" xr:uid="{F11558BA-B1F6-40F4-AC66-34B2963119DF}">
      <text>
        <t>[Threaded comment]
Your version of Excel allows you to read this threaded comment; however, any edits to it will get removed if the file is opened in a newer version of Excel. Learn more: https://go.microsoft.com/fwlink/?linkid=870924
Comment:
    40% NTM</t>
      </text>
    </comment>
    <comment ref="P21" authorId="5" shapeId="0" xr:uid="{8C07DA94-F2DA-4DD2-871F-7C525412C5A7}">
      <text>
        <t>[Threaded comment]
Your version of Excel allows you to read this threaded comment; however, any edits to it will get removed if the file is opened in a newer version of Excel. Learn more: https://go.microsoft.com/fwlink/?linkid=870924
Comment:
    45% NTM</t>
      </text>
    </comment>
    <comment ref="Q21" authorId="6" shapeId="0" xr:uid="{A4016D45-78AD-44B8-88A3-BF489FEF1812}">
      <text>
        <t>[Threaded comment]
Your version of Excel allows you to read this threaded comment; however, any edits to it will get removed if the file is opened in a newer version of Excel. Learn more: https://go.microsoft.com/fwlink/?linkid=870924
Comment:
    30% recognized in 12 months</t>
      </text>
    </comment>
    <comment ref="R21" authorId="7" shapeId="0" xr:uid="{FAE1E3E2-407E-4753-8D78-8EB8932F4A0B}">
      <text>
        <t>[Threaded comment]
Your version of Excel allows you to read this threaded comment; however, any edits to it will get removed if the file is opened in a newer version of Excel. Learn more: https://go.microsoft.com/fwlink/?linkid=870924
Comment:
    40% in NTM</t>
      </text>
    </comment>
    <comment ref="S21" authorId="8" shapeId="0" xr:uid="{BD11E110-CD05-4C3D-86A6-5FC743366F0D}">
      <text>
        <t>[Threaded comment]
Your version of Excel allows you to read this threaded comment; however, any edits to it will get removed if the file is opened in a newer version of Excel. Learn more: https://go.microsoft.com/fwlink/?linkid=870924
Comment:
    40% NTM</t>
      </text>
    </comment>
    <comment ref="S25" authorId="9" shapeId="0" xr:uid="{FFA193FF-5AD3-4912-B81F-6849603BFE55}">
      <text>
        <t>[Threaded comment]
Your version of Excel allows you to read this threaded comment; however, any edits to it will get removed if the file is opened in a newer version of Excel. Learn more: https://go.microsoft.com/fwlink/?linkid=870924
Comment:
    SOLD TO CHATANOOGA????</t>
      </text>
    </comment>
    <comment ref="O27" authorId="10" shapeId="0" xr:uid="{CCD2BDA9-A64A-4B3B-B538-BAE0B9C2DA58}">
      <text>
        <t>[Threaded comment]
Your version of Excel allows you to read this threaded comment; however, any edits to it will get removed if the file is opened in a newer version of Excel. Learn more: https://go.microsoft.com/fwlink/?linkid=870924
Comment:
    Q423 guidance: 6.5-7.5m</t>
      </text>
    </comment>
    <comment ref="P27" authorId="11" shapeId="0" xr:uid="{570D6212-29EC-4936-85A5-0C5D3CAB8233}">
      <text>
        <t>[Threaded comment]
Your version of Excel allows you to read this threaded comment; however, any edits to it will get removed if the file is opened in a newer version of Excel. Learn more: https://go.microsoft.com/fwlink/?linkid=870924
Comment:
    Q124 guidance: 7.6-9.2m</t>
      </text>
    </comment>
    <comment ref="Q27" authorId="12" shapeId="0" xr:uid="{607E49BF-C060-4CB0-AF77-18A06334AC35}">
      <text>
        <t>[Threaded comment]
Your version of Excel allows you to read this threaded comment; however, any edits to it will get removed if the file is opened in a newer version of Excel. Learn more: https://go.microsoft.com/fwlink/?linkid=870924
Comment:
    Q224 guidance: 9-12m</t>
      </text>
    </comment>
    <comment ref="R27" authorId="13" shapeId="0" xr:uid="{5947D9AF-E117-7546-888C-09B56A94889F}">
      <text>
        <t>[Threaded comment]
Your version of Excel allows you to read this threaded comment; however, any edits to it will get removed if the file is opened in a newer version of Excel. Learn more: https://go.microsoft.com/fwlink/?linkid=870924
Comment:
    Q3 guidance: 7.1-11.1 guidance</t>
      </text>
    </comment>
    <comment ref="S27" authorId="14" shapeId="0" xr:uid="{053A4414-A51A-45B9-B016-DD6EE962A9D8}">
      <text>
        <t>[Threaded comment]
Your version of Excel allows you to read this threaded comment; however, any edits to it will get removed if the file is opened in a newer version of Excel. Learn more: https://go.microsoft.com/fwlink/?linkid=870924
Comment:
    Q1 guidance: 7-8m</t>
      </text>
    </comment>
    <comment ref="T27" authorId="15" shapeId="0" xr:uid="{77484200-1FBE-43A6-8894-D778E607D613}">
      <text>
        <t>[Threaded comment]
Your version of Excel allows you to read this threaded comment; however, any edits to it will get removed if the file is opened in a newer version of Excel. Learn more: https://go.microsoft.com/fwlink/?linkid=870924
Comment:
    Q125 guidance: 16-18m 
5/7/25 consensus: 16.9m
2 months of id quantique
$3m from ID QUANTIQUE!!!</t>
      </text>
    </comment>
    <comment ref="U27" authorId="16" shapeId="0" xr:uid="{23C5B095-8E6F-4C1F-86D9-C212FE3E6F4D}">
      <text>
        <t>[Threaded comment]
Your version of Excel allows you to read this threaded comment; however, any edits to it will get removed if the file is opened in a newer version of Excel. Learn more: https://go.microsoft.com/fwlink/?linkid=870924
Comment:
    5/7/25 consensus: 25.8m
Q3 guidance: 25-29m</t>
      </text>
    </comment>
    <comment ref="V27" authorId="17" shapeId="0" xr:uid="{D464E2DE-90EF-474F-B04E-42365CFFD3EC}">
      <text>
        <t>[Threaded comment]
Your version of Excel allows you to read this threaded comment; however, any edits to it will get removed if the file is opened in a newer version of Excel. Learn more: https://go.microsoft.com/fwlink/?linkid=870924
Comment:
    5/7/25 consensus: 35.25m</t>
      </text>
    </comment>
    <comment ref="AE27" authorId="18" shapeId="0" xr:uid="{6FD4C426-31B6-4D62-943F-4388146ADBBE}">
      <text>
        <t>[Threaded comment]
Your version of Excel allows you to read this threaded comment; however, any edits to it will get removed if the file is opened in a newer version of Excel. Learn more: https://go.microsoft.com/fwlink/?linkid=870924
Comment:
    4 contracts
2 significant customers</t>
      </text>
    </comment>
    <comment ref="AF27" authorId="19" shapeId="0" xr:uid="{1A0A1B49-65D0-4998-B407-2792C10D6299}">
      <text>
        <t>[Threaded comment]
Your version of Excel allows you to read this threaded comment; however, any edits to it will get removed if the file is opened in a newer version of Excel. Learn more: https://go.microsoft.com/fwlink/?linkid=870924
Comment:
    30.5m RPO, 60% in the next 12 months
3 significant customers = 70%</t>
      </text>
    </comment>
    <comment ref="AG27" authorId="20" shapeId="0" xr:uid="{A6E9DABB-1376-4112-A26B-944B948407A8}">
      <text>
        <t>[Threaded comment]
Your version of Excel allows you to read this threaded comment; however, any edits to it will get removed if the file is opened in a newer version of Excel. Learn more: https://go.microsoft.com/fwlink/?linkid=870924
Comment:
    69.1m RPO
2 customers = 58%</t>
      </text>
    </comment>
    <comment ref="AH27" authorId="21" shapeId="0" xr:uid="{C126CAEF-E2E0-4E27-89FF-07FBEE96CB7E}">
      <text>
        <t>[Threaded comment]
Your version of Excel allows you to read this threaded comment; however, any edits to it will get removed if the file is opened in a newer version of Excel. Learn more: https://go.microsoft.com/fwlink/?linkid=870924
Comment:
    Q3 guidance: raised to 38.5-42.5m</t>
      </text>
    </comment>
    <comment ref="AI27" authorId="22" shapeId="0" xr:uid="{52746AA8-06E3-4D64-87ED-D1AB9D96C22E}">
      <text>
        <t>[Threaded comment]
Your version of Excel allows you to read this threaded comment; however, any edits to it will get removed if the file is opened in a newer version of Excel. Learn more: https://go.microsoft.com/fwlink/?linkid=870924
Comment:
    Q424 guidance: 75-95m
83m consensus
Q225 guidance: 82-100m</t>
      </text>
    </comment>
  </commentList>
</comments>
</file>

<file path=xl/sharedStrings.xml><?xml version="1.0" encoding="utf-8"?>
<sst xmlns="http://schemas.openxmlformats.org/spreadsheetml/2006/main" count="198" uniqueCount="187">
  <si>
    <t>Price</t>
  </si>
  <si>
    <t>Shares</t>
  </si>
  <si>
    <t>MC</t>
  </si>
  <si>
    <t>Cash</t>
  </si>
  <si>
    <t>Debt</t>
  </si>
  <si>
    <t>EV</t>
  </si>
  <si>
    <t>Employees</t>
  </si>
  <si>
    <t>Founded</t>
  </si>
  <si>
    <t>Main</t>
  </si>
  <si>
    <t>Revenue</t>
  </si>
  <si>
    <t>COGS</t>
  </si>
  <si>
    <t>Gross Margin</t>
  </si>
  <si>
    <t>R&amp;D</t>
  </si>
  <si>
    <t>S&amp;M</t>
  </si>
  <si>
    <t>G&amp;A</t>
  </si>
  <si>
    <t>Q423</t>
  </si>
  <si>
    <t>AD</t>
  </si>
  <si>
    <t>CFFO</t>
  </si>
  <si>
    <t>CapEx</t>
  </si>
  <si>
    <t>25 qubits</t>
  </si>
  <si>
    <t>36 qubits</t>
  </si>
  <si>
    <t>Q122</t>
  </si>
  <si>
    <t>Q222</t>
  </si>
  <si>
    <t>Q322</t>
  </si>
  <si>
    <t>Q422</t>
  </si>
  <si>
    <t>Q123</t>
  </si>
  <si>
    <t>Q223</t>
  </si>
  <si>
    <t>Q323</t>
  </si>
  <si>
    <t>Q124</t>
  </si>
  <si>
    <t>Q224</t>
  </si>
  <si>
    <t>Q324</t>
  </si>
  <si>
    <t>Q424</t>
  </si>
  <si>
    <t>Tempo</t>
  </si>
  <si>
    <t>YE2025: 100 qubits</t>
  </si>
  <si>
    <t>Aria-1 - AWS - OFFLINE</t>
  </si>
  <si>
    <t>Aria-2 - AWS - OFFLINE</t>
  </si>
  <si>
    <t>AWS - RESERVATION ONLY</t>
  </si>
  <si>
    <t>Aria - produced 2 in 2021</t>
  </si>
  <si>
    <t>Harmony - produced 2 in 2019</t>
  </si>
  <si>
    <t>Forte - produced 1 in 2023</t>
  </si>
  <si>
    <t>Assets</t>
  </si>
  <si>
    <t>AR</t>
  </si>
  <si>
    <t>Prepaids</t>
  </si>
  <si>
    <t>PP&amp;E</t>
  </si>
  <si>
    <t>Leases</t>
  </si>
  <si>
    <t>Goodwill</t>
  </si>
  <si>
    <t>ONCA</t>
  </si>
  <si>
    <t>AP</t>
  </si>
  <si>
    <t>AE</t>
  </si>
  <si>
    <t>Lease</t>
  </si>
  <si>
    <t>DR</t>
  </si>
  <si>
    <t>ESOP</t>
  </si>
  <si>
    <t>L+SE</t>
  </si>
  <si>
    <t>SE</t>
  </si>
  <si>
    <t>ONCL</t>
  </si>
  <si>
    <t>Warrants</t>
  </si>
  <si>
    <t>Operating Expenses</t>
  </si>
  <si>
    <t>Operating Income</t>
  </si>
  <si>
    <t>Interest Income</t>
  </si>
  <si>
    <t>Pretax Income</t>
  </si>
  <si>
    <t>Taxes</t>
  </si>
  <si>
    <t>Net Income</t>
  </si>
  <si>
    <t>EPS</t>
  </si>
  <si>
    <t>Discount</t>
  </si>
  <si>
    <t>Terminal</t>
  </si>
  <si>
    <t>NPV</t>
  </si>
  <si>
    <t>Share</t>
  </si>
  <si>
    <t>11 qubit computer mentioned in S-1</t>
  </si>
  <si>
    <t>CEO: Peter Chapman since 2019</t>
  </si>
  <si>
    <t>Q121</t>
  </si>
  <si>
    <t>Q221</t>
  </si>
  <si>
    <t>Q321</t>
  </si>
  <si>
    <t>Q421</t>
  </si>
  <si>
    <t>20-qubit mentioned in 2021 10-K</t>
  </si>
  <si>
    <t>Customer 1</t>
  </si>
  <si>
    <t>Customer 2</t>
  </si>
  <si>
    <t>Air Force</t>
  </si>
  <si>
    <t>Customers</t>
  </si>
  <si>
    <t>Airbus</t>
  </si>
  <si>
    <t>General Dynamics</t>
  </si>
  <si>
    <t>Oak Ridge</t>
  </si>
  <si>
    <t>AFRL</t>
  </si>
  <si>
    <t>Lockheed</t>
  </si>
  <si>
    <t>Caterpillar</t>
  </si>
  <si>
    <t>Nvidia</t>
  </si>
  <si>
    <t>Hyundai</t>
  </si>
  <si>
    <t>Q125</t>
  </si>
  <si>
    <t>Q225</t>
  </si>
  <si>
    <t>Q325</t>
  </si>
  <si>
    <t>Q425</t>
  </si>
  <si>
    <t>Bookings</t>
  </si>
  <si>
    <t>75-95</t>
  </si>
  <si>
    <t>Michael Hayduk, Deputy Director of the Air Force Research Laboratory, Information Directorate</t>
  </si>
  <si>
    <t>415m annual budget</t>
  </si>
  <si>
    <t>https://status.ionq.co/</t>
  </si>
  <si>
    <t>Revenue y/y</t>
  </si>
  <si>
    <t>12/27/24: Qubitekk acquisition, 22.1m cash, 15.5m at closing</t>
  </si>
  <si>
    <t>Hardware</t>
  </si>
  <si>
    <t>Platform/Consulting</t>
  </si>
  <si>
    <t>International</t>
  </si>
  <si>
    <t>US</t>
  </si>
  <si>
    <t>RPO</t>
  </si>
  <si>
    <t>Lightsynq</t>
  </si>
  <si>
    <t>Capella Space</t>
  </si>
  <si>
    <t>Quantum computation with quantum dots. Daniel Loss &amp; David DiVincenzo. Phys Rev A 1998.</t>
  </si>
  <si>
    <t>quantum gate</t>
  </si>
  <si>
    <t>two-qubit gate</t>
  </si>
  <si>
    <t>qubit</t>
  </si>
  <si>
    <t>one-qubit gate</t>
  </si>
  <si>
    <t>27 years and counting.</t>
  </si>
  <si>
    <t>Hamiltonian</t>
  </si>
  <si>
    <t>Quantum entanglement. Horodecki x4. Rev Mod Phys 2009. Volume 81.</t>
  </si>
  <si>
    <t>entanglement</t>
  </si>
  <si>
    <t>EPR</t>
  </si>
  <si>
    <t>Josephson junction</t>
  </si>
  <si>
    <t>Schrodinger</t>
  </si>
  <si>
    <t>surface code</t>
  </si>
  <si>
    <t>dense coding</t>
  </si>
  <si>
    <t>Shor's algorithm</t>
  </si>
  <si>
    <t>Grover's algorithm</t>
  </si>
  <si>
    <t>Bloc sphere</t>
  </si>
  <si>
    <t>braket</t>
  </si>
  <si>
    <t>Dirac notation</t>
  </si>
  <si>
    <t>Bell inequality</t>
  </si>
  <si>
    <t>bound entanglement phenomenon</t>
  </si>
  <si>
    <t>useful abstraction</t>
  </si>
  <si>
    <t>see Dirac</t>
  </si>
  <si>
    <t>| &gt;</t>
  </si>
  <si>
    <t>Cooper pair</t>
  </si>
  <si>
    <t>superconductor</t>
  </si>
  <si>
    <t>ion trap</t>
  </si>
  <si>
    <t>von Neumann, John</t>
  </si>
  <si>
    <t>In 1932, developed mathematical foundation of quantum mechanics using Hilbert spaces. "Mathematical Foundations of Quantum Mechanics" was published.</t>
  </si>
  <si>
    <t>Coined by Schrodinger in 1935, a core quantum effect which links particles. Measuring/altering one instantly influences the other.</t>
  </si>
  <si>
    <t>Coined entanglement in 1935. Presented Schrodinger's cat thought experiment.</t>
  </si>
  <si>
    <t>Schrodinger's cat</t>
  </si>
  <si>
    <t>Famous thought experiment.</t>
  </si>
  <si>
    <t>superposition</t>
  </si>
  <si>
    <t>Mathematically, entanglement implies that global states cannot be factored into their product states. This is due to nonlocality and superposition. Global state cannot be decomposed, unlike classical physics.</t>
  </si>
  <si>
    <t>Einstein, Podolsky &amp; Rosen, in 1935, published "Can QM Description of Physical Reality be Considered Complete?". They highlighted entanglement and critically challenged quantum theory, suggesting violation of locality. EPR tried to imply entanglement, which was conceptually absurd. The implication contradicted the classical position, where definite, predetermined values must exist for measurable quantities, whether or not measurements have been performed. Bell refuted this later.</t>
  </si>
  <si>
    <t>Bell, John</t>
  </si>
  <si>
    <t>Bell showed entanglement prevents any local hidden-variable theory from reproducing quantum predictions.</t>
  </si>
  <si>
    <t>local hidden variable model</t>
  </si>
  <si>
    <r>
      <t xml:space="preserve">Conceptual model which restores classicality to QM. Implies measurement results are a function of hidden properties of particles, which are independent of measurement. Perhaps QM is probabilistic because we are unaware of these hidden variables, which only make it </t>
    </r>
    <r>
      <rPr>
        <i/>
        <sz val="10"/>
        <color theme="1"/>
        <rFont val="Arial"/>
        <family val="2"/>
      </rPr>
      <t>look</t>
    </r>
    <r>
      <rPr>
        <sz val="10"/>
        <color theme="1"/>
        <rFont val="Arial"/>
        <family val="2"/>
      </rPr>
      <t xml:space="preserve"> probabilistic. Implies locality: measurements or revents at one location cannot simultaneously affect outcomes somewhere else (at least at the speed of light or less). Implies determinism--local apparatus settings are independent of hidden variables.</t>
    </r>
  </si>
  <si>
    <t>1964 tests which determine whether correlations between particles can be explained classically or require entanglement. The inequalities required local hidden-variable theories to satisfy them. Experimental results show consistent violation of Bell inequalities.</t>
  </si>
  <si>
    <t>Aspect, Alain</t>
  </si>
  <si>
    <t>Conclusively violated Bell inequalities, ruling out LHVM.</t>
  </si>
  <si>
    <t>von Neumann entropy</t>
  </si>
  <si>
    <t>quantifies the amount of uncertainty associated with a quantum state, akin to Shannon entropy.</t>
  </si>
  <si>
    <t>Close</t>
  </si>
  <si>
    <t>Signed</t>
  </si>
  <si>
    <t>Consideration</t>
  </si>
  <si>
    <t>7/7/25: raised $1B selling 14.165708m shares at 55.49</t>
  </si>
  <si>
    <t>6/7/25: signs SPA for Oxford Ionics for $1.065B, 21.1m to 35.2m share collar.</t>
  </si>
  <si>
    <t>5/30/25: closes Lightsynq for 12,377,433 shares.</t>
  </si>
  <si>
    <t>Oxford Ionics</t>
  </si>
  <si>
    <t>id Quantique</t>
  </si>
  <si>
    <t>2015: IonQ founded</t>
  </si>
  <si>
    <t>UMD</t>
  </si>
  <si>
    <t>3/7/21: reverse merger</t>
  </si>
  <si>
    <t>Qubitekk</t>
  </si>
  <si>
    <t>9/2021: UMD contract</t>
  </si>
  <si>
    <t>7/2022: UMD contract 2</t>
  </si>
  <si>
    <t>NTM</t>
  </si>
  <si>
    <t>NQ</t>
  </si>
  <si>
    <t>Excess of RPO</t>
  </si>
  <si>
    <t>NTM Predictive</t>
  </si>
  <si>
    <t>Net new business/Cloud?</t>
  </si>
  <si>
    <t>AFRIL 27.030m</t>
  </si>
  <si>
    <t>Q126</t>
  </si>
  <si>
    <t>Q226</t>
  </si>
  <si>
    <t>Q326</t>
  </si>
  <si>
    <t>Q426</t>
  </si>
  <si>
    <t>8/6/24: ARLIS $40m project</t>
  </si>
  <si>
    <t>AFRL 54.489m 14q</t>
  </si>
  <si>
    <t>Systems Sold</t>
  </si>
  <si>
    <t>Martin Roetteler</t>
  </si>
  <si>
    <t>VP, Quantum Solutions</t>
  </si>
  <si>
    <t>Mark Solomon</t>
  </si>
  <si>
    <t>VP, Sales</t>
  </si>
  <si>
    <t>Tori Leeker</t>
  </si>
  <si>
    <t>Financial Systems</t>
  </si>
  <si>
    <t>Laird Egan</t>
  </si>
  <si>
    <t>Senior Quantum Systems</t>
  </si>
  <si>
    <t>Stacey Giamalis</t>
  </si>
  <si>
    <t>GC</t>
  </si>
  <si>
    <t>Change in RPO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</si>
</sst>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m/d/yy;@"/>
    <numFmt numFmtId="166" formatCode="0.0"/>
  </numFmts>
  <fonts count="5" x14ac:knownFonts="1">
    <font>
      <sz val="10"/>
      <color theme="1"/>
      <name val="Arial"/>
      <family val="2"/>
    </font>
    <font>
      <u/>
      <sz val="10"/>
      <color theme="10"/>
      <name val="Arial"/>
      <family val="2"/>
    </font>
    <font>
      <b/>
      <u/>
      <sz val="10"/>
      <color theme="1"/>
      <name val="Arial"/>
      <family val="2"/>
    </font>
    <font>
      <b/>
      <sz val="10"/>
      <color theme="1"/>
      <name val="Arial"/>
      <family val="2"/>
    </font>
    <font>
      <i/>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4" fontId="0" fillId="0" borderId="0" xfId="0" applyNumberFormat="1"/>
    <xf numFmtId="14" fontId="0" fillId="0" borderId="0" xfId="0" applyNumberFormat="1"/>
    <xf numFmtId="0" fontId="0" fillId="0" borderId="0" xfId="0" applyAlignment="1">
      <alignment horizontal="right"/>
    </xf>
    <xf numFmtId="3" fontId="0" fillId="0" borderId="0" xfId="0" applyNumberFormat="1"/>
    <xf numFmtId="0" fontId="2" fillId="0" borderId="0" xfId="0" applyFont="1"/>
    <xf numFmtId="0" fontId="1" fillId="0" borderId="0" xfId="1"/>
    <xf numFmtId="1" fontId="0" fillId="0" borderId="0" xfId="0" applyNumberFormat="1"/>
    <xf numFmtId="1" fontId="0" fillId="0" borderId="0" xfId="0" applyNumberFormat="1" applyAlignment="1">
      <alignment horizontal="right"/>
    </xf>
    <xf numFmtId="3" fontId="0" fillId="0" borderId="0" xfId="0" applyNumberFormat="1" applyAlignment="1">
      <alignment horizontal="right"/>
    </xf>
    <xf numFmtId="164" fontId="0" fillId="0" borderId="0" xfId="0" applyNumberFormat="1"/>
    <xf numFmtId="164" fontId="0" fillId="0" borderId="0" xfId="0" applyNumberFormat="1" applyAlignment="1">
      <alignment horizontal="right"/>
    </xf>
    <xf numFmtId="4" fontId="0" fillId="0" borderId="0" xfId="0" applyNumberFormat="1" applyAlignment="1">
      <alignment horizontal="right"/>
    </xf>
    <xf numFmtId="164" fontId="3" fillId="0" borderId="0" xfId="0" applyNumberFormat="1" applyFont="1"/>
    <xf numFmtId="164" fontId="3" fillId="0" borderId="0" xfId="0" applyNumberFormat="1" applyFont="1" applyAlignment="1">
      <alignment horizontal="right"/>
    </xf>
    <xf numFmtId="9" fontId="0" fillId="0" borderId="0" xfId="0" applyNumberFormat="1"/>
    <xf numFmtId="9" fontId="0" fillId="0" borderId="0" xfId="0" applyNumberFormat="1" applyAlignment="1">
      <alignment horizontal="right"/>
    </xf>
    <xf numFmtId="9" fontId="3" fillId="0" borderId="0" xfId="0" applyNumberFormat="1" applyFont="1" applyAlignment="1">
      <alignment horizontal="right"/>
    </xf>
    <xf numFmtId="165" fontId="0" fillId="0" borderId="0" xfId="0" applyNumberFormat="1"/>
    <xf numFmtId="166" fontId="0" fillId="0" borderId="0" xfId="0" applyNumberFormat="1" applyAlignment="1">
      <alignment horizontal="right"/>
    </xf>
    <xf numFmtId="0" fontId="4" fillId="0" borderId="0" xfId="0" applyFont="1"/>
    <xf numFmtId="0" fontId="4" fillId="0" borderId="0" xfId="0" applyFont="1" applyAlignment="1">
      <alignment horizontal="right"/>
    </xf>
    <xf numFmtId="164" fontId="4" fillId="0" borderId="0" xfId="0" applyNumberFormat="1" applyFont="1" applyAlignment="1">
      <alignment horizontal="right"/>
    </xf>
    <xf numFmtId="164" fontId="4" fillId="0" borderId="0" xfId="0" applyNumberFormat="1"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A42C1F70-08F8-494F-B5C2-A556F3429D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20</xdr:col>
      <xdr:colOff>18257</xdr:colOff>
      <xdr:row>0</xdr:row>
      <xdr:rowOff>0</xdr:rowOff>
    </xdr:from>
    <xdr:to>
      <xdr:col>20</xdr:col>
      <xdr:colOff>18257</xdr:colOff>
      <xdr:row>71</xdr:row>
      <xdr:rowOff>43542</xdr:rowOff>
    </xdr:to>
    <xdr:cxnSp macro="">
      <xdr:nvCxnSpPr>
        <xdr:cNvPr id="3" name="Straight Connector 2">
          <a:extLst>
            <a:ext uri="{FF2B5EF4-FFF2-40B4-BE49-F238E27FC236}">
              <a16:creationId xmlns:a16="http://schemas.microsoft.com/office/drawing/2014/main" id="{4999861B-7DFA-3122-0B6E-B8BEAAAA8103}"/>
            </a:ext>
          </a:extLst>
        </xdr:cNvPr>
        <xdr:cNvCxnSpPr/>
      </xdr:nvCxnSpPr>
      <xdr:spPr>
        <a:xfrm>
          <a:off x="13154820" y="0"/>
          <a:ext cx="0" cy="1119573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34</xdr:col>
      <xdr:colOff>39120</xdr:colOff>
      <xdr:row>0</xdr:row>
      <xdr:rowOff>3969</xdr:rowOff>
    </xdr:from>
    <xdr:to>
      <xdr:col>34</xdr:col>
      <xdr:colOff>39120</xdr:colOff>
      <xdr:row>61</xdr:row>
      <xdr:rowOff>85611</xdr:rowOff>
    </xdr:to>
    <xdr:cxnSp macro="">
      <xdr:nvCxnSpPr>
        <xdr:cNvPr id="4" name="Straight Connector 3">
          <a:extLst>
            <a:ext uri="{FF2B5EF4-FFF2-40B4-BE49-F238E27FC236}">
              <a16:creationId xmlns:a16="http://schemas.microsoft.com/office/drawing/2014/main" id="{F9E8BEAA-6B35-453F-9186-E231749DFDAD}"/>
            </a:ext>
          </a:extLst>
        </xdr:cNvPr>
        <xdr:cNvCxnSpPr/>
      </xdr:nvCxnSpPr>
      <xdr:spPr>
        <a:xfrm>
          <a:off x="21787870" y="3969"/>
          <a:ext cx="0" cy="932883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325257</xdr:colOff>
      <xdr:row>24</xdr:row>
      <xdr:rowOff>29121</xdr:rowOff>
    </xdr:to>
    <xdr:pic>
      <xdr:nvPicPr>
        <xdr:cNvPr id="2" name="Picture 1">
          <a:extLst>
            <a:ext uri="{FF2B5EF4-FFF2-40B4-BE49-F238E27FC236}">
              <a16:creationId xmlns:a16="http://schemas.microsoft.com/office/drawing/2014/main" id="{1431F580-096B-7288-456E-7CCCE1058BFE}"/>
            </a:ext>
          </a:extLst>
        </xdr:cNvPr>
        <xdr:cNvPicPr>
          <a:picLocks noChangeAspect="1"/>
        </xdr:cNvPicPr>
      </xdr:nvPicPr>
      <xdr:blipFill>
        <a:blip xmlns:r="http://schemas.openxmlformats.org/officeDocument/2006/relationships" r:embed="rId1"/>
        <a:stretch>
          <a:fillRect/>
        </a:stretch>
      </xdr:blipFill>
      <xdr:spPr>
        <a:xfrm>
          <a:off x="0" y="0"/>
          <a:ext cx="10078857" cy="39153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rtin Shkreli" id="{8FE8731E-1419-4CF8-BDB7-325E36ECD730}"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Q5" dT="2025-08-06T19:32:47.18" personId="{8FE8731E-1419-4CF8-BDB7-325E36ECD730}" id="{5F4D892F-8EE7-4A57-8773-FC47BA737F6C}">
    <text>54.5m AFRIL
9m UMD</text>
  </threadedComment>
  <threadedComment ref="AH5" dT="2025-01-23T21:07:51.16" personId="{8FE8731E-1419-4CF8-BDB7-325E36ECD730}" id="{0ACF6560-A3D8-DB4B-9A39-3B07A923B357}">
    <text>Q1: 70-90m
Q2: raised to 75-95m
Reiterated on Q3 call</text>
  </threadedComment>
  <threadedComment ref="Q12" dT="2025-08-06T17:36:25.51" personId="{8FE8731E-1419-4CF8-BDB7-325E36ECD730}" id="{6707AD3A-1559-47A6-B18F-CACC2391A66B}">
    <text>Assembly of Forte at QuantumBasel
Two more Forte enterprise being constructed</text>
  </threadedComment>
  <threadedComment ref="K21" dT="2025-08-06T18:38:17.26" personId="{8FE8731E-1419-4CF8-BDB7-325E36ECD730}" id="{755B8D05-5951-4091-A2B0-B6641D79741A}">
    <text>60% NTM</text>
  </threadedComment>
  <threadedComment ref="O21" dT="2025-08-06T18:36:30.16" personId="{8FE8731E-1419-4CF8-BDB7-325E36ECD730}" id="{F11558BA-B1F6-40F4-AC66-34B2963119DF}">
    <text>40% NTM</text>
  </threadedComment>
  <threadedComment ref="P21" dT="2025-08-06T18:35:31.70" personId="{8FE8731E-1419-4CF8-BDB7-325E36ECD730}" id="{8C07DA94-F2DA-4DD2-871F-7C525412C5A7}">
    <text>45% NTM</text>
  </threadedComment>
  <threadedComment ref="Q21" dT="2025-08-06T17:42:54.80" personId="{8FE8731E-1419-4CF8-BDB7-325E36ECD730}" id="{A4016D45-78AD-44B8-88A3-BF489FEF1812}">
    <text>30% recognized in 12 months</text>
  </threadedComment>
  <threadedComment ref="R21" dT="2025-08-06T18:13:57.58" personId="{8FE8731E-1419-4CF8-BDB7-325E36ECD730}" id="{FAE1E3E2-407E-4753-8D78-8EB8932F4A0B}">
    <text>40% in NTM</text>
  </threadedComment>
  <threadedComment ref="S21" dT="2025-08-06T18:23:40.26" personId="{8FE8731E-1419-4CF8-BDB7-325E36ECD730}" id="{BD11E110-CD05-4C3D-86A6-5FC743366F0D}">
    <text>40% NTM</text>
  </threadedComment>
  <threadedComment ref="S25" dT="2025-05-07T20:41:17.65" personId="{8FE8731E-1419-4CF8-BDB7-325E36ECD730}" id="{FFA193FF-5AD3-4912-B81F-6849603BFE55}">
    <text>SOLD TO CHATANOOGA????</text>
  </threadedComment>
  <threadedComment ref="O27" dT="2025-08-06T19:23:52.31" personId="{8FE8731E-1419-4CF8-BDB7-325E36ECD730}" id="{CCD2BDA9-A64A-4B3B-B538-BAE0B9C2DA58}">
    <text>Q423 guidance: 6.5-7.5m</text>
  </threadedComment>
  <threadedComment ref="P27" dT="2025-08-06T19:27:32.41" personId="{8FE8731E-1419-4CF8-BDB7-325E36ECD730}" id="{570D6212-29EC-4936-85A5-0C5D3CAB8233}">
    <text>Q124 guidance: 7.6-9.2m</text>
  </threadedComment>
  <threadedComment ref="Q27" dT="2025-08-06T19:29:18.48" personId="{8FE8731E-1419-4CF8-BDB7-325E36ECD730}" id="{607E49BF-C060-4CB0-AF77-18A06334AC35}">
    <text>Q224 guidance: 9-12m</text>
  </threadedComment>
  <threadedComment ref="R27" dT="2025-01-23T21:06:21.92" personId="{8FE8731E-1419-4CF8-BDB7-325E36ECD730}" id="{5947D9AF-E117-7546-888C-09B56A94889F}">
    <text>Q3 guidance: 7.1-11.1 guidance</text>
  </threadedComment>
  <threadedComment ref="S27" dT="2025-08-06T19:35:51.70" personId="{8FE8731E-1419-4CF8-BDB7-325E36ECD730}" id="{053A4414-A51A-45B9-B016-DD6EE962A9D8}">
    <text>Q1 guidance: 7-8m</text>
  </threadedComment>
  <threadedComment ref="T27" dT="2025-05-07T20:37:01.43" personId="{8FE8731E-1419-4CF8-BDB7-325E36ECD730}" id="{77484200-1FBE-43A6-8894-D778E607D613}">
    <text>Q125 guidance: 16-18m 
5/7/25 consensus: 16.9m
2 months of id quantique
$3m from ID QUANTIQUE!!!</text>
  </threadedComment>
  <threadedComment ref="U27" dT="2025-05-07T20:37:16.72" personId="{8FE8731E-1419-4CF8-BDB7-325E36ECD730}" id="{23C5B095-8E6F-4C1F-86D9-C212FE3E6F4D}">
    <text>5/7/25 consensus: 25.8m
Q3 guidance: 25-29m</text>
  </threadedComment>
  <threadedComment ref="V27" dT="2025-05-07T20:37:33.29" personId="{8FE8731E-1419-4CF8-BDB7-325E36ECD730}" id="{D464E2DE-90EF-474F-B04E-42365CFFD3EC}">
    <text>5/7/25 consensus: 35.25m</text>
  </threadedComment>
  <threadedComment ref="AE27" dT="2025-01-07T19:48:39.04" personId="{8FE8731E-1419-4CF8-BDB7-325E36ECD730}" id="{6FD4C426-31B6-4D62-943F-4388146ADBBE}">
    <text>4 contracts
2 significant customers</text>
  </threadedComment>
  <threadedComment ref="AF27" dT="2025-01-07T19:59:59.56" personId="{8FE8731E-1419-4CF8-BDB7-325E36ECD730}" id="{1A0A1B49-65D0-4998-B407-2792C10D6299}">
    <text>30.5m RPO, 60% in the next 12 months
3 significant customers = 70%</text>
  </threadedComment>
  <threadedComment ref="AG27" dT="2025-01-07T20:05:37.94" personId="{8FE8731E-1419-4CF8-BDB7-325E36ECD730}" id="{A6E9DABB-1376-4112-A26B-944B948407A8}">
    <text>69.1m RPO
2 customers = 58%</text>
  </threadedComment>
  <threadedComment ref="AH27" dT="2025-08-06T19:31:20.24" personId="{8FE8731E-1419-4CF8-BDB7-325E36ECD730}" id="{C126CAEF-E2E0-4E27-89FF-07FBEE96CB7E}">
    <text>Q3 guidance: raised to 38.5-42.5m</text>
  </threadedComment>
  <threadedComment ref="AI27" dT="2025-02-26T17:16:34.73" personId="{8FE8731E-1419-4CF8-BDB7-325E36ECD730}" id="{52746AA8-06E3-4D64-87ED-D1AB9D96C22E}">
    <text>Q424 guidance: 75-95m
83m consensus
Q225 guidance: 82-100m</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29629-62F1-4661-9953-74545B1C68EA}">
  <dimension ref="B2:T38"/>
  <sheetViews>
    <sheetView tabSelected="1" topLeftCell="B15" zoomScale="160" zoomScaleNormal="160" workbookViewId="0">
      <selection activeCell="L35" sqref="L35"/>
    </sheetView>
  </sheetViews>
  <sheetFormatPr defaultColWidth="8.81640625" defaultRowHeight="12.5" x14ac:dyDescent="0.25"/>
  <cols>
    <col min="9" max="9" width="12.26953125" customWidth="1"/>
    <col min="11" max="11" width="10.453125" bestFit="1" customWidth="1"/>
    <col min="12" max="12" width="12.08984375" customWidth="1"/>
    <col min="13" max="14" width="10.08984375" customWidth="1"/>
    <col min="15" max="20" width="7.7265625" customWidth="1"/>
  </cols>
  <sheetData>
    <row r="2" spans="2:20" ht="13" x14ac:dyDescent="0.3">
      <c r="B2" s="5" t="s">
        <v>37</v>
      </c>
      <c r="I2" t="s">
        <v>0</v>
      </c>
      <c r="J2" s="1">
        <v>42</v>
      </c>
      <c r="N2" s="1"/>
      <c r="Q2" s="1"/>
      <c r="T2" s="1"/>
    </row>
    <row r="3" spans="2:20" x14ac:dyDescent="0.25">
      <c r="B3" t="s">
        <v>19</v>
      </c>
      <c r="I3" t="s">
        <v>1</v>
      </c>
      <c r="J3" s="4">
        <v>296.83779600000003</v>
      </c>
      <c r="K3" s="3" t="s">
        <v>87</v>
      </c>
      <c r="N3" s="4"/>
      <c r="Q3" s="4"/>
      <c r="T3" s="4"/>
    </row>
    <row r="4" spans="2:20" x14ac:dyDescent="0.25">
      <c r="B4" t="s">
        <v>34</v>
      </c>
      <c r="I4" t="s">
        <v>2</v>
      </c>
      <c r="J4" s="4">
        <f>+J2*J3</f>
        <v>12467.187432000001</v>
      </c>
      <c r="N4" s="4"/>
      <c r="Q4" s="4"/>
      <c r="T4" s="4"/>
    </row>
    <row r="5" spans="2:20" x14ac:dyDescent="0.25">
      <c r="B5" t="s">
        <v>35</v>
      </c>
      <c r="I5" t="s">
        <v>3</v>
      </c>
      <c r="J5" s="4">
        <f>657+1000</f>
        <v>1657</v>
      </c>
      <c r="K5" s="3" t="s">
        <v>87</v>
      </c>
      <c r="N5" s="4"/>
      <c r="Q5" s="4"/>
      <c r="T5" s="4"/>
    </row>
    <row r="6" spans="2:20" x14ac:dyDescent="0.25">
      <c r="I6" t="s">
        <v>4</v>
      </c>
      <c r="J6" s="4">
        <v>0</v>
      </c>
      <c r="K6" s="3" t="s">
        <v>87</v>
      </c>
    </row>
    <row r="7" spans="2:20" ht="13" x14ac:dyDescent="0.3">
      <c r="B7" s="5" t="s">
        <v>39</v>
      </c>
      <c r="I7" t="s">
        <v>5</v>
      </c>
      <c r="J7" s="4">
        <f>+J4-J5+J6</f>
        <v>10810.187432000001</v>
      </c>
      <c r="N7" s="4"/>
      <c r="Q7" s="4"/>
      <c r="T7" s="4"/>
    </row>
    <row r="8" spans="2:20" x14ac:dyDescent="0.25">
      <c r="B8" t="s">
        <v>20</v>
      </c>
    </row>
    <row r="9" spans="2:20" x14ac:dyDescent="0.25">
      <c r="B9" t="s">
        <v>36</v>
      </c>
      <c r="I9" t="s">
        <v>6</v>
      </c>
      <c r="J9">
        <v>324</v>
      </c>
      <c r="K9" s="2">
        <v>45291</v>
      </c>
    </row>
    <row r="10" spans="2:20" x14ac:dyDescent="0.25">
      <c r="I10" t="s">
        <v>7</v>
      </c>
      <c r="J10">
        <v>2015</v>
      </c>
    </row>
    <row r="11" spans="2:20" ht="13" x14ac:dyDescent="0.3">
      <c r="B11" s="5" t="s">
        <v>32</v>
      </c>
    </row>
    <row r="12" spans="2:20" x14ac:dyDescent="0.25">
      <c r="B12" t="s">
        <v>33</v>
      </c>
      <c r="I12" t="s">
        <v>16</v>
      </c>
      <c r="J12" s="4">
        <v>352.20729999999998</v>
      </c>
      <c r="K12" s="3" t="s">
        <v>15</v>
      </c>
    </row>
    <row r="14" spans="2:20" x14ac:dyDescent="0.25">
      <c r="B14" t="s">
        <v>67</v>
      </c>
      <c r="M14" s="1"/>
      <c r="O14" s="4"/>
    </row>
    <row r="15" spans="2:20" x14ac:dyDescent="0.25">
      <c r="B15" t="s">
        <v>73</v>
      </c>
      <c r="I15" t="s">
        <v>94</v>
      </c>
      <c r="M15" s="1"/>
    </row>
    <row r="17" spans="2:9" ht="13" x14ac:dyDescent="0.3">
      <c r="B17" s="5" t="s">
        <v>38</v>
      </c>
    </row>
    <row r="19" spans="2:9" x14ac:dyDescent="0.25">
      <c r="B19" t="s">
        <v>92</v>
      </c>
    </row>
    <row r="20" spans="2:9" x14ac:dyDescent="0.25">
      <c r="B20" t="s">
        <v>93</v>
      </c>
      <c r="I20" t="s">
        <v>68</v>
      </c>
    </row>
    <row r="21" spans="2:9" x14ac:dyDescent="0.25">
      <c r="I21" t="s">
        <v>152</v>
      </c>
    </row>
    <row r="22" spans="2:9" ht="13" x14ac:dyDescent="0.3">
      <c r="B22" s="5" t="s">
        <v>77</v>
      </c>
      <c r="I22" t="s">
        <v>153</v>
      </c>
    </row>
    <row r="23" spans="2:9" x14ac:dyDescent="0.25">
      <c r="B23" t="s">
        <v>78</v>
      </c>
      <c r="I23" t="s">
        <v>154</v>
      </c>
    </row>
    <row r="24" spans="2:9" x14ac:dyDescent="0.25">
      <c r="B24" t="s">
        <v>79</v>
      </c>
      <c r="I24" t="s">
        <v>96</v>
      </c>
    </row>
    <row r="25" spans="2:9" x14ac:dyDescent="0.25">
      <c r="B25" t="s">
        <v>80</v>
      </c>
      <c r="I25" t="s">
        <v>173</v>
      </c>
    </row>
    <row r="26" spans="2:9" x14ac:dyDescent="0.25">
      <c r="B26" t="s">
        <v>81</v>
      </c>
      <c r="I26" t="s">
        <v>162</v>
      </c>
    </row>
    <row r="27" spans="2:9" x14ac:dyDescent="0.25">
      <c r="B27" t="s">
        <v>82</v>
      </c>
      <c r="I27" t="s">
        <v>161</v>
      </c>
    </row>
    <row r="28" spans="2:9" x14ac:dyDescent="0.25">
      <c r="B28" t="s">
        <v>83</v>
      </c>
      <c r="I28" t="s">
        <v>159</v>
      </c>
    </row>
    <row r="29" spans="2:9" x14ac:dyDescent="0.25">
      <c r="B29" t="s">
        <v>84</v>
      </c>
      <c r="I29" t="s">
        <v>157</v>
      </c>
    </row>
    <row r="30" spans="2:9" x14ac:dyDescent="0.25">
      <c r="B30" t="s">
        <v>85</v>
      </c>
    </row>
    <row r="33" spans="2:14" x14ac:dyDescent="0.25">
      <c r="J33" t="s">
        <v>149</v>
      </c>
      <c r="K33" t="s">
        <v>150</v>
      </c>
      <c r="L33" t="s">
        <v>151</v>
      </c>
      <c r="M33" t="s">
        <v>3</v>
      </c>
    </row>
    <row r="34" spans="2:14" x14ac:dyDescent="0.25">
      <c r="B34" t="s">
        <v>176</v>
      </c>
      <c r="D34" t="s">
        <v>177</v>
      </c>
      <c r="I34" t="s">
        <v>102</v>
      </c>
      <c r="J34" s="2">
        <v>45807</v>
      </c>
      <c r="L34" s="4">
        <v>12377433</v>
      </c>
    </row>
    <row r="35" spans="2:14" x14ac:dyDescent="0.25">
      <c r="B35" t="s">
        <v>178</v>
      </c>
      <c r="D35" t="s">
        <v>179</v>
      </c>
      <c r="I35" t="s">
        <v>103</v>
      </c>
      <c r="J35" s="18">
        <v>45849</v>
      </c>
      <c r="K35" s="18">
        <v>45784</v>
      </c>
      <c r="L35" s="4">
        <v>7401396</v>
      </c>
      <c r="N35" s="1"/>
    </row>
    <row r="36" spans="2:14" x14ac:dyDescent="0.25">
      <c r="B36" t="s">
        <v>180</v>
      </c>
      <c r="D36" t="s">
        <v>181</v>
      </c>
      <c r="I36" t="s">
        <v>155</v>
      </c>
      <c r="K36" s="2">
        <v>45815</v>
      </c>
      <c r="L36" s="4">
        <v>25000000</v>
      </c>
    </row>
    <row r="37" spans="2:14" x14ac:dyDescent="0.25">
      <c r="B37" t="s">
        <v>182</v>
      </c>
      <c r="D37" t="s">
        <v>183</v>
      </c>
      <c r="I37" t="s">
        <v>156</v>
      </c>
      <c r="J37" s="2">
        <v>45777</v>
      </c>
      <c r="L37" s="4">
        <v>4215740</v>
      </c>
    </row>
    <row r="38" spans="2:14" x14ac:dyDescent="0.25">
      <c r="B38" t="s">
        <v>184</v>
      </c>
      <c r="D38" t="s">
        <v>185</v>
      </c>
      <c r="I38" t="s">
        <v>160</v>
      </c>
      <c r="M38" s="4">
        <v>22000000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53554-7BDA-444D-A237-3389B1272280}">
  <dimension ref="A1:EC67"/>
  <sheetViews>
    <sheetView zoomScale="160" zoomScaleNormal="160" workbookViewId="0">
      <pane xSplit="2" ySplit="2" topLeftCell="P3" activePane="bottomRight" state="frozen"/>
      <selection pane="topRight" activeCell="C1" sqref="C1"/>
      <selection pane="bottomLeft" activeCell="A3" sqref="A3"/>
      <selection pane="bottomRight" activeCell="T7" sqref="T7"/>
    </sheetView>
  </sheetViews>
  <sheetFormatPr defaultColWidth="8.81640625" defaultRowHeight="12.5" x14ac:dyDescent="0.25"/>
  <cols>
    <col min="1" max="1" width="5" bestFit="1" customWidth="1"/>
    <col min="2" max="2" width="18.1796875" bestFit="1" customWidth="1"/>
    <col min="3" max="18" width="9.1796875" style="3"/>
    <col min="19" max="19" width="8.81640625" style="3"/>
    <col min="46" max="46" width="10" bestFit="1" customWidth="1"/>
  </cols>
  <sheetData>
    <row r="1" spans="1:133" x14ac:dyDescent="0.25">
      <c r="A1" s="6" t="s">
        <v>8</v>
      </c>
    </row>
    <row r="2" spans="1:133" x14ac:dyDescent="0.25">
      <c r="C2" s="3" t="s">
        <v>69</v>
      </c>
      <c r="D2" s="3" t="s">
        <v>70</v>
      </c>
      <c r="E2" s="3" t="s">
        <v>71</v>
      </c>
      <c r="F2" s="3" t="s">
        <v>72</v>
      </c>
      <c r="G2" s="3" t="s">
        <v>21</v>
      </c>
      <c r="H2" s="3" t="s">
        <v>22</v>
      </c>
      <c r="I2" s="3" t="s">
        <v>23</v>
      </c>
      <c r="J2" s="3" t="s">
        <v>24</v>
      </c>
      <c r="K2" s="3" t="s">
        <v>25</v>
      </c>
      <c r="L2" s="3" t="s">
        <v>26</v>
      </c>
      <c r="M2" s="3" t="s">
        <v>27</v>
      </c>
      <c r="N2" s="3" t="s">
        <v>15</v>
      </c>
      <c r="O2" s="3" t="s">
        <v>28</v>
      </c>
      <c r="P2" s="3" t="s">
        <v>29</v>
      </c>
      <c r="Q2" s="3" t="s">
        <v>30</v>
      </c>
      <c r="R2" s="3" t="s">
        <v>31</v>
      </c>
      <c r="S2" s="3" t="s">
        <v>86</v>
      </c>
      <c r="T2" s="3" t="s">
        <v>87</v>
      </c>
      <c r="U2" s="3" t="s">
        <v>88</v>
      </c>
      <c r="V2" s="3" t="s">
        <v>89</v>
      </c>
      <c r="W2" s="3" t="s">
        <v>169</v>
      </c>
      <c r="X2" s="3" t="s">
        <v>170</v>
      </c>
      <c r="Y2" s="3" t="s">
        <v>171</v>
      </c>
      <c r="Z2" s="3" t="s">
        <v>172</v>
      </c>
      <c r="AA2" s="3"/>
      <c r="AC2">
        <v>2019</v>
      </c>
      <c r="AD2">
        <v>2020</v>
      </c>
      <c r="AE2">
        <v>2021</v>
      </c>
      <c r="AF2">
        <v>2022</v>
      </c>
      <c r="AG2">
        <v>2023</v>
      </c>
      <c r="AH2">
        <f>+AG2+1</f>
        <v>2024</v>
      </c>
      <c r="AI2">
        <v>2025</v>
      </c>
      <c r="AJ2">
        <f>+AI2+1</f>
        <v>2026</v>
      </c>
      <c r="AK2">
        <f t="shared" ref="AK2:BA2" si="0">+AJ2+1</f>
        <v>2027</v>
      </c>
      <c r="AL2">
        <f t="shared" si="0"/>
        <v>2028</v>
      </c>
      <c r="AM2">
        <f t="shared" si="0"/>
        <v>2029</v>
      </c>
      <c r="AN2">
        <f t="shared" si="0"/>
        <v>2030</v>
      </c>
      <c r="AO2">
        <f t="shared" si="0"/>
        <v>2031</v>
      </c>
      <c r="AP2">
        <f t="shared" si="0"/>
        <v>2032</v>
      </c>
      <c r="AQ2">
        <f t="shared" si="0"/>
        <v>2033</v>
      </c>
      <c r="AR2">
        <f t="shared" si="0"/>
        <v>2034</v>
      </c>
      <c r="AS2">
        <f t="shared" si="0"/>
        <v>2035</v>
      </c>
      <c r="AT2">
        <f t="shared" si="0"/>
        <v>2036</v>
      </c>
      <c r="AU2">
        <f t="shared" si="0"/>
        <v>2037</v>
      </c>
      <c r="AV2">
        <f t="shared" si="0"/>
        <v>2038</v>
      </c>
      <c r="AW2">
        <f t="shared" si="0"/>
        <v>2039</v>
      </c>
      <c r="AX2">
        <f t="shared" si="0"/>
        <v>2040</v>
      </c>
      <c r="AY2">
        <f t="shared" si="0"/>
        <v>2041</v>
      </c>
      <c r="AZ2">
        <f t="shared" si="0"/>
        <v>2042</v>
      </c>
      <c r="BA2">
        <f t="shared" si="0"/>
        <v>2043</v>
      </c>
      <c r="BB2">
        <f>+BA2+1</f>
        <v>2044</v>
      </c>
      <c r="BC2">
        <f>+BB2+1</f>
        <v>2045</v>
      </c>
      <c r="BD2">
        <f t="shared" ref="BD2:EC2" si="1">+BC2+1</f>
        <v>2046</v>
      </c>
      <c r="BE2">
        <f t="shared" si="1"/>
        <v>2047</v>
      </c>
      <c r="BF2">
        <f t="shared" si="1"/>
        <v>2048</v>
      </c>
      <c r="BG2">
        <f t="shared" si="1"/>
        <v>2049</v>
      </c>
      <c r="BH2">
        <f t="shared" si="1"/>
        <v>2050</v>
      </c>
      <c r="BI2">
        <f t="shared" si="1"/>
        <v>2051</v>
      </c>
      <c r="BJ2">
        <f t="shared" si="1"/>
        <v>2052</v>
      </c>
      <c r="BK2">
        <f t="shared" si="1"/>
        <v>2053</v>
      </c>
      <c r="BL2">
        <f t="shared" si="1"/>
        <v>2054</v>
      </c>
      <c r="BM2">
        <f t="shared" si="1"/>
        <v>2055</v>
      </c>
      <c r="BN2">
        <f t="shared" si="1"/>
        <v>2056</v>
      </c>
      <c r="BO2">
        <f t="shared" si="1"/>
        <v>2057</v>
      </c>
      <c r="BP2">
        <f t="shared" si="1"/>
        <v>2058</v>
      </c>
      <c r="BQ2">
        <f t="shared" si="1"/>
        <v>2059</v>
      </c>
      <c r="BR2">
        <f t="shared" si="1"/>
        <v>2060</v>
      </c>
      <c r="BS2">
        <f t="shared" si="1"/>
        <v>2061</v>
      </c>
      <c r="BT2">
        <f t="shared" si="1"/>
        <v>2062</v>
      </c>
      <c r="BU2">
        <f t="shared" si="1"/>
        <v>2063</v>
      </c>
      <c r="BV2">
        <f t="shared" si="1"/>
        <v>2064</v>
      </c>
      <c r="BW2">
        <f t="shared" si="1"/>
        <v>2065</v>
      </c>
      <c r="BX2">
        <f t="shared" si="1"/>
        <v>2066</v>
      </c>
      <c r="BY2">
        <f t="shared" si="1"/>
        <v>2067</v>
      </c>
      <c r="BZ2">
        <f t="shared" si="1"/>
        <v>2068</v>
      </c>
      <c r="CA2">
        <f t="shared" si="1"/>
        <v>2069</v>
      </c>
      <c r="CB2">
        <f t="shared" si="1"/>
        <v>2070</v>
      </c>
      <c r="CC2">
        <f t="shared" si="1"/>
        <v>2071</v>
      </c>
      <c r="CD2">
        <f t="shared" si="1"/>
        <v>2072</v>
      </c>
      <c r="CE2">
        <f t="shared" si="1"/>
        <v>2073</v>
      </c>
      <c r="CF2">
        <f t="shared" si="1"/>
        <v>2074</v>
      </c>
      <c r="CG2">
        <f t="shared" si="1"/>
        <v>2075</v>
      </c>
      <c r="CH2">
        <f t="shared" si="1"/>
        <v>2076</v>
      </c>
      <c r="CI2">
        <f t="shared" si="1"/>
        <v>2077</v>
      </c>
      <c r="CJ2">
        <f t="shared" si="1"/>
        <v>2078</v>
      </c>
      <c r="CK2">
        <f t="shared" si="1"/>
        <v>2079</v>
      </c>
      <c r="CL2">
        <f t="shared" si="1"/>
        <v>2080</v>
      </c>
      <c r="CM2">
        <f t="shared" si="1"/>
        <v>2081</v>
      </c>
      <c r="CN2">
        <f t="shared" si="1"/>
        <v>2082</v>
      </c>
      <c r="CO2">
        <f t="shared" si="1"/>
        <v>2083</v>
      </c>
      <c r="CP2">
        <f t="shared" si="1"/>
        <v>2084</v>
      </c>
      <c r="CQ2">
        <f t="shared" si="1"/>
        <v>2085</v>
      </c>
      <c r="CR2">
        <f t="shared" si="1"/>
        <v>2086</v>
      </c>
      <c r="CS2">
        <f t="shared" si="1"/>
        <v>2087</v>
      </c>
      <c r="CT2">
        <f t="shared" si="1"/>
        <v>2088</v>
      </c>
      <c r="CU2">
        <f t="shared" si="1"/>
        <v>2089</v>
      </c>
      <c r="CV2">
        <f t="shared" si="1"/>
        <v>2090</v>
      </c>
      <c r="CW2">
        <f t="shared" si="1"/>
        <v>2091</v>
      </c>
      <c r="CX2">
        <f t="shared" si="1"/>
        <v>2092</v>
      </c>
      <c r="CY2">
        <f t="shared" si="1"/>
        <v>2093</v>
      </c>
      <c r="CZ2">
        <f t="shared" si="1"/>
        <v>2094</v>
      </c>
      <c r="DA2">
        <f t="shared" si="1"/>
        <v>2095</v>
      </c>
      <c r="DB2">
        <f t="shared" si="1"/>
        <v>2096</v>
      </c>
      <c r="DC2">
        <f t="shared" si="1"/>
        <v>2097</v>
      </c>
      <c r="DD2">
        <f t="shared" si="1"/>
        <v>2098</v>
      </c>
      <c r="DE2">
        <f t="shared" si="1"/>
        <v>2099</v>
      </c>
      <c r="DF2">
        <f t="shared" si="1"/>
        <v>2100</v>
      </c>
      <c r="DG2">
        <f t="shared" si="1"/>
        <v>2101</v>
      </c>
      <c r="DH2">
        <f t="shared" si="1"/>
        <v>2102</v>
      </c>
      <c r="DI2">
        <f t="shared" si="1"/>
        <v>2103</v>
      </c>
      <c r="DJ2">
        <f t="shared" si="1"/>
        <v>2104</v>
      </c>
      <c r="DK2">
        <f t="shared" si="1"/>
        <v>2105</v>
      </c>
      <c r="DL2">
        <f t="shared" si="1"/>
        <v>2106</v>
      </c>
      <c r="DM2">
        <f t="shared" si="1"/>
        <v>2107</v>
      </c>
      <c r="DN2">
        <f t="shared" si="1"/>
        <v>2108</v>
      </c>
      <c r="DO2">
        <f t="shared" si="1"/>
        <v>2109</v>
      </c>
      <c r="DP2">
        <f t="shared" si="1"/>
        <v>2110</v>
      </c>
      <c r="DQ2">
        <f t="shared" si="1"/>
        <v>2111</v>
      </c>
      <c r="DR2">
        <f t="shared" si="1"/>
        <v>2112</v>
      </c>
      <c r="DS2">
        <f t="shared" si="1"/>
        <v>2113</v>
      </c>
      <c r="DT2">
        <f t="shared" si="1"/>
        <v>2114</v>
      </c>
      <c r="DU2">
        <f t="shared" si="1"/>
        <v>2115</v>
      </c>
      <c r="DV2">
        <f t="shared" si="1"/>
        <v>2116</v>
      </c>
      <c r="DW2">
        <f t="shared" si="1"/>
        <v>2117</v>
      </c>
      <c r="DX2">
        <f t="shared" si="1"/>
        <v>2118</v>
      </c>
      <c r="DY2">
        <f t="shared" si="1"/>
        <v>2119</v>
      </c>
      <c r="DZ2">
        <f t="shared" si="1"/>
        <v>2120</v>
      </c>
      <c r="EA2">
        <f t="shared" si="1"/>
        <v>2121</v>
      </c>
      <c r="EB2">
        <f t="shared" si="1"/>
        <v>2122</v>
      </c>
      <c r="EC2">
        <f t="shared" si="1"/>
        <v>2123</v>
      </c>
    </row>
    <row r="3" spans="1:133" x14ac:dyDescent="0.25">
      <c r="B3" t="s">
        <v>175</v>
      </c>
      <c r="T3" s="3"/>
      <c r="U3" s="3"/>
      <c r="V3" s="3"/>
      <c r="W3" s="3"/>
      <c r="X3" s="3"/>
      <c r="Y3" s="3"/>
      <c r="Z3" s="3"/>
      <c r="AA3" s="3"/>
      <c r="AG3">
        <v>4</v>
      </c>
    </row>
    <row r="4" spans="1:133" x14ac:dyDescent="0.25">
      <c r="B4" t="s">
        <v>186</v>
      </c>
      <c r="N4" s="11">
        <f t="shared" ref="N4:T4" si="2">+N21-M21</f>
        <v>-4</v>
      </c>
      <c r="O4" s="11">
        <f t="shared" si="2"/>
        <v>-7.2999999999999972</v>
      </c>
      <c r="P4" s="11">
        <f t="shared" si="2"/>
        <v>-2.2999999999999972</v>
      </c>
      <c r="Q4" s="11">
        <f t="shared" si="2"/>
        <v>50.599999999999994</v>
      </c>
      <c r="R4" s="11">
        <f t="shared" si="2"/>
        <v>-32.899999999999991</v>
      </c>
      <c r="S4" s="11">
        <f t="shared" si="2"/>
        <v>-5.2999999999999972</v>
      </c>
      <c r="T4" s="11">
        <f t="shared" si="2"/>
        <v>50.399999999999991</v>
      </c>
      <c r="U4" s="3"/>
      <c r="V4" s="3"/>
      <c r="W4" s="3"/>
      <c r="X4" s="3"/>
      <c r="Y4" s="3"/>
      <c r="Z4" s="3"/>
      <c r="AA4" s="3"/>
    </row>
    <row r="5" spans="1:133" x14ac:dyDescent="0.25">
      <c r="B5" t="s">
        <v>90</v>
      </c>
      <c r="N5" s="3">
        <v>6.7</v>
      </c>
      <c r="O5" s="3">
        <v>0.3</v>
      </c>
      <c r="P5" s="11">
        <v>9</v>
      </c>
      <c r="Q5" s="3">
        <v>63.5</v>
      </c>
      <c r="R5" s="11">
        <v>22.7</v>
      </c>
      <c r="T5" s="11"/>
      <c r="U5" s="3"/>
      <c r="V5" s="3"/>
      <c r="W5" s="3"/>
      <c r="X5" s="3"/>
      <c r="Y5" s="3"/>
      <c r="Z5" s="3"/>
      <c r="AA5" s="3"/>
      <c r="AG5">
        <v>65.099999999999994</v>
      </c>
      <c r="AH5" s="3" t="s">
        <v>91</v>
      </c>
    </row>
    <row r="6" spans="1:133" x14ac:dyDescent="0.25">
      <c r="T6" s="11"/>
      <c r="U6" s="3"/>
      <c r="V6" s="3"/>
      <c r="W6" s="3"/>
      <c r="X6" s="3"/>
      <c r="Y6" s="3"/>
      <c r="Z6" s="3"/>
      <c r="AA6" s="3"/>
    </row>
    <row r="7" spans="1:133" x14ac:dyDescent="0.25">
      <c r="B7" t="s">
        <v>174</v>
      </c>
      <c r="R7" s="11">
        <f>54.489/14</f>
        <v>3.8920714285714282</v>
      </c>
      <c r="S7" s="11">
        <f t="shared" ref="S7:Z7" si="3">54.489/14</f>
        <v>3.8920714285714282</v>
      </c>
      <c r="T7" s="11">
        <f>+T27*0.35</f>
        <v>7.2449999999999992</v>
      </c>
      <c r="U7" s="11">
        <f t="shared" si="3"/>
        <v>3.8920714285714282</v>
      </c>
      <c r="V7" s="11">
        <f t="shared" si="3"/>
        <v>3.8920714285714282</v>
      </c>
      <c r="W7" s="11">
        <f t="shared" si="3"/>
        <v>3.8920714285714282</v>
      </c>
      <c r="X7" s="11">
        <f t="shared" si="3"/>
        <v>3.8920714285714282</v>
      </c>
      <c r="Y7" s="11">
        <f t="shared" si="3"/>
        <v>3.8920714285714282</v>
      </c>
      <c r="Z7" s="11">
        <f t="shared" si="3"/>
        <v>3.8920714285714282</v>
      </c>
      <c r="AA7" s="3"/>
      <c r="AH7" s="10">
        <f>SUM(O7:R7)</f>
        <v>3.8920714285714282</v>
      </c>
      <c r="AI7" s="10">
        <f>SUM(S7:V7)</f>
        <v>18.921214285714285</v>
      </c>
    </row>
    <row r="8" spans="1:133" x14ac:dyDescent="0.25">
      <c r="B8" t="s">
        <v>168</v>
      </c>
      <c r="N8" s="11">
        <f>27.03/12</f>
        <v>2.2524999999999999</v>
      </c>
      <c r="O8" s="11">
        <f t="shared" ref="O8:Y8" si="4">27.03/12</f>
        <v>2.2524999999999999</v>
      </c>
      <c r="P8" s="11">
        <f t="shared" si="4"/>
        <v>2.2524999999999999</v>
      </c>
      <c r="Q8" s="11">
        <f t="shared" si="4"/>
        <v>2.2524999999999999</v>
      </c>
      <c r="R8" s="11">
        <f t="shared" si="4"/>
        <v>2.2524999999999999</v>
      </c>
      <c r="S8" s="11">
        <f t="shared" si="4"/>
        <v>2.2524999999999999</v>
      </c>
      <c r="T8" s="11">
        <f>+T27*0.3</f>
        <v>6.21</v>
      </c>
      <c r="U8" s="11">
        <f t="shared" si="4"/>
        <v>2.2524999999999999</v>
      </c>
      <c r="V8" s="11">
        <f t="shared" si="4"/>
        <v>2.2524999999999999</v>
      </c>
      <c r="W8" s="11">
        <f t="shared" si="4"/>
        <v>2.2524999999999999</v>
      </c>
      <c r="X8" s="11">
        <f t="shared" si="4"/>
        <v>2.2524999999999999</v>
      </c>
      <c r="Y8" s="11">
        <f t="shared" si="4"/>
        <v>2.2524999999999999</v>
      </c>
      <c r="Z8" s="11">
        <v>0</v>
      </c>
      <c r="AA8" s="3"/>
      <c r="AH8" s="10">
        <f>SUM(O8:R8)</f>
        <v>9.01</v>
      </c>
      <c r="AI8" s="10">
        <f>SUM(S8:V8)</f>
        <v>12.967499999999999</v>
      </c>
    </row>
    <row r="9" spans="1:133" x14ac:dyDescent="0.25">
      <c r="T9" s="3"/>
      <c r="U9" s="3"/>
      <c r="V9" s="3"/>
      <c r="W9" s="3"/>
      <c r="X9" s="3"/>
      <c r="Y9" s="3"/>
      <c r="Z9" s="3"/>
      <c r="AA9" s="3"/>
    </row>
    <row r="10" spans="1:133" x14ac:dyDescent="0.25">
      <c r="B10" t="s">
        <v>74</v>
      </c>
      <c r="K10" s="11">
        <f>+K27*0.35</f>
        <v>1.5049999999999999</v>
      </c>
      <c r="L10" s="11">
        <f t="shared" ref="L10:N10" si="5">+L27*0.35</f>
        <v>1.9249999999999998</v>
      </c>
      <c r="M10" s="11">
        <f t="shared" si="5"/>
        <v>2.1475999999999997</v>
      </c>
      <c r="N10" s="11">
        <f t="shared" si="5"/>
        <v>2.1371000000000007</v>
      </c>
      <c r="O10" s="11">
        <f>+O27*0.39</f>
        <v>2.9569800000000002</v>
      </c>
      <c r="P10" s="11">
        <f>+P27*0.49</f>
        <v>5.5766900000000001</v>
      </c>
      <c r="Q10" s="11">
        <f>+Q27*0.44</f>
        <v>5.4560000000000004</v>
      </c>
      <c r="R10" s="11">
        <f>+R27*0.47</f>
        <v>5.5037000000000003</v>
      </c>
      <c r="S10" s="11">
        <f>+S27*0.4</f>
        <v>3.0266000000000002</v>
      </c>
      <c r="T10" s="10">
        <f>+T8+T7</f>
        <v>13.454999999999998</v>
      </c>
      <c r="AF10" s="10">
        <f>+AF27*0.1</f>
        <v>1.1131</v>
      </c>
      <c r="AH10" s="10">
        <f>SUM(O10:R10)</f>
        <v>19.493369999999999</v>
      </c>
      <c r="AI10" s="10">
        <f>SUM(S10:V10)</f>
        <v>16.4816</v>
      </c>
    </row>
    <row r="11" spans="1:133" x14ac:dyDescent="0.25">
      <c r="B11" t="s">
        <v>75</v>
      </c>
      <c r="K11" s="11">
        <f>+K27*0.25</f>
        <v>1.075</v>
      </c>
      <c r="L11" s="11">
        <f t="shared" ref="L11:M11" si="6">+L27*0.25</f>
        <v>1.375</v>
      </c>
      <c r="M11" s="11">
        <f t="shared" si="6"/>
        <v>1.534</v>
      </c>
      <c r="N11" s="11">
        <f>+N27*0.21</f>
        <v>1.2822600000000004</v>
      </c>
      <c r="O11" s="11">
        <f>+O27*0.3</f>
        <v>2.2746</v>
      </c>
      <c r="P11" s="11">
        <f>+P27*0.3</f>
        <v>3.4142999999999999</v>
      </c>
      <c r="Q11" s="11">
        <f>+Q27*0.4</f>
        <v>4.9600000000000009</v>
      </c>
      <c r="R11" s="11">
        <f>+R27*0.3</f>
        <v>3.5130000000000003</v>
      </c>
      <c r="S11" s="11">
        <f>+S27*0.3</f>
        <v>2.2699499999999997</v>
      </c>
      <c r="T11" s="10"/>
      <c r="AF11" s="10">
        <f>+AF27*0.1</f>
        <v>1.1131</v>
      </c>
      <c r="AH11" s="10">
        <f>SUM(O11:R11)</f>
        <v>14.161900000000001</v>
      </c>
      <c r="AI11" s="10">
        <f>SUM(S11:V11)</f>
        <v>2.2699499999999997</v>
      </c>
    </row>
    <row r="12" spans="1:133" ht="13" x14ac:dyDescent="0.3">
      <c r="B12" t="s">
        <v>167</v>
      </c>
      <c r="K12" s="14">
        <f t="shared" ref="K12:P12" si="7">+K27-K10-K11-K15</f>
        <v>0.72799999999999998</v>
      </c>
      <c r="L12" s="14">
        <f t="shared" si="7"/>
        <v>1.2000000000000002</v>
      </c>
      <c r="M12" s="14">
        <f t="shared" si="7"/>
        <v>1.1544000000000005</v>
      </c>
      <c r="N12" s="14">
        <f t="shared" si="7"/>
        <v>1.3786400000000016</v>
      </c>
      <c r="O12" s="14">
        <f t="shared" si="7"/>
        <v>1.1504199999999993</v>
      </c>
      <c r="P12" s="14">
        <f t="shared" si="7"/>
        <v>1.1900100000000002</v>
      </c>
      <c r="Q12" s="14">
        <f>+Q27-Q11-Q10-Q15</f>
        <v>1.1839999999999991</v>
      </c>
      <c r="R12" s="14">
        <f>+R27-R10-R11-R15</f>
        <v>2.3933</v>
      </c>
      <c r="S12" s="14">
        <f>+S27-S10-S11-S15</f>
        <v>2.2699499999999997</v>
      </c>
      <c r="T12" s="14">
        <f>+T27-T10-T11-T15-T14</f>
        <v>3.120000000000001</v>
      </c>
      <c r="U12" s="10">
        <f>+T12</f>
        <v>3.120000000000001</v>
      </c>
      <c r="V12" s="10">
        <f>+U12</f>
        <v>3.120000000000001</v>
      </c>
      <c r="W12" s="10"/>
      <c r="X12" s="10"/>
      <c r="Y12" s="10"/>
      <c r="Z12" s="10"/>
      <c r="AA12" s="10"/>
      <c r="AG12" s="10">
        <f>+AG27-AG13</f>
        <v>3.7420000000000009</v>
      </c>
      <c r="AH12" s="10">
        <f>+AH27-AH13</f>
        <v>15.433</v>
      </c>
      <c r="AI12" s="10">
        <f>SUM(S12:V12)</f>
        <v>11.629950000000003</v>
      </c>
    </row>
    <row r="13" spans="1:133" x14ac:dyDescent="0.25">
      <c r="B13" t="s">
        <v>76</v>
      </c>
      <c r="M13" s="11"/>
      <c r="AF13" s="10">
        <f>+AF27-AF11-AF10-3.3</f>
        <v>5.6048000000000018</v>
      </c>
      <c r="AG13">
        <f>30.5*0.6</f>
        <v>18.3</v>
      </c>
      <c r="AH13" s="10">
        <f>69.1*0.4</f>
        <v>27.64</v>
      </c>
      <c r="AI13" s="10">
        <f>54.5/4</f>
        <v>13.625</v>
      </c>
      <c r="AJ13" s="10">
        <f>54.5/4</f>
        <v>13.625</v>
      </c>
      <c r="AK13" s="10">
        <f>54.5/4</f>
        <v>13.625</v>
      </c>
      <c r="AL13" s="10">
        <f>54.5/4</f>
        <v>13.625</v>
      </c>
    </row>
    <row r="14" spans="1:133" x14ac:dyDescent="0.25">
      <c r="B14" t="s">
        <v>156</v>
      </c>
      <c r="M14" s="11"/>
      <c r="T14" s="10">
        <v>3</v>
      </c>
      <c r="AF14" s="10"/>
      <c r="AH14" s="10"/>
      <c r="AI14" s="10"/>
      <c r="AJ14" s="10"/>
      <c r="AK14" s="10"/>
      <c r="AL14" s="10"/>
    </row>
    <row r="15" spans="1:133" x14ac:dyDescent="0.25">
      <c r="B15" t="s">
        <v>158</v>
      </c>
      <c r="G15" s="11">
        <v>0.99199999999999999</v>
      </c>
      <c r="H15" s="11"/>
      <c r="I15" s="11"/>
      <c r="J15" s="11"/>
      <c r="K15" s="11">
        <v>0.99199999999999999</v>
      </c>
      <c r="L15" s="11">
        <v>1</v>
      </c>
      <c r="M15" s="11">
        <v>1.3</v>
      </c>
      <c r="N15" s="11">
        <f>4.6-M15-L15-K15</f>
        <v>1.3079999999999998</v>
      </c>
      <c r="O15" s="11">
        <v>1.2</v>
      </c>
      <c r="P15" s="3">
        <v>1.2</v>
      </c>
      <c r="Q15" s="3">
        <v>0.8</v>
      </c>
      <c r="R15" s="3">
        <f>3.5-Q15-P15-O15</f>
        <v>0.30000000000000027</v>
      </c>
      <c r="S15" s="11">
        <v>0</v>
      </c>
      <c r="T15" s="11">
        <f>9/8</f>
        <v>1.125</v>
      </c>
      <c r="U15" s="11">
        <f t="shared" ref="U15:Z15" si="8">9/8</f>
        <v>1.125</v>
      </c>
      <c r="V15" s="11">
        <f t="shared" si="8"/>
        <v>1.125</v>
      </c>
      <c r="W15" s="11">
        <f t="shared" si="8"/>
        <v>1.125</v>
      </c>
      <c r="X15" s="11">
        <f t="shared" si="8"/>
        <v>1.125</v>
      </c>
      <c r="Y15" s="11">
        <f t="shared" si="8"/>
        <v>1.125</v>
      </c>
      <c r="Z15" s="11">
        <f t="shared" si="8"/>
        <v>1.125</v>
      </c>
      <c r="AF15" s="10"/>
      <c r="AH15" s="10">
        <f>SUM(O15:R15)</f>
        <v>3.5000000000000004</v>
      </c>
      <c r="AI15" s="10">
        <f>SUM(S15:V15)</f>
        <v>3.375</v>
      </c>
      <c r="AJ15" s="10"/>
      <c r="AK15" s="10"/>
      <c r="AL15" s="10"/>
    </row>
    <row r="16" spans="1:133" x14ac:dyDescent="0.25">
      <c r="L16" s="11"/>
      <c r="N16" s="11"/>
      <c r="AF16" s="10"/>
      <c r="AH16" s="10"/>
      <c r="AI16" s="10"/>
      <c r="AJ16" s="10"/>
      <c r="AK16" s="10"/>
      <c r="AL16" s="10"/>
    </row>
    <row r="17" spans="2:110" s="20" customFormat="1" ht="13" x14ac:dyDescent="0.3">
      <c r="B17" s="20" t="s">
        <v>166</v>
      </c>
      <c r="C17" s="21"/>
      <c r="D17" s="21"/>
      <c r="E17" s="21"/>
      <c r="F17" s="21"/>
      <c r="G17" s="21"/>
      <c r="H17" s="21"/>
      <c r="I17" s="21"/>
      <c r="J17" s="22">
        <f t="shared" ref="J17:R17" si="9">+SUM(K27:N27)-J20</f>
        <v>3.7420000000000009</v>
      </c>
      <c r="K17" s="22">
        <f t="shared" si="9"/>
        <v>7.0840000000000032</v>
      </c>
      <c r="L17" s="22">
        <f t="shared" si="9"/>
        <v>11.565000000000001</v>
      </c>
      <c r="M17" s="22">
        <f t="shared" si="9"/>
        <v>11.884000000000004</v>
      </c>
      <c r="N17" s="22">
        <f t="shared" si="9"/>
        <v>15.433</v>
      </c>
      <c r="O17" s="22">
        <f t="shared" si="9"/>
        <v>18.337499999999999</v>
      </c>
      <c r="P17" s="22">
        <f t="shared" si="9"/>
        <v>25.601499999999991</v>
      </c>
      <c r="Q17" s="22">
        <f t="shared" si="9"/>
        <v>31.946500000000007</v>
      </c>
      <c r="R17" s="22">
        <f t="shared" si="9"/>
        <v>49.386500000000005</v>
      </c>
      <c r="S17" s="22">
        <f>+SUM(T27:AB27)-S20</f>
        <v>70.94</v>
      </c>
      <c r="T17" s="22">
        <f>+SUM(U27:AC27)-T20</f>
        <v>18.050000000000004</v>
      </c>
      <c r="AF17" s="23"/>
      <c r="AH17" s="23"/>
      <c r="AI17" s="23"/>
      <c r="AJ17" s="23"/>
      <c r="AK17" s="23"/>
      <c r="AL17" s="23"/>
    </row>
    <row r="18" spans="2:110" s="20" customFormat="1" ht="13" x14ac:dyDescent="0.3">
      <c r="B18" s="20" t="s">
        <v>165</v>
      </c>
      <c r="C18" s="21"/>
      <c r="D18" s="21"/>
      <c r="E18" s="21"/>
      <c r="F18" s="21"/>
      <c r="G18" s="21"/>
      <c r="H18" s="21"/>
      <c r="I18" s="21"/>
      <c r="J18" s="21"/>
      <c r="K18" s="22">
        <f>+K27-J19</f>
        <v>-0.27500000000000036</v>
      </c>
      <c r="L18" s="22">
        <f>+L27-K19</f>
        <v>0.94000000000000039</v>
      </c>
      <c r="M18" s="22">
        <f>+M27-L19</f>
        <v>1.226</v>
      </c>
      <c r="N18" s="22">
        <f>+N27-M19</f>
        <v>-0.29024999999999679</v>
      </c>
      <c r="O18" s="22">
        <f t="shared" ref="O18:R18" si="10">+O27-N19</f>
        <v>0.67199999999999971</v>
      </c>
      <c r="P18" s="22">
        <f t="shared" si="10"/>
        <v>5.2010000000000005</v>
      </c>
      <c r="Q18" s="22">
        <f t="shared" si="10"/>
        <v>5.7062499999999998</v>
      </c>
      <c r="R18" s="22">
        <f t="shared" si="10"/>
        <v>3.4525000000000023</v>
      </c>
      <c r="S18" s="22">
        <f>+S27-R19</f>
        <v>-0.15350000000000108</v>
      </c>
      <c r="T18" s="22">
        <f>+T27-S19</f>
        <v>13.509999999999998</v>
      </c>
      <c r="AF18" s="23"/>
      <c r="AH18" s="23"/>
      <c r="AI18" s="23"/>
      <c r="AJ18" s="23"/>
      <c r="AK18" s="23"/>
      <c r="AL18" s="23"/>
    </row>
    <row r="19" spans="2:110" x14ac:dyDescent="0.25">
      <c r="B19" t="s">
        <v>164</v>
      </c>
      <c r="J19" s="11">
        <f t="shared" ref="J19:T19" si="11">+J20/4</f>
        <v>4.5750000000000002</v>
      </c>
      <c r="K19" s="11">
        <f t="shared" si="11"/>
        <v>4.5599999999999996</v>
      </c>
      <c r="L19" s="11">
        <f t="shared" si="11"/>
        <v>4.91</v>
      </c>
      <c r="M19" s="11">
        <f t="shared" si="11"/>
        <v>6.3962499999999993</v>
      </c>
      <c r="N19" s="11">
        <f t="shared" si="11"/>
        <v>6.91</v>
      </c>
      <c r="O19" s="19">
        <f t="shared" si="11"/>
        <v>6.18</v>
      </c>
      <c r="P19" s="11">
        <f t="shared" si="11"/>
        <v>6.6937500000000005</v>
      </c>
      <c r="Q19" s="11">
        <f t="shared" si="11"/>
        <v>8.2574999999999985</v>
      </c>
      <c r="R19" s="11">
        <f t="shared" si="11"/>
        <v>7.7200000000000006</v>
      </c>
      <c r="S19" s="11">
        <f t="shared" si="11"/>
        <v>7.1900000000000013</v>
      </c>
      <c r="T19" s="11">
        <f t="shared" si="11"/>
        <v>15.2875</v>
      </c>
      <c r="AF19" s="10"/>
      <c r="AH19" s="10"/>
      <c r="AI19" s="10"/>
      <c r="AJ19" s="10"/>
      <c r="AK19" s="10"/>
      <c r="AL19" s="10"/>
    </row>
    <row r="20" spans="2:110" x14ac:dyDescent="0.25">
      <c r="B20" t="s">
        <v>163</v>
      </c>
      <c r="J20" s="3">
        <f>+J21*0.6</f>
        <v>18.3</v>
      </c>
      <c r="K20" s="11">
        <f>+K21*0.6</f>
        <v>18.239999999999998</v>
      </c>
      <c r="L20" s="11">
        <f>+L21*0.4</f>
        <v>19.64</v>
      </c>
      <c r="M20" s="11">
        <f>+M21*0.35</f>
        <v>25.584999999999997</v>
      </c>
      <c r="N20" s="11">
        <f>+N21*0.4</f>
        <v>27.64</v>
      </c>
      <c r="O20" s="11">
        <f>+O21*0.4</f>
        <v>24.72</v>
      </c>
      <c r="P20" s="11">
        <f>+P21*0.45</f>
        <v>26.775000000000002</v>
      </c>
      <c r="Q20" s="11">
        <f>+Q21*0.3</f>
        <v>33.029999999999994</v>
      </c>
      <c r="R20" s="11">
        <f>+R21*0.4</f>
        <v>30.880000000000003</v>
      </c>
      <c r="S20" s="11">
        <f>+S21*0.4</f>
        <v>28.760000000000005</v>
      </c>
      <c r="T20" s="11">
        <f>+T21*0.5</f>
        <v>61.15</v>
      </c>
      <c r="AF20" s="10"/>
      <c r="AH20" s="10"/>
      <c r="AI20" s="10"/>
      <c r="AJ20" s="10"/>
      <c r="AK20" s="10"/>
      <c r="AL20" s="10"/>
    </row>
    <row r="21" spans="2:110" x14ac:dyDescent="0.25">
      <c r="B21" t="s">
        <v>101</v>
      </c>
      <c r="J21" s="3">
        <v>30.5</v>
      </c>
      <c r="K21" s="3">
        <v>30.4</v>
      </c>
      <c r="L21" s="3">
        <v>49.1</v>
      </c>
      <c r="M21" s="3">
        <v>73.099999999999994</v>
      </c>
      <c r="N21" s="3">
        <v>69.099999999999994</v>
      </c>
      <c r="O21" s="3">
        <v>61.8</v>
      </c>
      <c r="P21" s="3">
        <v>59.5</v>
      </c>
      <c r="Q21" s="3">
        <v>110.1</v>
      </c>
      <c r="R21" s="3">
        <v>77.2</v>
      </c>
      <c r="S21" s="3">
        <v>71.900000000000006</v>
      </c>
      <c r="T21" s="3">
        <v>122.3</v>
      </c>
      <c r="AF21" s="10"/>
      <c r="AH21" s="10"/>
      <c r="AI21" s="10"/>
      <c r="AJ21" s="10"/>
      <c r="AK21" s="10"/>
      <c r="AL21" s="10"/>
    </row>
    <row r="22" spans="2:110" x14ac:dyDescent="0.25">
      <c r="B22" t="s">
        <v>99</v>
      </c>
      <c r="G22" s="11">
        <f>+G27-G23</f>
        <v>0.25388999999999995</v>
      </c>
      <c r="K22" s="11">
        <f>+K27-K23</f>
        <v>0.60199999999999987</v>
      </c>
      <c r="L22" s="11">
        <v>0.66700000000000004</v>
      </c>
      <c r="M22" s="11">
        <v>1.099</v>
      </c>
      <c r="N22" s="11">
        <f>3.339-M22-L22-K22</f>
        <v>0.97100000000000031</v>
      </c>
      <c r="O22" s="11">
        <v>0.52</v>
      </c>
      <c r="P22" s="11">
        <v>0.42799999999999999</v>
      </c>
      <c r="Q22" s="11">
        <v>0.505</v>
      </c>
      <c r="R22" s="11">
        <f>2.359-Q22-P22-O22</f>
        <v>0.90600000000000014</v>
      </c>
      <c r="S22" s="11">
        <v>2.2770000000000001</v>
      </c>
      <c r="T22" s="11">
        <v>4.7039999999999997</v>
      </c>
      <c r="AF22" s="10"/>
      <c r="AH22" s="10">
        <f>SUM(O22:R22)</f>
        <v>2.359</v>
      </c>
      <c r="AI22" s="10">
        <f>SUM(S22:V22)</f>
        <v>6.9809999999999999</v>
      </c>
      <c r="AJ22" s="10"/>
      <c r="AK22" s="10"/>
      <c r="AL22" s="10"/>
    </row>
    <row r="23" spans="2:110" x14ac:dyDescent="0.25">
      <c r="B23" t="s">
        <v>100</v>
      </c>
      <c r="G23" s="11">
        <f>+G27*0.87</f>
        <v>1.6991100000000001</v>
      </c>
      <c r="H23" s="11"/>
      <c r="I23" s="11"/>
      <c r="J23" s="11"/>
      <c r="K23" s="11">
        <f>+K27*0.86</f>
        <v>3.698</v>
      </c>
      <c r="L23" s="11">
        <v>4.8479999999999999</v>
      </c>
      <c r="M23" s="11">
        <v>5.0369999999999999</v>
      </c>
      <c r="N23" s="11">
        <f>18.703-M23-L23-K23</f>
        <v>5.120000000000001</v>
      </c>
      <c r="O23" s="11">
        <v>7.0620000000000003</v>
      </c>
      <c r="P23" s="11">
        <v>10.952999999999999</v>
      </c>
      <c r="Q23" s="11">
        <v>11.895</v>
      </c>
      <c r="R23" s="11">
        <f>40.714-Q23-P23-O23</f>
        <v>10.803999999999998</v>
      </c>
      <c r="S23" s="11">
        <v>5.2889999999999997</v>
      </c>
      <c r="T23" s="11">
        <v>15.99</v>
      </c>
      <c r="AF23" s="10"/>
      <c r="AH23" s="10">
        <f>SUM(O23:R23)</f>
        <v>40.713999999999999</v>
      </c>
      <c r="AI23" s="10">
        <f>SUM(S23:V23)</f>
        <v>21.279</v>
      </c>
      <c r="AJ23" s="10"/>
      <c r="AK23" s="10"/>
      <c r="AL23" s="10"/>
    </row>
    <row r="24" spans="2:110" x14ac:dyDescent="0.25">
      <c r="AF24" s="10"/>
      <c r="AH24" s="10"/>
      <c r="AI24" s="10"/>
      <c r="AJ24" s="10"/>
      <c r="AK24" s="10"/>
      <c r="AL24" s="10"/>
    </row>
    <row r="25" spans="2:110" x14ac:dyDescent="0.25">
      <c r="B25" t="s">
        <v>97</v>
      </c>
      <c r="K25" s="11">
        <v>1.3340000000000001</v>
      </c>
      <c r="L25" s="11">
        <v>1.99</v>
      </c>
      <c r="M25" s="11">
        <v>2.0059999999999998</v>
      </c>
      <c r="N25" s="11">
        <f>7.083-M25-L25-K25</f>
        <v>1.7529999999999997</v>
      </c>
      <c r="O25" s="11">
        <v>3.6190000000000002</v>
      </c>
      <c r="P25" s="11">
        <v>7.3380000000000001</v>
      </c>
      <c r="Q25" s="11">
        <v>6.3449999999999998</v>
      </c>
      <c r="R25" s="11">
        <f>21.594-Q25-P25-O25</f>
        <v>4.2920000000000016</v>
      </c>
      <c r="S25" s="11">
        <v>3.0630000000000002</v>
      </c>
      <c r="T25" s="11">
        <v>14.066000000000001</v>
      </c>
      <c r="AF25" s="10"/>
      <c r="AH25" s="10">
        <f>SUM(O25:R25)</f>
        <v>21.594000000000001</v>
      </c>
      <c r="AI25" s="10">
        <f>SUM(S25:V25)</f>
        <v>17.129000000000001</v>
      </c>
      <c r="AJ25" s="10"/>
      <c r="AK25" s="10"/>
      <c r="AL25" s="10"/>
    </row>
    <row r="26" spans="2:110" x14ac:dyDescent="0.25">
      <c r="B26" t="s">
        <v>98</v>
      </c>
      <c r="K26" s="11">
        <v>2.9510000000000001</v>
      </c>
      <c r="L26" s="11">
        <v>3.5249999999999999</v>
      </c>
      <c r="M26" s="11">
        <v>4.13</v>
      </c>
      <c r="N26" s="11">
        <f>14.959-M26-L26-K26</f>
        <v>4.3529999999999998</v>
      </c>
      <c r="O26" s="11">
        <v>3.9630000000000001</v>
      </c>
      <c r="P26" s="11">
        <v>4.0430000000000001</v>
      </c>
      <c r="Q26" s="11">
        <v>6.0549999999999997</v>
      </c>
      <c r="R26" s="11">
        <f>21.479-Q26-P26-O26</f>
        <v>7.4180000000000001</v>
      </c>
      <c r="S26" s="11">
        <v>4.5030000000000001</v>
      </c>
      <c r="T26" s="11">
        <v>6.6280000000000001</v>
      </c>
      <c r="AF26" s="10"/>
      <c r="AH26" s="10">
        <f>SUM(O26:R26)</f>
        <v>21.478999999999999</v>
      </c>
      <c r="AI26" s="10">
        <f>SUM(S26:V26)</f>
        <v>11.131</v>
      </c>
      <c r="AJ26" s="10"/>
      <c r="AK26" s="10"/>
      <c r="AL26" s="10"/>
    </row>
    <row r="27" spans="2:110" s="13" customFormat="1" ht="13" x14ac:dyDescent="0.3">
      <c r="B27" s="13" t="s">
        <v>9</v>
      </c>
      <c r="C27" s="14"/>
      <c r="D27" s="14"/>
      <c r="E27" s="14">
        <v>0.23300000000000001</v>
      </c>
      <c r="F27" s="14"/>
      <c r="G27" s="14">
        <v>1.9530000000000001</v>
      </c>
      <c r="H27" s="14">
        <v>2.6080000000000001</v>
      </c>
      <c r="I27" s="14">
        <v>2.7629999999999999</v>
      </c>
      <c r="J27" s="14">
        <v>3.8</v>
      </c>
      <c r="K27" s="14">
        <v>4.3</v>
      </c>
      <c r="L27" s="14">
        <v>5.5</v>
      </c>
      <c r="M27" s="14">
        <v>6.1360000000000001</v>
      </c>
      <c r="N27" s="14">
        <f>+AG27-M27-L27-K27</f>
        <v>6.1060000000000025</v>
      </c>
      <c r="O27" s="14">
        <v>7.5819999999999999</v>
      </c>
      <c r="P27" s="14">
        <v>11.381</v>
      </c>
      <c r="Q27" s="14">
        <v>12.4</v>
      </c>
      <c r="R27" s="14">
        <v>11.71</v>
      </c>
      <c r="S27" s="14">
        <v>7.5664999999999996</v>
      </c>
      <c r="T27" s="13">
        <v>20.7</v>
      </c>
      <c r="U27" s="13">
        <v>25</v>
      </c>
      <c r="V27" s="13">
        <v>27</v>
      </c>
      <c r="W27" s="13">
        <f>+V27</f>
        <v>27</v>
      </c>
      <c r="AC27" s="13">
        <v>0.2</v>
      </c>
      <c r="AD27" s="13">
        <v>0</v>
      </c>
      <c r="AE27" s="13">
        <v>2.0990000000000002</v>
      </c>
      <c r="AF27" s="13">
        <v>11.131</v>
      </c>
      <c r="AG27" s="13">
        <v>22.042000000000002</v>
      </c>
      <c r="AH27" s="13">
        <f>SUM(O27:R27)</f>
        <v>43.073</v>
      </c>
      <c r="AI27" s="13">
        <f>+AH27*1.9</f>
        <v>81.838700000000003</v>
      </c>
      <c r="AJ27" s="13">
        <f>+AI27*1.9</f>
        <v>155.49352999999999</v>
      </c>
      <c r="AK27" s="13">
        <f>+AJ27*1.9</f>
        <v>295.43770699999999</v>
      </c>
      <c r="AL27" s="13">
        <f>+AK27*1.9</f>
        <v>561.3316433</v>
      </c>
      <c r="AM27" s="13">
        <f>+AL27*1.9</f>
        <v>1066.53012227</v>
      </c>
      <c r="AN27" s="13">
        <f>+AM27*1.1</f>
        <v>1173.1831344970001</v>
      </c>
      <c r="AO27" s="13">
        <f t="shared" ref="AO27:AS27" si="12">+AN27*1.1</f>
        <v>1290.5014479467002</v>
      </c>
      <c r="AP27" s="13">
        <f t="shared" si="12"/>
        <v>1419.5515927413703</v>
      </c>
      <c r="AQ27" s="13">
        <f t="shared" si="12"/>
        <v>1561.5067520155076</v>
      </c>
      <c r="AR27" s="13">
        <f t="shared" si="12"/>
        <v>1717.6574272170585</v>
      </c>
      <c r="AS27" s="13">
        <f t="shared" si="12"/>
        <v>1889.4231699387644</v>
      </c>
      <c r="AT27" s="13">
        <f>+AS27*1.1</f>
        <v>2078.365486932641</v>
      </c>
      <c r="AU27" s="13">
        <f t="shared" ref="AU27:DF27" si="13">+AT27*1.1</f>
        <v>2286.2020356259054</v>
      </c>
      <c r="AV27" s="13">
        <f t="shared" si="13"/>
        <v>2514.822239188496</v>
      </c>
      <c r="AW27" s="13">
        <f t="shared" si="13"/>
        <v>2766.3044631073458</v>
      </c>
      <c r="AX27" s="13">
        <f t="shared" si="13"/>
        <v>3042.9349094180807</v>
      </c>
      <c r="AY27" s="13">
        <f t="shared" si="13"/>
        <v>3347.2284003598888</v>
      </c>
      <c r="AZ27" s="13">
        <f t="shared" si="13"/>
        <v>3681.9512403958779</v>
      </c>
      <c r="BA27" s="13">
        <f t="shared" si="13"/>
        <v>4050.1463644354662</v>
      </c>
      <c r="BB27" s="13">
        <f t="shared" si="13"/>
        <v>4455.161000879013</v>
      </c>
      <c r="BC27" s="13">
        <f t="shared" si="13"/>
        <v>4900.6771009669146</v>
      </c>
      <c r="BD27" s="13">
        <f t="shared" si="13"/>
        <v>5390.7448110636069</v>
      </c>
      <c r="BE27" s="13">
        <f t="shared" si="13"/>
        <v>5929.8192921699683</v>
      </c>
      <c r="BF27" s="13">
        <f t="shared" si="13"/>
        <v>6522.8012213869661</v>
      </c>
      <c r="BG27" s="13">
        <f t="shared" si="13"/>
        <v>7175.0813435256632</v>
      </c>
      <c r="BH27" s="13">
        <f t="shared" si="13"/>
        <v>7892.5894778782304</v>
      </c>
      <c r="BI27" s="13">
        <f t="shared" si="13"/>
        <v>8681.848425666054</v>
      </c>
      <c r="BJ27" s="13">
        <f t="shared" si="13"/>
        <v>9550.0332682326607</v>
      </c>
      <c r="BK27" s="13">
        <f t="shared" si="13"/>
        <v>10505.036595055928</v>
      </c>
      <c r="BL27" s="13">
        <f t="shared" si="13"/>
        <v>11555.540254561522</v>
      </c>
      <c r="BM27" s="13">
        <f t="shared" si="13"/>
        <v>12711.094280017674</v>
      </c>
      <c r="BN27" s="13">
        <f t="shared" si="13"/>
        <v>13982.203708019442</v>
      </c>
      <c r="BO27" s="13">
        <f t="shared" si="13"/>
        <v>15380.424078821388</v>
      </c>
      <c r="BP27" s="13">
        <f t="shared" si="13"/>
        <v>16918.466486703528</v>
      </c>
      <c r="BQ27" s="13">
        <f t="shared" si="13"/>
        <v>18610.313135373883</v>
      </c>
      <c r="BR27" s="13">
        <f t="shared" si="13"/>
        <v>20471.344448911274</v>
      </c>
      <c r="BS27" s="13">
        <f t="shared" si="13"/>
        <v>22518.478893802403</v>
      </c>
      <c r="BT27" s="13">
        <f t="shared" si="13"/>
        <v>24770.326783182645</v>
      </c>
      <c r="BU27" s="13">
        <f t="shared" si="13"/>
        <v>27247.359461500913</v>
      </c>
      <c r="BV27" s="13">
        <f t="shared" si="13"/>
        <v>29972.095407651006</v>
      </c>
      <c r="BW27" s="13">
        <f t="shared" si="13"/>
        <v>32969.304948416109</v>
      </c>
      <c r="BX27" s="13">
        <f t="shared" si="13"/>
        <v>36266.235443257727</v>
      </c>
      <c r="BY27" s="13">
        <f t="shared" si="13"/>
        <v>39892.858987583502</v>
      </c>
      <c r="BZ27" s="13">
        <f t="shared" si="13"/>
        <v>43882.144886341855</v>
      </c>
      <c r="CA27" s="13">
        <f t="shared" si="13"/>
        <v>48270.359374976048</v>
      </c>
      <c r="CB27" s="13">
        <f t="shared" si="13"/>
        <v>53097.395312473658</v>
      </c>
      <c r="CC27" s="13">
        <f t="shared" si="13"/>
        <v>58407.134843721025</v>
      </c>
      <c r="CD27" s="13">
        <f t="shared" si="13"/>
        <v>64247.848328093132</v>
      </c>
      <c r="CE27" s="13">
        <f t="shared" si="13"/>
        <v>70672.633160902449</v>
      </c>
      <c r="CF27" s="13">
        <f t="shared" si="13"/>
        <v>77739.896476992697</v>
      </c>
      <c r="CG27" s="13">
        <f t="shared" si="13"/>
        <v>85513.88612469197</v>
      </c>
      <c r="CH27" s="13">
        <f t="shared" si="13"/>
        <v>94065.274737161177</v>
      </c>
      <c r="CI27" s="13">
        <f t="shared" si="13"/>
        <v>103471.8022108773</v>
      </c>
      <c r="CJ27" s="13">
        <f t="shared" si="13"/>
        <v>113818.98243196504</v>
      </c>
      <c r="CK27" s="13">
        <f t="shared" si="13"/>
        <v>125200.88067516155</v>
      </c>
      <c r="CL27" s="13">
        <f t="shared" si="13"/>
        <v>137720.96874267771</v>
      </c>
      <c r="CM27" s="13">
        <f t="shared" si="13"/>
        <v>151493.0656169455</v>
      </c>
      <c r="CN27" s="13">
        <f t="shared" si="13"/>
        <v>166642.37217864007</v>
      </c>
      <c r="CO27" s="13">
        <f t="shared" si="13"/>
        <v>183306.60939650409</v>
      </c>
      <c r="CP27" s="13">
        <f t="shared" si="13"/>
        <v>201637.27033615453</v>
      </c>
      <c r="CQ27" s="13">
        <f t="shared" si="13"/>
        <v>221800.99736976999</v>
      </c>
      <c r="CR27" s="13">
        <f t="shared" si="13"/>
        <v>243981.09710674701</v>
      </c>
      <c r="CS27" s="13">
        <f t="shared" si="13"/>
        <v>268379.20681742171</v>
      </c>
      <c r="CT27" s="13">
        <f t="shared" si="13"/>
        <v>295217.12749916391</v>
      </c>
      <c r="CU27" s="13">
        <f t="shared" si="13"/>
        <v>324738.84024908033</v>
      </c>
      <c r="CV27" s="13">
        <f t="shared" si="13"/>
        <v>357212.72427398839</v>
      </c>
      <c r="CW27" s="13">
        <f t="shared" si="13"/>
        <v>392933.99670138728</v>
      </c>
      <c r="CX27" s="13">
        <f t="shared" si="13"/>
        <v>432227.39637152606</v>
      </c>
      <c r="CY27" s="13">
        <f t="shared" si="13"/>
        <v>475450.1360086787</v>
      </c>
      <c r="CZ27" s="13">
        <f t="shared" si="13"/>
        <v>522995.14960954664</v>
      </c>
      <c r="DA27" s="13">
        <f t="shared" si="13"/>
        <v>575294.66457050131</v>
      </c>
      <c r="DB27" s="13">
        <f t="shared" si="13"/>
        <v>632824.13102755148</v>
      </c>
      <c r="DC27" s="13">
        <f t="shared" si="13"/>
        <v>696106.54413030669</v>
      </c>
      <c r="DD27" s="13">
        <f t="shared" si="13"/>
        <v>765717.19854333741</v>
      </c>
      <c r="DE27" s="13">
        <f t="shared" si="13"/>
        <v>842288.91839767119</v>
      </c>
      <c r="DF27" s="13">
        <f t="shared" si="13"/>
        <v>926517.81023743842</v>
      </c>
    </row>
    <row r="28" spans="2:110" s="10" customFormat="1" x14ac:dyDescent="0.25">
      <c r="B28" s="10" t="s">
        <v>10</v>
      </c>
      <c r="C28" s="11"/>
      <c r="D28" s="11"/>
      <c r="E28" s="11"/>
      <c r="F28" s="11"/>
      <c r="G28" s="11">
        <v>0.56799999999999995</v>
      </c>
      <c r="H28" s="11">
        <v>0.74199999999999999</v>
      </c>
      <c r="I28" s="11">
        <v>0.73299999999999998</v>
      </c>
      <c r="J28" s="11">
        <f>2.944-I28-H28-G28</f>
        <v>0.90099999999999991</v>
      </c>
      <c r="K28" s="11">
        <v>1.036</v>
      </c>
      <c r="L28" s="11">
        <v>1.901</v>
      </c>
      <c r="M28" s="11">
        <v>2.008</v>
      </c>
      <c r="N28" s="11">
        <f>+AG28-M28-L28-K28</f>
        <v>3.1630000000000007</v>
      </c>
      <c r="O28" s="11">
        <v>3.4140000000000001</v>
      </c>
      <c r="P28" s="11">
        <v>5.6230000000000002</v>
      </c>
      <c r="Q28" s="11">
        <v>6.5149999999999997</v>
      </c>
      <c r="R28" s="11">
        <v>5.0449999999999999</v>
      </c>
      <c r="S28" s="11">
        <v>4.3150000000000004</v>
      </c>
      <c r="T28" s="10">
        <v>8.327</v>
      </c>
      <c r="U28" s="10">
        <f>+U27-U29</f>
        <v>12.5</v>
      </c>
      <c r="V28" s="10">
        <f>+V27-V29</f>
        <v>13.5</v>
      </c>
      <c r="AD28" s="10">
        <v>0.14299999999999999</v>
      </c>
      <c r="AE28" s="10">
        <v>1.04</v>
      </c>
      <c r="AF28" s="10">
        <v>2.944</v>
      </c>
      <c r="AG28" s="10">
        <v>8.1080000000000005</v>
      </c>
      <c r="AH28" s="10">
        <f>SUM(O28:R28)</f>
        <v>20.597000000000001</v>
      </c>
      <c r="AI28" s="10">
        <f>+AI27-AI29</f>
        <v>24.551610000000004</v>
      </c>
      <c r="AJ28" s="10">
        <f t="shared" ref="AJ28:AS28" si="14">+AJ27-AJ29</f>
        <v>46.648059000000003</v>
      </c>
      <c r="AK28" s="10">
        <f t="shared" si="14"/>
        <v>88.631312100000002</v>
      </c>
      <c r="AL28" s="10">
        <f t="shared" si="14"/>
        <v>168.39949299</v>
      </c>
      <c r="AM28" s="10">
        <f t="shared" si="14"/>
        <v>319.95903668100004</v>
      </c>
      <c r="AN28" s="10">
        <f t="shared" si="14"/>
        <v>351.95494034910007</v>
      </c>
      <c r="AO28" s="10">
        <f t="shared" si="14"/>
        <v>387.15043438401017</v>
      </c>
      <c r="AP28" s="10">
        <f t="shared" si="14"/>
        <v>425.86547782241121</v>
      </c>
      <c r="AQ28" s="10">
        <f t="shared" si="14"/>
        <v>468.45202560465236</v>
      </c>
      <c r="AR28" s="10">
        <f t="shared" si="14"/>
        <v>515.29722816511753</v>
      </c>
      <c r="AS28" s="10">
        <f t="shared" si="14"/>
        <v>566.82695098162935</v>
      </c>
    </row>
    <row r="29" spans="2:110" s="10" customFormat="1" x14ac:dyDescent="0.25">
      <c r="B29" s="10" t="s">
        <v>11</v>
      </c>
      <c r="C29" s="11"/>
      <c r="D29" s="11"/>
      <c r="E29" s="11"/>
      <c r="F29" s="11"/>
      <c r="G29" s="11">
        <f>+G27-G28</f>
        <v>1.3850000000000002</v>
      </c>
      <c r="H29" s="11">
        <f>+H27-H28</f>
        <v>1.8660000000000001</v>
      </c>
      <c r="I29" s="11">
        <f t="shared" ref="I29:Q29" si="15">+I27-I28</f>
        <v>2.0299999999999998</v>
      </c>
      <c r="J29" s="11">
        <f t="shared" si="15"/>
        <v>2.899</v>
      </c>
      <c r="K29" s="11">
        <f t="shared" si="15"/>
        <v>3.2639999999999998</v>
      </c>
      <c r="L29" s="11">
        <f t="shared" si="15"/>
        <v>3.5990000000000002</v>
      </c>
      <c r="M29" s="11">
        <f t="shared" si="15"/>
        <v>4.1280000000000001</v>
      </c>
      <c r="N29" s="11">
        <f t="shared" si="15"/>
        <v>2.9430000000000018</v>
      </c>
      <c r="O29" s="11">
        <f t="shared" si="15"/>
        <v>4.1679999999999993</v>
      </c>
      <c r="P29" s="11">
        <f t="shared" si="15"/>
        <v>5.758</v>
      </c>
      <c r="Q29" s="11">
        <f t="shared" si="15"/>
        <v>5.8850000000000007</v>
      </c>
      <c r="R29" s="11">
        <f>+R27-R28</f>
        <v>6.6650000000000009</v>
      </c>
      <c r="S29" s="11">
        <f>+S27-S28</f>
        <v>3.2514999999999992</v>
      </c>
      <c r="T29" s="10">
        <f>+T27-T28</f>
        <v>12.372999999999999</v>
      </c>
      <c r="U29" s="10">
        <f>+U27*0.5</f>
        <v>12.5</v>
      </c>
      <c r="V29" s="10">
        <f>+V27*0.5</f>
        <v>13.5</v>
      </c>
      <c r="AD29" s="10">
        <f>+AD27-AD28</f>
        <v>-0.14299999999999999</v>
      </c>
      <c r="AE29" s="10">
        <f>+AE27-AE28</f>
        <v>1.0590000000000002</v>
      </c>
      <c r="AF29" s="10">
        <f>+AF27-AF28</f>
        <v>8.1870000000000012</v>
      </c>
      <c r="AG29" s="10">
        <f>+AG27-AG28</f>
        <v>13.934000000000001</v>
      </c>
      <c r="AH29" s="10">
        <f>+AH27-AH28</f>
        <v>22.475999999999999</v>
      </c>
      <c r="AI29" s="10">
        <f>+AI27*0.7</f>
        <v>57.287089999999999</v>
      </c>
      <c r="AJ29" s="10">
        <f t="shared" ref="AJ29:AS29" si="16">+AJ27*0.7</f>
        <v>108.84547099999999</v>
      </c>
      <c r="AK29" s="10">
        <f t="shared" si="16"/>
        <v>206.80639489999999</v>
      </c>
      <c r="AL29" s="10">
        <f t="shared" si="16"/>
        <v>392.93215031</v>
      </c>
      <c r="AM29" s="10">
        <f t="shared" si="16"/>
        <v>746.57108558899995</v>
      </c>
      <c r="AN29" s="10">
        <f t="shared" si="16"/>
        <v>821.22819414790001</v>
      </c>
      <c r="AO29" s="10">
        <f t="shared" si="16"/>
        <v>903.35101356269001</v>
      </c>
      <c r="AP29" s="10">
        <f t="shared" si="16"/>
        <v>993.68611491895911</v>
      </c>
      <c r="AQ29" s="10">
        <f t="shared" si="16"/>
        <v>1093.0547264108552</v>
      </c>
      <c r="AR29" s="10">
        <f t="shared" si="16"/>
        <v>1202.360199051941</v>
      </c>
      <c r="AS29" s="10">
        <f t="shared" si="16"/>
        <v>1322.5962189571351</v>
      </c>
    </row>
    <row r="30" spans="2:110" s="10" customFormat="1" x14ac:dyDescent="0.25">
      <c r="B30" s="10" t="s">
        <v>12</v>
      </c>
      <c r="C30" s="11"/>
      <c r="D30" s="11"/>
      <c r="E30" s="11"/>
      <c r="F30" s="11"/>
      <c r="G30" s="11">
        <v>7.3380000000000001</v>
      </c>
      <c r="H30" s="11">
        <v>9.6530000000000005</v>
      </c>
      <c r="I30" s="11">
        <v>13.292</v>
      </c>
      <c r="J30" s="11">
        <f>43.978-I30-H30-G30</f>
        <v>13.695</v>
      </c>
      <c r="K30" s="11">
        <v>16.233000000000001</v>
      </c>
      <c r="L30" s="11">
        <v>19.869</v>
      </c>
      <c r="M30" s="11">
        <v>24.599</v>
      </c>
      <c r="N30" s="11">
        <f>+AG30-M30-L30-K30</f>
        <v>31.619999999999994</v>
      </c>
      <c r="O30" s="11">
        <v>32.368000000000002</v>
      </c>
      <c r="P30" s="11">
        <v>31.204000000000001</v>
      </c>
      <c r="Q30" s="11">
        <v>33.177999999999997</v>
      </c>
      <c r="R30" s="11">
        <v>40.076999999999998</v>
      </c>
      <c r="S30" s="11">
        <v>39.953000000000003</v>
      </c>
      <c r="T30" s="10">
        <v>103.35899999999999</v>
      </c>
      <c r="U30" s="10">
        <f t="shared" ref="U30:V32" si="17">+Q30</f>
        <v>33.177999999999997</v>
      </c>
      <c r="V30" s="10">
        <f t="shared" si="17"/>
        <v>40.076999999999998</v>
      </c>
      <c r="AD30" s="10">
        <v>10.157</v>
      </c>
      <c r="AE30" s="10">
        <v>20.228000000000002</v>
      </c>
      <c r="AF30" s="10">
        <v>43.978000000000002</v>
      </c>
      <c r="AG30" s="10">
        <v>92.320999999999998</v>
      </c>
      <c r="AH30" s="10">
        <f t="shared" ref="AH30:AH32" si="18">SUM(O30:R30)</f>
        <v>136.827</v>
      </c>
      <c r="AI30" s="10">
        <f>+AH30*1.05</f>
        <v>143.66835</v>
      </c>
      <c r="AJ30" s="10">
        <f t="shared" ref="AJ30:AS30" si="19">+AI30*1.05</f>
        <v>150.85176750000002</v>
      </c>
      <c r="AK30" s="10">
        <f t="shared" si="19"/>
        <v>158.39435587500003</v>
      </c>
      <c r="AL30" s="10">
        <f t="shared" si="19"/>
        <v>166.31407366875004</v>
      </c>
      <c r="AM30" s="10">
        <f t="shared" si="19"/>
        <v>174.62977735218755</v>
      </c>
      <c r="AN30" s="10">
        <f t="shared" si="19"/>
        <v>183.36126621979693</v>
      </c>
      <c r="AO30" s="10">
        <f t="shared" si="19"/>
        <v>192.52932953078678</v>
      </c>
      <c r="AP30" s="10">
        <f t="shared" si="19"/>
        <v>202.15579600732613</v>
      </c>
      <c r="AQ30" s="10">
        <f t="shared" si="19"/>
        <v>212.26358580769244</v>
      </c>
      <c r="AR30" s="10">
        <f t="shared" si="19"/>
        <v>222.87676509807707</v>
      </c>
      <c r="AS30" s="10">
        <f t="shared" si="19"/>
        <v>234.02060335298094</v>
      </c>
    </row>
    <row r="31" spans="2:110" s="10" customFormat="1" x14ac:dyDescent="0.25">
      <c r="B31" s="10" t="s">
        <v>13</v>
      </c>
      <c r="C31" s="11"/>
      <c r="D31" s="11"/>
      <c r="E31" s="11"/>
      <c r="F31" s="11"/>
      <c r="G31" s="11">
        <v>1.871</v>
      </c>
      <c r="H31" s="11">
        <v>2.1320000000000001</v>
      </c>
      <c r="I31" s="11">
        <v>1.9690000000000001</v>
      </c>
      <c r="J31" s="11">
        <f>8.385-I31-H31-G31</f>
        <v>2.4129999999999989</v>
      </c>
      <c r="K31" s="11">
        <v>2.6669999999999998</v>
      </c>
      <c r="L31" s="11">
        <v>3.5750000000000002</v>
      </c>
      <c r="M31" s="11">
        <v>5.0469999999999997</v>
      </c>
      <c r="N31" s="11">
        <f>+AG31-M31-L31-K31</f>
        <v>6.9809999999999999</v>
      </c>
      <c r="O31" s="11">
        <v>6.7009999999999996</v>
      </c>
      <c r="P31" s="11">
        <v>6.1369999999999996</v>
      </c>
      <c r="Q31" s="11">
        <v>6.63</v>
      </c>
      <c r="R31" s="11">
        <v>8.9269999999999996</v>
      </c>
      <c r="S31" s="11">
        <v>8.61</v>
      </c>
      <c r="T31" s="10">
        <v>10.877000000000001</v>
      </c>
      <c r="U31" s="10">
        <f t="shared" si="17"/>
        <v>6.63</v>
      </c>
      <c r="V31" s="10">
        <f t="shared" si="17"/>
        <v>8.9269999999999996</v>
      </c>
      <c r="AD31" s="10">
        <v>0.48599999999999999</v>
      </c>
      <c r="AE31" s="10">
        <v>3.2330000000000001</v>
      </c>
      <c r="AF31" s="10">
        <v>8.3849999999999998</v>
      </c>
      <c r="AG31" s="10">
        <v>18.27</v>
      </c>
      <c r="AH31" s="10">
        <f t="shared" si="18"/>
        <v>28.395</v>
      </c>
      <c r="AI31" s="10">
        <f t="shared" ref="AI31:AS31" si="20">+AH31*1.05</f>
        <v>29.81475</v>
      </c>
      <c r="AJ31" s="10">
        <f t="shared" si="20"/>
        <v>31.305487500000002</v>
      </c>
      <c r="AK31" s="10">
        <f t="shared" si="20"/>
        <v>32.870761875000007</v>
      </c>
      <c r="AL31" s="10">
        <f t="shared" si="20"/>
        <v>34.514299968750009</v>
      </c>
      <c r="AM31" s="10">
        <f t="shared" si="20"/>
        <v>36.240014967187513</v>
      </c>
      <c r="AN31" s="10">
        <f t="shared" si="20"/>
        <v>38.052015715546887</v>
      </c>
      <c r="AO31" s="10">
        <f t="shared" si="20"/>
        <v>39.954616501324232</v>
      </c>
      <c r="AP31" s="10">
        <f t="shared" si="20"/>
        <v>41.952347326390445</v>
      </c>
      <c r="AQ31" s="10">
        <f t="shared" si="20"/>
        <v>44.04996469270997</v>
      </c>
      <c r="AR31" s="10">
        <f t="shared" si="20"/>
        <v>46.252462927345469</v>
      </c>
      <c r="AS31" s="10">
        <f t="shared" si="20"/>
        <v>48.565086073712742</v>
      </c>
    </row>
    <row r="32" spans="2:110" s="10" customFormat="1" x14ac:dyDescent="0.25">
      <c r="B32" s="10" t="s">
        <v>14</v>
      </c>
      <c r="C32" s="11"/>
      <c r="D32" s="11"/>
      <c r="E32" s="11"/>
      <c r="F32" s="11"/>
      <c r="G32" s="11">
        <v>9.1940000000000008</v>
      </c>
      <c r="H32" s="11">
        <v>7.5579999999999998</v>
      </c>
      <c r="I32" s="11">
        <v>10.148999999999999</v>
      </c>
      <c r="J32" s="11">
        <f>35.966-I32-H32-G32</f>
        <v>9.0649999999999995</v>
      </c>
      <c r="K32" s="11">
        <v>10.581</v>
      </c>
      <c r="L32" s="11">
        <v>10.93</v>
      </c>
      <c r="M32" s="11">
        <v>13.927</v>
      </c>
      <c r="N32" s="11">
        <f>+AG32-M32-L32-K32</f>
        <v>15.284000000000002</v>
      </c>
      <c r="O32" s="11">
        <v>14.02</v>
      </c>
      <c r="P32" s="11">
        <v>14.321999999999999</v>
      </c>
      <c r="Q32" s="11">
        <v>14.321999999999999</v>
      </c>
      <c r="R32" s="11">
        <v>29.66</v>
      </c>
      <c r="S32" s="11">
        <v>23.806000000000001</v>
      </c>
      <c r="T32" s="10">
        <v>48.106999999999999</v>
      </c>
      <c r="U32" s="10">
        <f t="shared" si="17"/>
        <v>14.321999999999999</v>
      </c>
      <c r="V32" s="10">
        <f t="shared" si="17"/>
        <v>29.66</v>
      </c>
      <c r="AD32" s="10">
        <v>3.5470000000000002</v>
      </c>
      <c r="AE32" s="10">
        <v>13.737</v>
      </c>
      <c r="AF32" s="10">
        <v>35.966000000000001</v>
      </c>
      <c r="AG32" s="10">
        <v>50.722000000000001</v>
      </c>
      <c r="AH32" s="10">
        <f t="shared" si="18"/>
        <v>72.323999999999998</v>
      </c>
      <c r="AI32" s="10">
        <f t="shared" ref="AI32:AS32" si="21">+AH32*1.05</f>
        <v>75.940200000000004</v>
      </c>
      <c r="AJ32" s="10">
        <f t="shared" si="21"/>
        <v>79.737210000000005</v>
      </c>
      <c r="AK32" s="10">
        <f t="shared" si="21"/>
        <v>83.72407050000001</v>
      </c>
      <c r="AL32" s="10">
        <f t="shared" si="21"/>
        <v>87.910274025000021</v>
      </c>
      <c r="AM32" s="10">
        <f t="shared" si="21"/>
        <v>92.305787726250031</v>
      </c>
      <c r="AN32" s="10">
        <f t="shared" si="21"/>
        <v>96.921077112562543</v>
      </c>
      <c r="AO32" s="10">
        <f t="shared" si="21"/>
        <v>101.76713096819067</v>
      </c>
      <c r="AP32" s="10">
        <f t="shared" si="21"/>
        <v>106.85548751660021</v>
      </c>
      <c r="AQ32" s="10">
        <f t="shared" si="21"/>
        <v>112.19826189243022</v>
      </c>
      <c r="AR32" s="10">
        <f t="shared" si="21"/>
        <v>117.80817498705174</v>
      </c>
      <c r="AS32" s="10">
        <f t="shared" si="21"/>
        <v>123.69858373640433</v>
      </c>
    </row>
    <row r="33" spans="2:82" s="10" customFormat="1" x14ac:dyDescent="0.25">
      <c r="B33" s="10" t="s">
        <v>56</v>
      </c>
      <c r="C33" s="11"/>
      <c r="D33" s="11"/>
      <c r="E33" s="11"/>
      <c r="F33" s="11"/>
      <c r="G33" s="11">
        <f t="shared" ref="G33:J33" si="22">SUM(G30:G32)</f>
        <v>18.402999999999999</v>
      </c>
      <c r="H33" s="11">
        <f t="shared" si="22"/>
        <v>19.343</v>
      </c>
      <c r="I33" s="11">
        <f t="shared" si="22"/>
        <v>25.409999999999997</v>
      </c>
      <c r="J33" s="11">
        <f t="shared" si="22"/>
        <v>25.173000000000002</v>
      </c>
      <c r="K33" s="11">
        <f t="shared" ref="K33" si="23">SUM(K30:K32)</f>
        <v>29.480999999999998</v>
      </c>
      <c r="L33" s="11">
        <f t="shared" ref="L33" si="24">SUM(L30:L32)</f>
        <v>34.373999999999995</v>
      </c>
      <c r="M33" s="11">
        <f t="shared" ref="M33:O33" si="25">SUM(M30:M32)</f>
        <v>43.573</v>
      </c>
      <c r="N33" s="11">
        <f t="shared" si="25"/>
        <v>53.884999999999991</v>
      </c>
      <c r="O33" s="11">
        <f t="shared" si="25"/>
        <v>53.088999999999999</v>
      </c>
      <c r="P33" s="11">
        <f>SUM(P30:P32)</f>
        <v>51.662999999999997</v>
      </c>
      <c r="Q33" s="11">
        <f>SUM(Q30:Q32)</f>
        <v>54.129999999999995</v>
      </c>
      <c r="R33" s="11">
        <f>SUM(R30:R32)</f>
        <v>78.664000000000001</v>
      </c>
      <c r="S33" s="11">
        <f>SUM(S30:S32)</f>
        <v>72.369</v>
      </c>
      <c r="T33" s="11">
        <f t="shared" ref="T33:V33" si="26">SUM(T30:T32)</f>
        <v>162.34299999999999</v>
      </c>
      <c r="U33" s="11">
        <f t="shared" si="26"/>
        <v>54.129999999999995</v>
      </c>
      <c r="V33" s="11">
        <f t="shared" si="26"/>
        <v>78.664000000000001</v>
      </c>
      <c r="W33" s="11"/>
      <c r="X33" s="11"/>
      <c r="Y33" s="11"/>
      <c r="Z33" s="11"/>
      <c r="AA33" s="11"/>
      <c r="AB33" s="11"/>
      <c r="AC33" s="11"/>
      <c r="AD33" s="11">
        <f t="shared" ref="AD33:AE33" si="27">SUM(AD30:AD32)</f>
        <v>14.190000000000001</v>
      </c>
      <c r="AE33" s="11">
        <f t="shared" si="27"/>
        <v>37.198</v>
      </c>
      <c r="AF33" s="11">
        <f t="shared" ref="AF33:AH33" si="28">SUM(AF30:AF32)</f>
        <v>88.329000000000008</v>
      </c>
      <c r="AG33" s="11">
        <f t="shared" si="28"/>
        <v>161.31299999999999</v>
      </c>
      <c r="AH33" s="11">
        <f t="shared" si="28"/>
        <v>237.54599999999999</v>
      </c>
      <c r="AI33" s="11">
        <f t="shared" ref="AI33" si="29">SUM(AI30:AI32)</f>
        <v>249.42330000000001</v>
      </c>
      <c r="AJ33" s="11">
        <f t="shared" ref="AJ33" si="30">SUM(AJ30:AJ32)</f>
        <v>261.89446500000003</v>
      </c>
      <c r="AK33" s="11">
        <f t="shared" ref="AK33" si="31">SUM(AK30:AK32)</f>
        <v>274.98918825000004</v>
      </c>
      <c r="AL33" s="11">
        <f t="shared" ref="AL33" si="32">SUM(AL30:AL32)</f>
        <v>288.73864766250006</v>
      </c>
      <c r="AM33" s="11">
        <f t="shared" ref="AM33" si="33">SUM(AM30:AM32)</f>
        <v>303.17558004562511</v>
      </c>
      <c r="AN33" s="11">
        <f t="shared" ref="AN33" si="34">SUM(AN30:AN32)</f>
        <v>318.33435904790639</v>
      </c>
      <c r="AO33" s="11">
        <f t="shared" ref="AO33" si="35">SUM(AO30:AO32)</f>
        <v>334.25107700030168</v>
      </c>
      <c r="AP33" s="11">
        <f t="shared" ref="AP33" si="36">SUM(AP30:AP32)</f>
        <v>350.9636308503168</v>
      </c>
      <c r="AQ33" s="11">
        <f t="shared" ref="AQ33" si="37">SUM(AQ30:AQ32)</f>
        <v>368.51181239283267</v>
      </c>
      <c r="AR33" s="11">
        <f t="shared" ref="AR33" si="38">SUM(AR30:AR32)</f>
        <v>386.93740301247431</v>
      </c>
      <c r="AS33" s="11">
        <f t="shared" ref="AS33" si="39">SUM(AS30:AS32)</f>
        <v>406.28427316309802</v>
      </c>
    </row>
    <row r="34" spans="2:82" s="10" customFormat="1" x14ac:dyDescent="0.25">
      <c r="B34" s="10" t="s">
        <v>57</v>
      </c>
      <c r="C34" s="11"/>
      <c r="D34" s="11"/>
      <c r="E34" s="11"/>
      <c r="F34" s="11"/>
      <c r="G34" s="11">
        <f t="shared" ref="G34:J34" si="40">+G29-G33</f>
        <v>-17.017999999999997</v>
      </c>
      <c r="H34" s="11">
        <f t="shared" si="40"/>
        <v>-17.477</v>
      </c>
      <c r="I34" s="11">
        <f t="shared" si="40"/>
        <v>-23.379999999999995</v>
      </c>
      <c r="J34" s="11">
        <f t="shared" si="40"/>
        <v>-22.274000000000001</v>
      </c>
      <c r="K34" s="11">
        <f t="shared" ref="K34" si="41">+K29-K33</f>
        <v>-26.216999999999999</v>
      </c>
      <c r="L34" s="11">
        <f t="shared" ref="L34" si="42">+L29-L33</f>
        <v>-30.774999999999995</v>
      </c>
      <c r="M34" s="11">
        <f t="shared" ref="M34:P34" si="43">+M29-M33</f>
        <v>-39.445</v>
      </c>
      <c r="N34" s="11">
        <f t="shared" si="43"/>
        <v>-50.941999999999986</v>
      </c>
      <c r="O34" s="11">
        <f t="shared" si="43"/>
        <v>-48.920999999999999</v>
      </c>
      <c r="P34" s="11">
        <f t="shared" si="43"/>
        <v>-45.904999999999994</v>
      </c>
      <c r="Q34" s="11">
        <f>+Q29-Q33</f>
        <v>-48.244999999999997</v>
      </c>
      <c r="R34" s="11">
        <f>+R29-R33</f>
        <v>-71.998999999999995</v>
      </c>
      <c r="S34" s="11">
        <f>+S29-S33</f>
        <v>-69.117500000000007</v>
      </c>
      <c r="T34" s="11">
        <f t="shared" ref="T34:V34" si="44">+T29-T33</f>
        <v>-149.97</v>
      </c>
      <c r="U34" s="11">
        <f t="shared" si="44"/>
        <v>-41.629999999999995</v>
      </c>
      <c r="V34" s="11">
        <f t="shared" si="44"/>
        <v>-65.164000000000001</v>
      </c>
      <c r="W34" s="11"/>
      <c r="X34" s="11"/>
      <c r="Y34" s="11"/>
      <c r="Z34" s="11"/>
      <c r="AA34" s="11"/>
      <c r="AB34" s="11"/>
      <c r="AC34" s="11"/>
      <c r="AD34" s="11">
        <f t="shared" ref="AD34:AE34" si="45">+AD29-AD33</f>
        <v>-14.333000000000002</v>
      </c>
      <c r="AE34" s="11">
        <f t="shared" si="45"/>
        <v>-36.139000000000003</v>
      </c>
      <c r="AF34" s="11">
        <f t="shared" ref="AF34:AH34" si="46">+AF29-AF33</f>
        <v>-80.14200000000001</v>
      </c>
      <c r="AG34" s="11">
        <f t="shared" si="46"/>
        <v>-147.37899999999999</v>
      </c>
      <c r="AH34" s="11">
        <f t="shared" si="46"/>
        <v>-215.07</v>
      </c>
      <c r="AI34" s="11">
        <f t="shared" ref="AI34" si="47">+AI29-AI33</f>
        <v>-192.13621000000001</v>
      </c>
      <c r="AJ34" s="11">
        <f t="shared" ref="AJ34" si="48">+AJ29-AJ33</f>
        <v>-153.04899400000005</v>
      </c>
      <c r="AK34" s="11">
        <f t="shared" ref="AK34" si="49">+AK29-AK33</f>
        <v>-68.182793350000054</v>
      </c>
      <c r="AL34" s="11">
        <f t="shared" ref="AL34" si="50">+AL29-AL33</f>
        <v>104.19350264749994</v>
      </c>
      <c r="AM34" s="11">
        <f t="shared" ref="AM34" si="51">+AM29-AM33</f>
        <v>443.39550554337484</v>
      </c>
      <c r="AN34" s="11">
        <f t="shared" ref="AN34" si="52">+AN29-AN33</f>
        <v>502.89383509999362</v>
      </c>
      <c r="AO34" s="11">
        <f t="shared" ref="AO34" si="53">+AO29-AO33</f>
        <v>569.09993656238839</v>
      </c>
      <c r="AP34" s="11">
        <f t="shared" ref="AP34" si="54">+AP29-AP33</f>
        <v>642.7224840686423</v>
      </c>
      <c r="AQ34" s="11">
        <f t="shared" ref="AQ34" si="55">+AQ29-AQ33</f>
        <v>724.54291401802254</v>
      </c>
      <c r="AR34" s="11">
        <f t="shared" ref="AR34" si="56">+AR29-AR33</f>
        <v>815.42279603946668</v>
      </c>
      <c r="AS34" s="11">
        <f t="shared" ref="AS34" si="57">+AS29-AS33</f>
        <v>916.311945794037</v>
      </c>
    </row>
    <row r="35" spans="2:82" s="10" customFormat="1" x14ac:dyDescent="0.25">
      <c r="B35" s="10" t="s">
        <v>58</v>
      </c>
      <c r="C35" s="11"/>
      <c r="D35" s="11"/>
      <c r="E35" s="11"/>
      <c r="F35" s="11"/>
      <c r="G35" s="11">
        <v>0.60799999999999998</v>
      </c>
      <c r="H35" s="11">
        <v>1.2589999999999999</v>
      </c>
      <c r="I35" s="11">
        <v>2.0590000000000002</v>
      </c>
      <c r="J35" s="11">
        <f>7.093-I35-H35-G35</f>
        <v>3.1669999999999998</v>
      </c>
      <c r="K35" s="11">
        <v>4.2309999999999999</v>
      </c>
      <c r="L35" s="11">
        <v>4.8769999999999998</v>
      </c>
      <c r="M35" s="11">
        <v>5.0069999999999997</v>
      </c>
      <c r="N35" s="11">
        <f>5.207-0.235</f>
        <v>4.9719999999999995</v>
      </c>
      <c r="O35" s="11">
        <v>4.7990000000000004</v>
      </c>
      <c r="P35" s="11">
        <v>4.8010000000000002</v>
      </c>
      <c r="Q35" s="11">
        <f>4.508+0.015</f>
        <v>4.5229999999999997</v>
      </c>
      <c r="R35" s="11">
        <f>4.141-0.111</f>
        <v>4.03</v>
      </c>
      <c r="S35" s="11">
        <v>4.8940000000000001</v>
      </c>
      <c r="T35" s="10">
        <v>7.1379999999999999</v>
      </c>
      <c r="U35" s="10">
        <f>+T35</f>
        <v>7.1379999999999999</v>
      </c>
      <c r="V35" s="10">
        <f>+U35</f>
        <v>7.1379999999999999</v>
      </c>
      <c r="AH35" s="10">
        <f t="shared" ref="AH35" si="58">SUM(O35:R35)</f>
        <v>18.153000000000002</v>
      </c>
    </row>
    <row r="36" spans="2:82" x14ac:dyDescent="0.25">
      <c r="B36" s="10" t="s">
        <v>59</v>
      </c>
      <c r="G36" s="11">
        <f t="shared" ref="G36:J36" si="59">+G34+G35</f>
        <v>-16.409999999999997</v>
      </c>
      <c r="H36" s="11">
        <f t="shared" si="59"/>
        <v>-16.218</v>
      </c>
      <c r="I36" s="11">
        <f t="shared" si="59"/>
        <v>-21.320999999999994</v>
      </c>
      <c r="J36" s="11">
        <f t="shared" si="59"/>
        <v>-19.106999999999999</v>
      </c>
      <c r="K36" s="11">
        <f t="shared" ref="K36:L36" si="60">+K34+K35</f>
        <v>-21.985999999999997</v>
      </c>
      <c r="L36" s="11">
        <f t="shared" si="60"/>
        <v>-25.897999999999996</v>
      </c>
      <c r="M36" s="11">
        <f>+M34+M35</f>
        <v>-34.438000000000002</v>
      </c>
      <c r="N36" s="11">
        <f t="shared" ref="N36:P36" si="61">+N34+N35</f>
        <v>-45.969999999999985</v>
      </c>
      <c r="O36" s="11">
        <f t="shared" si="61"/>
        <v>-44.122</v>
      </c>
      <c r="P36" s="11">
        <f t="shared" si="61"/>
        <v>-41.103999999999992</v>
      </c>
      <c r="Q36" s="11">
        <f t="shared" ref="Q36:V36" si="62">+Q34+Q35</f>
        <v>-43.721999999999994</v>
      </c>
      <c r="R36" s="11">
        <f t="shared" si="62"/>
        <v>-67.968999999999994</v>
      </c>
      <c r="S36" s="11">
        <f t="shared" si="62"/>
        <v>-64.223500000000001</v>
      </c>
      <c r="T36" s="11">
        <f t="shared" si="62"/>
        <v>-142.83199999999999</v>
      </c>
      <c r="U36" s="11">
        <f t="shared" si="62"/>
        <v>-34.491999999999997</v>
      </c>
      <c r="V36" s="11">
        <f t="shared" si="62"/>
        <v>-58.026000000000003</v>
      </c>
      <c r="W36" s="11"/>
      <c r="X36" s="11"/>
      <c r="Y36" s="11"/>
      <c r="Z36" s="11"/>
      <c r="AA36" s="11"/>
      <c r="AB36" s="11"/>
      <c r="AC36" s="11"/>
      <c r="AD36" s="11">
        <f t="shared" ref="AD36:AH36" si="63">+AD34+AD35</f>
        <v>-14.333000000000002</v>
      </c>
      <c r="AE36" s="11">
        <f t="shared" si="63"/>
        <v>-36.139000000000003</v>
      </c>
      <c r="AF36" s="11">
        <f t="shared" si="63"/>
        <v>-80.14200000000001</v>
      </c>
      <c r="AG36" s="11">
        <f t="shared" si="63"/>
        <v>-147.37899999999999</v>
      </c>
      <c r="AH36" s="11">
        <f t="shared" si="63"/>
        <v>-196.917</v>
      </c>
      <c r="AI36" s="11">
        <f t="shared" ref="AI36" si="64">+AI34+AI35</f>
        <v>-192.13621000000001</v>
      </c>
      <c r="AJ36" s="11">
        <f t="shared" ref="AJ36" si="65">+AJ34+AJ35</f>
        <v>-153.04899400000005</v>
      </c>
      <c r="AK36" s="11">
        <f t="shared" ref="AK36" si="66">+AK34+AK35</f>
        <v>-68.182793350000054</v>
      </c>
      <c r="AL36" s="11">
        <f t="shared" ref="AL36" si="67">+AL34+AL35</f>
        <v>104.19350264749994</v>
      </c>
      <c r="AM36" s="11">
        <f t="shared" ref="AM36" si="68">+AM34+AM35</f>
        <v>443.39550554337484</v>
      </c>
      <c r="AN36" s="11">
        <f t="shared" ref="AN36" si="69">+AN34+AN35</f>
        <v>502.89383509999362</v>
      </c>
      <c r="AO36" s="11">
        <f t="shared" ref="AO36" si="70">+AO34+AO35</f>
        <v>569.09993656238839</v>
      </c>
      <c r="AP36" s="11">
        <f t="shared" ref="AP36" si="71">+AP34+AP35</f>
        <v>642.7224840686423</v>
      </c>
      <c r="AQ36" s="11">
        <f t="shared" ref="AQ36" si="72">+AQ34+AQ35</f>
        <v>724.54291401802254</v>
      </c>
      <c r="AR36" s="11">
        <f t="shared" ref="AR36" si="73">+AR34+AR35</f>
        <v>815.42279603946668</v>
      </c>
      <c r="AS36" s="11">
        <f t="shared" ref="AS36" si="74">+AS34+AS35</f>
        <v>916.311945794037</v>
      </c>
    </row>
    <row r="37" spans="2:82" s="10" customFormat="1" x14ac:dyDescent="0.25">
      <c r="B37" s="10" t="s">
        <v>60</v>
      </c>
      <c r="C37" s="11"/>
      <c r="D37" s="11"/>
      <c r="E37" s="11"/>
      <c r="F37" s="11"/>
      <c r="G37" s="11">
        <v>0</v>
      </c>
      <c r="H37" s="11">
        <v>0</v>
      </c>
      <c r="I37" s="11">
        <v>0</v>
      </c>
      <c r="J37" s="11">
        <v>0</v>
      </c>
      <c r="K37" s="11">
        <v>0</v>
      </c>
      <c r="L37" s="11">
        <v>0</v>
      </c>
      <c r="M37" s="11">
        <v>0</v>
      </c>
      <c r="N37" s="11">
        <v>-8.9999999999999993E-3</v>
      </c>
      <c r="O37" s="11">
        <v>0</v>
      </c>
      <c r="P37" s="11">
        <v>0</v>
      </c>
      <c r="Q37" s="11">
        <v>0</v>
      </c>
      <c r="R37" s="11">
        <v>0</v>
      </c>
      <c r="S37" s="11">
        <v>0</v>
      </c>
      <c r="T37" s="10">
        <v>0</v>
      </c>
      <c r="U37" s="10">
        <v>0</v>
      </c>
      <c r="V37" s="10">
        <v>0</v>
      </c>
      <c r="AH37" s="10">
        <f t="shared" ref="AH37" si="75">SUM(O37:R37)</f>
        <v>0</v>
      </c>
      <c r="AL37" s="10">
        <f>+AL36*0.1</f>
        <v>10.419350264749994</v>
      </c>
      <c r="AM37" s="10">
        <f t="shared" ref="AM37:AS37" si="76">+AM36*0.1</f>
        <v>44.339550554337485</v>
      </c>
      <c r="AN37" s="10">
        <f t="shared" si="76"/>
        <v>50.289383509999368</v>
      </c>
      <c r="AO37" s="10">
        <f t="shared" si="76"/>
        <v>56.909993656238839</v>
      </c>
      <c r="AP37" s="10">
        <f t="shared" si="76"/>
        <v>64.272248406864236</v>
      </c>
      <c r="AQ37" s="10">
        <f t="shared" si="76"/>
        <v>72.454291401802251</v>
      </c>
      <c r="AR37" s="10">
        <f t="shared" si="76"/>
        <v>81.542279603946668</v>
      </c>
      <c r="AS37" s="10">
        <f t="shared" si="76"/>
        <v>91.631194579403711</v>
      </c>
    </row>
    <row r="38" spans="2:82" x14ac:dyDescent="0.25">
      <c r="B38" s="10" t="s">
        <v>61</v>
      </c>
      <c r="G38" s="11">
        <f t="shared" ref="G38:J38" si="77">+G36-G37</f>
        <v>-16.409999999999997</v>
      </c>
      <c r="H38" s="11">
        <f t="shared" si="77"/>
        <v>-16.218</v>
      </c>
      <c r="I38" s="11">
        <f t="shared" si="77"/>
        <v>-21.320999999999994</v>
      </c>
      <c r="J38" s="11">
        <f t="shared" si="77"/>
        <v>-19.106999999999999</v>
      </c>
      <c r="K38" s="11">
        <f>+K36-K37</f>
        <v>-21.985999999999997</v>
      </c>
      <c r="L38" s="11">
        <f t="shared" ref="L38" si="78">+L36-L37</f>
        <v>-25.897999999999996</v>
      </c>
      <c r="M38" s="11">
        <f t="shared" ref="M38:V38" si="79">+M36-M37</f>
        <v>-34.438000000000002</v>
      </c>
      <c r="N38" s="11">
        <f t="shared" si="79"/>
        <v>-45.960999999999984</v>
      </c>
      <c r="O38" s="11">
        <f t="shared" si="79"/>
        <v>-44.122</v>
      </c>
      <c r="P38" s="11">
        <f t="shared" si="79"/>
        <v>-41.103999999999992</v>
      </c>
      <c r="Q38" s="11">
        <f t="shared" si="79"/>
        <v>-43.721999999999994</v>
      </c>
      <c r="R38" s="11">
        <f t="shared" si="79"/>
        <v>-67.968999999999994</v>
      </c>
      <c r="S38" s="11">
        <f t="shared" si="79"/>
        <v>-64.223500000000001</v>
      </c>
      <c r="T38" s="11">
        <f t="shared" si="79"/>
        <v>-142.83199999999999</v>
      </c>
      <c r="U38" s="11">
        <f t="shared" si="79"/>
        <v>-34.491999999999997</v>
      </c>
      <c r="V38" s="11">
        <f t="shared" si="79"/>
        <v>-58.026000000000003</v>
      </c>
      <c r="W38" s="11"/>
      <c r="X38" s="11"/>
      <c r="Y38" s="11"/>
      <c r="Z38" s="11"/>
      <c r="AA38" s="11"/>
      <c r="AB38" s="11"/>
      <c r="AC38" s="11"/>
      <c r="AD38" s="11">
        <f t="shared" ref="AD38:AH38" si="80">+AD36-AD37</f>
        <v>-14.333000000000002</v>
      </c>
      <c r="AE38" s="11">
        <f t="shared" si="80"/>
        <v>-36.139000000000003</v>
      </c>
      <c r="AF38" s="11">
        <f t="shared" si="80"/>
        <v>-80.14200000000001</v>
      </c>
      <c r="AG38" s="11">
        <f t="shared" si="80"/>
        <v>-147.37899999999999</v>
      </c>
      <c r="AH38" s="11">
        <f t="shared" si="80"/>
        <v>-196.917</v>
      </c>
      <c r="AI38" s="11">
        <f t="shared" ref="AI38" si="81">+AI36-AI37</f>
        <v>-192.13621000000001</v>
      </c>
      <c r="AJ38" s="11">
        <f t="shared" ref="AJ38" si="82">+AJ36-AJ37</f>
        <v>-153.04899400000005</v>
      </c>
      <c r="AK38" s="11">
        <f t="shared" ref="AK38" si="83">+AK36-AK37</f>
        <v>-68.182793350000054</v>
      </c>
      <c r="AL38" s="11">
        <f t="shared" ref="AL38" si="84">+AL36-AL37</f>
        <v>93.774152382749946</v>
      </c>
      <c r="AM38" s="11">
        <f t="shared" ref="AM38" si="85">+AM36-AM37</f>
        <v>399.05595498903733</v>
      </c>
      <c r="AN38" s="11">
        <f t="shared" ref="AN38" si="86">+AN36-AN37</f>
        <v>452.60445158999426</v>
      </c>
      <c r="AO38" s="11">
        <f t="shared" ref="AO38" si="87">+AO36-AO37</f>
        <v>512.18994290614955</v>
      </c>
      <c r="AP38" s="11">
        <f t="shared" ref="AP38" si="88">+AP36-AP37</f>
        <v>578.45023566177804</v>
      </c>
      <c r="AQ38" s="11">
        <f t="shared" ref="AQ38" si="89">+AQ36-AQ37</f>
        <v>652.08862261622028</v>
      </c>
      <c r="AR38" s="11">
        <f t="shared" ref="AR38" si="90">+AR36-AR37</f>
        <v>733.88051643552001</v>
      </c>
      <c r="AS38" s="11">
        <f t="shared" ref="AS38" si="91">+AS36-AS37</f>
        <v>824.68075121463335</v>
      </c>
      <c r="AT38" s="11">
        <f>+AS38*(1+$AT$45)</f>
        <v>816.433943702487</v>
      </c>
      <c r="AU38" s="11">
        <f t="shared" ref="AU38:CD38" si="92">+AT38*(1+$AT$45)</f>
        <v>808.26960426546214</v>
      </c>
      <c r="AV38" s="11">
        <f t="shared" si="92"/>
        <v>800.18690822280746</v>
      </c>
      <c r="AW38" s="11">
        <f t="shared" si="92"/>
        <v>792.18503914057942</v>
      </c>
      <c r="AX38" s="11">
        <f t="shared" si="92"/>
        <v>784.26318874917365</v>
      </c>
      <c r="AY38" s="11">
        <f t="shared" si="92"/>
        <v>776.42055686168192</v>
      </c>
      <c r="AZ38" s="11">
        <f t="shared" si="92"/>
        <v>768.65635129306509</v>
      </c>
      <c r="BA38" s="11">
        <f t="shared" si="92"/>
        <v>760.96978778013442</v>
      </c>
      <c r="BB38" s="11">
        <f t="shared" si="92"/>
        <v>753.36008990233313</v>
      </c>
      <c r="BC38" s="11">
        <f t="shared" si="92"/>
        <v>745.8264890033098</v>
      </c>
      <c r="BD38" s="11">
        <f t="shared" si="92"/>
        <v>738.36822411327671</v>
      </c>
      <c r="BE38" s="11">
        <f t="shared" si="92"/>
        <v>730.98454187214395</v>
      </c>
      <c r="BF38" s="11">
        <f t="shared" si="92"/>
        <v>723.67469645342248</v>
      </c>
      <c r="BG38" s="11">
        <f t="shared" si="92"/>
        <v>716.43794948888831</v>
      </c>
      <c r="BH38" s="11">
        <f t="shared" si="92"/>
        <v>709.27356999399944</v>
      </c>
      <c r="BI38" s="11">
        <f t="shared" si="92"/>
        <v>702.18083429405942</v>
      </c>
      <c r="BJ38" s="11">
        <f t="shared" si="92"/>
        <v>695.15902595111879</v>
      </c>
      <c r="BK38" s="11">
        <f t="shared" si="92"/>
        <v>688.20743569160754</v>
      </c>
      <c r="BL38" s="11">
        <f t="shared" si="92"/>
        <v>681.32536133469148</v>
      </c>
      <c r="BM38" s="11">
        <f t="shared" si="92"/>
        <v>674.51210772134459</v>
      </c>
      <c r="BN38" s="11">
        <f t="shared" si="92"/>
        <v>667.76698664413118</v>
      </c>
      <c r="BO38" s="11">
        <f t="shared" si="92"/>
        <v>661.08931677768987</v>
      </c>
      <c r="BP38" s="11">
        <f t="shared" si="92"/>
        <v>654.47842360991297</v>
      </c>
      <c r="BQ38" s="11">
        <f t="shared" si="92"/>
        <v>647.93363937381378</v>
      </c>
      <c r="BR38" s="11">
        <f t="shared" si="92"/>
        <v>641.45430298007568</v>
      </c>
      <c r="BS38" s="11">
        <f t="shared" si="92"/>
        <v>635.03975995027497</v>
      </c>
      <c r="BT38" s="11">
        <f t="shared" si="92"/>
        <v>628.68936235077217</v>
      </c>
      <c r="BU38" s="11">
        <f t="shared" si="92"/>
        <v>622.40246872726448</v>
      </c>
      <c r="BV38" s="11">
        <f t="shared" si="92"/>
        <v>616.17844403999186</v>
      </c>
      <c r="BW38" s="11">
        <f t="shared" si="92"/>
        <v>610.01665959959189</v>
      </c>
      <c r="BX38" s="11">
        <f t="shared" si="92"/>
        <v>603.91649300359597</v>
      </c>
      <c r="BY38" s="11">
        <f t="shared" si="92"/>
        <v>597.87732807355997</v>
      </c>
      <c r="BZ38" s="11">
        <f t="shared" si="92"/>
        <v>591.89855479282437</v>
      </c>
      <c r="CA38" s="11">
        <f t="shared" si="92"/>
        <v>585.97956924489608</v>
      </c>
      <c r="CB38" s="11">
        <f t="shared" si="92"/>
        <v>580.1197735524471</v>
      </c>
      <c r="CC38" s="11">
        <f t="shared" si="92"/>
        <v>574.31857581692259</v>
      </c>
      <c r="CD38" s="11">
        <f t="shared" si="92"/>
        <v>568.57539005875333</v>
      </c>
    </row>
    <row r="39" spans="2:82" x14ac:dyDescent="0.25">
      <c r="B39" s="10" t="s">
        <v>62</v>
      </c>
      <c r="F39" s="12"/>
      <c r="G39" s="12">
        <f t="shared" ref="G39:J39" si="93">+G38/G40</f>
        <v>-8.3646286066414208E-2</v>
      </c>
      <c r="H39" s="12">
        <f t="shared" si="93"/>
        <v>-8.2235531913648616E-2</v>
      </c>
      <c r="I39" s="12">
        <f t="shared" si="93"/>
        <v>-0.10751836854075368</v>
      </c>
      <c r="J39" s="12">
        <f t="shared" si="93"/>
        <v>-9.4799827338986162E-2</v>
      </c>
      <c r="K39" s="12">
        <f t="shared" ref="K39:V39" si="94">+K38/K40</f>
        <v>-0.10986800423191202</v>
      </c>
      <c r="L39" s="12">
        <f t="shared" si="94"/>
        <v>-0.12856976575867524</v>
      </c>
      <c r="M39" s="12">
        <f t="shared" si="94"/>
        <v>-0.16931970672379332</v>
      </c>
      <c r="N39" s="12">
        <f t="shared" si="94"/>
        <v>-0.223866675624386</v>
      </c>
      <c r="O39" s="12">
        <f t="shared" si="94"/>
        <v>-0.21196252359231235</v>
      </c>
      <c r="P39" s="12">
        <f t="shared" si="94"/>
        <v>-0.19421890770112599</v>
      </c>
      <c r="Q39" s="12">
        <f t="shared" si="94"/>
        <v>-0.2040175879567338</v>
      </c>
      <c r="R39" s="12">
        <f t="shared" si="94"/>
        <v>-0.31185961190539768</v>
      </c>
      <c r="S39" s="12">
        <f t="shared" si="94"/>
        <v>-0.28074742414506099</v>
      </c>
      <c r="T39" s="12">
        <f t="shared" si="94"/>
        <v>-0.56912558642314792</v>
      </c>
      <c r="U39" s="12">
        <f t="shared" si="94"/>
        <v>-0.13743614685019617</v>
      </c>
      <c r="V39" s="12">
        <f t="shared" si="94"/>
        <v>-0.23120926177459944</v>
      </c>
      <c r="W39" s="12"/>
      <c r="X39" s="12"/>
      <c r="Y39" s="12"/>
      <c r="Z39" s="12"/>
      <c r="AA39" s="12"/>
      <c r="AD39" s="1">
        <f t="shared" ref="AD39:AG39" si="95">AD38/AD40</f>
        <v>-0.12458592650845435</v>
      </c>
      <c r="AE39" s="1">
        <f t="shared" si="95"/>
        <v>-0.26261972091776725</v>
      </c>
      <c r="AF39" s="1"/>
      <c r="AG39" s="1">
        <f t="shared" si="95"/>
        <v>-0.72758198245627148</v>
      </c>
      <c r="AH39" s="1">
        <f>AH38/AH40</f>
        <v>-0.9244393597940197</v>
      </c>
      <c r="AI39" s="1">
        <f>AI38/AI40</f>
        <v>-0.90199563758156653</v>
      </c>
      <c r="AJ39" s="1">
        <f t="shared" ref="AJ39:AS39" si="96">AJ38/AJ40</f>
        <v>-0.71849822021703968</v>
      </c>
      <c r="AK39" s="1">
        <f t="shared" si="96"/>
        <v>-0.3200884526650416</v>
      </c>
      <c r="AL39" s="1">
        <f t="shared" si="96"/>
        <v>0.44022871257400942</v>
      </c>
      <c r="AM39" s="1">
        <f t="shared" si="96"/>
        <v>1.8733935188534094</v>
      </c>
      <c r="AN39" s="1">
        <f t="shared" si="96"/>
        <v>2.1247803362217468</v>
      </c>
      <c r="AO39" s="1">
        <f t="shared" si="96"/>
        <v>2.4045082086010674</v>
      </c>
      <c r="AP39" s="1">
        <f t="shared" si="96"/>
        <v>2.7155713601561771</v>
      </c>
      <c r="AQ39" s="1">
        <f t="shared" si="96"/>
        <v>3.0612714434015489</v>
      </c>
      <c r="AR39" s="1">
        <f t="shared" si="96"/>
        <v>3.4452486823329456</v>
      </c>
      <c r="AS39" s="1">
        <f t="shared" si="96"/>
        <v>3.8715161498870434</v>
      </c>
    </row>
    <row r="40" spans="2:82" s="10" customFormat="1" x14ac:dyDescent="0.25">
      <c r="B40" s="10" t="s">
        <v>1</v>
      </c>
      <c r="C40" s="11"/>
      <c r="D40" s="11"/>
      <c r="E40" s="11"/>
      <c r="F40" s="11"/>
      <c r="G40" s="11">
        <v>196.18324699999999</v>
      </c>
      <c r="H40" s="11">
        <v>197.214022</v>
      </c>
      <c r="I40" s="11">
        <v>198.30099999999999</v>
      </c>
      <c r="J40" s="11">
        <v>201.55099999999999</v>
      </c>
      <c r="K40" s="11">
        <v>200.112855</v>
      </c>
      <c r="L40" s="11">
        <v>201.43149399999999</v>
      </c>
      <c r="M40" s="11">
        <v>203.39038300000001</v>
      </c>
      <c r="N40" s="11">
        <v>205.30523299999999</v>
      </c>
      <c r="O40" s="11">
        <v>208.15943899999999</v>
      </c>
      <c r="P40" s="11">
        <v>211.63747900000001</v>
      </c>
      <c r="Q40" s="11">
        <v>214.30505299999999</v>
      </c>
      <c r="R40" s="11">
        <v>217.947427</v>
      </c>
      <c r="S40" s="11">
        <v>228.75899999999999</v>
      </c>
      <c r="T40" s="10">
        <v>250.967455</v>
      </c>
      <c r="U40" s="10">
        <f>+T40</f>
        <v>250.967455</v>
      </c>
      <c r="V40" s="10">
        <f>+U40</f>
        <v>250.967455</v>
      </c>
      <c r="AD40" s="10">
        <v>115.045097</v>
      </c>
      <c r="AE40" s="10">
        <v>137.60962000000001</v>
      </c>
      <c r="AG40" s="10">
        <f>AVERAGE(K40:N40)</f>
        <v>202.55999125</v>
      </c>
      <c r="AH40" s="10">
        <f>AVERAGE(O40:R40)</f>
        <v>213.01234950000003</v>
      </c>
      <c r="AI40" s="10">
        <f>+AH40</f>
        <v>213.01234950000003</v>
      </c>
      <c r="AJ40" s="10">
        <f t="shared" ref="AJ40:AS40" si="97">+AI40</f>
        <v>213.01234950000003</v>
      </c>
      <c r="AK40" s="10">
        <f t="shared" si="97"/>
        <v>213.01234950000003</v>
      </c>
      <c r="AL40" s="10">
        <f t="shared" si="97"/>
        <v>213.01234950000003</v>
      </c>
      <c r="AM40" s="10">
        <f t="shared" si="97"/>
        <v>213.01234950000003</v>
      </c>
      <c r="AN40" s="10">
        <f t="shared" si="97"/>
        <v>213.01234950000003</v>
      </c>
      <c r="AO40" s="10">
        <f t="shared" si="97"/>
        <v>213.01234950000003</v>
      </c>
      <c r="AP40" s="10">
        <f t="shared" si="97"/>
        <v>213.01234950000003</v>
      </c>
      <c r="AQ40" s="10">
        <f t="shared" si="97"/>
        <v>213.01234950000003</v>
      </c>
      <c r="AR40" s="10">
        <f t="shared" si="97"/>
        <v>213.01234950000003</v>
      </c>
      <c r="AS40" s="10">
        <f t="shared" si="97"/>
        <v>213.01234950000003</v>
      </c>
    </row>
    <row r="41" spans="2:82" x14ac:dyDescent="0.25">
      <c r="B41" s="10"/>
      <c r="M41" s="11"/>
      <c r="Q41" s="11"/>
      <c r="AF41" s="4"/>
      <c r="AG41" s="4"/>
    </row>
    <row r="42" spans="2:82" ht="13" x14ac:dyDescent="0.3">
      <c r="B42" s="10" t="s">
        <v>95</v>
      </c>
      <c r="K42" s="17">
        <f t="shared" ref="K42" si="98">+K27/G27-1</f>
        <v>1.2017409114183306</v>
      </c>
      <c r="L42" s="17">
        <f t="shared" ref="L42" si="99">+L27/H27-1</f>
        <v>1.1088957055214723</v>
      </c>
      <c r="M42" s="17">
        <f t="shared" ref="M42" si="100">+M27/I27-1</f>
        <v>1.2207745204487876</v>
      </c>
      <c r="N42" s="17">
        <f t="shared" ref="N42:V42" si="101">+N27/J27-1</f>
        <v>0.60684210526315874</v>
      </c>
      <c r="O42" s="17">
        <f t="shared" si="101"/>
        <v>0.7632558139534884</v>
      </c>
      <c r="P42" s="17">
        <f t="shared" si="101"/>
        <v>1.0692727272727272</v>
      </c>
      <c r="Q42" s="17">
        <f t="shared" si="101"/>
        <v>1.0208604954367666</v>
      </c>
      <c r="R42" s="17">
        <f t="shared" si="101"/>
        <v>0.91778578447428694</v>
      </c>
      <c r="S42" s="17">
        <f t="shared" si="101"/>
        <v>-2.0443154840411593E-3</v>
      </c>
      <c r="T42" s="17">
        <f t="shared" si="101"/>
        <v>0.8188208417538001</v>
      </c>
      <c r="U42" s="16">
        <f t="shared" si="101"/>
        <v>1.0161290322580645</v>
      </c>
      <c r="V42" s="16">
        <f t="shared" si="101"/>
        <v>1.3057216054654139</v>
      </c>
      <c r="W42" s="16"/>
      <c r="X42" s="16"/>
      <c r="Y42" s="16"/>
      <c r="Z42" s="16"/>
      <c r="AA42" s="16"/>
      <c r="AF42" s="4"/>
      <c r="AG42" s="4"/>
    </row>
    <row r="43" spans="2:82" x14ac:dyDescent="0.25">
      <c r="B43" s="10" t="s">
        <v>11</v>
      </c>
      <c r="K43" s="16">
        <f t="shared" ref="K43:N43" si="102">+K29/K27</f>
        <v>0.7590697674418605</v>
      </c>
      <c r="L43" s="16">
        <f t="shared" si="102"/>
        <v>0.65436363636363637</v>
      </c>
      <c r="M43" s="16">
        <f t="shared" si="102"/>
        <v>0.67275097783572357</v>
      </c>
      <c r="N43" s="16">
        <f t="shared" si="102"/>
        <v>0.48198493285293165</v>
      </c>
      <c r="O43" s="16">
        <f t="shared" ref="O43:V43" si="103">+O29/O27</f>
        <v>0.54972302822474273</v>
      </c>
      <c r="P43" s="16">
        <f t="shared" si="103"/>
        <v>0.50593093752745799</v>
      </c>
      <c r="Q43" s="16">
        <f t="shared" si="103"/>
        <v>0.47459677419354845</v>
      </c>
      <c r="R43" s="16">
        <f t="shared" si="103"/>
        <v>0.56917164816396248</v>
      </c>
      <c r="S43" s="16">
        <f t="shared" si="103"/>
        <v>0.42972312165466192</v>
      </c>
      <c r="T43" s="16">
        <f t="shared" si="103"/>
        <v>0.59772946859903375</v>
      </c>
      <c r="U43" s="16">
        <f t="shared" si="103"/>
        <v>0.5</v>
      </c>
      <c r="V43" s="16">
        <f t="shared" si="103"/>
        <v>0.5</v>
      </c>
      <c r="AF43" s="4"/>
      <c r="AG43" s="4"/>
      <c r="AS43" t="s">
        <v>63</v>
      </c>
      <c r="AT43" s="15">
        <v>0.15</v>
      </c>
    </row>
    <row r="44" spans="2:82" x14ac:dyDescent="0.25">
      <c r="AF44" s="4"/>
      <c r="AG44" s="4"/>
      <c r="AT44" s="15"/>
    </row>
    <row r="45" spans="2:82" x14ac:dyDescent="0.25">
      <c r="B45" t="s">
        <v>17</v>
      </c>
      <c r="AF45" s="4">
        <v>-44698</v>
      </c>
      <c r="AG45" s="4">
        <v>-78811</v>
      </c>
      <c r="AS45" t="s">
        <v>64</v>
      </c>
      <c r="AT45" s="15">
        <v>-0.01</v>
      </c>
    </row>
    <row r="46" spans="2:82" x14ac:dyDescent="0.25">
      <c r="B46" t="s">
        <v>18</v>
      </c>
      <c r="AF46" s="4">
        <v>-9336</v>
      </c>
      <c r="AG46" s="4">
        <v>-13703</v>
      </c>
      <c r="AS46" t="s">
        <v>65</v>
      </c>
      <c r="AT46" s="4">
        <f>NPV(AT43,AI38:CD38)</f>
        <v>2138.2325016748337</v>
      </c>
    </row>
    <row r="47" spans="2:82" x14ac:dyDescent="0.25">
      <c r="AS47" t="s">
        <v>66</v>
      </c>
      <c r="AT47" s="1">
        <f>AT46/Main!J3</f>
        <v>7.2033700913034453</v>
      </c>
    </row>
    <row r="48" spans="2:82" s="7" customFormat="1" x14ac:dyDescent="0.25">
      <c r="B48" s="7" t="s">
        <v>3</v>
      </c>
      <c r="C48" s="8"/>
      <c r="D48" s="8"/>
      <c r="E48" s="8"/>
      <c r="F48" s="8"/>
      <c r="G48" s="8"/>
      <c r="H48" s="8"/>
      <c r="I48" s="8"/>
      <c r="J48" s="8"/>
      <c r="K48" s="8"/>
      <c r="L48" s="8"/>
      <c r="M48" s="8"/>
      <c r="N48" s="8"/>
      <c r="O48" s="8"/>
      <c r="P48" s="8">
        <f>41.752+328.045+32.171</f>
        <v>401.96800000000002</v>
      </c>
      <c r="Q48" s="8">
        <f>30.172+335.538+17.131</f>
        <v>382.84100000000001</v>
      </c>
      <c r="R48" s="8">
        <f>54.393+285.896+23.545</f>
        <v>363.834</v>
      </c>
      <c r="S48" s="8">
        <f>159.681+428.605+108.861</f>
        <v>697.14700000000005</v>
      </c>
      <c r="T48" s="8">
        <f>140.067+109.902+406.784</f>
        <v>656.75299999999993</v>
      </c>
    </row>
    <row r="49" spans="2:20" s="7" customFormat="1" x14ac:dyDescent="0.25">
      <c r="B49" s="7" t="s">
        <v>41</v>
      </c>
      <c r="C49" s="8"/>
      <c r="D49" s="8"/>
      <c r="E49" s="8"/>
      <c r="F49" s="8"/>
      <c r="G49" s="8"/>
      <c r="H49" s="8"/>
      <c r="I49" s="8"/>
      <c r="J49" s="8"/>
      <c r="K49" s="8"/>
      <c r="L49" s="8"/>
      <c r="M49" s="8"/>
      <c r="N49" s="8"/>
      <c r="O49" s="8"/>
      <c r="P49" s="8">
        <v>7.8929999999999998</v>
      </c>
      <c r="Q49" s="8">
        <v>4.1369999999999996</v>
      </c>
      <c r="R49" s="8">
        <v>10.188000000000001</v>
      </c>
      <c r="S49" s="8">
        <v>9.4710000000000001</v>
      </c>
      <c r="T49" s="7">
        <v>19.114000000000001</v>
      </c>
    </row>
    <row r="50" spans="2:20" s="7" customFormat="1" x14ac:dyDescent="0.25">
      <c r="B50" s="7" t="s">
        <v>42</v>
      </c>
      <c r="C50" s="8"/>
      <c r="D50" s="8"/>
      <c r="E50" s="8"/>
      <c r="F50" s="8"/>
      <c r="G50" s="8"/>
      <c r="H50" s="8"/>
      <c r="I50" s="8"/>
      <c r="J50" s="8"/>
      <c r="K50" s="8"/>
      <c r="L50" s="8"/>
      <c r="M50" s="8"/>
      <c r="N50" s="8"/>
      <c r="O50" s="8"/>
      <c r="P50" s="8">
        <v>27.164999999999999</v>
      </c>
      <c r="Q50" s="8">
        <v>25.553000000000001</v>
      </c>
      <c r="R50" s="8">
        <v>28.324999999999999</v>
      </c>
      <c r="S50" s="8">
        <v>39.226999999999997</v>
      </c>
      <c r="T50" s="7">
        <v>59.921999999999997</v>
      </c>
    </row>
    <row r="51" spans="2:20" s="7" customFormat="1" x14ac:dyDescent="0.25">
      <c r="B51" s="7" t="s">
        <v>43</v>
      </c>
      <c r="C51" s="8"/>
      <c r="D51" s="8"/>
      <c r="E51" s="8"/>
      <c r="F51" s="8"/>
      <c r="G51" s="8"/>
      <c r="H51" s="8"/>
      <c r="I51" s="8"/>
      <c r="J51" s="8"/>
      <c r="K51" s="8"/>
      <c r="L51" s="8"/>
      <c r="M51" s="8"/>
      <c r="N51" s="8"/>
      <c r="O51" s="8"/>
      <c r="P51" s="8">
        <v>47.883000000000003</v>
      </c>
      <c r="Q51" s="8">
        <v>49.454000000000001</v>
      </c>
      <c r="R51" s="8">
        <v>52.761000000000003</v>
      </c>
      <c r="S51" s="8">
        <v>51.643999999999998</v>
      </c>
      <c r="T51" s="7">
        <v>58.558</v>
      </c>
    </row>
    <row r="52" spans="2:20" s="7" customFormat="1" x14ac:dyDescent="0.25">
      <c r="B52" s="7" t="s">
        <v>44</v>
      </c>
      <c r="C52" s="8"/>
      <c r="D52" s="8"/>
      <c r="E52" s="8"/>
      <c r="F52" s="8"/>
      <c r="G52" s="8"/>
      <c r="H52" s="8"/>
      <c r="I52" s="8"/>
      <c r="J52" s="8"/>
      <c r="K52" s="8"/>
      <c r="L52" s="8"/>
      <c r="M52" s="8"/>
      <c r="N52" s="8"/>
      <c r="O52" s="8"/>
      <c r="P52" s="8">
        <v>9.9380000000000006</v>
      </c>
      <c r="Q52" s="8">
        <v>10.029</v>
      </c>
      <c r="R52" s="8">
        <v>9.4700000000000006</v>
      </c>
      <c r="S52" s="8">
        <v>9.2319999999999993</v>
      </c>
      <c r="T52" s="7">
        <v>11.254</v>
      </c>
    </row>
    <row r="53" spans="2:20" s="7" customFormat="1" x14ac:dyDescent="0.25">
      <c r="B53" s="7" t="s">
        <v>45</v>
      </c>
      <c r="C53" s="8"/>
      <c r="D53" s="8"/>
      <c r="E53" s="8"/>
      <c r="F53" s="8"/>
      <c r="G53" s="8"/>
      <c r="H53" s="8"/>
      <c r="I53" s="8"/>
      <c r="J53" s="8"/>
      <c r="K53" s="8"/>
      <c r="L53" s="8"/>
      <c r="M53" s="8"/>
      <c r="N53" s="8"/>
      <c r="O53" s="8"/>
      <c r="P53" s="8">
        <f>16.969+0.719</f>
        <v>17.688000000000002</v>
      </c>
      <c r="Q53" s="8">
        <f>17.487+0.727</f>
        <v>18.213999999999999</v>
      </c>
      <c r="R53" s="8">
        <f>29.469+9.904</f>
        <v>39.373000000000005</v>
      </c>
      <c r="S53" s="8">
        <f>28.216+10.669</f>
        <v>38.885000000000005</v>
      </c>
      <c r="T53" s="7">
        <f>143.241+370.72</f>
        <v>513.96100000000001</v>
      </c>
    </row>
    <row r="54" spans="2:20" s="7" customFormat="1" x14ac:dyDescent="0.25">
      <c r="B54" s="7" t="s">
        <v>46</v>
      </c>
      <c r="C54" s="8"/>
      <c r="D54" s="8"/>
      <c r="E54" s="8"/>
      <c r="F54" s="8"/>
      <c r="G54" s="8"/>
      <c r="H54" s="8"/>
      <c r="I54" s="8"/>
      <c r="J54" s="8"/>
      <c r="K54" s="8"/>
      <c r="L54" s="8"/>
      <c r="M54" s="8"/>
      <c r="N54" s="8"/>
      <c r="O54" s="8"/>
      <c r="P54" s="8">
        <v>4.9000000000000004</v>
      </c>
      <c r="Q54" s="8">
        <v>7.6829999999999998</v>
      </c>
      <c r="R54" s="8">
        <v>4.4370000000000003</v>
      </c>
      <c r="S54" s="8">
        <v>4.468</v>
      </c>
      <c r="T54" s="7">
        <v>27.045999999999999</v>
      </c>
    </row>
    <row r="55" spans="2:20" s="7" customFormat="1" x14ac:dyDescent="0.25">
      <c r="B55" s="7" t="s">
        <v>40</v>
      </c>
      <c r="C55" s="8"/>
      <c r="D55" s="8"/>
      <c r="E55" s="8"/>
      <c r="F55" s="8"/>
      <c r="G55" s="8"/>
      <c r="H55" s="8"/>
      <c r="I55" s="8"/>
      <c r="J55" s="8"/>
      <c r="K55" s="8"/>
      <c r="L55" s="8"/>
      <c r="M55" s="8"/>
      <c r="N55" s="8"/>
      <c r="O55" s="8"/>
      <c r="P55" s="8">
        <f>SUM(P48:P54)</f>
        <v>517.43499999999995</v>
      </c>
      <c r="Q55" s="8">
        <f>SUM(Q48:Q54)</f>
        <v>497.911</v>
      </c>
      <c r="R55" s="8">
        <f>SUM(R48:R54)</f>
        <v>508.38800000000003</v>
      </c>
      <c r="S55" s="8">
        <f>SUM(S48:S54)</f>
        <v>850.07399999999996</v>
      </c>
      <c r="T55" s="9">
        <f>SUM(T48:T54)</f>
        <v>1346.6079999999999</v>
      </c>
    </row>
    <row r="57" spans="2:20" s="4" customFormat="1" x14ac:dyDescent="0.25">
      <c r="B57" s="4" t="s">
        <v>47</v>
      </c>
      <c r="C57" s="9"/>
      <c r="D57" s="9"/>
      <c r="E57" s="9"/>
      <c r="F57" s="9"/>
      <c r="G57" s="9"/>
      <c r="H57" s="9"/>
      <c r="I57" s="9"/>
      <c r="J57" s="9"/>
      <c r="K57" s="9"/>
      <c r="L57" s="9"/>
      <c r="M57" s="9"/>
      <c r="N57" s="9"/>
      <c r="O57" s="9"/>
      <c r="P57" s="9">
        <v>6.3239999999999998</v>
      </c>
      <c r="Q57" s="9">
        <v>4.8540000000000001</v>
      </c>
      <c r="R57" s="9">
        <v>5.23</v>
      </c>
      <c r="S57" s="9">
        <v>8.7520000000000007</v>
      </c>
      <c r="T57" s="4">
        <v>8.9380000000000006</v>
      </c>
    </row>
    <row r="58" spans="2:20" s="4" customFormat="1" x14ac:dyDescent="0.25">
      <c r="B58" s="4" t="s">
        <v>48</v>
      </c>
      <c r="C58" s="9"/>
      <c r="D58" s="9"/>
      <c r="E58" s="9"/>
      <c r="F58" s="9"/>
      <c r="G58" s="9"/>
      <c r="H58" s="9"/>
      <c r="I58" s="9"/>
      <c r="J58" s="9"/>
      <c r="K58" s="9"/>
      <c r="L58" s="9"/>
      <c r="M58" s="9"/>
      <c r="N58" s="9"/>
      <c r="O58" s="9"/>
      <c r="P58" s="9">
        <v>8.9250000000000007</v>
      </c>
      <c r="Q58" s="9">
        <v>15.657</v>
      </c>
      <c r="R58" s="9">
        <v>16.423999999999999</v>
      </c>
      <c r="S58" s="9">
        <v>23.594999999999999</v>
      </c>
      <c r="T58" s="4">
        <v>49.19</v>
      </c>
    </row>
    <row r="59" spans="2:20" s="4" customFormat="1" x14ac:dyDescent="0.25">
      <c r="B59" s="4" t="s">
        <v>49</v>
      </c>
      <c r="C59" s="9"/>
      <c r="D59" s="9"/>
      <c r="E59" s="9"/>
      <c r="F59" s="9"/>
      <c r="G59" s="9"/>
      <c r="H59" s="9"/>
      <c r="I59" s="9"/>
      <c r="J59" s="9"/>
      <c r="K59" s="9"/>
      <c r="L59" s="9"/>
      <c r="M59" s="9"/>
      <c r="N59" s="9"/>
      <c r="O59" s="9"/>
      <c r="P59" s="9">
        <f>1.479+15.152</f>
        <v>16.631</v>
      </c>
      <c r="Q59" s="9">
        <f>3.089+15.214</f>
        <v>18.303000000000001</v>
      </c>
      <c r="R59" s="9">
        <f>3.366+14.359</f>
        <v>17.725000000000001</v>
      </c>
      <c r="S59" s="9">
        <f>3.621+13.739</f>
        <v>17.36</v>
      </c>
      <c r="T59" s="4">
        <f>5.528+13.737</f>
        <v>19.265000000000001</v>
      </c>
    </row>
    <row r="60" spans="2:20" s="4" customFormat="1" x14ac:dyDescent="0.25">
      <c r="B60" s="4" t="s">
        <v>50</v>
      </c>
      <c r="C60" s="9"/>
      <c r="D60" s="9"/>
      <c r="E60" s="9"/>
      <c r="F60" s="9"/>
      <c r="G60" s="9"/>
      <c r="H60" s="9"/>
      <c r="I60" s="9"/>
      <c r="J60" s="9"/>
      <c r="K60" s="9"/>
      <c r="L60" s="9"/>
      <c r="M60" s="9"/>
      <c r="N60" s="9"/>
      <c r="O60" s="9"/>
      <c r="P60" s="9">
        <f>13.668+0.121</f>
        <v>13.789</v>
      </c>
      <c r="Q60" s="9">
        <f>8.332+0.06</f>
        <v>8.3920000000000012</v>
      </c>
      <c r="R60" s="9">
        <v>10.678000000000001</v>
      </c>
      <c r="S60" s="9">
        <v>12.061</v>
      </c>
      <c r="T60" s="4">
        <f>16.726+2.77</f>
        <v>19.495999999999999</v>
      </c>
    </row>
    <row r="61" spans="2:20" s="4" customFormat="1" x14ac:dyDescent="0.25">
      <c r="B61" s="4" t="s">
        <v>51</v>
      </c>
      <c r="C61" s="9"/>
      <c r="D61" s="9"/>
      <c r="E61" s="9"/>
      <c r="F61" s="9"/>
      <c r="G61" s="9"/>
      <c r="H61" s="9"/>
      <c r="I61" s="9"/>
      <c r="J61" s="9"/>
      <c r="K61" s="9"/>
      <c r="L61" s="9"/>
      <c r="M61" s="9"/>
      <c r="N61" s="9"/>
      <c r="O61" s="9"/>
      <c r="P61" s="9">
        <f>0.392+0.252</f>
        <v>0.64400000000000002</v>
      </c>
      <c r="Q61" s="9">
        <f>0.392+0.154</f>
        <v>0.54600000000000004</v>
      </c>
      <c r="R61" s="9">
        <v>6.0999999999999999E-2</v>
      </c>
      <c r="S61" s="9">
        <v>0.35</v>
      </c>
      <c r="T61" s="4">
        <v>0.252</v>
      </c>
    </row>
    <row r="62" spans="2:20" s="4" customFormat="1" x14ac:dyDescent="0.25">
      <c r="B62" s="4" t="s">
        <v>55</v>
      </c>
      <c r="C62" s="9"/>
      <c r="D62" s="9"/>
      <c r="E62" s="9"/>
      <c r="F62" s="9"/>
      <c r="G62" s="9"/>
      <c r="H62" s="9"/>
      <c r="I62" s="9"/>
      <c r="J62" s="9"/>
      <c r="K62" s="9"/>
      <c r="L62" s="9"/>
      <c r="M62" s="9"/>
      <c r="N62" s="9"/>
      <c r="O62" s="9"/>
      <c r="P62" s="9">
        <v>7.7380000000000004</v>
      </c>
      <c r="Q62" s="9">
        <v>11.606999999999999</v>
      </c>
      <c r="R62" s="9">
        <v>70.688000000000002</v>
      </c>
      <c r="S62" s="9">
        <v>21.241</v>
      </c>
      <c r="T62" s="4">
        <v>58.042000000000002</v>
      </c>
    </row>
    <row r="63" spans="2:20" s="4" customFormat="1" x14ac:dyDescent="0.25">
      <c r="B63" s="4" t="s">
        <v>54</v>
      </c>
      <c r="C63" s="9"/>
      <c r="D63" s="9"/>
      <c r="E63" s="9"/>
      <c r="F63" s="9"/>
      <c r="G63" s="9"/>
      <c r="H63" s="9"/>
      <c r="I63" s="9"/>
      <c r="J63" s="9"/>
      <c r="K63" s="9"/>
      <c r="L63" s="9"/>
      <c r="M63" s="9"/>
      <c r="N63" s="9"/>
      <c r="O63" s="9"/>
      <c r="P63" s="9">
        <v>0.11</v>
      </c>
      <c r="Q63" s="9">
        <v>2.8690000000000002</v>
      </c>
      <c r="R63" s="9">
        <v>3.3330000000000002</v>
      </c>
      <c r="S63" s="9">
        <v>1.667</v>
      </c>
      <c r="T63" s="4">
        <v>12.978999999999999</v>
      </c>
    </row>
    <row r="64" spans="2:20" s="4" customFormat="1" x14ac:dyDescent="0.25">
      <c r="B64" s="4" t="s">
        <v>53</v>
      </c>
      <c r="C64" s="9"/>
      <c r="D64" s="9"/>
      <c r="E64" s="9"/>
      <c r="F64" s="9"/>
      <c r="G64" s="9"/>
      <c r="H64" s="9"/>
      <c r="I64" s="9"/>
      <c r="J64" s="9"/>
      <c r="K64" s="9"/>
      <c r="L64" s="9"/>
      <c r="M64" s="9"/>
      <c r="N64" s="9"/>
      <c r="O64" s="9"/>
      <c r="P64" s="9">
        <v>463.274</v>
      </c>
      <c r="Q64" s="9">
        <v>435.68299999999999</v>
      </c>
      <c r="R64" s="9">
        <v>383.86200000000002</v>
      </c>
      <c r="S64" s="9">
        <v>765.048</v>
      </c>
      <c r="T64" s="4">
        <v>1178.4459999999999</v>
      </c>
    </row>
    <row r="65" spans="2:20" s="4" customFormat="1" x14ac:dyDescent="0.25">
      <c r="B65" s="4" t="s">
        <v>52</v>
      </c>
      <c r="C65" s="9"/>
      <c r="D65" s="9"/>
      <c r="E65" s="9"/>
      <c r="F65" s="9"/>
      <c r="G65" s="9"/>
      <c r="H65" s="9"/>
      <c r="I65" s="9"/>
      <c r="J65" s="9"/>
      <c r="K65" s="9"/>
      <c r="L65" s="9"/>
      <c r="M65" s="9"/>
      <c r="N65" s="9"/>
      <c r="O65" s="9"/>
      <c r="P65" s="9">
        <f>SUM(P57:P64)</f>
        <v>517.43499999999995</v>
      </c>
      <c r="Q65" s="9">
        <f>SUM(Q57:Q64)</f>
        <v>497.911</v>
      </c>
      <c r="R65" s="9">
        <f>SUM(R57:R64)</f>
        <v>508.00100000000003</v>
      </c>
      <c r="S65" s="9">
        <f>SUM(S57:S64)</f>
        <v>850.07400000000007</v>
      </c>
      <c r="T65" s="9">
        <f>SUM(T57:T64)</f>
        <v>1346.6079999999999</v>
      </c>
    </row>
    <row r="67" spans="2:20" x14ac:dyDescent="0.25">
      <c r="N67" s="9">
        <v>206.611704</v>
      </c>
      <c r="O67" s="9"/>
      <c r="P67" s="9">
        <v>213.72250299999999</v>
      </c>
    </row>
  </sheetData>
  <hyperlinks>
    <hyperlink ref="A1" location="Main!A1" display="Main" xr:uid="{201ADA92-3B0C-4733-B33B-9ACA8A94F4C9}"/>
  </hyperlink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2FAF-F034-4DC1-A333-3CF2A6D6F2AB}">
  <dimension ref="A1"/>
  <sheetViews>
    <sheetView workbookViewId="0"/>
  </sheetViews>
  <sheetFormatPr defaultColWidth="8.81640625" defaultRowHeight="12.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E14B5-938C-4B32-8CB8-872687577253}">
  <dimension ref="A1:C5"/>
  <sheetViews>
    <sheetView zoomScale="175" zoomScaleNormal="175" workbookViewId="0">
      <selection activeCell="B6" sqref="B6"/>
    </sheetView>
  </sheetViews>
  <sheetFormatPr defaultRowHeight="12.5" x14ac:dyDescent="0.25"/>
  <cols>
    <col min="1" max="1" width="4.6328125" bestFit="1" customWidth="1"/>
  </cols>
  <sheetData>
    <row r="1" spans="1:3" x14ac:dyDescent="0.25">
      <c r="A1" t="s">
        <v>8</v>
      </c>
    </row>
    <row r="2" spans="1:3" x14ac:dyDescent="0.25">
      <c r="B2" t="s">
        <v>104</v>
      </c>
    </row>
    <row r="3" spans="1:3" x14ac:dyDescent="0.25">
      <c r="C3" t="s">
        <v>109</v>
      </c>
    </row>
    <row r="5" spans="1:3" x14ac:dyDescent="0.25">
      <c r="B5" t="s">
        <v>111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01137-8B10-454F-89F9-A1E21354E95A}">
  <dimension ref="A1:C30"/>
  <sheetViews>
    <sheetView zoomScale="190" zoomScaleNormal="190" workbookViewId="0"/>
  </sheetViews>
  <sheetFormatPr defaultRowHeight="12.5" x14ac:dyDescent="0.25"/>
  <cols>
    <col min="1" max="1" width="4.7265625" bestFit="1" customWidth="1"/>
    <col min="2" max="2" width="13.90625" customWidth="1"/>
  </cols>
  <sheetData>
    <row r="1" spans="1:3" x14ac:dyDescent="0.25">
      <c r="A1" t="s">
        <v>8</v>
      </c>
    </row>
    <row r="2" spans="1:3" x14ac:dyDescent="0.25">
      <c r="B2" t="s">
        <v>145</v>
      </c>
      <c r="C2" t="s">
        <v>146</v>
      </c>
    </row>
    <row r="3" spans="1:3" x14ac:dyDescent="0.25">
      <c r="B3" t="s">
        <v>123</v>
      </c>
      <c r="C3" t="s">
        <v>144</v>
      </c>
    </row>
    <row r="4" spans="1:3" x14ac:dyDescent="0.25">
      <c r="B4" t="s">
        <v>140</v>
      </c>
      <c r="C4" t="s">
        <v>141</v>
      </c>
    </row>
    <row r="5" spans="1:3" x14ac:dyDescent="0.25">
      <c r="B5" t="s">
        <v>120</v>
      </c>
      <c r="C5" t="s">
        <v>125</v>
      </c>
    </row>
    <row r="6" spans="1:3" x14ac:dyDescent="0.25">
      <c r="B6" t="s">
        <v>124</v>
      </c>
    </row>
    <row r="7" spans="1:3" x14ac:dyDescent="0.25">
      <c r="B7" t="s">
        <v>121</v>
      </c>
      <c r="C7" t="s">
        <v>126</v>
      </c>
    </row>
    <row r="8" spans="1:3" x14ac:dyDescent="0.25">
      <c r="B8" t="s">
        <v>128</v>
      </c>
    </row>
    <row r="9" spans="1:3" x14ac:dyDescent="0.25">
      <c r="B9" t="s">
        <v>117</v>
      </c>
    </row>
    <row r="10" spans="1:3" x14ac:dyDescent="0.25">
      <c r="B10" t="s">
        <v>122</v>
      </c>
      <c r="C10" t="s">
        <v>127</v>
      </c>
    </row>
    <row r="11" spans="1:3" x14ac:dyDescent="0.25">
      <c r="B11" t="s">
        <v>112</v>
      </c>
      <c r="C11" t="s">
        <v>133</v>
      </c>
    </row>
    <row r="12" spans="1:3" x14ac:dyDescent="0.25">
      <c r="C12" t="s">
        <v>138</v>
      </c>
    </row>
    <row r="13" spans="1:3" x14ac:dyDescent="0.25">
      <c r="B13" t="s">
        <v>113</v>
      </c>
      <c r="C13" t="s">
        <v>139</v>
      </c>
    </row>
    <row r="14" spans="1:3" x14ac:dyDescent="0.25">
      <c r="B14" t="s">
        <v>119</v>
      </c>
    </row>
    <row r="15" spans="1:3" x14ac:dyDescent="0.25">
      <c r="B15" t="s">
        <v>110</v>
      </c>
    </row>
    <row r="16" spans="1:3" x14ac:dyDescent="0.25">
      <c r="B16" t="s">
        <v>130</v>
      </c>
    </row>
    <row r="17" spans="2:3" x14ac:dyDescent="0.25">
      <c r="B17" t="s">
        <v>114</v>
      </c>
    </row>
    <row r="18" spans="2:3" ht="13" x14ac:dyDescent="0.3">
      <c r="B18" t="s">
        <v>142</v>
      </c>
      <c r="C18" t="s">
        <v>143</v>
      </c>
    </row>
    <row r="19" spans="2:3" x14ac:dyDescent="0.25">
      <c r="B19" t="s">
        <v>108</v>
      </c>
    </row>
    <row r="20" spans="2:3" x14ac:dyDescent="0.25">
      <c r="B20" t="s">
        <v>105</v>
      </c>
    </row>
    <row r="21" spans="2:3" x14ac:dyDescent="0.25">
      <c r="B21" t="s">
        <v>107</v>
      </c>
    </row>
    <row r="22" spans="2:3" x14ac:dyDescent="0.25">
      <c r="B22" t="s">
        <v>115</v>
      </c>
      <c r="C22" t="s">
        <v>134</v>
      </c>
    </row>
    <row r="23" spans="2:3" x14ac:dyDescent="0.25">
      <c r="B23" t="s">
        <v>135</v>
      </c>
      <c r="C23" t="s">
        <v>136</v>
      </c>
    </row>
    <row r="24" spans="2:3" x14ac:dyDescent="0.25">
      <c r="B24" t="s">
        <v>118</v>
      </c>
    </row>
    <row r="25" spans="2:3" x14ac:dyDescent="0.25">
      <c r="B25" t="s">
        <v>129</v>
      </c>
    </row>
    <row r="26" spans="2:3" x14ac:dyDescent="0.25">
      <c r="B26" t="s">
        <v>137</v>
      </c>
    </row>
    <row r="27" spans="2:3" x14ac:dyDescent="0.25">
      <c r="B27" t="s">
        <v>116</v>
      </c>
    </row>
    <row r="28" spans="2:3" x14ac:dyDescent="0.25">
      <c r="B28" t="s">
        <v>106</v>
      </c>
    </row>
    <row r="29" spans="2:3" x14ac:dyDescent="0.25">
      <c r="B29" t="s">
        <v>147</v>
      </c>
      <c r="C29" t="s">
        <v>148</v>
      </c>
    </row>
    <row r="30" spans="2:3" x14ac:dyDescent="0.25">
      <c r="B30" t="s">
        <v>131</v>
      </c>
      <c r="C30"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Model</vt:lpstr>
      <vt:lpstr>Presentation</vt:lpstr>
      <vt:lpstr>Papers</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2024-08-30T17:12:45Z</dcterms:created>
  <dcterms:modified xsi:type="dcterms:W3CDTF">2025-08-11T21:10:45Z</dcterms:modified>
</cp:coreProperties>
</file>